
<file path=[Content_Types].xml><?xml version="1.0" encoding="utf-8"?>
<Types xmlns="http://schemas.openxmlformats.org/package/2006/content-types">
  <Override PartName="/xl/activeX/activeX4.bin" ContentType="application/vnd.ms-office.activeX"/>
  <Override PartName="/xl/activeX/activeX43.bin" ContentType="application/vnd.ms-office.activeX"/>
  <Override PartName="/xl/activeX/activeX54.bin" ContentType="application/vnd.ms-office.activeX"/>
  <Override PartName="/xl/worksheets/sheet13.xml" ContentType="application/vnd.openxmlformats-officedocument.spreadsheetml.worksheet+xml"/>
  <Override PartName="/xl/styles.xml" ContentType="application/vnd.openxmlformats-officedocument.spreadsheetml.styles+xml"/>
  <Override PartName="/xl/activeX/activeX19.xml" ContentType="application/vnd.ms-office.activeX+xml"/>
  <Override PartName="/xl/activeX/activeX32.bin" ContentType="application/vnd.ms-office.activeX"/>
  <Override PartName="/xl/charts/chart4.xml" ContentType="application/vnd.openxmlformats-officedocument.drawingml.chart+xml"/>
  <Override PartName="/xl/activeX/activeX66.xml" ContentType="application/vnd.ms-office.activeX+xml"/>
  <Override PartName="/xl/activeX/activeX77.xml" ContentType="application/vnd.ms-office.activeX+xml"/>
  <Override PartName="/xl/charts/style6.xml" ContentType="application/vnd.ms-office.chartstyle+xml"/>
  <Override PartName="/xl/activeX/activeX5.xml" ContentType="application/vnd.ms-office.activeX+xml"/>
  <Override PartName="/xl/activeX/activeX21.bin" ContentType="application/vnd.ms-office.activeX"/>
  <Override PartName="/xl/activeX/activeX55.xml" ContentType="application/vnd.ms-office.activeX+xml"/>
  <Default Extension="xml" ContentType="application/xml"/>
  <Override PartName="/xl/activeX/activeX10.bin" ContentType="application/vnd.ms-office.activeX"/>
  <Override PartName="/xl/queryTables/queryTable15.xml" ContentType="application/vnd.openxmlformats-officedocument.spreadsheetml.queryTable+xml"/>
  <Override PartName="/xl/activeX/activeX44.xml" ContentType="application/vnd.ms-office.activeX+xml"/>
  <Override PartName="/xl/drawings/drawing2.xml" ContentType="application/vnd.openxmlformats-officedocument.drawing+xml"/>
  <Override PartName="/xl/worksheets/sheet3.xml" ContentType="application/vnd.openxmlformats-officedocument.spreadsheetml.worksheet+xml"/>
  <Override PartName="/xl/activeX/activeX22.xml" ContentType="application/vnd.ms-office.activeX+xml"/>
  <Override PartName="/xl/activeX/activeX33.xml" ContentType="application/vnd.ms-office.activeX+xml"/>
  <Override PartName="/xl/activeX/activeX80.xml" ContentType="application/vnd.ms-office.activeX+xml"/>
  <Override PartName="/xl/activeX/activeX9.bin" ContentType="application/vnd.ms-office.activeX"/>
  <Override PartName="/xl/activeX/activeX11.xml" ContentType="application/vnd.ms-office.activeX+xml"/>
  <Override PartName="/xl/queryTables/queryTable8.xml" ContentType="application/vnd.openxmlformats-officedocument.spreadsheetml.queryTable+xml"/>
  <Override PartName="/xl/charts/chart16.xml" ContentType="application/vnd.openxmlformats-officedocument.drawingml.chart+xml"/>
  <Override PartName="/xl/activeX/activeX59.bin" ContentType="application/vnd.ms-office.activeX"/>
  <Override PartName="/xl/activeX/activeX48.bin" ContentType="application/vnd.ms-office.activeX"/>
  <Override PartName="/xl/activeX/activeX37.bin" ContentType="application/vnd.ms-office.activeX"/>
  <Override PartName="/xl/charts/chart9.xml" ContentType="application/vnd.openxmlformats-officedocument.drawingml.chart+xml"/>
  <Override PartName="/xl/activeX/activeX84.bin" ContentType="application/vnd.ms-office.activeX"/>
  <Override PartName="/xl/charts/colors1.xml" ContentType="application/vnd.ms-office.chartcolorstyle+xml"/>
  <Override PartName="/xl/activeX/activeX15.bin" ContentType="application/vnd.ms-office.activeX"/>
  <Override PartName="/xl/activeX/activeX26.bin" ContentType="application/vnd.ms-office.activeX"/>
  <Override PartName="/xl/activeX/activeX62.bin" ContentType="application/vnd.ms-office.activeX"/>
  <Override PartName="/xl/activeX/activeX73.bin" ContentType="application/vnd.ms-office.activeX"/>
  <Override PartName="/xl/activeX/activeX1.bin" ContentType="application/vnd.ms-office.activeX"/>
  <Override PartName="/xl/activeX/activeX38.xml" ContentType="application/vnd.ms-office.activeX+xml"/>
  <Override PartName="/xl/activeX/activeX49.xml" ContentType="application/vnd.ms-office.activeX+xml"/>
  <Override PartName="/xl/activeX/activeX51.bin" ContentType="application/vnd.ms-office.activeX"/>
  <Override PartName="/xl/activeX/activeX85.xml" ContentType="application/vnd.ms-office.activeX+xml"/>
  <Override PartName="/xl/worksheets/sheet8.xml" ContentType="application/vnd.openxmlformats-officedocument.spreadsheetml.worksheet+xml"/>
  <Default Extension="emf" ContentType="image/x-emf"/>
  <Override PartName="/xl/activeX/activeX27.xml" ContentType="application/vnd.ms-office.activeX+xml"/>
  <Override PartName="/xl/activeX/activeX40.bin" ContentType="application/vnd.ms-office.activeX"/>
  <Override PartName="/xl/activeX/activeX74.xml" ContentType="application/vnd.ms-office.activeX+xml"/>
  <Override PartName="/xl/worksheets/sheet10.xml" ContentType="application/vnd.openxmlformats-officedocument.spreadsheetml.worksheet+xml"/>
  <Override PartName="/xl/activeX/activeX2.xml" ContentType="application/vnd.ms-office.activeX+xml"/>
  <Override PartName="/xl/activeX/activeX16.xml" ContentType="application/vnd.ms-office.activeX+xml"/>
  <Override PartName="/xl/charts/chart1.xml" ContentType="application/vnd.openxmlformats-officedocument.drawingml.chart+xml"/>
  <Override PartName="/xl/activeX/activeX63.xml" ContentType="application/vnd.ms-office.activeX+xml"/>
  <Override PartName="/xl/charts/style3.xml" ContentType="application/vnd.ms-office.chartstyle+xml"/>
  <Override PartName="/docProps/app.xml" ContentType="application/vnd.openxmlformats-officedocument.extended-properties+xml"/>
  <Override PartName="/xl/queryTables/queryTable12.xml" ContentType="application/vnd.openxmlformats-officedocument.spreadsheetml.queryTable+xml"/>
  <Override PartName="/xl/activeX/activeX41.xml" ContentType="application/vnd.ms-office.activeX+xml"/>
  <Override PartName="/xl/activeX/activeX52.xml" ContentType="application/vnd.ms-office.activeX+xml"/>
  <Override PartName="/xl/queryTables/queryTable23.xml" ContentType="application/vnd.openxmlformats-officedocument.spreadsheetml.queryTable+xml"/>
  <Override PartName="/xl/charts/colors6.xml" ContentType="application/vnd.ms-office.chartcolorstyle+xml"/>
  <Default Extension="vml" ContentType="application/vnd.openxmlformats-officedocument.vmlDrawing"/>
  <Override PartName="/xl/activeX/activeX12.xml" ContentType="application/vnd.ms-office.activeX+xml"/>
  <Override PartName="/xl/comments1.xml" ContentType="application/vnd.openxmlformats-officedocument.spreadsheetml.comments+xml"/>
  <Override PartName="/xl/activeX/activeX30.xml" ContentType="application/vnd.ms-office.activeX+xml"/>
  <Override PartName="/xl/charts/chart17.xml" ContentType="application/vnd.openxmlformats-officedocument.drawingml.chart+xml"/>
  <Override PartName="/xl/activeX/activeX78.bin" ContentType="application/vnd.ms-office.activeX"/>
  <Override PartName="/xl/calcChain.xml" ContentType="application/vnd.openxmlformats-officedocument.spreadsheetml.calcChain+xml"/>
  <Override PartName="/xl/queryTables/queryTable5.xml" ContentType="application/vnd.openxmlformats-officedocument.spreadsheetml.queryTable+xml"/>
  <Override PartName="/xl/activeX/activeX38.bin" ContentType="application/vnd.ms-office.activeX"/>
  <Override PartName="/xl/activeX/activeX49.bin" ContentType="application/vnd.ms-office.activeX"/>
  <Override PartName="/xl/charts/chart13.xml" ContentType="application/vnd.openxmlformats-officedocument.drawingml.chart+xml"/>
  <Override PartName="/xl/activeX/activeX67.bin" ContentType="application/vnd.ms-office.activeX"/>
  <Override PartName="/xl/activeX/activeX85.bin" ContentType="application/vnd.ms-office.activeX"/>
  <Override PartName="/xl/charts/colors2.xml" ContentType="application/vnd.ms-office.chartcolorstyle+xml"/>
  <Override PartName="/xl/activeX/activeX6.bin" ContentType="application/vnd.ms-office.activeX"/>
  <Override PartName="/xl/activeX/activeX27.bin" ContentType="application/vnd.ms-office.activeX"/>
  <Override PartName="/xl/activeX/activeX45.bin" ContentType="application/vnd.ms-office.activeX"/>
  <Override PartName="/xl/activeX/activeX56.bin" ContentType="application/vnd.ms-office.activeX"/>
  <Override PartName="/xl/activeX/activeX74.bin" ContentType="application/vnd.ms-office.activeX"/>
  <Override PartName="/docProps/core.xml" ContentType="application/vnd.openxmlformats-package.core-properties+xml"/>
  <Override PartName="/xl/worksheets/sheet15.xml" ContentType="application/vnd.openxmlformats-officedocument.spreadsheetml.worksheet+xml"/>
  <Override PartName="/xl/activeX/activeX2.bin" ContentType="application/vnd.ms-office.activeX"/>
  <Override PartName="/xl/activeX/activeX16.bin" ContentType="application/vnd.ms-office.activeX"/>
  <Override PartName="/xl/queryTables/queryTable1.xml" ContentType="application/vnd.openxmlformats-officedocument.spreadsheetml.queryTable+xml"/>
  <Override PartName="/xl/activeX/activeX34.bin" ContentType="application/vnd.ms-office.activeX"/>
  <Override PartName="/xl/charts/chart6.xml" ContentType="application/vnd.openxmlformats-officedocument.drawingml.chart+xml"/>
  <Override PartName="/xl/activeX/activeX63.bin" ContentType="application/vnd.ms-office.activeX"/>
  <Override PartName="/xl/activeX/activeX68.xml" ContentType="application/vnd.ms-office.activeX+xml"/>
  <Override PartName="/xl/activeX/activeX79.xml" ContentType="application/vnd.ms-office.activeX+xml"/>
  <Override PartName="/xl/activeX/activeX81.bin" ContentType="application/vnd.ms-office.activeX"/>
  <Override PartName="/xl/worksheets/sheet9.xml" ContentType="application/vnd.openxmlformats-officedocument.spreadsheetml.worksheet+xml"/>
  <Override PartName="/xl/theme/theme1.xml" ContentType="application/vnd.openxmlformats-officedocument.theme+xml"/>
  <Override PartName="/xl/activeX/activeX7.xml" ContentType="application/vnd.ms-office.activeX+xml"/>
  <Override PartName="/xl/activeX/activeX23.bin" ContentType="application/vnd.ms-office.activeX"/>
  <Override PartName="/xl/activeX/activeX39.xml" ContentType="application/vnd.ms-office.activeX+xml"/>
  <Override PartName="/xl/activeX/activeX41.bin" ContentType="application/vnd.ms-office.activeX"/>
  <Override PartName="/xl/activeX/activeX52.bin" ContentType="application/vnd.ms-office.activeX"/>
  <Override PartName="/xl/activeX/activeX57.xml" ContentType="application/vnd.ms-office.activeX+xml"/>
  <Override PartName="/xl/activeX/activeX70.bin" ContentType="application/vnd.ms-office.activeX"/>
  <Override PartName="/xl/activeX/activeX86.xml" ContentType="application/vnd.ms-office.activeX+xml"/>
  <Override PartName="/xl/worksheets/sheet11.xml" ContentType="application/vnd.openxmlformats-officedocument.spreadsheetml.worksheet+xml"/>
  <Override PartName="/xl/activeX/activeX12.bin" ContentType="application/vnd.ms-office.activeX"/>
  <Override PartName="/xl/activeX/activeX17.xml" ContentType="application/vnd.ms-office.activeX+xml"/>
  <Override PartName="/xl/queryTables/queryTable17.xml" ContentType="application/vnd.openxmlformats-officedocument.spreadsheetml.queryTable+xml"/>
  <Override PartName="/xl/activeX/activeX28.xml" ContentType="application/vnd.ms-office.activeX+xml"/>
  <Override PartName="/xl/activeX/activeX30.bin" ContentType="application/vnd.ms-office.activeX"/>
  <Override PartName="/xl/charts/chart2.xml" ContentType="application/vnd.openxmlformats-officedocument.drawingml.chart+xml"/>
  <Override PartName="/xl/activeX/activeX46.xml" ContentType="application/vnd.ms-office.activeX+xml"/>
  <Override PartName="/xl/activeX/activeX64.xml" ContentType="application/vnd.ms-office.activeX+xml"/>
  <Override PartName="/xl/activeX/activeX75.xml" ContentType="application/vnd.ms-office.activeX+xml"/>
  <Override PartName="/xl/charts/style4.xml" ContentType="application/vnd.ms-office.chartstyle+xml"/>
  <Default Extension="rels" ContentType="application/vnd.openxmlformats-package.relationships+xml"/>
  <Override PartName="/xl/worksheets/sheet5.xml" ContentType="application/vnd.openxmlformats-officedocument.spreadsheetml.worksheet+xml"/>
  <Override PartName="/xl/activeX/activeX3.xml" ContentType="application/vnd.ms-office.activeX+xml"/>
  <Override PartName="/xl/activeX/activeX24.xml" ContentType="application/vnd.ms-office.activeX+xml"/>
  <Override PartName="/xl/activeX/activeX35.xml" ContentType="application/vnd.ms-office.activeX+xml"/>
  <Override PartName="/xl/activeX/activeX53.xml" ContentType="application/vnd.ms-office.activeX+xml"/>
  <Override PartName="/xl/queryTables/queryTable24.xml" ContentType="application/vnd.openxmlformats-officedocument.spreadsheetml.queryTable+xml"/>
  <Override PartName="/xl/activeX/activeX82.xml" ContentType="application/vnd.ms-office.activeX+xml"/>
  <Override PartName="/xl/connections.xml" ContentType="application/vnd.openxmlformats-officedocument.spreadsheetml.connections+xml"/>
  <Override PartName="/xl/activeX/activeX13.xml" ContentType="application/vnd.ms-office.activeX+xml"/>
  <Override PartName="/xl/queryTables/queryTable13.xml" ContentType="application/vnd.openxmlformats-officedocument.spreadsheetml.queryTable+xml"/>
  <Override PartName="/xl/activeX/activeX42.xml" ContentType="application/vnd.ms-office.activeX+xml"/>
  <Override PartName="/xl/comments2.xml" ContentType="application/vnd.openxmlformats-officedocument.spreadsheetml.comments+xml"/>
  <Override PartName="/xl/activeX/activeX60.xml" ContentType="application/vnd.ms-office.activeX+xml"/>
  <Override PartName="/xl/activeX/activeX71.xml" ContentType="application/vnd.ms-office.activeX+xml"/>
  <Override PartName="/xl/charts/chart18.xml" ContentType="application/vnd.openxmlformats-officedocument.drawingml.chart+xml"/>
  <Override PartName="/xl/charts/colors7.xml" ContentType="application/vnd.ms-office.chartcolorstyle+xml"/>
  <Override PartName="/xl/worksheets/sheet1.xml" ContentType="application/vnd.openxmlformats-officedocument.spreadsheetml.worksheet+xml"/>
  <Override PartName="/xl/activeX/activeX20.xml" ContentType="application/vnd.ms-office.activeX+xml"/>
  <Override PartName="/xl/activeX/activeX31.xml" ContentType="application/vnd.ms-office.activeX+xml"/>
  <Override PartName="/xl/queryTables/queryTable20.xml" ContentType="application/vnd.openxmlformats-officedocument.spreadsheetml.queryTable+xml"/>
  <Override PartName="/xl/activeX/activeX68.bin" ContentType="application/vnd.ms-office.activeX"/>
  <Override PartName="/xl/activeX/activeX79.bin" ContentType="application/vnd.ms-office.activeX"/>
  <Override PartName="/xl/activeX/activeX7.bin" ContentType="application/vnd.ms-office.activeX"/>
  <Override PartName="/xl/queryTables/queryTable6.xml" ContentType="application/vnd.openxmlformats-officedocument.spreadsheetml.queryTable+xml"/>
  <Override PartName="/xl/activeX/activeX39.bin" ContentType="application/vnd.ms-office.activeX"/>
  <Override PartName="/xl/charts/chart14.xml" ContentType="application/vnd.openxmlformats-officedocument.drawingml.chart+xml"/>
  <Override PartName="/xl/activeX/activeX57.bin" ContentType="application/vnd.ms-office.activeX"/>
  <Override PartName="/xl/activeX/activeX86.bin" ContentType="application/vnd.ms-office.activeX"/>
  <Override PartName="/xl/charts/colors3.xml" ContentType="application/vnd.ms-office.chartcolorstyle+xml"/>
  <Override PartName="/xl/activeX/activeX17.bin" ContentType="application/vnd.ms-office.activeX"/>
  <Override PartName="/xl/activeX/activeX28.bin" ContentType="application/vnd.ms-office.activeX"/>
  <Override PartName="/xl/activeX/activeX46.bin" ContentType="application/vnd.ms-office.activeX"/>
  <Override PartName="/xl/activeX/activeX64.bin" ContentType="application/vnd.ms-office.activeX"/>
  <Override PartName="/xl/activeX/activeX75.bin" ContentType="application/vnd.ms-office.activeX"/>
  <Override PartName="/xl/worksheets/sheet16.xml" ContentType="application/vnd.openxmlformats-officedocument.spreadsheetml.worksheet+xml"/>
  <Override PartName="/xl/activeX/activeX3.bin" ContentType="application/vnd.ms-office.activeX"/>
  <Override PartName="/xl/queryTables/queryTable2.xml" ContentType="application/vnd.openxmlformats-officedocument.spreadsheetml.queryTable+xml"/>
  <Override PartName="/xl/activeX/activeX35.bin" ContentType="application/vnd.ms-office.activeX"/>
  <Override PartName="/xl/charts/chart7.xml" ContentType="application/vnd.openxmlformats-officedocument.drawingml.chart+xml"/>
  <Override PartName="/xl/charts/chart10.xml" ContentType="application/vnd.openxmlformats-officedocument.drawingml.chart+xml"/>
  <Override PartName="/xl/activeX/activeX53.bin" ContentType="application/vnd.ms-office.activeX"/>
  <Override PartName="/xl/activeX/activeX69.xml" ContentType="application/vnd.ms-office.activeX+xml"/>
  <Override PartName="/xl/activeX/activeX82.bin" ContentType="application/vnd.ms-office.activeX"/>
  <Override PartName="/xl/activeX/activeX8.xml" ContentType="application/vnd.ms-office.activeX+xml"/>
  <Override PartName="/xl/activeX/activeX13.bin" ContentType="application/vnd.ms-office.activeX"/>
  <Override PartName="/xl/activeX/activeX24.bin" ContentType="application/vnd.ms-office.activeX"/>
  <Override PartName="/xl/activeX/activeX29.xml" ContentType="application/vnd.ms-office.activeX+xml"/>
  <Override PartName="/xl/activeX/activeX42.bin" ContentType="application/vnd.ms-office.activeX"/>
  <Override PartName="/xl/queryTables/queryTable18.xml" ContentType="application/vnd.openxmlformats-officedocument.spreadsheetml.queryTable+xml"/>
  <Override PartName="/xl/activeX/activeX47.xml" ContentType="application/vnd.ms-office.activeX+xml"/>
  <Override PartName="/xl/activeX/activeX58.xml" ContentType="application/vnd.ms-office.activeX+xml"/>
  <Override PartName="/xl/activeX/activeX60.bin" ContentType="application/vnd.ms-office.activeX"/>
  <Override PartName="/xl/activeX/activeX71.bin" ContentType="application/vnd.ms-office.activeX"/>
  <Override PartName="/xl/activeX/activeX76.xml" ContentType="application/vnd.ms-office.activeX+xml"/>
  <Override PartName="/xl/worksheets/sheet6.xml" ContentType="application/vnd.openxmlformats-officedocument.spreadsheetml.worksheet+xml"/>
  <Override PartName="/xl/worksheets/sheet12.xml" ContentType="application/vnd.openxmlformats-officedocument.spreadsheetml.worksheet+xml"/>
  <Override PartName="/xl/activeX/activeX18.xml" ContentType="application/vnd.ms-office.activeX+xml"/>
  <Override PartName="/xl/activeX/activeX20.bin" ContentType="application/vnd.ms-office.activeX"/>
  <Override PartName="/xl/activeX/activeX31.bin" ContentType="application/vnd.ms-office.activeX"/>
  <Override PartName="/xl/activeX/activeX36.xml" ContentType="application/vnd.ms-office.activeX+xml"/>
  <Override PartName="/xl/charts/chart3.xml" ContentType="application/vnd.openxmlformats-officedocument.drawingml.chart+xml"/>
  <Default Extension="jpeg" ContentType="image/jpeg"/>
  <Override PartName="/xl/activeX/activeX65.xml" ContentType="application/vnd.ms-office.activeX+xml"/>
  <Override PartName="/xl/activeX/activeX83.xml" ContentType="application/vnd.ms-office.activeX+xml"/>
  <Override PartName="/xl/charts/style5.xml" ContentType="application/vnd.ms-office.chartstyle+xml"/>
  <Override PartName="/xl/activeX/activeX4.xml" ContentType="application/vnd.ms-office.activeX+xml"/>
  <Override PartName="/xl/queryTables/queryTable14.xml" ContentType="application/vnd.openxmlformats-officedocument.spreadsheetml.queryTable+xml"/>
  <Override PartName="/xl/activeX/activeX25.xml" ContentType="application/vnd.ms-office.activeX+xml"/>
  <Override PartName="/xl/activeX/activeX43.xml" ContentType="application/vnd.ms-office.activeX+xml"/>
  <Override PartName="/xl/activeX/activeX54.xml" ContentType="application/vnd.ms-office.activeX+xml"/>
  <Override PartName="/xl/activeX/activeX72.xml" ContentType="application/vnd.ms-office.activeX+xml"/>
  <Override PartName="/xl/charts/style1.xml" ContentType="application/vnd.ms-office.chartstyle+xml"/>
  <Override PartName="/xl/worksheets/sheet2.xml" ContentType="application/vnd.openxmlformats-officedocument.spreadsheetml.worksheet+xml"/>
  <Override PartName="/xl/activeX/activeX14.xml" ContentType="application/vnd.ms-office.activeX+xml"/>
  <Override PartName="/xl/drawings/drawing1.xml" ContentType="application/vnd.openxmlformats-officedocument.drawing+xml"/>
  <Override PartName="/xl/activeX/activeX32.xml" ContentType="application/vnd.ms-office.activeX+xml"/>
  <Override PartName="/xl/queryTables/queryTable21.xml" ContentType="application/vnd.openxmlformats-officedocument.spreadsheetml.queryTable+xml"/>
  <Override PartName="/xl/activeX/activeX61.xml" ContentType="application/vnd.ms-office.activeX+xml"/>
  <Override PartName="/xl/comments3.xml" ContentType="application/vnd.openxmlformats-officedocument.spreadsheetml.comments+xml"/>
  <Override PartName="/xl/queryTables/queryTable7.xml" ContentType="application/vnd.openxmlformats-officedocument.spreadsheetml.queryTable+xml"/>
  <Override PartName="/xl/queryTables/queryTable10.xml" ContentType="application/vnd.openxmlformats-officedocument.spreadsheetml.queryTable+xml"/>
  <Override PartName="/xl/activeX/activeX21.xml" ContentType="application/vnd.ms-office.activeX+xml"/>
  <Override PartName="/xl/activeX/activeX50.xml" ContentType="application/vnd.ms-office.activeX+xml"/>
  <Override PartName="/xl/activeX/activeX69.bin" ContentType="application/vnd.ms-office.activeX"/>
  <Override PartName="/xl/charts/colors4.xml" ContentType="application/vnd.ms-office.chartcolorstyle+xml"/>
  <Override PartName="/xl/activeX/activeX8.bin" ContentType="application/vnd.ms-office.activeX"/>
  <Override PartName="/xl/activeX/activeX10.xml" ContentType="application/vnd.ms-office.activeX+xml"/>
  <Override PartName="/xl/activeX/activeX29.bin" ContentType="application/vnd.ms-office.activeX"/>
  <Override PartName="/xl/charts/chart15.xml" ContentType="application/vnd.openxmlformats-officedocument.drawingml.chart+xml"/>
  <Override PartName="/xl/activeX/activeX58.bin" ContentType="application/vnd.ms-office.activeX"/>
  <Override PartName="/xl/activeX/activeX76.bin" ContentType="application/vnd.ms-office.activeX"/>
  <Override PartName="/xl/worksheets/sheet17.xml" ContentType="application/vnd.openxmlformats-officedocument.spreadsheetml.worksheet+xml"/>
  <Override PartName="/xl/activeX/activeX18.bin" ContentType="application/vnd.ms-office.activeX"/>
  <Override PartName="/xl/queryTables/queryTable3.xml" ContentType="application/vnd.openxmlformats-officedocument.spreadsheetml.queryTable+xml"/>
  <Override PartName="/xl/activeX/activeX36.bin" ContentType="application/vnd.ms-office.activeX"/>
  <Override PartName="/xl/charts/chart8.xml" ContentType="application/vnd.openxmlformats-officedocument.drawingml.chart+xml"/>
  <Override PartName="/xl/charts/chart11.xml" ContentType="application/vnd.openxmlformats-officedocument.drawingml.chart+xml"/>
  <Override PartName="/xl/activeX/activeX47.bin" ContentType="application/vnd.ms-office.activeX"/>
  <Override PartName="/xl/activeX/activeX65.bin" ContentType="application/vnd.ms-office.activeX"/>
  <Override PartName="/xl/activeX/activeX83.bin" ContentType="application/vnd.ms-office.activeX"/>
  <Override PartName="/xl/activeX/activeX9.xml" ContentType="application/vnd.ms-office.activeX+xml"/>
  <Override PartName="/xl/activeX/activeX25.bin" ContentType="application/vnd.ms-office.activeX"/>
  <Override PartName="/xl/activeX/activeX59.xml" ContentType="application/vnd.ms-office.activeX+xml"/>
  <Override PartName="/xl/activeX/activeX72.bin" ContentType="application/vnd.ms-office.activeX"/>
  <Override PartName="/xl/activeX/activeX14.bin" ContentType="application/vnd.ms-office.activeX"/>
  <Override PartName="/xl/queryTables/queryTable19.xml" ContentType="application/vnd.openxmlformats-officedocument.spreadsheetml.queryTable+xml"/>
  <Override PartName="/xl/activeX/activeX48.xml" ContentType="application/vnd.ms-office.activeX+xml"/>
  <Override PartName="/xl/activeX/activeX61.bin" ContentType="application/vnd.ms-office.activeX"/>
  <Override PartName="/xl/worksheets/sheet7.xml" ContentType="application/vnd.openxmlformats-officedocument.spreadsheetml.worksheet+xml"/>
  <Override PartName="/xl/activeX/activeX37.xml" ContentType="application/vnd.ms-office.activeX+xml"/>
  <Override PartName="/xl/activeX/activeX50.bin" ContentType="application/vnd.ms-office.activeX"/>
  <Override PartName="/xl/activeX/activeX84.xml" ContentType="application/vnd.ms-office.activeX+xml"/>
  <Override PartName="/xl/vbaProject.bin" ContentType="application/vnd.ms-office.vbaProject"/>
  <Override PartName="/xl/activeX/activeX15.xml" ContentType="application/vnd.ms-office.activeX+xml"/>
  <Override PartName="/xl/activeX/activeX26.xml" ContentType="application/vnd.ms-office.activeX+xml"/>
  <Override PartName="/xl/activeX/activeX62.xml" ContentType="application/vnd.ms-office.activeX+xml"/>
  <Override PartName="/xl/activeX/activeX73.xml" ContentType="application/vnd.ms-office.activeX+xml"/>
  <Override PartName="/xl/charts/style2.xml" ContentType="application/vnd.ms-office.chartstyle+xml"/>
  <Override PartName="/xl/activeX/activeX1.xml" ContentType="application/vnd.ms-office.activeX+xml"/>
  <Override PartName="/xl/queryTables/queryTable22.xml" ContentType="application/vnd.openxmlformats-officedocument.spreadsheetml.queryTable+xml"/>
  <Override PartName="/xl/activeX/activeX51.xml" ContentType="application/vnd.ms-office.activeX+xml"/>
  <Override PartName="/xl/queryTables/queryTable11.xml" ContentType="application/vnd.openxmlformats-officedocument.spreadsheetml.queryTable+xml"/>
  <Override PartName="/xl/activeX/activeX40.xml" ContentType="application/vnd.ms-office.activeX+xml"/>
  <Override PartName="/xl/charts/colors5.xml" ContentType="application/vnd.ms-office.chartcolorstyle+xml"/>
  <Override PartName="/xl/sharedStrings.xml" ContentType="application/vnd.openxmlformats-officedocument.spreadsheetml.sharedStrings+xml"/>
  <Override PartName="/xl/activeX/activeX19.bin" ContentType="application/vnd.ms-office.activeX"/>
  <Override PartName="/xl/activeX/activeX66.bin" ContentType="application/vnd.ms-office.activeX"/>
  <Override PartName="/xl/activeX/activeX77.bin" ContentType="application/vnd.ms-office.activeX"/>
  <Override PartName="/xl/activeX/activeX5.bin" ContentType="application/vnd.ms-office.activeX"/>
  <Override PartName="/xl/queryTables/queryTable4.xml" ContentType="application/vnd.openxmlformats-officedocument.spreadsheetml.queryTable+xml"/>
  <Override PartName="/xl/charts/chart12.xml" ContentType="application/vnd.openxmlformats-officedocument.drawingml.chart+xml"/>
  <Override PartName="/xl/activeX/activeX55.bin" ContentType="application/vnd.ms-office.activeX"/>
  <Default Extension="bin" ContentType="application/vnd.openxmlformats-officedocument.spreadsheetml.printerSettings"/>
  <Override PartName="/xl/activeX/activeX44.bin" ContentType="application/vnd.ms-office.activeX"/>
  <Override PartName="/xl/activeX/activeX78.xml" ContentType="application/vnd.ms-office.activeX+xml"/>
  <Override PartName="/xl/worksheets/sheet14.xml" ContentType="application/vnd.openxmlformats-officedocument.spreadsheetml.worksheet+xml"/>
  <Override PartName="/xl/activeX/activeX22.bin" ContentType="application/vnd.ms-office.activeX"/>
  <Override PartName="/xl/activeX/activeX33.bin" ContentType="application/vnd.ms-office.activeX"/>
  <Override PartName="/xl/charts/chart5.xml" ContentType="application/vnd.openxmlformats-officedocument.drawingml.chart+xml"/>
  <Override PartName="/xl/activeX/activeX67.xml" ContentType="application/vnd.ms-office.activeX+xml"/>
  <Override PartName="/xl/activeX/activeX80.bin" ContentType="application/vnd.ms-office.activeX"/>
  <Override PartName="/xl/charts/style7.xml" ContentType="application/vnd.ms-office.chartstyle+xml"/>
  <Override PartName="/xl/activeX/activeX6.xml" ContentType="application/vnd.ms-office.activeX+xml"/>
  <Override PartName="/xl/activeX/activeX11.bin" ContentType="application/vnd.ms-office.activeX"/>
  <Override PartName="/xl/queryTables/queryTable16.xml" ContentType="application/vnd.openxmlformats-officedocument.spreadsheetml.queryTable+xml"/>
  <Override PartName="/xl/activeX/activeX45.xml" ContentType="application/vnd.ms-office.activeX+xml"/>
  <Override PartName="/xl/activeX/activeX56.xml" ContentType="application/vnd.ms-office.activeX+xml"/>
  <Override PartName="/xl/workbook.xml" ContentType="application/vnd.ms-excel.sheet.macroEnabled.main+xml"/>
  <Override PartName="/xl/worksheets/sheet4.xml" ContentType="application/vnd.openxmlformats-officedocument.spreadsheetml.worksheet+xml"/>
  <Override PartName="/xl/activeX/activeX34.xml" ContentType="application/vnd.ms-office.activeX+xml"/>
  <Override PartName="/xl/drawings/drawing3.xml" ContentType="application/vnd.openxmlformats-officedocument.drawing+xml"/>
  <Override PartName="/xl/activeX/activeX81.xml" ContentType="application/vnd.ms-office.activeX+xml"/>
  <Override PartName="/xl/queryTables/queryTable9.xml" ContentType="application/vnd.openxmlformats-officedocument.spreadsheetml.queryTable+xml"/>
  <Override PartName="/xl/activeX/activeX23.xml" ContentType="application/vnd.ms-office.activeX+xml"/>
  <Override PartName="/xl/activeX/activeX70.xml" ContentType="application/vnd.ms-office.activeX+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6" rupBuild="4507" codeName="{B7FE6334-C1A2-E50D-BD3D-5F4D41BBC2E3}"/>
  <workbookPr codeName="ThisWorkbook" defaultThemeVersion="124226"/>
  <bookViews>
    <workbookView xWindow="10275" yWindow="210" windowWidth="23040" windowHeight="12360" tabRatio="795" activeTab="2"/>
  </bookViews>
  <sheets>
    <sheet name="基本設定" sheetId="4" r:id="rId1"/>
    <sheet name="季財報" sheetId="18" r:id="rId2"/>
    <sheet name="紅綠燈" sheetId="1" r:id="rId3"/>
    <sheet name="財報PK" sheetId="7" r:id="rId4"/>
    <sheet name="評比系統" sheetId="2" r:id="rId5"/>
    <sheet name="搶先報" sheetId="28" r:id="rId6"/>
    <sheet name="自結資料" sheetId="23" r:id="rId7"/>
    <sheet name="公司債" sheetId="24" r:id="rId8"/>
    <sheet name="收盤價" sheetId="15" r:id="rId9"/>
    <sheet name="W55" sheetId="37" r:id="rId10"/>
    <sheet name="RPS" sheetId="17" r:id="rId11"/>
    <sheet name="PK" sheetId="8" r:id="rId12"/>
    <sheet name="PKA" sheetId="9" r:id="rId13"/>
    <sheet name="PKB" sheetId="10" r:id="rId14"/>
    <sheet name="PKC" sheetId="11" r:id="rId15"/>
    <sheet name="LINK" sheetId="36" r:id="rId16"/>
    <sheet name="自我語錄" sheetId="27" r:id="rId17"/>
  </sheets>
  <functionGroups/>
  <definedNames>
    <definedName name="_xlnm._FilterDatabase" localSheetId="10" hidden="1">RPS!#REF!</definedName>
    <definedName name="_xlnm._FilterDatabase" localSheetId="7" hidden="1">公司債!$A$1:$AM$302</definedName>
    <definedName name="_xlnm._FilterDatabase" localSheetId="1" hidden="1">季財報!$A$1:$AV$1564</definedName>
    <definedName name="_xlnm._FilterDatabase" localSheetId="0" hidden="1">基本設定!#REF!</definedName>
    <definedName name="_xlnm._FilterDatabase" localSheetId="5" hidden="1">搶先報!#REF!</definedName>
    <definedName name="EE" localSheetId="2">紅綠燈!$O$130</definedName>
    <definedName name="_xlnm.Print_Area" localSheetId="6">自結資料!#REF!</definedName>
    <definedName name="_xlnm.Print_Area" localSheetId="2">紅綠燈!$A$1:$AD$36</definedName>
    <definedName name="外部資料_1" localSheetId="12">PKA!#REF!</definedName>
    <definedName name="外部資料_1" localSheetId="13">PKB!#REF!</definedName>
    <definedName name="外部資料_1" localSheetId="14">PKC!#REF!</definedName>
    <definedName name="外部資料_1" localSheetId="7">公司債!#REF!</definedName>
    <definedName name="外部資料_1" localSheetId="2">紅綠燈!#REF!</definedName>
    <definedName name="外部資料_1" localSheetId="0">基本設定!#REF!</definedName>
    <definedName name="外部資料_1" localSheetId="4">評比系統!#REF!</definedName>
    <definedName name="外部資料_1" localSheetId="5">搶先報!#REF!</definedName>
    <definedName name="外部資料_10" localSheetId="12">PKA!#REF!</definedName>
    <definedName name="外部資料_10" localSheetId="13">PKB!#REF!</definedName>
    <definedName name="外部資料_10" localSheetId="14">PKC!#REF!</definedName>
    <definedName name="外部資料_10" localSheetId="7">公司債!#REF!</definedName>
    <definedName name="外部資料_10" localSheetId="2">紅綠燈!#REF!</definedName>
    <definedName name="外部資料_10" localSheetId="0">基本設定!#REF!</definedName>
    <definedName name="外部資料_10" localSheetId="4">評比系統!#REF!</definedName>
    <definedName name="外部資料_10" localSheetId="5">搶先報!#REF!</definedName>
    <definedName name="外部資料_100" localSheetId="12">PKA!#REF!</definedName>
    <definedName name="外部資料_100" localSheetId="13">PKB!#REF!</definedName>
    <definedName name="外部資料_100" localSheetId="14">PKC!#REF!</definedName>
    <definedName name="外部資料_100" localSheetId="7">公司債!#REF!</definedName>
    <definedName name="外部資料_100" localSheetId="2">紅綠燈!#REF!</definedName>
    <definedName name="外部資料_100" localSheetId="0">基本設定!#REF!</definedName>
    <definedName name="外部資料_100" localSheetId="4">評比系統!#REF!</definedName>
    <definedName name="外部資料_1000" localSheetId="0">基本設定!$Q$1:$Q$1</definedName>
    <definedName name="外部資料_1000" localSheetId="4">評比系統!#REF!</definedName>
    <definedName name="外部資料_1001" localSheetId="0">基本設定!$Q$1:$Q$1</definedName>
    <definedName name="外部資料_1001" localSheetId="4">評比系統!#REF!</definedName>
    <definedName name="外部資料_1002" localSheetId="0">基本設定!$Q$1:$Q$1</definedName>
    <definedName name="外部資料_1002" localSheetId="4">評比系統!#REF!</definedName>
    <definedName name="外部資料_1003" localSheetId="0">基本設定!$Q$1:$Q$1</definedName>
    <definedName name="外部資料_1003" localSheetId="4">評比系統!#REF!</definedName>
    <definedName name="外部資料_1004" localSheetId="0">基本設定!$Q$1:$Q$1</definedName>
    <definedName name="外部資料_1004" localSheetId="4">評比系統!#REF!</definedName>
    <definedName name="外部資料_1005" localSheetId="0">基本設定!$Q$1:$Q$1</definedName>
    <definedName name="外部資料_1005" localSheetId="4">評比系統!#REF!</definedName>
    <definedName name="外部資料_1006" localSheetId="0">基本設定!$Q$1:$Q$1</definedName>
    <definedName name="外部資料_1006" localSheetId="4">評比系統!#REF!</definedName>
    <definedName name="外部資料_1007" localSheetId="0">基本設定!$Q$1:$Q$1</definedName>
    <definedName name="外部資料_1007" localSheetId="4">評比系統!#REF!</definedName>
    <definedName name="外部資料_1008" localSheetId="0">基本設定!$Q$1:$Q$1</definedName>
    <definedName name="外部資料_1008" localSheetId="4">評比系統!#REF!</definedName>
    <definedName name="外部資料_1009" localSheetId="0">基本設定!$Q$1:$Q$1</definedName>
    <definedName name="外部資料_1009" localSheetId="4">評比系統!#REF!</definedName>
    <definedName name="外部資料_101" localSheetId="12">PKA!#REF!</definedName>
    <definedName name="外部資料_101" localSheetId="13">PKB!#REF!</definedName>
    <definedName name="外部資料_101" localSheetId="14">PKC!#REF!</definedName>
    <definedName name="外部資料_101" localSheetId="7">公司債!#REF!</definedName>
    <definedName name="外部資料_101" localSheetId="0">基本設定!#REF!</definedName>
    <definedName name="外部資料_101" localSheetId="4">評比系統!#REF!</definedName>
    <definedName name="外部資料_1010" localSheetId="0">基本設定!$Q$1:$Q$1</definedName>
    <definedName name="外部資料_1010" localSheetId="4">評比系統!#REF!</definedName>
    <definedName name="外部資料_1011" localSheetId="0">基本設定!$Q$1:$Q$1</definedName>
    <definedName name="外部資料_1011" localSheetId="4">評比系統!#REF!</definedName>
    <definedName name="外部資料_1012" localSheetId="0">基本設定!$Q$1:$Q$1</definedName>
    <definedName name="外部資料_1012" localSheetId="4">評比系統!#REF!</definedName>
    <definedName name="外部資料_1013" localSheetId="0">基本設定!$Q$1:$Q$1</definedName>
    <definedName name="外部資料_1013" localSheetId="4">評比系統!#REF!</definedName>
    <definedName name="外部資料_1014" localSheetId="0">基本設定!$Q$1:$Q$1</definedName>
    <definedName name="外部資料_1014" localSheetId="4">評比系統!#REF!</definedName>
    <definedName name="外部資料_1015" localSheetId="0">基本設定!$Q$1:$Q$1</definedName>
    <definedName name="外部資料_1015" localSheetId="4">評比系統!#REF!</definedName>
    <definedName name="外部資料_1016" localSheetId="0">基本設定!$Q$1:$Q$1</definedName>
    <definedName name="外部資料_1016" localSheetId="4">評比系統!#REF!</definedName>
    <definedName name="外部資料_1017" localSheetId="0">基本設定!$Q$1:$Q$1</definedName>
    <definedName name="外部資料_1017" localSheetId="4">評比系統!#REF!</definedName>
    <definedName name="外部資料_1018" localSheetId="0">基本設定!$Q$1:$Q$1</definedName>
    <definedName name="外部資料_1018" localSheetId="4">評比系統!#REF!</definedName>
    <definedName name="外部資料_1019" localSheetId="0">基本設定!$Q$1:$Q$1</definedName>
    <definedName name="外部資料_1019" localSheetId="4">評比系統!#REF!</definedName>
    <definedName name="外部資料_102" localSheetId="12">PKA!#REF!</definedName>
    <definedName name="外部資料_102" localSheetId="13">PKB!#REF!</definedName>
    <definedName name="外部資料_102" localSheetId="14">PKC!#REF!</definedName>
    <definedName name="外部資料_102" localSheetId="7">公司債!#REF!</definedName>
    <definedName name="外部資料_102" localSheetId="0">基本設定!#REF!</definedName>
    <definedName name="外部資料_102" localSheetId="4">評比系統!#REF!</definedName>
    <definedName name="外部資料_1020" localSheetId="0">基本設定!$Q$1:$Q$1</definedName>
    <definedName name="外部資料_1020" localSheetId="4">評比系統!#REF!</definedName>
    <definedName name="外部資料_1021" localSheetId="0">基本設定!$Q$1:$Q$1</definedName>
    <definedName name="外部資料_1021" localSheetId="4">評比系統!#REF!</definedName>
    <definedName name="外部資料_1022" localSheetId="0">基本設定!$Q$1:$Q$1</definedName>
    <definedName name="外部資料_1022" localSheetId="4">評比系統!#REF!</definedName>
    <definedName name="外部資料_1023" localSheetId="0">基本設定!$Q$1:$Q$1</definedName>
    <definedName name="外部資料_1023" localSheetId="4">評比系統!#REF!</definedName>
    <definedName name="外部資料_1024" localSheetId="0">基本設定!$Q$1:$Q$1</definedName>
    <definedName name="外部資料_1024" localSheetId="4">評比系統!#REF!</definedName>
    <definedName name="外部資料_1025" localSheetId="0">基本設定!$Q$1:$Q$1</definedName>
    <definedName name="外部資料_1025" localSheetId="4">評比系統!#REF!</definedName>
    <definedName name="外部資料_1026" localSheetId="0">基本設定!$Q$1:$Q$1</definedName>
    <definedName name="外部資料_1026" localSheetId="4">評比系統!#REF!</definedName>
    <definedName name="外部資料_1027" localSheetId="0">基本設定!$Q$1:$Q$1</definedName>
    <definedName name="外部資料_1027" localSheetId="4">評比系統!#REF!</definedName>
    <definedName name="外部資料_1028" localSheetId="0">基本設定!$Q$1:$Q$1</definedName>
    <definedName name="外部資料_1028" localSheetId="4">評比系統!#REF!</definedName>
    <definedName name="外部資料_1029" localSheetId="0">基本設定!$Q$1:$Q$1</definedName>
    <definedName name="外部資料_1029" localSheetId="4">評比系統!#REF!</definedName>
    <definedName name="外部資料_103" localSheetId="12">PKA!#REF!</definedName>
    <definedName name="外部資料_103" localSheetId="13">PKB!#REF!</definedName>
    <definedName name="外部資料_103" localSheetId="14">PKC!#REF!</definedName>
    <definedName name="外部資料_103" localSheetId="7">公司債!#REF!</definedName>
    <definedName name="外部資料_103" localSheetId="0">基本設定!#REF!</definedName>
    <definedName name="外部資料_103" localSheetId="4">評比系統!#REF!</definedName>
    <definedName name="外部資料_1030" localSheetId="0">基本設定!$Q$1:$Q$1</definedName>
    <definedName name="外部資料_1031" localSheetId="0">基本設定!$Q$1:$Q$1</definedName>
    <definedName name="外部資料_1032" localSheetId="0">基本設定!$Q$1:$Q$1</definedName>
    <definedName name="外部資料_1033" localSheetId="0">基本設定!$Q$1:$Q$1</definedName>
    <definedName name="外部資料_1034" localSheetId="0">基本設定!$Q$1:$Q$1</definedName>
    <definedName name="外部資料_1035" localSheetId="0">基本設定!$Q$1:$Q$1</definedName>
    <definedName name="外部資料_1036" localSheetId="0">基本設定!$Q$1:$Q$1</definedName>
    <definedName name="外部資料_1037" localSheetId="0">基本設定!$Q$1:$Q$1</definedName>
    <definedName name="外部資料_1038" localSheetId="0">基本設定!$Q$1:$Q$1</definedName>
    <definedName name="外部資料_1039" localSheetId="0">基本設定!$Q$1:$Q$1</definedName>
    <definedName name="外部資料_104" localSheetId="12">PKA!#REF!</definedName>
    <definedName name="外部資料_104" localSheetId="13">PKB!#REF!</definedName>
    <definedName name="外部資料_104" localSheetId="14">PKC!#REF!</definedName>
    <definedName name="外部資料_104" localSheetId="7">公司債!#REF!</definedName>
    <definedName name="外部資料_104" localSheetId="0">基本設定!#REF!</definedName>
    <definedName name="外部資料_104" localSheetId="4">評比系統!#REF!</definedName>
    <definedName name="外部資料_1040" localSheetId="0">基本設定!$Q$1:$Q$1</definedName>
    <definedName name="外部資料_1041" localSheetId="0">基本設定!$Q$1:$Q$1</definedName>
    <definedName name="外部資料_1042" localSheetId="0">基本設定!$Q$1:$Q$1</definedName>
    <definedName name="外部資料_1043" localSheetId="0">基本設定!$Q$1:$Q$1</definedName>
    <definedName name="外部資料_1043" localSheetId="4">評比系統!#REF!</definedName>
    <definedName name="外部資料_1044" localSheetId="0">基本設定!$Q$1:$Q$1</definedName>
    <definedName name="外部資料_1045" localSheetId="0">基本設定!$Q$1:$Q$1</definedName>
    <definedName name="外部資料_1046" localSheetId="0">基本設定!$Q$1:$Q$1</definedName>
    <definedName name="外部資料_1047" localSheetId="0">基本設定!$Q$1:$Q$1</definedName>
    <definedName name="外部資料_1048" localSheetId="0">基本設定!$Q$1:$Q$1</definedName>
    <definedName name="外部資料_1049" localSheetId="0">基本設定!$Q$1:$Q$1</definedName>
    <definedName name="外部資料_105" localSheetId="12">PKA!#REF!</definedName>
    <definedName name="外部資料_105" localSheetId="13">PKB!#REF!</definedName>
    <definedName name="外部資料_105" localSheetId="14">PKC!#REF!</definedName>
    <definedName name="外部資料_105" localSheetId="7">公司債!#REF!</definedName>
    <definedName name="外部資料_105" localSheetId="0">基本設定!#REF!</definedName>
    <definedName name="外部資料_105" localSheetId="4">評比系統!#REF!</definedName>
    <definedName name="外部資料_1050" localSheetId="0">基本設定!$Q$1:$Q$1</definedName>
    <definedName name="外部資料_1051" localSheetId="0">基本設定!$Q$1:$Q$1</definedName>
    <definedName name="外部資料_1052" localSheetId="0">基本設定!$Q$1:$Q$1</definedName>
    <definedName name="外部資料_1053" localSheetId="0">基本設定!$Q$1:$Q$1</definedName>
    <definedName name="外部資料_1054" localSheetId="0">基本設定!$Q$1:$Q$1</definedName>
    <definedName name="外部資料_1055" localSheetId="0">基本設定!$Q$1:$Q$1</definedName>
    <definedName name="外部資料_1056" localSheetId="0">基本設定!$Q$1:$Q$1</definedName>
    <definedName name="外部資料_1057" localSheetId="0">基本設定!$Q$1:$Q$1</definedName>
    <definedName name="外部資料_1058" localSheetId="0">基本設定!$Q$1:$Q$1</definedName>
    <definedName name="外部資料_1059" localSheetId="0">基本設定!$Q$1:$Q$1</definedName>
    <definedName name="外部資料_106" localSheetId="12">PKA!#REF!</definedName>
    <definedName name="外部資料_106" localSheetId="13">PKB!#REF!</definedName>
    <definedName name="外部資料_106" localSheetId="14">PKC!#REF!</definedName>
    <definedName name="外部資料_106" localSheetId="7">公司債!#REF!</definedName>
    <definedName name="外部資料_106" localSheetId="0">基本設定!#REF!</definedName>
    <definedName name="外部資料_106" localSheetId="4">評比系統!#REF!</definedName>
    <definedName name="外部資料_1060" localSheetId="0">基本設定!$Q$1:$Q$1</definedName>
    <definedName name="外部資料_1061" localSheetId="0">基本設定!$Q$1:$Q$1</definedName>
    <definedName name="外部資料_1062" localSheetId="0">基本設定!$Q$1:$Q$1</definedName>
    <definedName name="外部資料_1063" localSheetId="0">基本設定!$Q$1:$Q$1</definedName>
    <definedName name="外部資料_1064" localSheetId="0">基本設定!$Q$1:$Q$1</definedName>
    <definedName name="外部資料_1065" localSheetId="0">基本設定!$Q$1:$Q$1</definedName>
    <definedName name="外部資料_1066" localSheetId="0">基本設定!$Q$1:$Q$1</definedName>
    <definedName name="外部資料_1067" localSheetId="0">基本設定!$Q$1:$Q$1</definedName>
    <definedName name="外部資料_1068" localSheetId="0">基本設定!$Q$1:$Q$1</definedName>
    <definedName name="外部資料_1069" localSheetId="0">基本設定!$Q$1:$Q$1</definedName>
    <definedName name="外部資料_107" localSheetId="12">PKA!#REF!</definedName>
    <definedName name="外部資料_107" localSheetId="13">PKB!#REF!</definedName>
    <definedName name="外部資料_107" localSheetId="14">PKC!#REF!</definedName>
    <definedName name="外部資料_107" localSheetId="7">公司債!#REF!</definedName>
    <definedName name="外部資料_107" localSheetId="0">基本設定!#REF!</definedName>
    <definedName name="外部資料_107" localSheetId="4">評比系統!#REF!</definedName>
    <definedName name="外部資料_1070" localSheetId="0">基本設定!$Q$1:$Q$1</definedName>
    <definedName name="外部資料_1071" localSheetId="0">基本設定!$Q$1:$Q$1</definedName>
    <definedName name="外部資料_1072" localSheetId="0">基本設定!$Q$1:$Q$1</definedName>
    <definedName name="外部資料_1073" localSheetId="0">基本設定!$Q$1:$Q$1</definedName>
    <definedName name="外部資料_1074" localSheetId="0">基本設定!$Q$1:$Q$1</definedName>
    <definedName name="外部資料_1075" localSheetId="0">基本設定!$Q$1:$Q$1</definedName>
    <definedName name="外部資料_1076" localSheetId="0">基本設定!$Q$1:$Q$1</definedName>
    <definedName name="外部資料_1077" localSheetId="0">基本設定!$Q$1:$Q$1</definedName>
    <definedName name="外部資料_1078" localSheetId="0">基本設定!$Q$1:$Q$1</definedName>
    <definedName name="外部資料_1079" localSheetId="0">基本設定!$Q$1:$Q$1</definedName>
    <definedName name="外部資料_108" localSheetId="12">PKA!#REF!</definedName>
    <definedName name="外部資料_108" localSheetId="13">PKB!#REF!</definedName>
    <definedName name="外部資料_108" localSheetId="14">PKC!#REF!</definedName>
    <definedName name="外部資料_108" localSheetId="7">公司債!#REF!</definedName>
    <definedName name="外部資料_108" localSheetId="0">基本設定!#REF!</definedName>
    <definedName name="外部資料_108" localSheetId="4">評比系統!#REF!</definedName>
    <definedName name="外部資料_1080" localSheetId="0">基本設定!$Q$1:$Q$1</definedName>
    <definedName name="外部資料_1081" localSheetId="0">基本設定!$Q$1:$Q$1</definedName>
    <definedName name="外部資料_1082" localSheetId="0">基本設定!$Q$1:$Q$1</definedName>
    <definedName name="外部資料_1083" localSheetId="0">基本設定!$Q$1:$Q$1</definedName>
    <definedName name="外部資料_1084" localSheetId="0">基本設定!$Q$1:$Q$1</definedName>
    <definedName name="外部資料_1085" localSheetId="0">基本設定!$Q$1:$Q$1</definedName>
    <definedName name="外部資料_1086" localSheetId="0">基本設定!$Q$1:$Q$1</definedName>
    <definedName name="外部資料_1087" localSheetId="0">基本設定!$Q$1:$Q$1</definedName>
    <definedName name="外部資料_1088" localSheetId="0">基本設定!$Q$1:$Q$1</definedName>
    <definedName name="外部資料_1089" localSheetId="0">基本設定!$Q$1:$Q$1</definedName>
    <definedName name="外部資料_109" localSheetId="12">PKA!#REF!</definedName>
    <definedName name="外部資料_109" localSheetId="13">PKB!#REF!</definedName>
    <definedName name="外部資料_109" localSheetId="14">PKC!#REF!</definedName>
    <definedName name="外部資料_109" localSheetId="7">公司債!#REF!</definedName>
    <definedName name="外部資料_109" localSheetId="0">基本設定!#REF!</definedName>
    <definedName name="外部資料_109" localSheetId="4">評比系統!#REF!</definedName>
    <definedName name="外部資料_1090" localSheetId="0">基本設定!$Q$1:$Q$1</definedName>
    <definedName name="外部資料_1091" localSheetId="0">基本設定!$Q$1:$Q$1</definedName>
    <definedName name="外部資料_1092" localSheetId="0">基本設定!$Q$1:$Q$1</definedName>
    <definedName name="外部資料_1093" localSheetId="0">基本設定!$Q$1:$Q$1</definedName>
    <definedName name="外部資料_1094" localSheetId="0">基本設定!$Q$1:$Q$1</definedName>
    <definedName name="外部資料_1095" localSheetId="0">基本設定!$Q$1:$Q$1</definedName>
    <definedName name="外部資料_1096" localSheetId="0">基本設定!$Q$1:$Q$1</definedName>
    <definedName name="外部資料_1097" localSheetId="0">基本設定!$Q$1:$Q$1</definedName>
    <definedName name="外部資料_1098" localSheetId="0">基本設定!$Q$1:$Q$1</definedName>
    <definedName name="外部資料_1099" localSheetId="0">基本設定!$Q$1:$Q$1</definedName>
    <definedName name="外部資料_11" localSheetId="12">PKA!#REF!</definedName>
    <definedName name="外部資料_11" localSheetId="13">PKB!#REF!</definedName>
    <definedName name="外部資料_11" localSheetId="14">PKC!#REF!</definedName>
    <definedName name="外部資料_11" localSheetId="7">公司債!#REF!</definedName>
    <definedName name="外部資料_11" localSheetId="2">紅綠燈!#REF!</definedName>
    <definedName name="外部資料_11" localSheetId="0">基本設定!#REF!</definedName>
    <definedName name="外部資料_11" localSheetId="4">評比系統!#REF!</definedName>
    <definedName name="外部資料_11" localSheetId="5">搶先報!#REF!</definedName>
    <definedName name="外部資料_110" localSheetId="12">PKA!#REF!</definedName>
    <definedName name="外部資料_110" localSheetId="13">PKB!#REF!</definedName>
    <definedName name="外部資料_110" localSheetId="14">PKC!#REF!</definedName>
    <definedName name="外部資料_110" localSheetId="7">公司債!#REF!</definedName>
    <definedName name="外部資料_110" localSheetId="0">基本設定!#REF!</definedName>
    <definedName name="外部資料_110" localSheetId="4">評比系統!#REF!</definedName>
    <definedName name="外部資料_1100" localSheetId="0">基本設定!$Q$1:$Q$1</definedName>
    <definedName name="外部資料_1101" localSheetId="0">基本設定!$Q$1:$Q$1</definedName>
    <definedName name="外部資料_1102" localSheetId="0">基本設定!$Q$1:$Q$1</definedName>
    <definedName name="外部資料_1103" localSheetId="0">基本設定!$Q$1:$Q$1</definedName>
    <definedName name="外部資料_1104" localSheetId="0">基本設定!$Q$1:$Q$1</definedName>
    <definedName name="外部資料_1105" localSheetId="0">基本設定!$Q$1:$Q$1</definedName>
    <definedName name="外部資料_1106" localSheetId="0">基本設定!$Q$1:$Q$1</definedName>
    <definedName name="外部資料_1107" localSheetId="0">基本設定!$Q$1:$Q$1</definedName>
    <definedName name="外部資料_1108" localSheetId="0">基本設定!$Q$1:$Q$1</definedName>
    <definedName name="外部資料_1109" localSheetId="0">基本設定!$Q$1:$Q$1</definedName>
    <definedName name="外部資料_111" localSheetId="12">PKA!#REF!</definedName>
    <definedName name="外部資料_111" localSheetId="13">PKB!#REF!</definedName>
    <definedName name="外部資料_111" localSheetId="14">PKC!#REF!</definedName>
    <definedName name="外部資料_111" localSheetId="7">公司債!#REF!</definedName>
    <definedName name="外部資料_111" localSheetId="0">基本設定!#REF!</definedName>
    <definedName name="外部資料_111" localSheetId="4">評比系統!#REF!</definedName>
    <definedName name="外部資料_1110" localSheetId="0">基本設定!$Q$1:$Q$1</definedName>
    <definedName name="外部資料_1111" localSheetId="0">基本設定!$Q$1:$Q$1</definedName>
    <definedName name="外部資料_1112" localSheetId="0">基本設定!$Q$1:$Q$1</definedName>
    <definedName name="外部資料_1113" localSheetId="0">基本設定!$Q$1:$Q$1</definedName>
    <definedName name="外部資料_1114" localSheetId="0">基本設定!$Q$1:$Q$1</definedName>
    <definedName name="外部資料_1115" localSheetId="0">基本設定!$Q$1:$Q$1</definedName>
    <definedName name="外部資料_1116" localSheetId="0">基本設定!$Q$1:$Q$1</definedName>
    <definedName name="外部資料_1117" localSheetId="0">基本設定!$Q$1:$Q$1</definedName>
    <definedName name="外部資料_1118" localSheetId="0">基本設定!$Q$1:$Q$1</definedName>
    <definedName name="外部資料_1119" localSheetId="0">基本設定!$Q$1:$Q$1</definedName>
    <definedName name="外部資料_112" localSheetId="12">PKA!#REF!</definedName>
    <definedName name="外部資料_112" localSheetId="13">PKB!#REF!</definedName>
    <definedName name="外部資料_112" localSheetId="14">PKC!#REF!</definedName>
    <definedName name="外部資料_112" localSheetId="7">公司債!#REF!</definedName>
    <definedName name="外部資料_112" localSheetId="0">基本設定!#REF!</definedName>
    <definedName name="外部資料_112" localSheetId="4">評比系統!#REF!</definedName>
    <definedName name="外部資料_1120" localSheetId="0">基本設定!$Q$1:$Q$1</definedName>
    <definedName name="外部資料_1121" localSheetId="0">基本設定!$Q$1:$Q$1</definedName>
    <definedName name="外部資料_1122" localSheetId="0">基本設定!$Q$1:$Q$1</definedName>
    <definedName name="外部資料_1123" localSheetId="0">基本設定!$Q$1:$Q$1</definedName>
    <definedName name="外部資料_1124" localSheetId="0">基本設定!$Q$1:$Q$1</definedName>
    <definedName name="外部資料_1125" localSheetId="0">基本設定!$Q$1:$Q$1</definedName>
    <definedName name="外部資料_1126" localSheetId="0">基本設定!$Q$1:$Q$1</definedName>
    <definedName name="外部資料_1127" localSheetId="0">基本設定!$Q$1:$Q$1</definedName>
    <definedName name="外部資料_1128" localSheetId="0">基本設定!$Q$1:$Q$1</definedName>
    <definedName name="外部資料_1129" localSheetId="0">基本設定!$Q$1:$Q$1</definedName>
    <definedName name="外部資料_113" localSheetId="12">PKA!#REF!</definedName>
    <definedName name="外部資料_113" localSheetId="13">PKB!#REF!</definedName>
    <definedName name="外部資料_113" localSheetId="14">PKC!#REF!</definedName>
    <definedName name="外部資料_113" localSheetId="7">公司債!#REF!</definedName>
    <definedName name="外部資料_113" localSheetId="0">基本設定!#REF!</definedName>
    <definedName name="外部資料_113" localSheetId="4">評比系統!#REF!</definedName>
    <definedName name="外部資料_1130" localSheetId="0">基本設定!$Q$1:$Q$1</definedName>
    <definedName name="外部資料_1131" localSheetId="0">基本設定!$Q$1:$Q$1</definedName>
    <definedName name="外部資料_1132" localSheetId="0">基本設定!$Q$1:$Q$1</definedName>
    <definedName name="外部資料_1133" localSheetId="0">基本設定!$Q$1:$Q$1</definedName>
    <definedName name="外部資料_1134" localSheetId="0">基本設定!$Q$1:$Q$1</definedName>
    <definedName name="外部資料_1135" localSheetId="0">基本設定!$Q$1:$Q$1</definedName>
    <definedName name="外部資料_1136" localSheetId="0">基本設定!$Q$1:$Q$1</definedName>
    <definedName name="外部資料_1137" localSheetId="0">基本設定!$Q$1:$Q$1</definedName>
    <definedName name="外部資料_1138" localSheetId="0">基本設定!$Q$1:$Q$1</definedName>
    <definedName name="外部資料_1139" localSheetId="0">基本設定!$Q$1:$Q$1</definedName>
    <definedName name="外部資料_114" localSheetId="12">PKA!#REF!</definedName>
    <definedName name="外部資料_114" localSheetId="13">PKB!#REF!</definedName>
    <definedName name="外部資料_114" localSheetId="14">PKC!#REF!</definedName>
    <definedName name="外部資料_114" localSheetId="7">公司債!#REF!</definedName>
    <definedName name="外部資料_114" localSheetId="0">基本設定!#REF!</definedName>
    <definedName name="外部資料_114" localSheetId="4">評比系統!#REF!</definedName>
    <definedName name="外部資料_1140" localSheetId="0">基本設定!$Q$1:$Q$1</definedName>
    <definedName name="外部資料_1141" localSheetId="0">基本設定!$Q$1:$Q$1</definedName>
    <definedName name="外部資料_1142" localSheetId="0">基本設定!$Q$1:$Q$1</definedName>
    <definedName name="外部資料_1143" localSheetId="0">基本設定!$Q$1:$Q$1</definedName>
    <definedName name="外部資料_1144" localSheetId="0">基本設定!$Q$1:$Q$1</definedName>
    <definedName name="外部資料_1145" localSheetId="0">基本設定!$Q$1:$Q$1</definedName>
    <definedName name="外部資料_1146" localSheetId="0">基本設定!$Q$1:$Q$1</definedName>
    <definedName name="外部資料_1147" localSheetId="0">基本設定!$Q$1:$Q$1</definedName>
    <definedName name="外部資料_1148" localSheetId="0">基本設定!$Q$1:$Q$1</definedName>
    <definedName name="外部資料_1149" localSheetId="0">基本設定!$Q$1:$Q$1</definedName>
    <definedName name="外部資料_115" localSheetId="12">PKA!#REF!</definedName>
    <definedName name="外部資料_115" localSheetId="13">PKB!#REF!</definedName>
    <definedName name="外部資料_115" localSheetId="14">PKC!#REF!</definedName>
    <definedName name="外部資料_115" localSheetId="7">公司債!#REF!</definedName>
    <definedName name="外部資料_115" localSheetId="0">基本設定!#REF!</definedName>
    <definedName name="外部資料_115" localSheetId="4">評比系統!#REF!</definedName>
    <definedName name="外部資料_1150" localSheetId="0">基本設定!$Q$1:$Q$1</definedName>
    <definedName name="外部資料_1151" localSheetId="0">基本設定!$Q$1:$Q$1</definedName>
    <definedName name="外部資料_1152" localSheetId="0">基本設定!$Q$1:$Q$1</definedName>
    <definedName name="外部資料_1153" localSheetId="0">基本設定!$Q$1:$Q$1</definedName>
    <definedName name="外部資料_1154" localSheetId="0">基本設定!$Q$1:$Q$1</definedName>
    <definedName name="外部資料_1155" localSheetId="0">基本設定!$Q$1:$Q$1</definedName>
    <definedName name="外部資料_1156" localSheetId="0">基本設定!$Q$1:$Q$1</definedName>
    <definedName name="外部資料_1157" localSheetId="0">基本設定!$Q$1:$Q$1</definedName>
    <definedName name="外部資料_1158" localSheetId="0">基本設定!$Q$1:$Q$1</definedName>
    <definedName name="外部資料_1159" localSheetId="0">基本設定!$Q$1:$Q$1</definedName>
    <definedName name="外部資料_116" localSheetId="12">PKA!#REF!</definedName>
    <definedName name="外部資料_116" localSheetId="13">PKB!#REF!</definedName>
    <definedName name="外部資料_116" localSheetId="14">PKC!#REF!</definedName>
    <definedName name="外部資料_116" localSheetId="7">公司債!#REF!</definedName>
    <definedName name="外部資料_116" localSheetId="0">基本設定!#REF!</definedName>
    <definedName name="外部資料_116" localSheetId="4">評比系統!#REF!</definedName>
    <definedName name="外部資料_1160" localSheetId="0">基本設定!$Q$1:$Q$1</definedName>
    <definedName name="外部資料_1161" localSheetId="0">基本設定!$Q$1:$Q$1</definedName>
    <definedName name="外部資料_1162" localSheetId="0">基本設定!$Q$1:$Q$1</definedName>
    <definedName name="外部資料_1163" localSheetId="0">基本設定!$Q$1:$Q$1</definedName>
    <definedName name="外部資料_1164" localSheetId="0">基本設定!$Q$1:$Q$1</definedName>
    <definedName name="外部資料_1165" localSheetId="0">基本設定!$Q$1:$Q$1</definedName>
    <definedName name="外部資料_1166" localSheetId="0">基本設定!$Q$1:$Q$1</definedName>
    <definedName name="外部資料_1167" localSheetId="0">基本設定!$Q$1:$Q$1</definedName>
    <definedName name="外部資料_1168" localSheetId="0">基本設定!$Q$1:$Q$1</definedName>
    <definedName name="外部資料_1169" localSheetId="0">基本設定!$Q$1:$Q$1</definedName>
    <definedName name="外部資料_117" localSheetId="12">PKA!#REF!</definedName>
    <definedName name="外部資料_117" localSheetId="13">PKB!#REF!</definedName>
    <definedName name="外部資料_117" localSheetId="14">PKC!#REF!</definedName>
    <definedName name="外部資料_117" localSheetId="7">公司債!#REF!</definedName>
    <definedName name="外部資料_117" localSheetId="0">基本設定!#REF!</definedName>
    <definedName name="外部資料_117" localSheetId="4">評比系統!#REF!</definedName>
    <definedName name="外部資料_1170" localSheetId="0">基本設定!$Q$1:$Q$1</definedName>
    <definedName name="外部資料_1171" localSheetId="0">基本設定!$Q$1:$Q$1</definedName>
    <definedName name="外部資料_1172" localSheetId="0">基本設定!$Q$1:$Q$1</definedName>
    <definedName name="外部資料_1173" localSheetId="0">基本設定!$Q$1:$Q$1</definedName>
    <definedName name="外部資料_1174" localSheetId="0">基本設定!$Q$1:$Q$1</definedName>
    <definedName name="外部資料_1175" localSheetId="0">基本設定!$Q$1:$Q$1</definedName>
    <definedName name="外部資料_1176" localSheetId="0">基本設定!$Q$1:$Q$1</definedName>
    <definedName name="外部資料_1177" localSheetId="0">基本設定!$Q$1:$Q$1</definedName>
    <definedName name="外部資料_1178" localSheetId="0">基本設定!$Q$1:$Q$1</definedName>
    <definedName name="外部資料_1179" localSheetId="0">基本設定!$Q$1:$Q$1</definedName>
    <definedName name="外部資料_118" localSheetId="12">PKA!#REF!</definedName>
    <definedName name="外部資料_118" localSheetId="13">PKB!#REF!</definedName>
    <definedName name="外部資料_118" localSheetId="14">PKC!#REF!</definedName>
    <definedName name="外部資料_118" localSheetId="7">公司債!#REF!</definedName>
    <definedName name="外部資料_118" localSheetId="0">基本設定!#REF!</definedName>
    <definedName name="外部資料_118" localSheetId="4">評比系統!#REF!</definedName>
    <definedName name="外部資料_1180" localSheetId="0">基本設定!$Q$1:$Q$1</definedName>
    <definedName name="外部資料_1181" localSheetId="0">基本設定!$Q$1:$Q$1</definedName>
    <definedName name="外部資料_1182" localSheetId="0">基本設定!$Q$1:$Q$1</definedName>
    <definedName name="外部資料_1183" localSheetId="0">基本設定!$Q$1:$Q$1</definedName>
    <definedName name="外部資料_1184" localSheetId="0">基本設定!$Q$1:$Q$1</definedName>
    <definedName name="外部資料_1185" localSheetId="0">基本設定!$Q$1:$Q$1</definedName>
    <definedName name="外部資料_1186" localSheetId="0">基本設定!$Q$1:$Q$1</definedName>
    <definedName name="外部資料_1187" localSheetId="0">基本設定!$Q$1:$Q$1</definedName>
    <definedName name="外部資料_1188" localSheetId="0">基本設定!$Q$1:$Q$1</definedName>
    <definedName name="外部資料_1189" localSheetId="0">基本設定!$Q$1:$Q$1</definedName>
    <definedName name="外部資料_119" localSheetId="12">PKA!#REF!</definedName>
    <definedName name="外部資料_119" localSheetId="13">PKB!#REF!</definedName>
    <definedName name="外部資料_119" localSheetId="14">PKC!#REF!</definedName>
    <definedName name="外部資料_119" localSheetId="7">公司債!#REF!</definedName>
    <definedName name="外部資料_119" localSheetId="0">基本設定!#REF!</definedName>
    <definedName name="外部資料_119" localSheetId="4">評比系統!#REF!</definedName>
    <definedName name="外部資料_1190" localSheetId="0">基本設定!$Q$1:$Q$1</definedName>
    <definedName name="外部資料_1191" localSheetId="0">基本設定!$Q$1:$Q$1</definedName>
    <definedName name="外部資料_1192" localSheetId="0">基本設定!$Q$1:$Q$1</definedName>
    <definedName name="外部資料_1193" localSheetId="0">基本設定!$Q$1:$Q$1</definedName>
    <definedName name="外部資料_1194" localSheetId="0">基本設定!$Q$1:$Q$1</definedName>
    <definedName name="外部資料_1195" localSheetId="0">基本設定!$Q$1:$Q$1</definedName>
    <definedName name="外部資料_1196" localSheetId="0">基本設定!$Q$1:$Q$1</definedName>
    <definedName name="外部資料_1197" localSheetId="0">基本設定!$Q$1:$Q$1</definedName>
    <definedName name="外部資料_1198" localSheetId="0">基本設定!$Q$1:$Q$1</definedName>
    <definedName name="外部資料_1199" localSheetId="0">基本設定!$Q$1:$Q$1</definedName>
    <definedName name="外部資料_12" localSheetId="12">PKA!#REF!</definedName>
    <definedName name="外部資料_12" localSheetId="13">PKB!#REF!</definedName>
    <definedName name="外部資料_12" localSheetId="14">PKC!#REF!</definedName>
    <definedName name="外部資料_12" localSheetId="7">公司債!#REF!</definedName>
    <definedName name="外部資料_12" localSheetId="2">紅綠燈!#REF!</definedName>
    <definedName name="外部資料_12" localSheetId="0">基本設定!#REF!</definedName>
    <definedName name="外部資料_12" localSheetId="4">評比系統!#REF!</definedName>
    <definedName name="外部資料_12" localSheetId="5">搶先報!#REF!</definedName>
    <definedName name="外部資料_120" localSheetId="12">PKA!#REF!</definedName>
    <definedName name="外部資料_120" localSheetId="13">PKB!#REF!</definedName>
    <definedName name="外部資料_120" localSheetId="14">PKC!#REF!</definedName>
    <definedName name="外部資料_120" localSheetId="7">公司債!#REF!</definedName>
    <definedName name="外部資料_120" localSheetId="0">基本設定!#REF!</definedName>
    <definedName name="外部資料_120" localSheetId="4">評比系統!#REF!</definedName>
    <definedName name="外部資料_1200" localSheetId="0">基本設定!$Q$1:$Q$1</definedName>
    <definedName name="外部資料_1201" localSheetId="0">基本設定!$Q$1:$Q$1</definedName>
    <definedName name="外部資料_1202" localSheetId="0">基本設定!$Q$1:$Q$1</definedName>
    <definedName name="外部資料_1203" localSheetId="0">基本設定!$Q$1:$Q$1</definedName>
    <definedName name="外部資料_1204" localSheetId="0">基本設定!$Q$1:$Q$1</definedName>
    <definedName name="外部資料_1205" localSheetId="0">基本設定!$Q$1:$Q$1</definedName>
    <definedName name="外部資料_1206" localSheetId="0">基本設定!$Q$1:$Q$1</definedName>
    <definedName name="外部資料_1207" localSheetId="0">基本設定!$Q$1:$Q$1</definedName>
    <definedName name="外部資料_1208" localSheetId="0">基本設定!$Q$1:$Q$1</definedName>
    <definedName name="外部資料_1209" localSheetId="0">基本設定!$Q$1:$Q$1</definedName>
    <definedName name="外部資料_121" localSheetId="12">PKA!#REF!</definedName>
    <definedName name="外部資料_121" localSheetId="13">PKB!#REF!</definedName>
    <definedName name="外部資料_121" localSheetId="14">PKC!#REF!</definedName>
    <definedName name="外部資料_121" localSheetId="7">公司債!#REF!</definedName>
    <definedName name="外部資料_121" localSheetId="0">基本設定!#REF!</definedName>
    <definedName name="外部資料_121" localSheetId="4">評比系統!#REF!</definedName>
    <definedName name="外部資料_1210" localSheetId="0">基本設定!$Q$1:$Q$1</definedName>
    <definedName name="外部資料_1211" localSheetId="0">基本設定!$Q$1:$Q$1</definedName>
    <definedName name="外部資料_1212" localSheetId="0">基本設定!$Q$1:$Q$1</definedName>
    <definedName name="外部資料_1213" localSheetId="0">基本設定!$Q$1:$Q$1</definedName>
    <definedName name="外部資料_1214" localSheetId="0">基本設定!$Q$1:$Q$1</definedName>
    <definedName name="外部資料_1215" localSheetId="0">基本設定!$Q$1:$Q$1</definedName>
    <definedName name="外部資料_1216" localSheetId="0">基本設定!$Q$1:$Q$1</definedName>
    <definedName name="外部資料_1217" localSheetId="0">基本設定!$Q$1:$Q$1</definedName>
    <definedName name="外部資料_1218" localSheetId="0">基本設定!$Q$1:$Q$1</definedName>
    <definedName name="外部資料_1219" localSheetId="0">基本設定!$Q$1:$Q$1</definedName>
    <definedName name="外部資料_122" localSheetId="12">PKA!#REF!</definedName>
    <definedName name="外部資料_122" localSheetId="13">PKB!#REF!</definedName>
    <definedName name="外部資料_122" localSheetId="14">PKC!#REF!</definedName>
    <definedName name="外部資料_122" localSheetId="7">公司債!#REF!</definedName>
    <definedName name="外部資料_122" localSheetId="0">基本設定!#REF!</definedName>
    <definedName name="外部資料_122" localSheetId="4">評比系統!#REF!</definedName>
    <definedName name="外部資料_1220" localSheetId="0">基本設定!$Q$1:$Q$1</definedName>
    <definedName name="外部資料_1221" localSheetId="0">基本設定!$Q$1:$Q$1</definedName>
    <definedName name="外部資料_1222" localSheetId="0">基本設定!$Q$1:$Q$1</definedName>
    <definedName name="外部資料_1223" localSheetId="0">基本設定!$Q$1:$Q$1</definedName>
    <definedName name="外部資料_1224" localSheetId="0">基本設定!$Q$1:$Q$1</definedName>
    <definedName name="外部資料_1225" localSheetId="0">基本設定!$Q$1:$Q$1</definedName>
    <definedName name="外部資料_1226" localSheetId="0">基本設定!$Q$1:$Q$1</definedName>
    <definedName name="外部資料_1227" localSheetId="0">基本設定!$Q$1:$Q$1</definedName>
    <definedName name="外部資料_1228" localSheetId="0">基本設定!$Q$1:$Q$1</definedName>
    <definedName name="外部資料_1229" localSheetId="0">基本設定!$Q$1:$Q$1</definedName>
    <definedName name="外部資料_123" localSheetId="12">PKA!#REF!</definedName>
    <definedName name="外部資料_123" localSheetId="13">PKB!#REF!</definedName>
    <definedName name="外部資料_123" localSheetId="14">PKC!#REF!</definedName>
    <definedName name="外部資料_123" localSheetId="7">公司債!#REF!</definedName>
    <definedName name="外部資料_123" localSheetId="0">基本設定!#REF!</definedName>
    <definedName name="外部資料_123" localSheetId="4">評比系統!#REF!</definedName>
    <definedName name="外部資料_1230" localSheetId="0">基本設定!$Q$1:$Q$1</definedName>
    <definedName name="外部資料_1231" localSheetId="0">基本設定!$Q$1:$Q$1</definedName>
    <definedName name="外部資料_1232" localSheetId="0">基本設定!$Q$1:$Q$1</definedName>
    <definedName name="外部資料_1233" localSheetId="0">基本設定!$Q$1:$Q$1</definedName>
    <definedName name="外部資料_1234" localSheetId="0">基本設定!$Q$1:$Q$1</definedName>
    <definedName name="外部資料_1235" localSheetId="0">基本設定!$Q$1:$Q$1</definedName>
    <definedName name="外部資料_1236" localSheetId="0">基本設定!$Q$1:$Q$1</definedName>
    <definedName name="外部資料_1237" localSheetId="0">基本設定!$Q$1:$Q$1</definedName>
    <definedName name="外部資料_1238" localSheetId="0">基本設定!$Q$1:$Q$1</definedName>
    <definedName name="外部資料_1239" localSheetId="0">基本設定!$Q$1:$Q$1</definedName>
    <definedName name="外部資料_124" localSheetId="12">PKA!#REF!</definedName>
    <definedName name="外部資料_124" localSheetId="13">PKB!#REF!</definedName>
    <definedName name="外部資料_124" localSheetId="14">PKC!#REF!</definedName>
    <definedName name="外部資料_124" localSheetId="7">公司債!#REF!</definedName>
    <definedName name="外部資料_124" localSheetId="0">基本設定!#REF!</definedName>
    <definedName name="外部資料_124" localSheetId="4">評比系統!#REF!</definedName>
    <definedName name="外部資料_1240" localSheetId="0">基本設定!$Q$1:$Q$1</definedName>
    <definedName name="外部資料_1241" localSheetId="0">基本設定!$Q$1:$Q$1</definedName>
    <definedName name="外部資料_1242" localSheetId="0">基本設定!$Q$1:$Q$1</definedName>
    <definedName name="外部資料_1243" localSheetId="0">基本設定!$Q$1:$Q$1</definedName>
    <definedName name="外部資料_1244" localSheetId="0">基本設定!$Q$1:$Q$1</definedName>
    <definedName name="外部資料_1245" localSheetId="0">基本設定!$Q$1:$Q$1</definedName>
    <definedName name="外部資料_1246" localSheetId="0">基本設定!$Q$1:$Q$1</definedName>
    <definedName name="外部資料_1247" localSheetId="0">基本設定!$Q$1:$Q$1</definedName>
    <definedName name="外部資料_1248" localSheetId="0">基本設定!$Q$1:$Q$1</definedName>
    <definedName name="外部資料_1249" localSheetId="0">基本設定!$Q$1:$Q$1</definedName>
    <definedName name="外部資料_125" localSheetId="12">PKA!#REF!</definedName>
    <definedName name="外部資料_125" localSheetId="13">PKB!#REF!</definedName>
    <definedName name="外部資料_125" localSheetId="14">PKC!#REF!</definedName>
    <definedName name="外部資料_125" localSheetId="7">公司債!#REF!</definedName>
    <definedName name="外部資料_125" localSheetId="0">基本設定!#REF!</definedName>
    <definedName name="外部資料_125" localSheetId="4">評比系統!#REF!</definedName>
    <definedName name="外部資料_1250" localSheetId="0">基本設定!$Q$1:$Q$1</definedName>
    <definedName name="外部資料_1251" localSheetId="0">基本設定!$Q$1:$Q$1</definedName>
    <definedName name="外部資料_1252" localSheetId="0">基本設定!$Q$1:$Q$1</definedName>
    <definedName name="外部資料_1253" localSheetId="0">基本設定!$Q$1:$Q$1</definedName>
    <definedName name="外部資料_1254" localSheetId="0">基本設定!$Q$1:$Q$1</definedName>
    <definedName name="外部資料_1255" localSheetId="0">基本設定!$Q$1:$Q$1</definedName>
    <definedName name="外部資料_1256" localSheetId="0">基本設定!$Q$1:$Q$1</definedName>
    <definedName name="外部資料_1257" localSheetId="0">基本設定!$Q$1:$Q$1</definedName>
    <definedName name="外部資料_1258" localSheetId="0">基本設定!$Q$1:$Q$1</definedName>
    <definedName name="外部資料_1259" localSheetId="0">基本設定!$Q$1:$Q$1</definedName>
    <definedName name="外部資料_126" localSheetId="12">PKA!#REF!</definedName>
    <definedName name="外部資料_126" localSheetId="13">PKB!#REF!</definedName>
    <definedName name="外部資料_126" localSheetId="14">PKC!#REF!</definedName>
    <definedName name="外部資料_126" localSheetId="7">公司債!#REF!</definedName>
    <definedName name="外部資料_126" localSheetId="0">基本設定!#REF!</definedName>
    <definedName name="外部資料_126" localSheetId="4">評比系統!#REF!</definedName>
    <definedName name="外部資料_1260" localSheetId="0">基本設定!$Q$1:$Q$1</definedName>
    <definedName name="外部資料_1261" localSheetId="0">基本設定!$Q$1:$Q$1</definedName>
    <definedName name="外部資料_1262" localSheetId="0">基本設定!$Q$1:$Q$1</definedName>
    <definedName name="外部資料_1263" localSheetId="0">基本設定!$Q$1:$Q$1</definedName>
    <definedName name="外部資料_1264" localSheetId="0">基本設定!$Q$1:$Q$1</definedName>
    <definedName name="外部資料_1265" localSheetId="0">基本設定!$Q$1:$Q$1</definedName>
    <definedName name="外部資料_1266" localSheetId="0">基本設定!$Q$1:$Q$1</definedName>
    <definedName name="外部資料_1267" localSheetId="0">基本設定!$Q$1:$Q$1</definedName>
    <definedName name="外部資料_1268" localSheetId="0">基本設定!$Q$1:$Q$1</definedName>
    <definedName name="外部資料_1269" localSheetId="0">基本設定!$Q$1:$Q$1</definedName>
    <definedName name="外部資料_127" localSheetId="12">PKA!#REF!</definedName>
    <definedName name="外部資料_127" localSheetId="13">PKB!#REF!</definedName>
    <definedName name="外部資料_127" localSheetId="14">PKC!#REF!</definedName>
    <definedName name="外部資料_127" localSheetId="7">公司債!#REF!</definedName>
    <definedName name="外部資料_127" localSheetId="0">基本設定!#REF!</definedName>
    <definedName name="外部資料_127" localSheetId="4">評比系統!#REF!</definedName>
    <definedName name="外部資料_1270" localSheetId="0">基本設定!$Q$1:$Q$1</definedName>
    <definedName name="外部資料_1271" localSheetId="0">基本設定!$Q$1:$Q$1</definedName>
    <definedName name="外部資料_1272" localSheetId="0">基本設定!$Q$1:$Q$1</definedName>
    <definedName name="外部資料_1273" localSheetId="0">基本設定!$Q$1:$Q$1</definedName>
    <definedName name="外部資料_1274" localSheetId="0">基本設定!$Q$1:$Q$1</definedName>
    <definedName name="外部資料_1275" localSheetId="0">基本設定!$Q$1:$Q$1</definedName>
    <definedName name="外部資料_1276" localSheetId="0">基本設定!$Q$1:$Q$1</definedName>
    <definedName name="外部資料_1277" localSheetId="0">基本設定!$Q$1:$Q$1</definedName>
    <definedName name="外部資料_1278" localSheetId="0">基本設定!$Q$1:$Q$1</definedName>
    <definedName name="外部資料_1279" localSheetId="0">基本設定!$Q$1:$Q$1</definedName>
    <definedName name="外部資料_128" localSheetId="12">PKA!#REF!</definedName>
    <definedName name="外部資料_128" localSheetId="13">PKB!#REF!</definedName>
    <definedName name="外部資料_128" localSheetId="14">PKC!#REF!</definedName>
    <definedName name="外部資料_128" localSheetId="7">公司債!#REF!</definedName>
    <definedName name="外部資料_128" localSheetId="0">基本設定!#REF!</definedName>
    <definedName name="外部資料_128" localSheetId="4">評比系統!#REF!</definedName>
    <definedName name="外部資料_1280" localSheetId="0">基本設定!$Q$1:$Q$1</definedName>
    <definedName name="外部資料_1281" localSheetId="0">基本設定!$Q$1:$Q$1</definedName>
    <definedName name="外部資料_1282" localSheetId="0">基本設定!$Q$1:$Q$1</definedName>
    <definedName name="外部資料_1283" localSheetId="0">基本設定!$Q$1:$Q$1</definedName>
    <definedName name="外部資料_1284" localSheetId="0">基本設定!$Q$1:$Q$1</definedName>
    <definedName name="外部資料_1285" localSheetId="0">基本設定!$Q$1:$Q$1</definedName>
    <definedName name="外部資料_1286" localSheetId="0">基本設定!$Q$1:$Q$1</definedName>
    <definedName name="外部資料_1287" localSheetId="0">基本設定!$Q$1:$Q$1</definedName>
    <definedName name="外部資料_1288" localSheetId="0">基本設定!$Q$1:$Q$1</definedName>
    <definedName name="外部資料_1289" localSheetId="0">基本設定!$Q$1:$Q$1</definedName>
    <definedName name="外部資料_129" localSheetId="12">PKA!#REF!</definedName>
    <definedName name="外部資料_129" localSheetId="13">PKB!#REF!</definedName>
    <definedName name="外部資料_129" localSheetId="14">PKC!#REF!</definedName>
    <definedName name="外部資料_129" localSheetId="7">公司債!#REF!</definedName>
    <definedName name="外部資料_129" localSheetId="0">基本設定!#REF!</definedName>
    <definedName name="外部資料_129" localSheetId="4">評比系統!#REF!</definedName>
    <definedName name="外部資料_1290" localSheetId="0">基本設定!$Q$1:$Q$1</definedName>
    <definedName name="外部資料_1291" localSheetId="0">基本設定!$Q$1:$Q$1</definedName>
    <definedName name="外部資料_1292" localSheetId="0">基本設定!$Q$1:$Q$1</definedName>
    <definedName name="外部資料_1293" localSheetId="0">基本設定!$Q$1:$Q$1</definedName>
    <definedName name="外部資料_1294" localSheetId="0">基本設定!$Q$1:$Q$1</definedName>
    <definedName name="外部資料_1295" localSheetId="0">基本設定!$Q$1:$Q$1</definedName>
    <definedName name="外部資料_1296" localSheetId="0">基本設定!$Q$1:$Q$1</definedName>
    <definedName name="外部資料_1297" localSheetId="0">基本設定!$Q$1:$Q$1</definedName>
    <definedName name="外部資料_1298" localSheetId="0">基本設定!$Q$1:$Q$1</definedName>
    <definedName name="外部資料_1299" localSheetId="0">基本設定!$Q$1:$Q$1</definedName>
    <definedName name="外部資料_13" localSheetId="12">PKA!#REF!</definedName>
    <definedName name="外部資料_13" localSheetId="13">PKB!#REF!</definedName>
    <definedName name="外部資料_13" localSheetId="14">PKC!#REF!</definedName>
    <definedName name="外部資料_13" localSheetId="7">公司債!#REF!</definedName>
    <definedName name="外部資料_13" localSheetId="2">紅綠燈!#REF!</definedName>
    <definedName name="外部資料_13" localSheetId="0">基本設定!#REF!</definedName>
    <definedName name="外部資料_13" localSheetId="4">評比系統!#REF!</definedName>
    <definedName name="外部資料_13" localSheetId="5">搶先報!#REF!</definedName>
    <definedName name="外部資料_130" localSheetId="12">PKA!#REF!</definedName>
    <definedName name="外部資料_130" localSheetId="13">PKB!#REF!</definedName>
    <definedName name="外部資料_130" localSheetId="14">PKC!#REF!</definedName>
    <definedName name="外部資料_130" localSheetId="7">公司債!#REF!</definedName>
    <definedName name="外部資料_130" localSheetId="0">基本設定!#REF!</definedName>
    <definedName name="外部資料_130" localSheetId="4">評比系統!#REF!</definedName>
    <definedName name="外部資料_1300" localSheetId="0">基本設定!$Q$1:$Q$1</definedName>
    <definedName name="外部資料_1301" localSheetId="0">基本設定!$Q$1:$Q$1</definedName>
    <definedName name="外部資料_1302" localSheetId="0">基本設定!$Q$1:$Q$1</definedName>
    <definedName name="外部資料_1303" localSheetId="0">基本設定!$Q$1:$Q$1</definedName>
    <definedName name="外部資料_1304" localSheetId="0">基本設定!$Q$1:$Q$1</definedName>
    <definedName name="外部資料_1305" localSheetId="0">基本設定!$Q$1:$Q$1</definedName>
    <definedName name="外部資料_1306" localSheetId="0">基本設定!$Q$1:$Q$1</definedName>
    <definedName name="外部資料_1307" localSheetId="0">基本設定!$Q$1:$Q$1</definedName>
    <definedName name="外部資料_1308" localSheetId="0">基本設定!$Q$1:$Q$1</definedName>
    <definedName name="外部資料_1309" localSheetId="0">基本設定!$Q$1:$Q$1</definedName>
    <definedName name="外部資料_131" localSheetId="12">PKA!#REF!</definedName>
    <definedName name="外部資料_131" localSheetId="13">PKB!#REF!</definedName>
    <definedName name="外部資料_131" localSheetId="14">PKC!#REF!</definedName>
    <definedName name="外部資料_131" localSheetId="7">公司債!#REF!</definedName>
    <definedName name="外部資料_131" localSheetId="0">基本設定!#REF!</definedName>
    <definedName name="外部資料_131" localSheetId="4">評比系統!#REF!</definedName>
    <definedName name="外部資料_1310" localSheetId="0">基本設定!$Q$1:$Q$1</definedName>
    <definedName name="外部資料_1311" localSheetId="0">基本設定!$Q$1:$Q$1</definedName>
    <definedName name="外部資料_1312" localSheetId="0">基本設定!$Q$1:$Q$1</definedName>
    <definedName name="外部資料_1313" localSheetId="0">基本設定!$Q$1:$Q$1</definedName>
    <definedName name="外部資料_1314" localSheetId="0">基本設定!$Q$1:$Q$1</definedName>
    <definedName name="外部資料_1315" localSheetId="0">基本設定!$Q$1:$Q$1</definedName>
    <definedName name="外部資料_1316" localSheetId="0">基本設定!$Q$1:$Q$1</definedName>
    <definedName name="外部資料_1317" localSheetId="0">基本設定!$Q$1:$Q$1</definedName>
    <definedName name="外部資料_1318" localSheetId="0">基本設定!$Q$1:$Q$1</definedName>
    <definedName name="外部資料_1319" localSheetId="0">基本設定!$Q$1:$Q$1</definedName>
    <definedName name="外部資料_132" localSheetId="12">PKA!#REF!</definedName>
    <definedName name="外部資料_132" localSheetId="13">PKB!#REF!</definedName>
    <definedName name="外部資料_132" localSheetId="14">PKC!#REF!</definedName>
    <definedName name="外部資料_132" localSheetId="7">公司債!#REF!</definedName>
    <definedName name="外部資料_132" localSheetId="0">基本設定!#REF!</definedName>
    <definedName name="外部資料_132" localSheetId="4">評比系統!#REF!</definedName>
    <definedName name="外部資料_1320" localSheetId="0">基本設定!$Q$1:$Q$1</definedName>
    <definedName name="外部資料_1321" localSheetId="0">基本設定!$Q$1:$Q$1</definedName>
    <definedName name="外部資料_1322" localSheetId="0">基本設定!$Q$1:$Q$1</definedName>
    <definedName name="外部資料_1323" localSheetId="0">基本設定!$Q$1:$Q$1</definedName>
    <definedName name="外部資料_1324" localSheetId="0">基本設定!$Q$1:$Q$1</definedName>
    <definedName name="外部資料_1325" localSheetId="0">基本設定!$Q$1:$Q$1</definedName>
    <definedName name="外部資料_1326" localSheetId="0">基本設定!$Q$1:$Q$1</definedName>
    <definedName name="外部資料_1327" localSheetId="0">基本設定!$Q$1:$Q$1</definedName>
    <definedName name="外部資料_1328" localSheetId="0">基本設定!$Q$1:$Q$1</definedName>
    <definedName name="外部資料_1329" localSheetId="0">基本設定!$Q$1:$Q$1</definedName>
    <definedName name="外部資料_133" localSheetId="12">PKA!#REF!</definedName>
    <definedName name="外部資料_133" localSheetId="13">PKB!#REF!</definedName>
    <definedName name="外部資料_133" localSheetId="14">PKC!#REF!</definedName>
    <definedName name="外部資料_133" localSheetId="7">公司債!#REF!</definedName>
    <definedName name="外部資料_133" localSheetId="0">基本設定!#REF!</definedName>
    <definedName name="外部資料_133" localSheetId="4">評比系統!#REF!</definedName>
    <definedName name="外部資料_1330" localSheetId="0">基本設定!$Q$1:$Q$1</definedName>
    <definedName name="外部資料_1331" localSheetId="0">基本設定!$Q$1:$Q$1</definedName>
    <definedName name="外部資料_1332" localSheetId="0">基本設定!$Q$1:$Q$1</definedName>
    <definedName name="外部資料_1333" localSheetId="0">基本設定!$Q$1:$Q$1</definedName>
    <definedName name="外部資料_1334" localSheetId="0">基本設定!$Q$1:$Q$1</definedName>
    <definedName name="外部資料_1335" localSheetId="0">基本設定!$Q$1:$Q$1</definedName>
    <definedName name="外部資料_1336" localSheetId="0">基本設定!$Q$1:$Q$1</definedName>
    <definedName name="外部資料_1337" localSheetId="0">基本設定!$Q$1:$Q$1</definedName>
    <definedName name="外部資料_1338" localSheetId="0">基本設定!$Q$1:$Q$1</definedName>
    <definedName name="外部資料_1339" localSheetId="0">基本設定!$Q$1:$Q$1</definedName>
    <definedName name="外部資料_134" localSheetId="12">PKA!#REF!</definedName>
    <definedName name="外部資料_134" localSheetId="13">PKB!#REF!</definedName>
    <definedName name="外部資料_134" localSheetId="14">PKC!#REF!</definedName>
    <definedName name="外部資料_134" localSheetId="7">公司債!#REF!</definedName>
    <definedName name="外部資料_134" localSheetId="0">基本設定!#REF!</definedName>
    <definedName name="外部資料_134" localSheetId="4">評比系統!#REF!</definedName>
    <definedName name="外部資料_1340" localSheetId="0">基本設定!$Q$1:$Q$1</definedName>
    <definedName name="外部資料_1341" localSheetId="0">基本設定!$Q$1:$Q$1</definedName>
    <definedName name="外部資料_1342" localSheetId="0">基本設定!$Q$1:$Q$1</definedName>
    <definedName name="外部資料_1343" localSheetId="0">基本設定!$Q$1:$Q$1</definedName>
    <definedName name="外部資料_1344" localSheetId="0">基本設定!$Q$1:$Q$1</definedName>
    <definedName name="外部資料_1345" localSheetId="0">基本設定!$Q$1:$Q$1</definedName>
    <definedName name="外部資料_1346" localSheetId="0">基本設定!$Q$1:$Q$1</definedName>
    <definedName name="外部資料_1347" localSheetId="0">基本設定!$Q$1:$Q$1</definedName>
    <definedName name="外部資料_1348" localSheetId="0">基本設定!$Q$1:$Q$1</definedName>
    <definedName name="外部資料_1349" localSheetId="0">基本設定!$Q$1:$Q$1</definedName>
    <definedName name="外部資料_135" localSheetId="12">PKA!#REF!</definedName>
    <definedName name="外部資料_135" localSheetId="13">PKB!#REF!</definedName>
    <definedName name="外部資料_135" localSheetId="14">PKC!#REF!</definedName>
    <definedName name="外部資料_135" localSheetId="7">公司債!#REF!</definedName>
    <definedName name="外部資料_135" localSheetId="0">基本設定!#REF!</definedName>
    <definedName name="外部資料_135" localSheetId="4">評比系統!#REF!</definedName>
    <definedName name="外部資料_1350" localSheetId="0">基本設定!$Q$1:$Q$1</definedName>
    <definedName name="外部資料_1351" localSheetId="0">基本設定!$Q$1:$Q$1</definedName>
    <definedName name="外部資料_1352" localSheetId="0">基本設定!$Q$1:$Q$1</definedName>
    <definedName name="外部資料_1353" localSheetId="0">基本設定!$Q$1:$Q$1</definedName>
    <definedName name="外部資料_1354" localSheetId="0">基本設定!$Q$1:$Q$1</definedName>
    <definedName name="外部資料_1355" localSheetId="0">基本設定!$Q$1:$Q$1</definedName>
    <definedName name="外部資料_1356" localSheetId="0">基本設定!$Q$1:$Q$1</definedName>
    <definedName name="外部資料_1357" localSheetId="0">基本設定!$Q$1:$Q$1</definedName>
    <definedName name="外部資料_1358" localSheetId="0">基本設定!$Q$1:$Q$1</definedName>
    <definedName name="外部資料_1359" localSheetId="0">基本設定!$Q$1:$Q$1</definedName>
    <definedName name="外部資料_136" localSheetId="12">PKA!#REF!</definedName>
    <definedName name="外部資料_136" localSheetId="13">PKB!#REF!</definedName>
    <definedName name="外部資料_136" localSheetId="14">PKC!#REF!</definedName>
    <definedName name="外部資料_136" localSheetId="7">公司債!#REF!</definedName>
    <definedName name="外部資料_136" localSheetId="0">基本設定!#REF!</definedName>
    <definedName name="外部資料_136" localSheetId="4">評比系統!#REF!</definedName>
    <definedName name="外部資料_1360" localSheetId="0">基本設定!$Q$1:$Q$1</definedName>
    <definedName name="外部資料_1361" localSheetId="0">基本設定!$Q$1:$Q$1</definedName>
    <definedName name="外部資料_1362" localSheetId="0">基本設定!$Q$1:$Q$1</definedName>
    <definedName name="外部資料_1363" localSheetId="0">基本設定!$Q$1:$Q$1</definedName>
    <definedName name="外部資料_1364" localSheetId="0">基本設定!$Q$1:$Q$1</definedName>
    <definedName name="外部資料_1365" localSheetId="0">基本設定!$Q$1:$Q$1</definedName>
    <definedName name="外部資料_1366" localSheetId="0">基本設定!$Q$1:$Q$1</definedName>
    <definedName name="外部資料_1367" localSheetId="0">基本設定!$Q$1:$Q$1</definedName>
    <definedName name="外部資料_1368" localSheetId="0">基本設定!$Q$1:$Q$1</definedName>
    <definedName name="外部資料_1369" localSheetId="0">基本設定!$Q$1:$Q$1</definedName>
    <definedName name="外部資料_137" localSheetId="12">PKA!#REF!</definedName>
    <definedName name="外部資料_137" localSheetId="13">PKB!#REF!</definedName>
    <definedName name="外部資料_137" localSheetId="14">PKC!#REF!</definedName>
    <definedName name="外部資料_137" localSheetId="7">公司債!#REF!</definedName>
    <definedName name="外部資料_137" localSheetId="0">基本設定!#REF!</definedName>
    <definedName name="外部資料_137" localSheetId="4">評比系統!#REF!</definedName>
    <definedName name="外部資料_1370" localSheetId="0">基本設定!$Q$1:$Q$1</definedName>
    <definedName name="外部資料_1371" localSheetId="0">基本設定!$Q$1:$Q$1</definedName>
    <definedName name="外部資料_1372" localSheetId="0">基本設定!$Q$1:$Q$1</definedName>
    <definedName name="外部資料_1373" localSheetId="0">基本設定!$Q$1:$Q$1</definedName>
    <definedName name="外部資料_1374" localSheetId="0">基本設定!$Q$1:$Q$1</definedName>
    <definedName name="外部資料_1375" localSheetId="0">基本設定!$Q$1:$Q$1</definedName>
    <definedName name="外部資料_1376" localSheetId="0">基本設定!$Q$1:$Q$1</definedName>
    <definedName name="外部資料_1377" localSheetId="0">基本設定!$Q$1:$Q$1</definedName>
    <definedName name="外部資料_1378" localSheetId="0">基本設定!$Q$1:$Q$1</definedName>
    <definedName name="外部資料_1379" localSheetId="0">基本設定!$Q$1:$Q$1</definedName>
    <definedName name="外部資料_138" localSheetId="12">PKA!#REF!</definedName>
    <definedName name="外部資料_138" localSheetId="13">PKB!#REF!</definedName>
    <definedName name="外部資料_138" localSheetId="14">PKC!#REF!</definedName>
    <definedName name="外部資料_138" localSheetId="7">公司債!#REF!</definedName>
    <definedName name="外部資料_138" localSheetId="0">基本設定!#REF!</definedName>
    <definedName name="外部資料_138" localSheetId="4">評比系統!#REF!</definedName>
    <definedName name="外部資料_1380" localSheetId="0">基本設定!$Q$1:$Q$1</definedName>
    <definedName name="外部資料_1381" localSheetId="0">基本設定!$Q$1:$Q$1</definedName>
    <definedName name="外部資料_1382" localSheetId="0">基本設定!$Q$1:$Q$1</definedName>
    <definedName name="外部資料_1383" localSheetId="0">基本設定!$Q$1:$Q$1</definedName>
    <definedName name="外部資料_1384" localSheetId="0">基本設定!$Q$1:$Q$1</definedName>
    <definedName name="外部資料_1385" localSheetId="0">基本設定!$Q$1:$Q$1</definedName>
    <definedName name="外部資料_1386" localSheetId="0">基本設定!$Q$1:$Q$1</definedName>
    <definedName name="外部資料_1387" localSheetId="0">基本設定!$Q$1:$Q$1</definedName>
    <definedName name="外部資料_1388" localSheetId="0">基本設定!$Q$1:$Q$1</definedName>
    <definedName name="外部資料_1389" localSheetId="0">基本設定!$Q$1:$Q$1</definedName>
    <definedName name="外部資料_139" localSheetId="12">PKA!#REF!</definedName>
    <definedName name="外部資料_139" localSheetId="13">PKB!#REF!</definedName>
    <definedName name="外部資料_139" localSheetId="14">PKC!#REF!</definedName>
    <definedName name="外部資料_139" localSheetId="7">公司債!#REF!</definedName>
    <definedName name="外部資料_139" localSheetId="0">基本設定!#REF!</definedName>
    <definedName name="外部資料_139" localSheetId="4">評比系統!#REF!</definedName>
    <definedName name="外部資料_1390" localSheetId="0">基本設定!$Q$1:$Q$1</definedName>
    <definedName name="外部資料_1391" localSheetId="0">基本設定!$Q$1:$Q$1</definedName>
    <definedName name="外部資料_1392" localSheetId="0">基本設定!$Q$1:$Q$1</definedName>
    <definedName name="外部資料_1393" localSheetId="0">基本設定!$Q$1:$Q$1</definedName>
    <definedName name="外部資料_1394" localSheetId="0">基本設定!$Q$1:$Q$1</definedName>
    <definedName name="外部資料_1395" localSheetId="0">基本設定!$Q$1:$Q$1</definedName>
    <definedName name="外部資料_1396" localSheetId="0">基本設定!$Q$1:$Q$1</definedName>
    <definedName name="外部資料_1397" localSheetId="0">基本設定!$Q$1:$Q$1</definedName>
    <definedName name="外部資料_1398" localSheetId="0">基本設定!$Q$1:$Q$1</definedName>
    <definedName name="外部資料_1399" localSheetId="0">基本設定!$Q$1:$Q$1</definedName>
    <definedName name="外部資料_14" localSheetId="12">PKA!#REF!</definedName>
    <definedName name="外部資料_14" localSheetId="13">PKB!#REF!</definedName>
    <definedName name="外部資料_14" localSheetId="14">PKC!#REF!</definedName>
    <definedName name="外部資料_14" localSheetId="7">公司債!#REF!</definedName>
    <definedName name="外部資料_14" localSheetId="2">紅綠燈!#REF!</definedName>
    <definedName name="外部資料_14" localSheetId="0">基本設定!#REF!</definedName>
    <definedName name="外部資料_14" localSheetId="4">評比系統!#REF!</definedName>
    <definedName name="外部資料_14" localSheetId="5">搶先報!#REF!</definedName>
    <definedName name="外部資料_140" localSheetId="12">PKA!#REF!</definedName>
    <definedName name="外部資料_140" localSheetId="13">PKB!#REF!</definedName>
    <definedName name="外部資料_140" localSheetId="14">PKC!#REF!</definedName>
    <definedName name="外部資料_140" localSheetId="7">公司債!#REF!</definedName>
    <definedName name="外部資料_140" localSheetId="0">基本設定!#REF!</definedName>
    <definedName name="外部資料_140" localSheetId="4">評比系統!#REF!</definedName>
    <definedName name="外部資料_1400" localSheetId="0">基本設定!$Q$1:$Q$1</definedName>
    <definedName name="外部資料_1401" localSheetId="0">基本設定!$Q$1:$Q$1</definedName>
    <definedName name="外部資料_1402" localSheetId="0">基本設定!$Q$1:$Q$1</definedName>
    <definedName name="外部資料_1403" localSheetId="0">基本設定!$Q$1:$Q$1</definedName>
    <definedName name="外部資料_1404" localSheetId="0">基本設定!$Q$1:$Q$1</definedName>
    <definedName name="外部資料_1405" localSheetId="0">基本設定!$Q$1:$Q$1</definedName>
    <definedName name="外部資料_1406" localSheetId="0">基本設定!$Q$1:$Q$1</definedName>
    <definedName name="外部資料_1407" localSheetId="0">基本設定!$Q$1:$Q$1</definedName>
    <definedName name="外部資料_1408" localSheetId="0">基本設定!$Q$1:$Q$1</definedName>
    <definedName name="外部資料_1409" localSheetId="0">基本設定!$Q$1:$Q$1</definedName>
    <definedName name="外部資料_141" localSheetId="12">PKA!#REF!</definedName>
    <definedName name="外部資料_141" localSheetId="13">PKB!#REF!</definedName>
    <definedName name="外部資料_141" localSheetId="14">PKC!#REF!</definedName>
    <definedName name="外部資料_141" localSheetId="7">公司債!#REF!</definedName>
    <definedName name="外部資料_141" localSheetId="0">基本設定!#REF!</definedName>
    <definedName name="外部資料_141" localSheetId="4">評比系統!#REF!</definedName>
    <definedName name="外部資料_1410" localSheetId="0">基本設定!$Q$1:$Q$1</definedName>
    <definedName name="外部資料_1411" localSheetId="0">基本設定!$Q$1:$Q$1</definedName>
    <definedName name="外部資料_1412" localSheetId="0">基本設定!$Q$1:$Q$1</definedName>
    <definedName name="外部資料_1413" localSheetId="0">基本設定!$Q$1:$Q$1</definedName>
    <definedName name="外部資料_1414" localSheetId="0">基本設定!$Q$1:$Q$1</definedName>
    <definedName name="外部資料_1415" localSheetId="0">基本設定!$Q$1:$Q$1</definedName>
    <definedName name="外部資料_1416" localSheetId="0">基本設定!$Q$1:$Q$1</definedName>
    <definedName name="外部資料_1417" localSheetId="0">基本設定!$Q$1:$Q$1</definedName>
    <definedName name="外部資料_1418" localSheetId="0">基本設定!$Q$1:$Q$1</definedName>
    <definedName name="外部資料_1419" localSheetId="0">基本設定!$Q$1:$Q$1</definedName>
    <definedName name="外部資料_142" localSheetId="12">PKA!#REF!</definedName>
    <definedName name="外部資料_142" localSheetId="13">PKB!#REF!</definedName>
    <definedName name="外部資料_142" localSheetId="14">PKC!#REF!</definedName>
    <definedName name="外部資料_142" localSheetId="7">公司債!#REF!</definedName>
    <definedName name="外部資料_142" localSheetId="0">基本設定!#REF!</definedName>
    <definedName name="外部資料_142" localSheetId="4">評比系統!#REF!</definedName>
    <definedName name="外部資料_1420" localSheetId="0">基本設定!$Q$1:$Q$1</definedName>
    <definedName name="外部資料_1421" localSheetId="0">基本設定!$Q$1:$Q$1</definedName>
    <definedName name="外部資料_1422" localSheetId="0">基本設定!$Q$1:$Q$1</definedName>
    <definedName name="外部資料_1423" localSheetId="0">基本設定!$Q$1:$Q$1</definedName>
    <definedName name="外部資料_1424" localSheetId="0">基本設定!$Q$1:$Q$1</definedName>
    <definedName name="外部資料_1425" localSheetId="0">基本設定!$Q$1:$Q$1</definedName>
    <definedName name="外部資料_1426" localSheetId="0">基本設定!$Q$1:$Q$1</definedName>
    <definedName name="外部資料_1427" localSheetId="0">基本設定!$Q$1:$Q$1</definedName>
    <definedName name="外部資料_1428" localSheetId="0">基本設定!$Q$1:$Q$1</definedName>
    <definedName name="外部資料_1429" localSheetId="0">基本設定!$Q$1:$Q$1</definedName>
    <definedName name="外部資料_143" localSheetId="12">PKA!#REF!</definedName>
    <definedName name="外部資料_143" localSheetId="13">PKB!#REF!</definedName>
    <definedName name="外部資料_143" localSheetId="14">PKC!#REF!</definedName>
    <definedName name="外部資料_143" localSheetId="7">公司債!#REF!</definedName>
    <definedName name="外部資料_143" localSheetId="0">基本設定!#REF!</definedName>
    <definedName name="外部資料_143" localSheetId="4">評比系統!#REF!</definedName>
    <definedName name="外部資料_1430" localSheetId="0">基本設定!$Q$1:$Q$1</definedName>
    <definedName name="外部資料_1431" localSheetId="0">基本設定!$Q$1:$Q$1</definedName>
    <definedName name="外部資料_1432" localSheetId="0">基本設定!$Q$1:$Q$1</definedName>
    <definedName name="外部資料_1433" localSheetId="0">基本設定!$Q$1:$Q$1</definedName>
    <definedName name="外部資料_1434" localSheetId="0">基本設定!$Q$1:$Q$1</definedName>
    <definedName name="外部資料_1435" localSheetId="0">基本設定!$Q$1:$Q$1</definedName>
    <definedName name="外部資料_1436" localSheetId="0">基本設定!$Q$1:$Q$1</definedName>
    <definedName name="外部資料_1437" localSheetId="0">基本設定!$Q$1:$Q$1</definedName>
    <definedName name="外部資料_1438" localSheetId="0">基本設定!$Q$1:$Q$1</definedName>
    <definedName name="外部資料_1439" localSheetId="0">基本設定!$Q$1:$Q$1</definedName>
    <definedName name="外部資料_144" localSheetId="12">PKA!#REF!</definedName>
    <definedName name="外部資料_144" localSheetId="13">PKB!#REF!</definedName>
    <definedName name="外部資料_144" localSheetId="14">PKC!#REF!</definedName>
    <definedName name="外部資料_144" localSheetId="7">公司債!#REF!</definedName>
    <definedName name="外部資料_144" localSheetId="0">基本設定!#REF!</definedName>
    <definedName name="外部資料_144" localSheetId="4">評比系統!#REF!</definedName>
    <definedName name="外部資料_1440" localSheetId="0">基本設定!$Q$1:$Q$1</definedName>
    <definedName name="外部資料_1441" localSheetId="0">基本設定!$Q$1:$Q$1</definedName>
    <definedName name="外部資料_1442" localSheetId="0">基本設定!$Q$1:$Q$1</definedName>
    <definedName name="外部資料_1443" localSheetId="0">基本設定!$Q$1:$Q$1</definedName>
    <definedName name="外部資料_1444" localSheetId="0">基本設定!$Q$1:$Q$1</definedName>
    <definedName name="外部資料_1445" localSheetId="0">基本設定!$Q$1:$Q$1</definedName>
    <definedName name="外部資料_1446" localSheetId="0">基本設定!$Q$1:$Q$1</definedName>
    <definedName name="外部資料_1447" localSheetId="0">基本設定!$Q$1:$Q$1</definedName>
    <definedName name="外部資料_1448" localSheetId="0">基本設定!$Q$1:$Q$1</definedName>
    <definedName name="外部資料_1449" localSheetId="0">基本設定!$Q$1:$Q$1</definedName>
    <definedName name="外部資料_145" localSheetId="12">PKA!#REF!</definedName>
    <definedName name="外部資料_145" localSheetId="13">PKB!#REF!</definedName>
    <definedName name="外部資料_145" localSheetId="14">PKC!#REF!</definedName>
    <definedName name="外部資料_145" localSheetId="7">公司債!#REF!</definedName>
    <definedName name="外部資料_145" localSheetId="0">基本設定!#REF!</definedName>
    <definedName name="外部資料_145" localSheetId="4">評比系統!#REF!</definedName>
    <definedName name="外部資料_1450" localSheetId="0">基本設定!$Q$1:$Q$1</definedName>
    <definedName name="外部資料_1451" localSheetId="0">基本設定!$Q$1:$Q$1</definedName>
    <definedName name="外部資料_1452" localSheetId="0">基本設定!$Q$1:$Q$1</definedName>
    <definedName name="外部資料_1453" localSheetId="0">基本設定!$Q$1:$Q$1</definedName>
    <definedName name="外部資料_1454" localSheetId="0">基本設定!$Q$1:$Q$1</definedName>
    <definedName name="外部資料_1455" localSheetId="0">基本設定!$Q$1:$Q$1</definedName>
    <definedName name="外部資料_1456" localSheetId="0">基本設定!$Q$1:$Q$1</definedName>
    <definedName name="外部資料_1457" localSheetId="0">基本設定!$Q$1:$Q$1</definedName>
    <definedName name="外部資料_1458" localSheetId="0">基本設定!$Q$1:$Q$1</definedName>
    <definedName name="外部資料_1459" localSheetId="0">基本設定!$Q$1:$Q$1</definedName>
    <definedName name="外部資料_146" localSheetId="12">PKA!#REF!</definedName>
    <definedName name="外部資料_146" localSheetId="13">PKB!#REF!</definedName>
    <definedName name="外部資料_146" localSheetId="14">PKC!#REF!</definedName>
    <definedName name="外部資料_146" localSheetId="7">公司債!#REF!</definedName>
    <definedName name="外部資料_146" localSheetId="0">基本設定!#REF!</definedName>
    <definedName name="外部資料_146" localSheetId="4">評比系統!#REF!</definedName>
    <definedName name="外部資料_1460" localSheetId="0">基本設定!$Q$1:$Q$1</definedName>
    <definedName name="外部資料_1461" localSheetId="0">基本設定!$Q$1:$Q$1</definedName>
    <definedName name="外部資料_1462" localSheetId="0">基本設定!$Q$1:$Q$1</definedName>
    <definedName name="外部資料_1463" localSheetId="0">基本設定!$Q$1:$Q$1</definedName>
    <definedName name="外部資料_1464" localSheetId="0">基本設定!$Q$1:$Q$1</definedName>
    <definedName name="外部資料_1465" localSheetId="0">基本設定!$Q$1:$Q$1</definedName>
    <definedName name="外部資料_1466" localSheetId="0">基本設定!$Q$1:$Q$1</definedName>
    <definedName name="外部資料_1467" localSheetId="0">基本設定!$Q$1:$Q$1</definedName>
    <definedName name="外部資料_1468" localSheetId="0">基本設定!$Q$1:$Q$1</definedName>
    <definedName name="外部資料_1469" localSheetId="0">基本設定!$Q$1:$Q$1</definedName>
    <definedName name="外部資料_147" localSheetId="12">PKA!#REF!</definedName>
    <definedName name="外部資料_147" localSheetId="13">PKB!#REF!</definedName>
    <definedName name="外部資料_147" localSheetId="14">PKC!#REF!</definedName>
    <definedName name="外部資料_147" localSheetId="7">公司債!#REF!</definedName>
    <definedName name="外部資料_147" localSheetId="0">基本設定!#REF!</definedName>
    <definedName name="外部資料_147" localSheetId="4">評比系統!#REF!</definedName>
    <definedName name="外部資料_1470" localSheetId="0">基本設定!$Q$1:$Q$1</definedName>
    <definedName name="外部資料_1471" localSheetId="0">基本設定!$Q$1:$Q$1</definedName>
    <definedName name="外部資料_1472" localSheetId="0">基本設定!$Q$1:$Q$1</definedName>
    <definedName name="外部資料_1473" localSheetId="0">基本設定!$Q$1:$Q$1</definedName>
    <definedName name="外部資料_1474" localSheetId="0">基本設定!$Q$1:$Q$1</definedName>
    <definedName name="外部資料_1475" localSheetId="0">基本設定!$Q$1:$Q$1</definedName>
    <definedName name="外部資料_1476" localSheetId="0">基本設定!$Q$1:$Q$1</definedName>
    <definedName name="外部資料_1477" localSheetId="0">基本設定!$Q$1:$Q$1</definedName>
    <definedName name="外部資料_1478" localSheetId="0">基本設定!$Q$1:$Q$1</definedName>
    <definedName name="外部資料_1479" localSheetId="0">基本設定!$Q$1:$Q$1</definedName>
    <definedName name="外部資料_148" localSheetId="12">PKA!#REF!</definedName>
    <definedName name="外部資料_148" localSheetId="13">PKB!#REF!</definedName>
    <definedName name="外部資料_148" localSheetId="14">PKC!#REF!</definedName>
    <definedName name="外部資料_148" localSheetId="7">公司債!#REF!</definedName>
    <definedName name="外部資料_148" localSheetId="0">基本設定!#REF!</definedName>
    <definedName name="外部資料_148" localSheetId="4">評比系統!#REF!</definedName>
    <definedName name="外部資料_1480" localSheetId="0">基本設定!$Q$1:$Q$1</definedName>
    <definedName name="外部資料_1481" localSheetId="0">基本設定!$Q$1:$Q$1</definedName>
    <definedName name="外部資料_1482" localSheetId="0">基本設定!$Q$1:$Q$1</definedName>
    <definedName name="外部資料_1483" localSheetId="0">基本設定!$Q$1:$Q$1</definedName>
    <definedName name="外部資料_1484" localSheetId="0">基本設定!$Q$1:$Q$1</definedName>
    <definedName name="外部資料_1485" localSheetId="0">基本設定!$Q$1:$Q$1</definedName>
    <definedName name="外部資料_1486" localSheetId="0">基本設定!$Q$1:$Q$1</definedName>
    <definedName name="外部資料_1487" localSheetId="0">基本設定!$Q$1:$Q$1</definedName>
    <definedName name="外部資料_1488" localSheetId="0">基本設定!$Q$1:$Q$1</definedName>
    <definedName name="外部資料_1489" localSheetId="0">基本設定!$Q$1:$Q$1</definedName>
    <definedName name="外部資料_149" localSheetId="12">PKA!#REF!</definedName>
    <definedName name="外部資料_149" localSheetId="13">PKB!#REF!</definedName>
    <definedName name="外部資料_149" localSheetId="14">PKC!#REF!</definedName>
    <definedName name="外部資料_149" localSheetId="7">公司債!#REF!</definedName>
    <definedName name="外部資料_149" localSheetId="0">基本設定!#REF!</definedName>
    <definedName name="外部資料_149" localSheetId="4">評比系統!#REF!</definedName>
    <definedName name="外部資料_1490" localSheetId="0">基本設定!$Q$1:$Q$1</definedName>
    <definedName name="外部資料_1491" localSheetId="0">基本設定!$Q$1:$Q$1</definedName>
    <definedName name="外部資料_1492" localSheetId="0">基本設定!$Q$1:$Q$1</definedName>
    <definedName name="外部資料_1493" localSheetId="0">基本設定!$Q$1:$Q$1</definedName>
    <definedName name="外部資料_1494" localSheetId="0">基本設定!$Q$1:$Q$1</definedName>
    <definedName name="外部資料_1495" localSheetId="0">基本設定!$Q$1:$Q$1</definedName>
    <definedName name="外部資料_1496" localSheetId="0">基本設定!$Q$1:$Q$1</definedName>
    <definedName name="外部資料_1497" localSheetId="0">基本設定!$Q$1:$Q$1</definedName>
    <definedName name="外部資料_1498" localSheetId="0">基本設定!$Q$1:$Q$1</definedName>
    <definedName name="外部資料_1499" localSheetId="0">基本設定!$Q$1:$Q$1</definedName>
    <definedName name="外部資料_15" localSheetId="12">PKA!#REF!</definedName>
    <definedName name="外部資料_15" localSheetId="13">PKB!#REF!</definedName>
    <definedName name="外部資料_15" localSheetId="14">PKC!#REF!</definedName>
    <definedName name="外部資料_15" localSheetId="7">公司債!#REF!</definedName>
    <definedName name="外部資料_15" localSheetId="2">紅綠燈!$AC$52:$AK$60</definedName>
    <definedName name="外部資料_15" localSheetId="0">基本設定!#REF!</definedName>
    <definedName name="外部資料_15" localSheetId="4">評比系統!#REF!</definedName>
    <definedName name="外部資料_15" localSheetId="5">搶先報!#REF!</definedName>
    <definedName name="外部資料_150" localSheetId="12">PKA!#REF!</definedName>
    <definedName name="外部資料_150" localSheetId="13">PKB!#REF!</definedName>
    <definedName name="外部資料_150" localSheetId="14">PKC!#REF!</definedName>
    <definedName name="外部資料_150" localSheetId="7">公司債!#REF!</definedName>
    <definedName name="外部資料_150" localSheetId="0">基本設定!#REF!</definedName>
    <definedName name="外部資料_150" localSheetId="4">評比系統!#REF!</definedName>
    <definedName name="外部資料_1500" localSheetId="0">基本設定!$Q$1:$Q$1</definedName>
    <definedName name="外部資料_1501" localSheetId="0">基本設定!$Q$1:$Q$1</definedName>
    <definedName name="外部資料_1502" localSheetId="0">基本設定!$Q$1:$Q$1</definedName>
    <definedName name="外部資料_1503" localSheetId="0">基本設定!$Q$1:$Q$1</definedName>
    <definedName name="外部資料_1504" localSheetId="0">基本設定!$Q$1:$Q$1</definedName>
    <definedName name="外部資料_1505" localSheetId="0">基本設定!$Q$1:$Q$1</definedName>
    <definedName name="外部資料_1506" localSheetId="0">基本設定!$Q$1:$Q$1</definedName>
    <definedName name="外部資料_1507" localSheetId="0">基本設定!$Q$1:$Q$1</definedName>
    <definedName name="外部資料_1508" localSheetId="0">基本設定!$Q$1:$Q$1</definedName>
    <definedName name="外部資料_1509" localSheetId="0">基本設定!$Q$1:$Q$1</definedName>
    <definedName name="外部資料_151" localSheetId="12">PKA!#REF!</definedName>
    <definedName name="外部資料_151" localSheetId="13">PKB!#REF!</definedName>
    <definedName name="外部資料_151" localSheetId="14">PKC!#REF!</definedName>
    <definedName name="外部資料_151" localSheetId="7">公司債!#REF!</definedName>
    <definedName name="外部資料_151" localSheetId="0">基本設定!#REF!</definedName>
    <definedName name="外部資料_151" localSheetId="4">評比系統!#REF!</definedName>
    <definedName name="外部資料_1510" localSheetId="0">基本設定!$Q$1:$Q$1</definedName>
    <definedName name="外部資料_1511" localSheetId="0">基本設定!$Q$1:$Q$1</definedName>
    <definedName name="外部資料_1512" localSheetId="0">基本設定!$Q$1:$Q$1</definedName>
    <definedName name="外部資料_1513" localSheetId="0">基本設定!$Q$1:$Q$1</definedName>
    <definedName name="外部資料_1514" localSheetId="0">基本設定!$Q$1:$Q$1</definedName>
    <definedName name="外部資料_1515" localSheetId="0">基本設定!$Q$1:$Q$1</definedName>
    <definedName name="外部資料_1516" localSheetId="0">基本設定!$Q$1:$Q$1</definedName>
    <definedName name="外部資料_1517" localSheetId="0">基本設定!$Q$1:$Q$1</definedName>
    <definedName name="外部資料_1518" localSheetId="0">基本設定!$Q$1:$Q$1</definedName>
    <definedName name="外部資料_1519" localSheetId="0">基本設定!$Q$1:$Q$1</definedName>
    <definedName name="外部資料_152" localSheetId="12">PKA!#REF!</definedName>
    <definedName name="外部資料_152" localSheetId="13">PKB!#REF!</definedName>
    <definedName name="外部資料_152" localSheetId="14">PKC!#REF!</definedName>
    <definedName name="外部資料_152" localSheetId="7">公司債!#REF!</definedName>
    <definedName name="外部資料_152" localSheetId="0">基本設定!#REF!</definedName>
    <definedName name="外部資料_152" localSheetId="4">評比系統!#REF!</definedName>
    <definedName name="外部資料_1520" localSheetId="0">基本設定!$Q$1:$Q$1</definedName>
    <definedName name="外部資料_1521" localSheetId="0">基本設定!$Q$1:$Q$1</definedName>
    <definedName name="外部資料_1522" localSheetId="0">基本設定!$Q$1:$Q$1</definedName>
    <definedName name="外部資料_1523" localSheetId="0">基本設定!$Q$1:$Q$1</definedName>
    <definedName name="外部資料_1524" localSheetId="0">基本設定!$Q$1:$Q$1</definedName>
    <definedName name="外部資料_1525" localSheetId="0">基本設定!$Q$1:$Q$1</definedName>
    <definedName name="外部資料_1526" localSheetId="0">基本設定!$Q$1:$Q$1</definedName>
    <definedName name="外部資料_1527" localSheetId="0">基本設定!$Q$1:$Q$1</definedName>
    <definedName name="外部資料_1528" localSheetId="0">基本設定!$Q$1:$Q$1</definedName>
    <definedName name="外部資料_1529" localSheetId="0">基本設定!$Q$1:$Q$1</definedName>
    <definedName name="外部資料_153" localSheetId="12">PKA!#REF!</definedName>
    <definedName name="外部資料_153" localSheetId="13">PKB!#REF!</definedName>
    <definedName name="外部資料_153" localSheetId="14">PKC!#REF!</definedName>
    <definedName name="外部資料_153" localSheetId="7">公司債!#REF!</definedName>
    <definedName name="外部資料_153" localSheetId="0">基本設定!#REF!</definedName>
    <definedName name="外部資料_153" localSheetId="4">評比系統!#REF!</definedName>
    <definedName name="外部資料_1530" localSheetId="0">基本設定!$Q$1:$Q$1</definedName>
    <definedName name="外部資料_1531" localSheetId="0">基本設定!$Q$1:$Q$1</definedName>
    <definedName name="外部資料_1532" localSheetId="0">基本設定!$Q$1:$Q$1</definedName>
    <definedName name="外部資料_1533" localSheetId="0">基本設定!$Q$1:$Q$1</definedName>
    <definedName name="外部資料_1534" localSheetId="0">基本設定!$Q$1:$Q$1</definedName>
    <definedName name="外部資料_1535" localSheetId="0">基本設定!$Q$1:$Q$1</definedName>
    <definedName name="外部資料_1536" localSheetId="0">基本設定!$Q$1:$Q$1</definedName>
    <definedName name="外部資料_1537" localSheetId="0">基本設定!$Q$1:$Q$1</definedName>
    <definedName name="外部資料_1538" localSheetId="0">基本設定!$Q$1:$Q$1</definedName>
    <definedName name="外部資料_1539" localSheetId="0">基本設定!$Q$1:$Q$1</definedName>
    <definedName name="外部資料_154" localSheetId="12">PKA!#REF!</definedName>
    <definedName name="外部資料_154" localSheetId="13">PKB!#REF!</definedName>
    <definedName name="外部資料_154" localSheetId="14">PKC!#REF!</definedName>
    <definedName name="外部資料_154" localSheetId="7">公司債!#REF!</definedName>
    <definedName name="外部資料_154" localSheetId="0">基本設定!#REF!</definedName>
    <definedName name="外部資料_154" localSheetId="4">評比系統!#REF!</definedName>
    <definedName name="外部資料_1540" localSheetId="0">基本設定!$Q$1:$Q$1</definedName>
    <definedName name="外部資料_1541" localSheetId="0">基本設定!$Q$1:$Q$1</definedName>
    <definedName name="外部資料_1542" localSheetId="0">基本設定!$Q$1:$Q$1</definedName>
    <definedName name="外部資料_1543" localSheetId="0">基本設定!$Q$1:$Q$1</definedName>
    <definedName name="外部資料_1544" localSheetId="0">基本設定!$Q$1:$Q$1</definedName>
    <definedName name="外部資料_1545" localSheetId="0">基本設定!$Q$1:$Q$1</definedName>
    <definedName name="外部資料_1546" localSheetId="0">基本設定!$Q$1:$Q$1</definedName>
    <definedName name="外部資料_1547" localSheetId="0">基本設定!$Q$1:$Q$1</definedName>
    <definedName name="外部資料_1548" localSheetId="0">基本設定!$Q$1:$Q$1</definedName>
    <definedName name="外部資料_1549" localSheetId="0">基本設定!$Q$1:$Q$1</definedName>
    <definedName name="外部資料_155" localSheetId="12">PKA!#REF!</definedName>
    <definedName name="外部資料_155" localSheetId="13">PKB!#REF!</definedName>
    <definedName name="外部資料_155" localSheetId="14">PKC!#REF!</definedName>
    <definedName name="外部資料_155" localSheetId="7">公司債!#REF!</definedName>
    <definedName name="外部資料_155" localSheetId="2">紅綠燈!#REF!</definedName>
    <definedName name="外部資料_155" localSheetId="0">基本設定!#REF!</definedName>
    <definedName name="外部資料_155" localSheetId="4">評比系統!#REF!</definedName>
    <definedName name="外部資料_1550" localSheetId="0">基本設定!$Q$1:$Q$1</definedName>
    <definedName name="外部資料_1551" localSheetId="0">基本設定!$Q$1:$Q$1</definedName>
    <definedName name="外部資料_1552" localSheetId="0">基本設定!$Q$1:$Q$1</definedName>
    <definedName name="外部資料_1553" localSheetId="0">基本設定!$Q$1:$Q$1</definedName>
    <definedName name="外部資料_1554" localSheetId="0">基本設定!$Q$1:$Q$1</definedName>
    <definedName name="外部資料_1555" localSheetId="0">基本設定!$Q$1:$Q$1</definedName>
    <definedName name="外部資料_1556" localSheetId="0">基本設定!$Q$1:$Q$1</definedName>
    <definedName name="外部資料_1557" localSheetId="0">基本設定!$Q$1:$Q$1</definedName>
    <definedName name="外部資料_1558" localSheetId="0">基本設定!$Q$1:$Q$1</definedName>
    <definedName name="外部資料_1559" localSheetId="0">基本設定!$Q$1:$Q$1</definedName>
    <definedName name="外部資料_156" localSheetId="12">PKA!#REF!</definedName>
    <definedName name="外部資料_156" localSheetId="13">PKB!#REF!</definedName>
    <definedName name="外部資料_156" localSheetId="14">PKC!#REF!</definedName>
    <definedName name="外部資料_156" localSheetId="7">公司債!#REF!</definedName>
    <definedName name="外部資料_156" localSheetId="0">基本設定!#REF!</definedName>
    <definedName name="外部資料_156" localSheetId="4">評比系統!#REF!</definedName>
    <definedName name="外部資料_1560" localSheetId="0">基本設定!$Q$1:$Q$1</definedName>
    <definedName name="外部資料_1561" localSheetId="0">基本設定!$Q$1:$Q$1</definedName>
    <definedName name="外部資料_1562" localSheetId="0">基本設定!$Q$1:$Q$1</definedName>
    <definedName name="外部資料_1563" localSheetId="0">基本設定!$Q$1:$Q$1</definedName>
    <definedName name="外部資料_1564" localSheetId="0">基本設定!$Q$1:$Q$1</definedName>
    <definedName name="外部資料_1565" localSheetId="0">基本設定!$Q$1:$Q$1</definedName>
    <definedName name="外部資料_1566" localSheetId="0">基本設定!$Q$1:$Q$1</definedName>
    <definedName name="外部資料_1567" localSheetId="0">基本設定!$Q$1:$Q$1</definedName>
    <definedName name="外部資料_1568" localSheetId="0">基本設定!$Q$1:$Q$1</definedName>
    <definedName name="外部資料_1569" localSheetId="0">基本設定!$Q$1:$Q$1</definedName>
    <definedName name="外部資料_157" localSheetId="12">PKA!#REF!</definedName>
    <definedName name="外部資料_157" localSheetId="13">PKB!#REF!</definedName>
    <definedName name="外部資料_157" localSheetId="14">PKC!#REF!</definedName>
    <definedName name="外部資料_157" localSheetId="7">公司債!#REF!</definedName>
    <definedName name="外部資料_157" localSheetId="0">基本設定!#REF!</definedName>
    <definedName name="外部資料_157" localSheetId="4">評比系統!#REF!</definedName>
    <definedName name="外部資料_1570" localSheetId="0">基本設定!$Q$1:$Q$1</definedName>
    <definedName name="外部資料_1571" localSheetId="0">基本設定!$Q$1:$Q$1</definedName>
    <definedName name="外部資料_1572" localSheetId="0">基本設定!$Q$1:$Q$1</definedName>
    <definedName name="外部資料_1573" localSheetId="0">基本設定!$Q$1:$Q$1</definedName>
    <definedName name="外部資料_1574" localSheetId="0">基本設定!$Q$1:$Q$1</definedName>
    <definedName name="外部資料_1575" localSheetId="0">基本設定!$Q$1:$Q$1</definedName>
    <definedName name="外部資料_1576" localSheetId="0">基本設定!$Q$1:$Q$1</definedName>
    <definedName name="外部資料_1577" localSheetId="0">基本設定!$Q$1:$Q$1</definedName>
    <definedName name="外部資料_1578" localSheetId="0">基本設定!$Q$1:$Q$1</definedName>
    <definedName name="外部資料_1579" localSheetId="0">基本設定!$Q$1:$Q$1</definedName>
    <definedName name="外部資料_158" localSheetId="12">PKA!#REF!</definedName>
    <definedName name="外部資料_158" localSheetId="13">PKB!#REF!</definedName>
    <definedName name="外部資料_158" localSheetId="14">PKC!#REF!</definedName>
    <definedName name="外部資料_158" localSheetId="7">公司債!#REF!</definedName>
    <definedName name="外部資料_158" localSheetId="0">基本設定!#REF!</definedName>
    <definedName name="外部資料_158" localSheetId="4">評比系統!#REF!</definedName>
    <definedName name="外部資料_1580" localSheetId="0">基本設定!$Q$1:$Q$1</definedName>
    <definedName name="外部資料_1581" localSheetId="0">基本設定!$Q$1:$Q$1</definedName>
    <definedName name="外部資料_1582" localSheetId="0">基本設定!$Q$1:$Q$1</definedName>
    <definedName name="外部資料_1583" localSheetId="0">基本設定!$Q$1:$Q$1</definedName>
    <definedName name="外部資料_1584" localSheetId="0">基本設定!$Q$1:$Q$1</definedName>
    <definedName name="外部資料_1585" localSheetId="0">基本設定!$Q$1:$Q$1</definedName>
    <definedName name="外部資料_1586" localSheetId="0">基本設定!$Q$1:$Q$1</definedName>
    <definedName name="外部資料_1587" localSheetId="0">基本設定!$Q$1:$Q$1</definedName>
    <definedName name="外部資料_1588" localSheetId="0">基本設定!$Q$1:$Q$1</definedName>
    <definedName name="外部資料_1589" localSheetId="0">基本設定!$Q$1:$Q$1</definedName>
    <definedName name="外部資料_159" localSheetId="12">PKA!#REF!</definedName>
    <definedName name="外部資料_159" localSheetId="13">PKB!#REF!</definedName>
    <definedName name="外部資料_159" localSheetId="14">PKC!#REF!</definedName>
    <definedName name="外部資料_159" localSheetId="7">公司債!#REF!</definedName>
    <definedName name="外部資料_159" localSheetId="0">基本設定!#REF!</definedName>
    <definedName name="外部資料_159" localSheetId="4">評比系統!#REF!</definedName>
    <definedName name="外部資料_1590" localSheetId="0">基本設定!$Q$1:$Q$1</definedName>
    <definedName name="外部資料_1591" localSheetId="0">基本設定!$Q$1:$Q$1</definedName>
    <definedName name="外部資料_1592" localSheetId="0">基本設定!$Q$1:$Q$1</definedName>
    <definedName name="外部資料_1593" localSheetId="0">基本設定!$Q$1:$Q$1</definedName>
    <definedName name="外部資料_1594" localSheetId="0">基本設定!$Q$1:$Q$1</definedName>
    <definedName name="外部資料_1595" localSheetId="0">基本設定!$Q$1:$Q$1</definedName>
    <definedName name="外部資料_1596" localSheetId="0">基本設定!$Q$1:$Q$1</definedName>
    <definedName name="外部資料_1597" localSheetId="0">基本設定!$Q$1:$Q$1</definedName>
    <definedName name="外部資料_1598" localSheetId="0">基本設定!$Q$1:$Q$1</definedName>
    <definedName name="外部資料_1599" localSheetId="0">基本設定!$Q$1:$Q$1</definedName>
    <definedName name="外部資料_16" localSheetId="12">PKA!#REF!</definedName>
    <definedName name="外部資料_16" localSheetId="13">PKB!#REF!</definedName>
    <definedName name="外部資料_16" localSheetId="14">PKC!#REF!</definedName>
    <definedName name="外部資料_16" localSheetId="7">公司債!#REF!</definedName>
    <definedName name="外部資料_16" localSheetId="2">紅綠燈!#REF!</definedName>
    <definedName name="外部資料_16" localSheetId="0">基本設定!#REF!</definedName>
    <definedName name="外部資料_16" localSheetId="4">評比系統!#REF!</definedName>
    <definedName name="外部資料_16" localSheetId="5">搶先報!#REF!</definedName>
    <definedName name="外部資料_160" localSheetId="12">PKA!#REF!</definedName>
    <definedName name="外部資料_160" localSheetId="13">PKB!#REF!</definedName>
    <definedName name="外部資料_160" localSheetId="14">PKC!#REF!</definedName>
    <definedName name="外部資料_160" localSheetId="7">公司債!#REF!</definedName>
    <definedName name="外部資料_160" localSheetId="0">基本設定!#REF!</definedName>
    <definedName name="外部資料_160" localSheetId="4">評比系統!#REF!</definedName>
    <definedName name="外部資料_1600" localSheetId="0">基本設定!$Q$1:$Q$1</definedName>
    <definedName name="外部資料_1601" localSheetId="0">基本設定!$Q$1:$Q$1</definedName>
    <definedName name="外部資料_1602" localSheetId="0">基本設定!$Q$1:$Q$1</definedName>
    <definedName name="外部資料_1603" localSheetId="0">基本設定!$Q$1:$Q$1</definedName>
    <definedName name="外部資料_1604" localSheetId="0">基本設定!$Q$1:$Q$1</definedName>
    <definedName name="外部資料_1605" localSheetId="0">基本設定!$Q$1:$Q$1</definedName>
    <definedName name="外部資料_1606" localSheetId="0">基本設定!$Q$1:$Q$1</definedName>
    <definedName name="外部資料_1607" localSheetId="0">基本設定!$Q$1:$Q$1</definedName>
    <definedName name="外部資料_1608" localSheetId="0">基本設定!$Q$1:$Q$1</definedName>
    <definedName name="外部資料_1609" localSheetId="0">基本設定!$Q$1:$Q$1</definedName>
    <definedName name="外部資料_161" localSheetId="12">PKA!#REF!</definedName>
    <definedName name="外部資料_161" localSheetId="13">PKB!#REF!</definedName>
    <definedName name="外部資料_161" localSheetId="14">PKC!#REF!</definedName>
    <definedName name="外部資料_161" localSheetId="7">公司債!#REF!</definedName>
    <definedName name="外部資料_161" localSheetId="0">基本設定!#REF!</definedName>
    <definedName name="外部資料_161" localSheetId="4">評比系統!#REF!</definedName>
    <definedName name="外部資料_1610" localSheetId="0">基本設定!$Q$1:$Q$1</definedName>
    <definedName name="外部資料_1611" localSheetId="0">基本設定!$Q$1:$Q$1</definedName>
    <definedName name="外部資料_1612" localSheetId="0">基本設定!$Q$1:$Q$1</definedName>
    <definedName name="外部資料_1613" localSheetId="0">基本設定!$Q$1:$Q$1</definedName>
    <definedName name="外部資料_1614" localSheetId="0">基本設定!$Q$1:$Q$1</definedName>
    <definedName name="外部資料_1615" localSheetId="0">基本設定!$Q$1:$Q$1</definedName>
    <definedName name="外部資料_1616" localSheetId="0">基本設定!$Q$1:$Q$1</definedName>
    <definedName name="外部資料_1617" localSheetId="0">基本設定!$Q$1:$Q$1</definedName>
    <definedName name="外部資料_1618" localSheetId="0">基本設定!$Q$1:$Q$1</definedName>
    <definedName name="外部資料_1619" localSheetId="0">基本設定!$Q$1:$Q$1</definedName>
    <definedName name="外部資料_162" localSheetId="12">PKA!#REF!</definedName>
    <definedName name="外部資料_162" localSheetId="13">PKB!#REF!</definedName>
    <definedName name="外部資料_162" localSheetId="14">PKC!#REF!</definedName>
    <definedName name="外部資料_162" localSheetId="7">公司債!#REF!</definedName>
    <definedName name="外部資料_162" localSheetId="0">基本設定!#REF!</definedName>
    <definedName name="外部資料_162" localSheetId="4">評比系統!#REF!</definedName>
    <definedName name="外部資料_1620" localSheetId="0">基本設定!$Q$1:$Q$1</definedName>
    <definedName name="外部資料_1621" localSheetId="0">基本設定!$Q$1:$Q$1</definedName>
    <definedName name="外部資料_1622" localSheetId="0">基本設定!$Q$1:$Q$1</definedName>
    <definedName name="外部資料_1623" localSheetId="0">基本設定!$Q$1:$Q$1</definedName>
    <definedName name="外部資料_1624" localSheetId="0">基本設定!$Q$1:$Q$1</definedName>
    <definedName name="外部資料_1625" localSheetId="0">基本設定!$Q$1:$Q$1</definedName>
    <definedName name="外部資料_1626" localSheetId="0">基本設定!$Q$1:$Q$1</definedName>
    <definedName name="外部資料_1627" localSheetId="0">基本設定!$Q$1:$Q$1</definedName>
    <definedName name="外部資料_1628" localSheetId="0">基本設定!$Q$1:$Q$1</definedName>
    <definedName name="外部資料_1629" localSheetId="0">基本設定!$Q$1:$Q$1</definedName>
    <definedName name="外部資料_163" localSheetId="12">PKA!#REF!</definedName>
    <definedName name="外部資料_163" localSheetId="13">PKB!#REF!</definedName>
    <definedName name="外部資料_163" localSheetId="14">PKC!#REF!</definedName>
    <definedName name="外部資料_163" localSheetId="7">公司債!#REF!</definedName>
    <definedName name="外部資料_163" localSheetId="0">基本設定!#REF!</definedName>
    <definedName name="外部資料_163" localSheetId="4">評比系統!#REF!</definedName>
    <definedName name="外部資料_1630" localSheetId="0">基本設定!$Q$1:$Q$1</definedName>
    <definedName name="外部資料_1631" localSheetId="0">基本設定!$Q$1:$Q$1</definedName>
    <definedName name="外部資料_1632" localSheetId="0">基本設定!$Q$1:$Q$1</definedName>
    <definedName name="外部資料_1633" localSheetId="0">基本設定!$Q$1:$Q$1</definedName>
    <definedName name="外部資料_1634" localSheetId="0">基本設定!$Q$1:$Q$1</definedName>
    <definedName name="外部資料_1635" localSheetId="0">基本設定!$Q$1:$Q$1</definedName>
    <definedName name="外部資料_1636" localSheetId="0">基本設定!$Q$1:$Q$1</definedName>
    <definedName name="外部資料_1637" localSheetId="0">基本設定!$Q$1:$Q$1</definedName>
    <definedName name="外部資料_1638" localSheetId="0">基本設定!$Q$1:$Q$1</definedName>
    <definedName name="外部資料_1639" localSheetId="0">基本設定!$Q$1:$Q$1</definedName>
    <definedName name="外部資料_164" localSheetId="12">PKA!#REF!</definedName>
    <definedName name="外部資料_164" localSheetId="13">PKB!#REF!</definedName>
    <definedName name="外部資料_164" localSheetId="14">PKC!#REF!</definedName>
    <definedName name="外部資料_164" localSheetId="7">公司債!#REF!</definedName>
    <definedName name="外部資料_164" localSheetId="0">基本設定!#REF!</definedName>
    <definedName name="外部資料_164" localSheetId="4">評比系統!#REF!</definedName>
    <definedName name="外部資料_1640" localSheetId="0">基本設定!$Q$1:$Q$1</definedName>
    <definedName name="外部資料_1641" localSheetId="0">基本設定!$Q$1:$Q$1</definedName>
    <definedName name="外部資料_1642" localSheetId="0">基本設定!$Q$1:$Q$1</definedName>
    <definedName name="外部資料_1643" localSheetId="0">基本設定!$Q$1:$Q$1</definedName>
    <definedName name="外部資料_1644" localSheetId="0">基本設定!$Q$1:$Q$1</definedName>
    <definedName name="外部資料_1645" localSheetId="0">基本設定!$Q$1:$Q$1</definedName>
    <definedName name="外部資料_1646" localSheetId="0">基本設定!$Q$1:$Q$1</definedName>
    <definedName name="外部資料_1647" localSheetId="0">基本設定!$Q$1:$Q$1</definedName>
    <definedName name="外部資料_1648" localSheetId="0">基本設定!$Q$1:$Q$1</definedName>
    <definedName name="外部資料_1649" localSheetId="0">基本設定!$Q$1:$Q$1</definedName>
    <definedName name="外部資料_165" localSheetId="12">PKA!#REF!</definedName>
    <definedName name="外部資料_165" localSheetId="13">PKB!#REF!</definedName>
    <definedName name="外部資料_165" localSheetId="14">PKC!#REF!</definedName>
    <definedName name="外部資料_165" localSheetId="7">公司債!#REF!</definedName>
    <definedName name="外部資料_165" localSheetId="0">基本設定!#REF!</definedName>
    <definedName name="外部資料_165" localSheetId="4">評比系統!#REF!</definedName>
    <definedName name="外部資料_1650" localSheetId="0">基本設定!$Q$1:$Q$1</definedName>
    <definedName name="外部資料_1651" localSheetId="0">基本設定!$Q$1:$Q$1</definedName>
    <definedName name="外部資料_1652" localSheetId="0">基本設定!$Q$1:$Q$1</definedName>
    <definedName name="外部資料_1653" localSheetId="0">基本設定!$Q$1:$Q$1</definedName>
    <definedName name="外部資料_1654" localSheetId="0">基本設定!$Q$1:$Q$1</definedName>
    <definedName name="外部資料_1655" localSheetId="0">基本設定!$Q$1:$Q$1</definedName>
    <definedName name="外部資料_1656" localSheetId="0">基本設定!$Q$1:$Q$1</definedName>
    <definedName name="外部資料_1657" localSheetId="0">基本設定!$Q$1:$Q$1</definedName>
    <definedName name="外部資料_1658" localSheetId="0">基本設定!$Q$1:$Q$1</definedName>
    <definedName name="外部資料_1659" localSheetId="0">基本設定!$Q$1:$Q$1</definedName>
    <definedName name="外部資料_166" localSheetId="12">PKA!#REF!</definedName>
    <definedName name="外部資料_166" localSheetId="13">PKB!#REF!</definedName>
    <definedName name="外部資料_166" localSheetId="14">PKC!#REF!</definedName>
    <definedName name="外部資料_166" localSheetId="7">公司債!#REF!</definedName>
    <definedName name="外部資料_166" localSheetId="0">基本設定!#REF!</definedName>
    <definedName name="外部資料_166" localSheetId="4">評比系統!#REF!</definedName>
    <definedName name="外部資料_1660" localSheetId="0">基本設定!$Q$1:$Q$1</definedName>
    <definedName name="外部資料_1661" localSheetId="0">基本設定!$Q$1:$Q$1</definedName>
    <definedName name="外部資料_1662" localSheetId="0">基本設定!$Q$1:$Q$1</definedName>
    <definedName name="外部資料_1663" localSheetId="0">基本設定!$Q$1:$Q$1</definedName>
    <definedName name="外部資料_1664" localSheetId="0">基本設定!$Q$1:$Q$1</definedName>
    <definedName name="外部資料_1665" localSheetId="0">基本設定!$Q$1:$Q$1</definedName>
    <definedName name="外部資料_1666" localSheetId="0">基本設定!$Q$1:$Q$1</definedName>
    <definedName name="外部資料_1667" localSheetId="0">基本設定!$Q$1:$Q$1</definedName>
    <definedName name="外部資料_1668" localSheetId="0">基本設定!$Q$1:$Q$1</definedName>
    <definedName name="外部資料_1669" localSheetId="0">基本設定!$Q$1:$Q$1</definedName>
    <definedName name="外部資料_167" localSheetId="12">PKA!#REF!</definedName>
    <definedName name="外部資料_167" localSheetId="13">PKB!#REF!</definedName>
    <definedName name="外部資料_167" localSheetId="14">PKC!#REF!</definedName>
    <definedName name="外部資料_167" localSheetId="7">公司債!#REF!</definedName>
    <definedName name="外部資料_167" localSheetId="0">基本設定!#REF!</definedName>
    <definedName name="外部資料_167" localSheetId="4">評比系統!#REF!</definedName>
    <definedName name="外部資料_1670" localSheetId="0">基本設定!$Q$1:$Q$1</definedName>
    <definedName name="外部資料_1671" localSheetId="0">基本設定!$Q$1:$Q$1</definedName>
    <definedName name="外部資料_1672" localSheetId="0">基本設定!$Q$1:$Q$1</definedName>
    <definedName name="外部資料_1673" localSheetId="0">基本設定!$Q$1:$Q$1</definedName>
    <definedName name="外部資料_1674" localSheetId="0">基本設定!$Q$1:$Q$1</definedName>
    <definedName name="外部資料_1675" localSheetId="0">基本設定!$Q$1:$Q$1</definedName>
    <definedName name="外部資料_1676" localSheetId="0">基本設定!$Q$1:$Q$1</definedName>
    <definedName name="外部資料_1677" localSheetId="0">基本設定!$Q$1:$Q$1</definedName>
    <definedName name="外部資料_1678" localSheetId="0">基本設定!$Q$1:$Q$1</definedName>
    <definedName name="外部資料_1679" localSheetId="0">基本設定!$Q$1:$Q$1</definedName>
    <definedName name="外部資料_168" localSheetId="12">PKA!#REF!</definedName>
    <definedName name="外部資料_168" localSheetId="13">PKB!#REF!</definedName>
    <definedName name="外部資料_168" localSheetId="14">PKC!#REF!</definedName>
    <definedName name="外部資料_168" localSheetId="7">公司債!#REF!</definedName>
    <definedName name="外部資料_168" localSheetId="0">基本設定!#REF!</definedName>
    <definedName name="外部資料_168" localSheetId="4">評比系統!#REF!</definedName>
    <definedName name="外部資料_1680" localSheetId="0">基本設定!$Q$1:$Q$1</definedName>
    <definedName name="外部資料_1681" localSheetId="0">基本設定!$Q$1:$Q$1</definedName>
    <definedName name="外部資料_1682" localSheetId="0">基本設定!$Q$1:$Q$1</definedName>
    <definedName name="外部資料_1683" localSheetId="0">基本設定!$Q$1:$Q$1</definedName>
    <definedName name="外部資料_1684" localSheetId="0">基本設定!$Q$1:$Q$1</definedName>
    <definedName name="外部資料_1685" localSheetId="0">基本設定!$Q$1:$Q$1</definedName>
    <definedName name="外部資料_1686" localSheetId="0">基本設定!$Q$1:$Q$1</definedName>
    <definedName name="外部資料_1687" localSheetId="0">基本設定!$Q$1:$Q$1</definedName>
    <definedName name="外部資料_1688" localSheetId="0">基本設定!$Q$1:$Q$1</definedName>
    <definedName name="外部資料_1689" localSheetId="0">基本設定!$Q$1:$Q$1</definedName>
    <definedName name="外部資料_169" localSheetId="12">PKA!#REF!</definedName>
    <definedName name="外部資料_169" localSheetId="13">PKB!#REF!</definedName>
    <definedName name="外部資料_169" localSheetId="14">PKC!#REF!</definedName>
    <definedName name="外部資料_169" localSheetId="7">公司債!#REF!</definedName>
    <definedName name="外部資料_169" localSheetId="0">基本設定!#REF!</definedName>
    <definedName name="外部資料_169" localSheetId="4">評比系統!#REF!</definedName>
    <definedName name="外部資料_1690" localSheetId="0">基本設定!$Q$1:$Q$1</definedName>
    <definedName name="外部資料_1691" localSheetId="0">基本設定!$Q$1:$Q$1</definedName>
    <definedName name="外部資料_1692" localSheetId="0">基本設定!$Q$1:$Q$1</definedName>
    <definedName name="外部資料_1693" localSheetId="0">基本設定!$Q$1:$Q$1</definedName>
    <definedName name="外部資料_1694" localSheetId="0">基本設定!$Q$1:$Q$1</definedName>
    <definedName name="外部資料_1695" localSheetId="0">基本設定!$Q$1:$Q$1</definedName>
    <definedName name="外部資料_1696" localSheetId="0">基本設定!$Q$1:$Q$1</definedName>
    <definedName name="外部資料_1697" localSheetId="0">基本設定!$Q$1:$Q$1</definedName>
    <definedName name="外部資料_1698" localSheetId="0">基本設定!$Q$1:$Q$1</definedName>
    <definedName name="外部資料_1699" localSheetId="0">基本設定!$Q$1:$Q$1</definedName>
    <definedName name="外部資料_17" localSheetId="12">PKA!#REF!</definedName>
    <definedName name="外部資料_17" localSheetId="13">PKB!#REF!</definedName>
    <definedName name="外部資料_17" localSheetId="14">PKC!#REF!</definedName>
    <definedName name="外部資料_17" localSheetId="7">公司債!#REF!</definedName>
    <definedName name="外部資料_17" localSheetId="2">紅綠燈!#REF!</definedName>
    <definedName name="外部資料_17" localSheetId="0">基本設定!#REF!</definedName>
    <definedName name="外部資料_17" localSheetId="4">評比系統!#REF!</definedName>
    <definedName name="外部資料_17" localSheetId="5">搶先報!#REF!</definedName>
    <definedName name="外部資料_170" localSheetId="12">PKA!#REF!</definedName>
    <definedName name="外部資料_170" localSheetId="13">PKB!#REF!</definedName>
    <definedName name="外部資料_170" localSheetId="14">PKC!#REF!</definedName>
    <definedName name="外部資料_170" localSheetId="7">公司債!#REF!</definedName>
    <definedName name="外部資料_170" localSheetId="0">基本設定!#REF!</definedName>
    <definedName name="外部資料_170" localSheetId="4">評比系統!#REF!</definedName>
    <definedName name="外部資料_1700" localSheetId="0">基本設定!$Q$1:$Q$1</definedName>
    <definedName name="外部資料_1701" localSheetId="0">基本設定!$Q$1:$Q$1</definedName>
    <definedName name="外部資料_1702" localSheetId="0">基本設定!$Q$1:$Q$1</definedName>
    <definedName name="外部資料_1703" localSheetId="0">基本設定!$Q$1:$Q$1</definedName>
    <definedName name="外部資料_1704" localSheetId="0">基本設定!$Q$1:$Q$1</definedName>
    <definedName name="外部資料_1705" localSheetId="0">基本設定!$Q$1:$Q$1</definedName>
    <definedName name="外部資料_1706" localSheetId="0">基本設定!$Q$1:$Q$1</definedName>
    <definedName name="外部資料_1707" localSheetId="0">基本設定!$Q$1:$Q$1</definedName>
    <definedName name="外部資料_1708" localSheetId="0">基本設定!$Q$1:$Q$1</definedName>
    <definedName name="外部資料_1709" localSheetId="0">基本設定!$Q$1:$Q$1</definedName>
    <definedName name="外部資料_171" localSheetId="12">PKA!#REF!</definedName>
    <definedName name="外部資料_171" localSheetId="13">PKB!#REF!</definedName>
    <definedName name="外部資料_171" localSheetId="14">PKC!#REF!</definedName>
    <definedName name="外部資料_171" localSheetId="7">公司債!#REF!</definedName>
    <definedName name="外部資料_171" localSheetId="0">基本設定!#REF!</definedName>
    <definedName name="外部資料_171" localSheetId="4">評比系統!#REF!</definedName>
    <definedName name="外部資料_1710" localSheetId="0">基本設定!$Q$1:$Q$1</definedName>
    <definedName name="外部資料_1711" localSheetId="0">基本設定!$Q$1:$Q$1</definedName>
    <definedName name="外部資料_1712" localSheetId="0">基本設定!$Q$1:$Q$1</definedName>
    <definedName name="外部資料_1713" localSheetId="0">基本設定!$Q$1:$Q$1</definedName>
    <definedName name="外部資料_1714" localSheetId="0">基本設定!$Q$1:$Q$1</definedName>
    <definedName name="外部資料_1715" localSheetId="0">基本設定!$Q$1:$Q$1</definedName>
    <definedName name="外部資料_1716" localSheetId="0">基本設定!$Q$1:$Q$1</definedName>
    <definedName name="外部資料_1717" localSheetId="0">基本設定!$Q$1:$Q$1</definedName>
    <definedName name="外部資料_1718" localSheetId="0">基本設定!$Q$1:$Q$1</definedName>
    <definedName name="外部資料_1719" localSheetId="0">基本設定!$Q$1:$Q$1</definedName>
    <definedName name="外部資料_172" localSheetId="12">PKA!#REF!</definedName>
    <definedName name="外部資料_172" localSheetId="13">PKB!#REF!</definedName>
    <definedName name="外部資料_172" localSheetId="14">PKC!#REF!</definedName>
    <definedName name="外部資料_172" localSheetId="7">公司債!#REF!</definedName>
    <definedName name="外部資料_172" localSheetId="0">基本設定!#REF!</definedName>
    <definedName name="外部資料_172" localSheetId="4">評比系統!#REF!</definedName>
    <definedName name="外部資料_1720" localSheetId="0">基本設定!$Q$1:$Q$1</definedName>
    <definedName name="外部資料_1721" localSheetId="0">基本設定!$Q$1:$Q$1</definedName>
    <definedName name="外部資料_1722" localSheetId="0">基本設定!$Q$1:$Q$1</definedName>
    <definedName name="外部資料_1723" localSheetId="0">基本設定!$Q$1:$Q$1</definedName>
    <definedName name="外部資料_1724" localSheetId="0">基本設定!$Q$1:$Q$1</definedName>
    <definedName name="外部資料_1725" localSheetId="0">基本設定!$Q$1:$Q$1</definedName>
    <definedName name="外部資料_1726" localSheetId="0">基本設定!$Q$1:$Q$1</definedName>
    <definedName name="外部資料_1727" localSheetId="0">基本設定!$Q$1:$Q$1</definedName>
    <definedName name="外部資料_1728" localSheetId="0">基本設定!$Q$1:$Q$1</definedName>
    <definedName name="外部資料_1729" localSheetId="0">基本設定!$Q$1:$Q$1</definedName>
    <definedName name="外部資料_173" localSheetId="12">PKA!#REF!</definedName>
    <definedName name="外部資料_173" localSheetId="13">PKB!#REF!</definedName>
    <definedName name="外部資料_173" localSheetId="14">PKC!#REF!</definedName>
    <definedName name="外部資料_173" localSheetId="7">公司債!#REF!</definedName>
    <definedName name="外部資料_173" localSheetId="0">基本設定!#REF!</definedName>
    <definedName name="外部資料_173" localSheetId="4">評比系統!#REF!</definedName>
    <definedName name="外部資料_1730" localSheetId="0">基本設定!$Q$1:$Q$1</definedName>
    <definedName name="外部資料_1731" localSheetId="0">基本設定!$Q$1:$Q$1</definedName>
    <definedName name="外部資料_1732" localSheetId="0">基本設定!$Q$1:$Q$1</definedName>
    <definedName name="外部資料_1733" localSheetId="0">基本設定!$Q$1:$Q$1</definedName>
    <definedName name="外部資料_1734" localSheetId="0">基本設定!$Q$1:$Q$1</definedName>
    <definedName name="外部資料_1735" localSheetId="0">基本設定!$Q$1:$Q$1</definedName>
    <definedName name="外部資料_1736" localSheetId="0">基本設定!$Q$1:$Q$1</definedName>
    <definedName name="外部資料_1737" localSheetId="0">基本設定!$Q$1:$Q$1</definedName>
    <definedName name="外部資料_1738" localSheetId="0">基本設定!$Q$1:$Q$1</definedName>
    <definedName name="外部資料_1739" localSheetId="0">基本設定!$Q$1:$Q$1</definedName>
    <definedName name="外部資料_174" localSheetId="12">PKA!#REF!</definedName>
    <definedName name="外部資料_174" localSheetId="13">PKB!#REF!</definedName>
    <definedName name="外部資料_174" localSheetId="14">PKC!#REF!</definedName>
    <definedName name="外部資料_174" localSheetId="7">公司債!#REF!</definedName>
    <definedName name="外部資料_174" localSheetId="0">基本設定!#REF!</definedName>
    <definedName name="外部資料_174" localSheetId="4">評比系統!#REF!</definedName>
    <definedName name="外部資料_1740" localSheetId="0">基本設定!$Q$1:$Q$1</definedName>
    <definedName name="外部資料_1741" localSheetId="0">基本設定!$Q$1:$Q$1</definedName>
    <definedName name="外部資料_1742" localSheetId="0">基本設定!$Q$1:$Q$1</definedName>
    <definedName name="外部資料_1743" localSheetId="0">基本設定!$Q$1:$Q$1</definedName>
    <definedName name="外部資料_1744" localSheetId="0">基本設定!$Q$1:$Q$1</definedName>
    <definedName name="外部資料_1745" localSheetId="0">基本設定!$Q$1:$Q$1</definedName>
    <definedName name="外部資料_1746" localSheetId="0">基本設定!$Q$1:$Q$1</definedName>
    <definedName name="外部資料_1747" localSheetId="0">基本設定!$Q$1:$Q$1</definedName>
    <definedName name="外部資料_1748" localSheetId="0">基本設定!$Q$1:$Q$1</definedName>
    <definedName name="外部資料_1749" localSheetId="0">基本設定!$Q$1:$Q$1</definedName>
    <definedName name="外部資料_175" localSheetId="12">PKA!#REF!</definedName>
    <definedName name="外部資料_175" localSheetId="13">PKB!#REF!</definedName>
    <definedName name="外部資料_175" localSheetId="14">PKC!#REF!</definedName>
    <definedName name="外部資料_175" localSheetId="7">公司債!#REF!</definedName>
    <definedName name="外部資料_175" localSheetId="0">基本設定!#REF!</definedName>
    <definedName name="外部資料_175" localSheetId="4">評比系統!#REF!</definedName>
    <definedName name="外部資料_1750" localSheetId="0">基本設定!$Q$1:$Q$1</definedName>
    <definedName name="外部資料_1751" localSheetId="0">基本設定!$Q$1:$Q$1</definedName>
    <definedName name="外部資料_1752" localSheetId="0">基本設定!$Q$1:$Q$1</definedName>
    <definedName name="外部資料_1753" localSheetId="0">基本設定!$Q$1:$Q$1</definedName>
    <definedName name="外部資料_1754" localSheetId="0">基本設定!$Q$1:$Q$1</definedName>
    <definedName name="外部資料_1755" localSheetId="0">基本設定!$Q$1:$Q$1</definedName>
    <definedName name="外部資料_1756" localSheetId="0">基本設定!$Q$1:$Q$1</definedName>
    <definedName name="外部資料_1757" localSheetId="0">基本設定!$Q$1:$Q$1</definedName>
    <definedName name="外部資料_1758" localSheetId="0">基本設定!$Q$1:$Q$1</definedName>
    <definedName name="外部資料_1759" localSheetId="0">基本設定!$Q$1:$Q$1</definedName>
    <definedName name="外部資料_176" localSheetId="12">PKA!#REF!</definedName>
    <definedName name="外部資料_176" localSheetId="13">PKB!#REF!</definedName>
    <definedName name="外部資料_176" localSheetId="14">PKC!#REF!</definedName>
    <definedName name="外部資料_176" localSheetId="7">公司債!#REF!</definedName>
    <definedName name="外部資料_176" localSheetId="0">基本設定!#REF!</definedName>
    <definedName name="外部資料_176" localSheetId="4">評比系統!#REF!</definedName>
    <definedName name="外部資料_1760" localSheetId="0">基本設定!$Q$1:$Q$1</definedName>
    <definedName name="外部資料_1761" localSheetId="0">基本設定!$Q$1:$Q$1</definedName>
    <definedName name="外部資料_1762" localSheetId="0">基本設定!$Q$1:$Q$1</definedName>
    <definedName name="外部資料_1763" localSheetId="0">基本設定!$Q$1:$Q$1</definedName>
    <definedName name="外部資料_1764" localSheetId="0">基本設定!$Q$1:$Q$1</definedName>
    <definedName name="外部資料_1765" localSheetId="0">基本設定!$Q$1:$Q$1</definedName>
    <definedName name="外部資料_1766" localSheetId="0">基本設定!$Q$1:$Q$1</definedName>
    <definedName name="外部資料_1767" localSheetId="0">基本設定!$Q$1:$Q$1</definedName>
    <definedName name="外部資料_1768" localSheetId="0">基本設定!$Q$1:$Q$1</definedName>
    <definedName name="外部資料_1769" localSheetId="0">基本設定!$Q$1:$Q$1</definedName>
    <definedName name="外部資料_177" localSheetId="12">PKA!#REF!</definedName>
    <definedName name="外部資料_177" localSheetId="13">PKB!#REF!</definedName>
    <definedName name="外部資料_177" localSheetId="14">PKC!#REF!</definedName>
    <definedName name="外部資料_177" localSheetId="7">公司債!#REF!</definedName>
    <definedName name="外部資料_177" localSheetId="0">基本設定!#REF!</definedName>
    <definedName name="外部資料_177" localSheetId="4">評比系統!#REF!</definedName>
    <definedName name="外部資料_1770" localSheetId="0">基本設定!$Q$1:$Q$1</definedName>
    <definedName name="外部資料_1771" localSheetId="0">基本設定!$Q$1:$Q$1</definedName>
    <definedName name="外部資料_1772" localSheetId="0">基本設定!$Q$1:$Q$1</definedName>
    <definedName name="外部資料_1773" localSheetId="0">基本設定!$Q$1:$Q$1</definedName>
    <definedName name="外部資料_1774" localSheetId="0">基本設定!$Q$1:$Q$1</definedName>
    <definedName name="外部資料_1775" localSheetId="0">基本設定!$Q$1:$Q$1</definedName>
    <definedName name="外部資料_1776" localSheetId="0">基本設定!$Q$1:$Q$1</definedName>
    <definedName name="外部資料_1777" localSheetId="0">基本設定!$Q$1:$Q$1</definedName>
    <definedName name="外部資料_1778" localSheetId="0">基本設定!$Q$1:$Q$1</definedName>
    <definedName name="外部資料_1779" localSheetId="0">基本設定!$Q$1:$Q$1</definedName>
    <definedName name="外部資料_178" localSheetId="12">PKA!#REF!</definedName>
    <definedName name="外部資料_178" localSheetId="13">PKB!#REF!</definedName>
    <definedName name="外部資料_178" localSheetId="14">PKC!#REF!</definedName>
    <definedName name="外部資料_178" localSheetId="7">公司債!#REF!</definedName>
    <definedName name="外部資料_178" localSheetId="0">基本設定!#REF!</definedName>
    <definedName name="外部資料_178" localSheetId="4">評比系統!#REF!</definedName>
    <definedName name="外部資料_1780" localSheetId="0">基本設定!$Q$1:$Q$1</definedName>
    <definedName name="外部資料_1781" localSheetId="0">基本設定!$Q$1:$Q$1</definedName>
    <definedName name="外部資料_1782" localSheetId="0">基本設定!$Q$1:$Q$1</definedName>
    <definedName name="外部資料_1783" localSheetId="0">基本設定!$Q$1:$Q$1</definedName>
    <definedName name="外部資料_1784" localSheetId="0">基本設定!$Q$1:$Q$1</definedName>
    <definedName name="外部資料_1785" localSheetId="2">紅綠燈!#REF!</definedName>
    <definedName name="外部資料_1785" localSheetId="0">基本設定!$AA$1:$AE$17</definedName>
    <definedName name="外部資料_1786" localSheetId="0">基本設定!$Q$1:$U$17</definedName>
    <definedName name="外部資料_1787" localSheetId="2">紅綠燈!#REF!</definedName>
    <definedName name="外部資料_1787" localSheetId="0">基本設定!$V$1:$Z$17</definedName>
    <definedName name="外部資料_1788" localSheetId="2">紅綠燈!#REF!</definedName>
    <definedName name="外部資料_1788" localSheetId="0">基本設定!$AA$1:$AE$17</definedName>
    <definedName name="外部資料_1789" localSheetId="2">紅綠燈!#REF!</definedName>
    <definedName name="外部資料_1789" localSheetId="0">基本設定!$Q$1:$U$17</definedName>
    <definedName name="外部資料_179" localSheetId="12">PKA!#REF!</definedName>
    <definedName name="外部資料_179" localSheetId="13">PKB!#REF!</definedName>
    <definedName name="外部資料_179" localSheetId="14">PKC!#REF!</definedName>
    <definedName name="外部資料_179" localSheetId="7">公司債!#REF!</definedName>
    <definedName name="外部資料_179" localSheetId="0">基本設定!#REF!</definedName>
    <definedName name="外部資料_179" localSheetId="4">評比系統!#REF!</definedName>
    <definedName name="外部資料_1790" localSheetId="0">基本設定!$V$1:$Z$17</definedName>
    <definedName name="外部資料_1791" localSheetId="2">紅綠燈!#REF!</definedName>
    <definedName name="外部資料_1791" localSheetId="0">基本設定!$AA$1:$AE$17</definedName>
    <definedName name="外部資料_1792" localSheetId="2">紅綠燈!#REF!</definedName>
    <definedName name="外部資料_1792" localSheetId="0">基本設定!$Q$1:$U$17</definedName>
    <definedName name="外部資料_1793" localSheetId="2">紅綠燈!#REF!</definedName>
    <definedName name="外部資料_1793" localSheetId="0">基本設定!$V$1:$Z$17</definedName>
    <definedName name="外部資料_1794" localSheetId="0">基本設定!$AA$1:$AE$17</definedName>
    <definedName name="外部資料_1795" localSheetId="2">紅綠燈!#REF!</definedName>
    <definedName name="外部資料_1795" localSheetId="0">基本設定!$Q$1:$U$17</definedName>
    <definedName name="外部資料_1796" localSheetId="2">紅綠燈!#REF!</definedName>
    <definedName name="外部資料_1796" localSheetId="0">基本設定!$V$1:$Z$17</definedName>
    <definedName name="外部資料_1797" localSheetId="2">紅綠燈!#REF!</definedName>
    <definedName name="外部資料_1797" localSheetId="0">基本設定!$AA$1:$AE$17</definedName>
    <definedName name="外部資料_1798" localSheetId="0">基本設定!$Q$1:$U$17</definedName>
    <definedName name="外部資料_1799" localSheetId="2">紅綠燈!#REF!</definedName>
    <definedName name="外部資料_1799" localSheetId="0">基本設定!$V$1:$Z$17</definedName>
    <definedName name="外部資料_18" localSheetId="12">PKA!#REF!</definedName>
    <definedName name="外部資料_18" localSheetId="13">PKB!#REF!</definedName>
    <definedName name="外部資料_18" localSheetId="14">PKC!#REF!</definedName>
    <definedName name="外部資料_18" localSheetId="7">公司債!#REF!</definedName>
    <definedName name="外部資料_18" localSheetId="2">紅綠燈!#REF!</definedName>
    <definedName name="外部資料_18" localSheetId="0">基本設定!#REF!</definedName>
    <definedName name="外部資料_18" localSheetId="4">評比系統!#REF!</definedName>
    <definedName name="外部資料_18" localSheetId="5">搶先報!#REF!</definedName>
    <definedName name="外部資料_180" localSheetId="12">PKA!#REF!</definedName>
    <definedName name="外部資料_180" localSheetId="13">PKB!#REF!</definedName>
    <definedName name="外部資料_180" localSheetId="14">PKC!#REF!</definedName>
    <definedName name="外部資料_180" localSheetId="7">公司債!#REF!</definedName>
    <definedName name="外部資料_180" localSheetId="0">基本設定!#REF!</definedName>
    <definedName name="外部資料_180" localSheetId="4">評比系統!#REF!</definedName>
    <definedName name="外部資料_1800" localSheetId="2">紅綠燈!#REF!</definedName>
    <definedName name="外部資料_1801" localSheetId="2">紅綠燈!#REF!</definedName>
    <definedName name="外部資料_1803" localSheetId="2">紅綠燈!#REF!</definedName>
    <definedName name="外部資料_1804" localSheetId="2">紅綠燈!#REF!</definedName>
    <definedName name="外部資料_1805" localSheetId="2">紅綠燈!#REF!</definedName>
    <definedName name="外部資料_1807" localSheetId="2">紅綠燈!#REF!</definedName>
    <definedName name="外部資料_1808" localSheetId="2">紅綠燈!#REF!</definedName>
    <definedName name="外部資料_1809" localSheetId="2">紅綠燈!#REF!</definedName>
    <definedName name="外部資料_181" localSheetId="12">PKA!#REF!</definedName>
    <definedName name="外部資料_181" localSheetId="13">PKB!#REF!</definedName>
    <definedName name="外部資料_181" localSheetId="14">PKC!#REF!</definedName>
    <definedName name="外部資料_181" localSheetId="7">公司債!#REF!</definedName>
    <definedName name="外部資料_181" localSheetId="0">基本設定!#REF!</definedName>
    <definedName name="外部資料_181" localSheetId="4">評比系統!#REF!</definedName>
    <definedName name="外部資料_1811" localSheetId="2">紅綠燈!#REF!</definedName>
    <definedName name="外部資料_1812" localSheetId="2">紅綠燈!#REF!</definedName>
    <definedName name="外部資料_1813" localSheetId="2">紅綠燈!#REF!</definedName>
    <definedName name="外部資料_1815" localSheetId="2">紅綠燈!#REF!</definedName>
    <definedName name="外部資料_1816" localSheetId="2">紅綠燈!#REF!</definedName>
    <definedName name="外部資料_1817" localSheetId="2">紅綠燈!#REF!</definedName>
    <definedName name="外部資料_1819" localSheetId="2">紅綠燈!#REF!</definedName>
    <definedName name="外部資料_182" localSheetId="12">PKA!#REF!</definedName>
    <definedName name="外部資料_182" localSheetId="13">PKB!#REF!</definedName>
    <definedName name="外部資料_182" localSheetId="14">PKC!#REF!</definedName>
    <definedName name="外部資料_182" localSheetId="7">公司債!#REF!</definedName>
    <definedName name="外部資料_182" localSheetId="0">基本設定!#REF!</definedName>
    <definedName name="外部資料_182" localSheetId="4">評比系統!#REF!</definedName>
    <definedName name="外部資料_1820" localSheetId="2">紅綠燈!#REF!</definedName>
    <definedName name="外部資料_1821" localSheetId="2">紅綠燈!#REF!</definedName>
    <definedName name="外部資料_1823" localSheetId="2">紅綠燈!#REF!</definedName>
    <definedName name="外部資料_1824" localSheetId="2">紅綠燈!#REF!</definedName>
    <definedName name="外部資料_1825" localSheetId="2">紅綠燈!#REF!</definedName>
    <definedName name="外部資料_1827" localSheetId="2">紅綠燈!#REF!</definedName>
    <definedName name="外部資料_1828" localSheetId="2">紅綠燈!#REF!</definedName>
    <definedName name="外部資料_1829" localSheetId="2">紅綠燈!#REF!</definedName>
    <definedName name="外部資料_183" localSheetId="12">PKA!#REF!</definedName>
    <definedName name="外部資料_183" localSheetId="13">PKB!#REF!</definedName>
    <definedName name="外部資料_183" localSheetId="14">PKC!#REF!</definedName>
    <definedName name="外部資料_183" localSheetId="7">公司債!#REF!</definedName>
    <definedName name="外部資料_183" localSheetId="0">基本設定!#REF!</definedName>
    <definedName name="外部資料_183" localSheetId="4">評比系統!#REF!</definedName>
    <definedName name="外部資料_1831" localSheetId="2">紅綠燈!#REF!</definedName>
    <definedName name="外部資料_1832" localSheetId="2">紅綠燈!#REF!</definedName>
    <definedName name="外部資料_1833" localSheetId="2">紅綠燈!#REF!</definedName>
    <definedName name="外部資料_1835" localSheetId="2">紅綠燈!#REF!</definedName>
    <definedName name="外部資料_1836" localSheetId="2">紅綠燈!#REF!</definedName>
    <definedName name="外部資料_1837" localSheetId="2">紅綠燈!#REF!</definedName>
    <definedName name="外部資料_1839" localSheetId="2">紅綠燈!#REF!</definedName>
    <definedName name="外部資料_184" localSheetId="12">PKA!#REF!</definedName>
    <definedName name="外部資料_184" localSheetId="13">PKB!#REF!</definedName>
    <definedName name="外部資料_184" localSheetId="14">PKC!#REF!</definedName>
    <definedName name="外部資料_184" localSheetId="7">公司債!#REF!</definedName>
    <definedName name="外部資料_184" localSheetId="0">基本設定!#REF!</definedName>
    <definedName name="外部資料_184" localSheetId="4">評比系統!#REF!</definedName>
    <definedName name="外部資料_1840" localSheetId="2">紅綠燈!#REF!</definedName>
    <definedName name="外部資料_1841" localSheetId="2">紅綠燈!#REF!</definedName>
    <definedName name="外部資料_1843" localSheetId="2">紅綠燈!#REF!</definedName>
    <definedName name="外部資料_1844" localSheetId="2">紅綠燈!#REF!</definedName>
    <definedName name="外部資料_1845" localSheetId="2">紅綠燈!#REF!</definedName>
    <definedName name="外部資料_1847" localSheetId="2">紅綠燈!#REF!</definedName>
    <definedName name="外部資料_1848" localSheetId="2">紅綠燈!#REF!</definedName>
    <definedName name="外部資料_1849" localSheetId="2">紅綠燈!#REF!</definedName>
    <definedName name="外部資料_185" localSheetId="12">PKA!#REF!</definedName>
    <definedName name="外部資料_185" localSheetId="13">PKB!#REF!</definedName>
    <definedName name="外部資料_185" localSheetId="14">PKC!#REF!</definedName>
    <definedName name="外部資料_185" localSheetId="7">公司債!#REF!</definedName>
    <definedName name="外部資料_185" localSheetId="0">基本設定!#REF!</definedName>
    <definedName name="外部資料_185" localSheetId="4">評比系統!#REF!</definedName>
    <definedName name="外部資料_1851" localSheetId="2">紅綠燈!#REF!</definedName>
    <definedName name="外部資料_1852" localSheetId="2">紅綠燈!#REF!</definedName>
    <definedName name="外部資料_1853" localSheetId="2">紅綠燈!#REF!</definedName>
    <definedName name="外部資料_1855" localSheetId="2">紅綠燈!#REF!</definedName>
    <definedName name="外部資料_1856" localSheetId="2">紅綠燈!#REF!</definedName>
    <definedName name="外部資料_1857" localSheetId="2">紅綠燈!#REF!</definedName>
    <definedName name="外部資料_1859" localSheetId="2">紅綠燈!#REF!</definedName>
    <definedName name="外部資料_186" localSheetId="12">PKA!#REF!</definedName>
    <definedName name="外部資料_186" localSheetId="13">PKB!#REF!</definedName>
    <definedName name="外部資料_186" localSheetId="14">PKC!#REF!</definedName>
    <definedName name="外部資料_186" localSheetId="7">公司債!#REF!</definedName>
    <definedName name="外部資料_186" localSheetId="0">基本設定!#REF!</definedName>
    <definedName name="外部資料_186" localSheetId="4">評比系統!#REF!</definedName>
    <definedName name="外部資料_1860" localSheetId="2">紅綠燈!#REF!</definedName>
    <definedName name="外部資料_1861" localSheetId="2">紅綠燈!#REF!</definedName>
    <definedName name="外部資料_1863" localSheetId="2">紅綠燈!#REF!</definedName>
    <definedName name="外部資料_1864" localSheetId="2">紅綠燈!#REF!</definedName>
    <definedName name="外部資料_1865" localSheetId="2">紅綠燈!#REF!</definedName>
    <definedName name="外部資料_1867" localSheetId="2">紅綠燈!#REF!</definedName>
    <definedName name="外部資料_1868" localSheetId="2">紅綠燈!#REF!</definedName>
    <definedName name="外部資料_1869" localSheetId="2">紅綠燈!#REF!</definedName>
    <definedName name="外部資料_187" localSheetId="12">PKA!#REF!</definedName>
    <definedName name="外部資料_187" localSheetId="13">PKB!#REF!</definedName>
    <definedName name="外部資料_187" localSheetId="14">PKC!#REF!</definedName>
    <definedName name="外部資料_187" localSheetId="7">公司債!#REF!</definedName>
    <definedName name="外部資料_187" localSheetId="0">基本設定!#REF!</definedName>
    <definedName name="外部資料_187" localSheetId="4">評比系統!#REF!</definedName>
    <definedName name="外部資料_1871" localSheetId="2">紅綠燈!#REF!</definedName>
    <definedName name="外部資料_1872" localSheetId="2">紅綠燈!#REF!</definedName>
    <definedName name="外部資料_1873" localSheetId="2">紅綠燈!#REF!</definedName>
    <definedName name="外部資料_1875" localSheetId="2">紅綠燈!#REF!</definedName>
    <definedName name="外部資料_1876" localSheetId="2">紅綠燈!#REF!</definedName>
    <definedName name="外部資料_1877" localSheetId="2">紅綠燈!#REF!</definedName>
    <definedName name="外部資料_1879" localSheetId="2">紅綠燈!#REF!</definedName>
    <definedName name="外部資料_188" localSheetId="12">PKA!#REF!</definedName>
    <definedName name="外部資料_188" localSheetId="13">PKB!#REF!</definedName>
    <definedName name="外部資料_188" localSheetId="14">PKC!#REF!</definedName>
    <definedName name="外部資料_188" localSheetId="7">公司債!#REF!</definedName>
    <definedName name="外部資料_188" localSheetId="0">基本設定!#REF!</definedName>
    <definedName name="外部資料_188" localSheetId="4">評比系統!#REF!</definedName>
    <definedName name="外部資料_1880" localSheetId="2">紅綠燈!#REF!</definedName>
    <definedName name="外部資料_1881" localSheetId="2">紅綠燈!#REF!</definedName>
    <definedName name="外部資料_1883" localSheetId="2">紅綠燈!#REF!</definedName>
    <definedName name="外部資料_1884" localSheetId="2">紅綠燈!#REF!</definedName>
    <definedName name="外部資料_1885" localSheetId="2">紅綠燈!#REF!</definedName>
    <definedName name="外部資料_1887" localSheetId="2">紅綠燈!#REF!</definedName>
    <definedName name="外部資料_1888" localSheetId="2">紅綠燈!#REF!</definedName>
    <definedName name="外部資料_1889" localSheetId="2">紅綠燈!#REF!</definedName>
    <definedName name="外部資料_189" localSheetId="12">PKA!#REF!</definedName>
    <definedName name="外部資料_189" localSheetId="13">PKB!#REF!</definedName>
    <definedName name="外部資料_189" localSheetId="14">PKC!#REF!</definedName>
    <definedName name="外部資料_189" localSheetId="7">公司債!#REF!</definedName>
    <definedName name="外部資料_189" localSheetId="0">基本設定!#REF!</definedName>
    <definedName name="外部資料_189" localSheetId="4">評比系統!#REF!</definedName>
    <definedName name="外部資料_1891" localSheetId="2">紅綠燈!#REF!</definedName>
    <definedName name="外部資料_1892" localSheetId="2">紅綠燈!#REF!</definedName>
    <definedName name="外部資料_1893" localSheetId="2">紅綠燈!#REF!</definedName>
    <definedName name="外部資料_1895" localSheetId="2">紅綠燈!#REF!</definedName>
    <definedName name="外部資料_1896" localSheetId="2">紅綠燈!#REF!</definedName>
    <definedName name="外部資料_1897" localSheetId="2">紅綠燈!#REF!</definedName>
    <definedName name="外部資料_1899" localSheetId="2">紅綠燈!#REF!</definedName>
    <definedName name="外部資料_19" localSheetId="12">PKA!#REF!</definedName>
    <definedName name="外部資料_19" localSheetId="13">PKB!#REF!</definedName>
    <definedName name="外部資料_19" localSheetId="14">PKC!#REF!</definedName>
    <definedName name="外部資料_19" localSheetId="7">公司債!#REF!</definedName>
    <definedName name="外部資料_19" localSheetId="2">紅綠燈!#REF!</definedName>
    <definedName name="外部資料_19" localSheetId="0">基本設定!#REF!</definedName>
    <definedName name="外部資料_19" localSheetId="4">評比系統!#REF!</definedName>
    <definedName name="外部資料_19" localSheetId="5">搶先報!#REF!</definedName>
    <definedName name="外部資料_190" localSheetId="12">PKA!#REF!</definedName>
    <definedName name="外部資料_190" localSheetId="13">PKB!#REF!</definedName>
    <definedName name="外部資料_190" localSheetId="14">PKC!#REF!</definedName>
    <definedName name="外部資料_190" localSheetId="7">公司債!#REF!</definedName>
    <definedName name="外部資料_190" localSheetId="0">基本設定!#REF!</definedName>
    <definedName name="外部資料_190" localSheetId="4">評比系統!#REF!</definedName>
    <definedName name="外部資料_1900" localSheetId="2">紅綠燈!#REF!</definedName>
    <definedName name="外部資料_1901" localSheetId="2">紅綠燈!#REF!</definedName>
    <definedName name="外部資料_1903" localSheetId="2">紅綠燈!#REF!</definedName>
    <definedName name="外部資料_1904" localSheetId="2">紅綠燈!#REF!</definedName>
    <definedName name="外部資料_1905" localSheetId="2">紅綠燈!#REF!</definedName>
    <definedName name="外部資料_1907" localSheetId="2">紅綠燈!#REF!</definedName>
    <definedName name="外部資料_1908" localSheetId="2">紅綠燈!#REF!</definedName>
    <definedName name="外部資料_1909" localSheetId="2">紅綠燈!#REF!</definedName>
    <definedName name="外部資料_191" localSheetId="12">PKA!#REF!</definedName>
    <definedName name="外部資料_191" localSheetId="13">PKB!#REF!</definedName>
    <definedName name="外部資料_191" localSheetId="14">PKC!#REF!</definedName>
    <definedName name="外部資料_191" localSheetId="7">公司債!#REF!</definedName>
    <definedName name="外部資料_191" localSheetId="0">基本設定!#REF!</definedName>
    <definedName name="外部資料_191" localSheetId="4">評比系統!#REF!</definedName>
    <definedName name="外部資料_1911" localSheetId="2">紅綠燈!#REF!</definedName>
    <definedName name="外部資料_1912" localSheetId="2">紅綠燈!#REF!</definedName>
    <definedName name="外部資料_1914" localSheetId="2">紅綠燈!#REF!</definedName>
    <definedName name="外部資料_1915" localSheetId="2">紅綠燈!#REF!</definedName>
    <definedName name="外部資料_1917" localSheetId="2">紅綠燈!#REF!</definedName>
    <definedName name="外部資料_1918" localSheetId="2">紅綠燈!#REF!</definedName>
    <definedName name="外部資料_1919" localSheetId="2">紅綠燈!#REF!</definedName>
    <definedName name="外部資料_192" localSheetId="12">PKA!#REF!</definedName>
    <definedName name="外部資料_192" localSheetId="13">PKB!#REF!</definedName>
    <definedName name="外部資料_192" localSheetId="14">PKC!#REF!</definedName>
    <definedName name="外部資料_192" localSheetId="7">公司債!#REF!</definedName>
    <definedName name="外部資料_192" localSheetId="0">基本設定!#REF!</definedName>
    <definedName name="外部資料_192" localSheetId="4">評比系統!#REF!</definedName>
    <definedName name="外部資料_1921" localSheetId="2">紅綠燈!#REF!</definedName>
    <definedName name="外部資料_1922" localSheetId="2">紅綠燈!#REF!</definedName>
    <definedName name="外部資料_1923" localSheetId="2">紅綠燈!#REF!</definedName>
    <definedName name="外部資料_1925" localSheetId="2">紅綠燈!#REF!</definedName>
    <definedName name="外部資料_1926" localSheetId="2">紅綠燈!#REF!</definedName>
    <definedName name="外部資料_1927" localSheetId="2">紅綠燈!#REF!</definedName>
    <definedName name="外部資料_1929" localSheetId="2">紅綠燈!#REF!</definedName>
    <definedName name="外部資料_193" localSheetId="12">PKA!#REF!</definedName>
    <definedName name="外部資料_193" localSheetId="13">PKB!#REF!</definedName>
    <definedName name="外部資料_193" localSheetId="14">PKC!#REF!</definedName>
    <definedName name="外部資料_193" localSheetId="7">公司債!#REF!</definedName>
    <definedName name="外部資料_193" localSheetId="0">基本設定!#REF!</definedName>
    <definedName name="外部資料_193" localSheetId="4">評比系統!#REF!</definedName>
    <definedName name="外部資料_1930" localSheetId="2">紅綠燈!#REF!</definedName>
    <definedName name="外部資料_1931" localSheetId="2">紅綠燈!#REF!</definedName>
    <definedName name="外部資料_1933" localSheetId="2">紅綠燈!#REF!</definedName>
    <definedName name="外部資料_1934" localSheetId="2">紅綠燈!#REF!</definedName>
    <definedName name="外部資料_1935" localSheetId="2">紅綠燈!#REF!</definedName>
    <definedName name="外部資料_1937" localSheetId="2">紅綠燈!#REF!</definedName>
    <definedName name="外部資料_1938" localSheetId="2">紅綠燈!#REF!</definedName>
    <definedName name="外部資料_1939" localSheetId="2">紅綠燈!#REF!</definedName>
    <definedName name="外部資料_194" localSheetId="12">PKA!#REF!</definedName>
    <definedName name="外部資料_194" localSheetId="13">PKB!#REF!</definedName>
    <definedName name="外部資料_194" localSheetId="14">PKC!#REF!</definedName>
    <definedName name="外部資料_194" localSheetId="7">公司債!#REF!</definedName>
    <definedName name="外部資料_194" localSheetId="0">基本設定!#REF!</definedName>
    <definedName name="外部資料_194" localSheetId="4">評比系統!#REF!</definedName>
    <definedName name="外部資料_1941" localSheetId="2">紅綠燈!#REF!</definedName>
    <definedName name="外部資料_1942" localSheetId="2">紅綠燈!#REF!</definedName>
    <definedName name="外部資料_1943" localSheetId="2">紅綠燈!#REF!</definedName>
    <definedName name="外部資料_1945" localSheetId="2">紅綠燈!#REF!</definedName>
    <definedName name="外部資料_1946" localSheetId="2">紅綠燈!#REF!</definedName>
    <definedName name="外部資料_1947" localSheetId="2">紅綠燈!#REF!</definedName>
    <definedName name="外部資料_1949" localSheetId="2">紅綠燈!#REF!</definedName>
    <definedName name="外部資料_195" localSheetId="12">PKA!#REF!</definedName>
    <definedName name="外部資料_195" localSheetId="13">PKB!#REF!</definedName>
    <definedName name="外部資料_195" localSheetId="14">PKC!#REF!</definedName>
    <definedName name="外部資料_195" localSheetId="7">公司債!#REF!</definedName>
    <definedName name="外部資料_195" localSheetId="0">基本設定!#REF!</definedName>
    <definedName name="外部資料_195" localSheetId="4">評比系統!#REF!</definedName>
    <definedName name="外部資料_1950" localSheetId="2">紅綠燈!#REF!</definedName>
    <definedName name="外部資料_1951" localSheetId="2">紅綠燈!#REF!</definedName>
    <definedName name="外部資料_1953" localSheetId="2">紅綠燈!#REF!</definedName>
    <definedName name="外部資料_1954" localSheetId="2">紅綠燈!#REF!</definedName>
    <definedName name="外部資料_1956" localSheetId="2">紅綠燈!#REF!</definedName>
    <definedName name="外部資料_1957" localSheetId="2">紅綠燈!#REF!</definedName>
    <definedName name="外部資料_1958" localSheetId="2">紅綠燈!#REF!</definedName>
    <definedName name="外部資料_196" localSheetId="12">PKA!#REF!</definedName>
    <definedName name="外部資料_196" localSheetId="13">PKB!#REF!</definedName>
    <definedName name="外部資料_196" localSheetId="14">PKC!#REF!</definedName>
    <definedName name="外部資料_196" localSheetId="7">公司債!#REF!</definedName>
    <definedName name="外部資料_196" localSheetId="0">基本設定!#REF!</definedName>
    <definedName name="外部資料_196" localSheetId="4">評比系統!#REF!</definedName>
    <definedName name="外部資料_1960" localSheetId="2">紅綠燈!#REF!</definedName>
    <definedName name="外部資料_1961" localSheetId="2">紅綠燈!#REF!</definedName>
    <definedName name="外部資料_1962" localSheetId="2">紅綠燈!#REF!</definedName>
    <definedName name="外部資料_1964" localSheetId="2">紅綠燈!#REF!</definedName>
    <definedName name="外部資料_1965" localSheetId="2">紅綠燈!#REF!</definedName>
    <definedName name="外部資料_1966" localSheetId="2">紅綠燈!#REF!</definedName>
    <definedName name="外部資料_1968" localSheetId="2">紅綠燈!#REF!</definedName>
    <definedName name="外部資料_1969" localSheetId="2">紅綠燈!#REF!</definedName>
    <definedName name="外部資料_197" localSheetId="12">PKA!#REF!</definedName>
    <definedName name="外部資料_197" localSheetId="13">PKB!#REF!</definedName>
    <definedName name="外部資料_197" localSheetId="14">PKC!#REF!</definedName>
    <definedName name="外部資料_197" localSheetId="7">公司債!#REF!</definedName>
    <definedName name="外部資料_197" localSheetId="0">基本設定!#REF!</definedName>
    <definedName name="外部資料_197" localSheetId="4">評比系統!#REF!</definedName>
    <definedName name="外部資料_1970" localSheetId="2">紅綠燈!#REF!</definedName>
    <definedName name="外部資料_1972" localSheetId="2">紅綠燈!#REF!</definedName>
    <definedName name="外部資料_1973" localSheetId="2">紅綠燈!#REF!</definedName>
    <definedName name="外部資料_1974" localSheetId="2">紅綠燈!#REF!</definedName>
    <definedName name="外部資料_1976" localSheetId="2">紅綠燈!#REF!</definedName>
    <definedName name="外部資料_1977" localSheetId="2">紅綠燈!#REF!</definedName>
    <definedName name="外部資料_1978" localSheetId="2">紅綠燈!#REF!</definedName>
    <definedName name="外部資料_198" localSheetId="12">PKA!#REF!</definedName>
    <definedName name="外部資料_198" localSheetId="13">PKB!#REF!</definedName>
    <definedName name="外部資料_198" localSheetId="14">PKC!#REF!</definedName>
    <definedName name="外部資料_198" localSheetId="7">公司債!#REF!</definedName>
    <definedName name="外部資料_198" localSheetId="0">基本設定!#REF!</definedName>
    <definedName name="外部資料_198" localSheetId="4">評比系統!#REF!</definedName>
    <definedName name="外部資料_1980" localSheetId="2">紅綠燈!#REF!</definedName>
    <definedName name="外部資料_1981" localSheetId="2">紅綠燈!#REF!</definedName>
    <definedName name="外部資料_1982" localSheetId="2">紅綠燈!#REF!</definedName>
    <definedName name="外部資料_1984" localSheetId="2">紅綠燈!#REF!</definedName>
    <definedName name="外部資料_1985" localSheetId="2">紅綠燈!#REF!</definedName>
    <definedName name="外部資料_1986" localSheetId="2">紅綠燈!#REF!</definedName>
    <definedName name="外部資料_1988" localSheetId="2">紅綠燈!#REF!</definedName>
    <definedName name="外部資料_1989" localSheetId="2">紅綠燈!#REF!</definedName>
    <definedName name="外部資料_199" localSheetId="12">PKA!#REF!</definedName>
    <definedName name="外部資料_199" localSheetId="13">PKB!#REF!</definedName>
    <definedName name="外部資料_199" localSheetId="14">PKC!#REF!</definedName>
    <definedName name="外部資料_199" localSheetId="7">公司債!#REF!</definedName>
    <definedName name="外部資料_199" localSheetId="0">基本設定!#REF!</definedName>
    <definedName name="外部資料_199" localSheetId="4">評比系統!#REF!</definedName>
    <definedName name="外部資料_1990" localSheetId="2">紅綠燈!#REF!</definedName>
    <definedName name="外部資料_1992" localSheetId="2">紅綠燈!#REF!</definedName>
    <definedName name="外部資料_1993" localSheetId="2">紅綠燈!#REF!</definedName>
    <definedName name="外部資料_1994" localSheetId="2">紅綠燈!#REF!</definedName>
    <definedName name="外部資料_1996" localSheetId="2">紅綠燈!#REF!</definedName>
    <definedName name="外部資料_1997" localSheetId="2">紅綠燈!#REF!</definedName>
    <definedName name="外部資料_1998" localSheetId="2">紅綠燈!#REF!</definedName>
    <definedName name="外部資料_2" localSheetId="12">PKA!#REF!</definedName>
    <definedName name="外部資料_2" localSheetId="13">PKB!#REF!</definedName>
    <definedName name="外部資料_2" localSheetId="14">PKC!#REF!</definedName>
    <definedName name="外部資料_2" localSheetId="7">公司債!#REF!</definedName>
    <definedName name="外部資料_2" localSheetId="2">紅綠燈!#REF!</definedName>
    <definedName name="外部資料_2" localSheetId="0">基本設定!#REF!</definedName>
    <definedName name="外部資料_2" localSheetId="4">評比系統!#REF!</definedName>
    <definedName name="外部資料_2" localSheetId="5">搶先報!#REF!</definedName>
    <definedName name="外部資料_20" localSheetId="12">PKA!#REF!</definedName>
    <definedName name="外部資料_20" localSheetId="13">PKB!#REF!</definedName>
    <definedName name="外部資料_20" localSheetId="14">PKC!#REF!</definedName>
    <definedName name="外部資料_20" localSheetId="7">公司債!#REF!</definedName>
    <definedName name="外部資料_20" localSheetId="2">紅綠燈!#REF!</definedName>
    <definedName name="外部資料_20" localSheetId="0">基本設定!#REF!</definedName>
    <definedName name="外部資料_20" localSheetId="4">評比系統!#REF!</definedName>
    <definedName name="外部資料_20" localSheetId="5">搶先報!#REF!</definedName>
    <definedName name="外部資料_200" localSheetId="12">PKA!#REF!</definedName>
    <definedName name="外部資料_200" localSheetId="13">PKB!#REF!</definedName>
    <definedName name="外部資料_200" localSheetId="14">PKC!#REF!</definedName>
    <definedName name="外部資料_200" localSheetId="7">公司債!#REF!</definedName>
    <definedName name="外部資料_200" localSheetId="0">基本設定!#REF!</definedName>
    <definedName name="外部資料_200" localSheetId="4">評比系統!#REF!</definedName>
    <definedName name="外部資料_2000" localSheetId="2">紅綠燈!#REF!</definedName>
    <definedName name="外部資料_2001" localSheetId="2">紅綠燈!#REF!</definedName>
    <definedName name="外部資料_2002" localSheetId="2">紅綠燈!#REF!</definedName>
    <definedName name="外部資料_2004" localSheetId="2">紅綠燈!#REF!</definedName>
    <definedName name="外部資料_2005" localSheetId="2">紅綠燈!#REF!</definedName>
    <definedName name="外部資料_2006" localSheetId="2">紅綠燈!#REF!</definedName>
    <definedName name="外部資料_2008" localSheetId="2">紅綠燈!#REF!</definedName>
    <definedName name="外部資料_2009" localSheetId="2">紅綠燈!#REF!</definedName>
    <definedName name="外部資料_201" localSheetId="12">PKA!#REF!</definedName>
    <definedName name="外部資料_201" localSheetId="13">PKB!#REF!</definedName>
    <definedName name="外部資料_201" localSheetId="14">PKC!#REF!</definedName>
    <definedName name="外部資料_201" localSheetId="7">公司債!#REF!</definedName>
    <definedName name="外部資料_201" localSheetId="0">基本設定!#REF!</definedName>
    <definedName name="外部資料_201" localSheetId="4">評比系統!#REF!</definedName>
    <definedName name="外部資料_2010" localSheetId="2">紅綠燈!#REF!</definedName>
    <definedName name="外部資料_2012" localSheetId="2">紅綠燈!#REF!</definedName>
    <definedName name="外部資料_2013" localSheetId="2">紅綠燈!#REF!</definedName>
    <definedName name="外部資料_2014" localSheetId="2">紅綠燈!#REF!</definedName>
    <definedName name="外部資料_2016" localSheetId="2">紅綠燈!#REF!</definedName>
    <definedName name="外部資料_2017" localSheetId="2">紅綠燈!#REF!</definedName>
    <definedName name="外部資料_2018" localSheetId="2">紅綠燈!#REF!</definedName>
    <definedName name="外部資料_202" localSheetId="12">PKA!#REF!</definedName>
    <definedName name="外部資料_202" localSheetId="13">PKB!#REF!</definedName>
    <definedName name="外部資料_202" localSheetId="14">PKC!#REF!</definedName>
    <definedName name="外部資料_202" localSheetId="7">公司債!#REF!</definedName>
    <definedName name="外部資料_202" localSheetId="0">基本設定!#REF!</definedName>
    <definedName name="外部資料_202" localSheetId="4">評比系統!#REF!</definedName>
    <definedName name="外部資料_2020" localSheetId="2">紅綠燈!#REF!</definedName>
    <definedName name="外部資料_2021" localSheetId="2">紅綠燈!#REF!</definedName>
    <definedName name="外部資料_2022" localSheetId="2">紅綠燈!#REF!</definedName>
    <definedName name="外部資料_2024" localSheetId="2">紅綠燈!#REF!</definedName>
    <definedName name="外部資料_2025" localSheetId="2">紅綠燈!#REF!</definedName>
    <definedName name="外部資料_2026" localSheetId="2">紅綠燈!#REF!</definedName>
    <definedName name="外部資料_2028" localSheetId="2">紅綠燈!#REF!</definedName>
    <definedName name="外部資料_2029" localSheetId="2">紅綠燈!#REF!</definedName>
    <definedName name="外部資料_203" localSheetId="12">PKA!#REF!</definedName>
    <definedName name="外部資料_203" localSheetId="13">PKB!#REF!</definedName>
    <definedName name="外部資料_203" localSheetId="14">PKC!#REF!</definedName>
    <definedName name="外部資料_203" localSheetId="7">公司債!#REF!</definedName>
    <definedName name="外部資料_203" localSheetId="0">基本設定!#REF!</definedName>
    <definedName name="外部資料_203" localSheetId="4">評比系統!#REF!</definedName>
    <definedName name="外部資料_2030" localSheetId="2">紅綠燈!#REF!</definedName>
    <definedName name="外部資料_2032" localSheetId="2">紅綠燈!#REF!</definedName>
    <definedName name="外部資料_2033" localSheetId="2">紅綠燈!#REF!</definedName>
    <definedName name="外部資料_2034" localSheetId="2">紅綠燈!#REF!</definedName>
    <definedName name="外部資料_2036" localSheetId="2">紅綠燈!#REF!</definedName>
    <definedName name="外部資料_2037" localSheetId="2">紅綠燈!#REF!</definedName>
    <definedName name="外部資料_2038" localSheetId="2">紅綠燈!#REF!</definedName>
    <definedName name="外部資料_204" localSheetId="12">PKA!#REF!</definedName>
    <definedName name="外部資料_204" localSheetId="13">PKB!#REF!</definedName>
    <definedName name="外部資料_204" localSheetId="14">PKC!#REF!</definedName>
    <definedName name="外部資料_204" localSheetId="7">公司債!#REF!</definedName>
    <definedName name="外部資料_204" localSheetId="0">基本設定!#REF!</definedName>
    <definedName name="外部資料_204" localSheetId="4">評比系統!#REF!</definedName>
    <definedName name="外部資料_2040" localSheetId="2">紅綠燈!#REF!</definedName>
    <definedName name="外部資料_2041" localSheetId="2">紅綠燈!#REF!</definedName>
    <definedName name="外部資料_2042" localSheetId="2">紅綠燈!#REF!</definedName>
    <definedName name="外部資料_2044" localSheetId="2">紅綠燈!#REF!</definedName>
    <definedName name="外部資料_2045" localSheetId="2">紅綠燈!#REF!</definedName>
    <definedName name="外部資料_2046" localSheetId="2">紅綠燈!#REF!</definedName>
    <definedName name="外部資料_2048" localSheetId="2">紅綠燈!#REF!</definedName>
    <definedName name="外部資料_2049" localSheetId="2">紅綠燈!#REF!</definedName>
    <definedName name="外部資料_205" localSheetId="12">PKA!#REF!</definedName>
    <definedName name="外部資料_205" localSheetId="13">PKB!#REF!</definedName>
    <definedName name="外部資料_205" localSheetId="14">PKC!#REF!</definedName>
    <definedName name="外部資料_205" localSheetId="7">公司債!#REF!</definedName>
    <definedName name="外部資料_205" localSheetId="0">基本設定!#REF!</definedName>
    <definedName name="外部資料_205" localSheetId="4">評比系統!#REF!</definedName>
    <definedName name="外部資料_2050" localSheetId="2">紅綠燈!#REF!</definedName>
    <definedName name="外部資料_2052" localSheetId="2">紅綠燈!#REF!</definedName>
    <definedName name="外部資料_2053" localSheetId="2">紅綠燈!#REF!</definedName>
    <definedName name="外部資料_2054" localSheetId="2">紅綠燈!#REF!</definedName>
    <definedName name="外部資料_2056" localSheetId="2">紅綠燈!#REF!</definedName>
    <definedName name="外部資料_2057" localSheetId="2">紅綠燈!#REF!</definedName>
    <definedName name="外部資料_2058" localSheetId="2">紅綠燈!#REF!</definedName>
    <definedName name="外部資料_206" localSheetId="12">PKA!#REF!</definedName>
    <definedName name="外部資料_206" localSheetId="13">PKB!#REF!</definedName>
    <definedName name="外部資料_206" localSheetId="14">PKC!#REF!</definedName>
    <definedName name="外部資料_206" localSheetId="7">公司債!#REF!</definedName>
    <definedName name="外部資料_206" localSheetId="0">基本設定!#REF!</definedName>
    <definedName name="外部資料_206" localSheetId="4">評比系統!#REF!</definedName>
    <definedName name="外部資料_2060" localSheetId="2">紅綠燈!#REF!</definedName>
    <definedName name="外部資料_2061" localSheetId="2">紅綠燈!#REF!</definedName>
    <definedName name="外部資料_2062" localSheetId="2">紅綠燈!#REF!</definedName>
    <definedName name="外部資料_2064" localSheetId="2">紅綠燈!#REF!</definedName>
    <definedName name="外部資料_2065" localSheetId="2">紅綠燈!#REF!</definedName>
    <definedName name="外部資料_2066" localSheetId="2">紅綠燈!#REF!</definedName>
    <definedName name="外部資料_2068" localSheetId="2">紅綠燈!#REF!</definedName>
    <definedName name="外部資料_2069" localSheetId="2">紅綠燈!#REF!</definedName>
    <definedName name="外部資料_207" localSheetId="12">PKA!#REF!</definedName>
    <definedName name="外部資料_207" localSheetId="13">PKB!#REF!</definedName>
    <definedName name="外部資料_207" localSheetId="14">PKC!#REF!</definedName>
    <definedName name="外部資料_207" localSheetId="7">公司債!#REF!</definedName>
    <definedName name="外部資料_207" localSheetId="0">基本設定!#REF!</definedName>
    <definedName name="外部資料_207" localSheetId="4">評比系統!#REF!</definedName>
    <definedName name="外部資料_2070" localSheetId="2">紅綠燈!#REF!</definedName>
    <definedName name="外部資料_2072" localSheetId="2">紅綠燈!#REF!</definedName>
    <definedName name="外部資料_2073" localSheetId="2">紅綠燈!#REF!</definedName>
    <definedName name="外部資料_2074" localSheetId="2">紅綠燈!#REF!</definedName>
    <definedName name="外部資料_2076" localSheetId="2">紅綠燈!#REF!</definedName>
    <definedName name="外部資料_2077" localSheetId="2">紅綠燈!#REF!</definedName>
    <definedName name="外部資料_2078" localSheetId="2">紅綠燈!#REF!</definedName>
    <definedName name="外部資料_208" localSheetId="12">PKA!#REF!</definedName>
    <definedName name="外部資料_208" localSheetId="13">PKB!#REF!</definedName>
    <definedName name="外部資料_208" localSheetId="14">PKC!#REF!</definedName>
    <definedName name="外部資料_208" localSheetId="7">公司債!#REF!</definedName>
    <definedName name="外部資料_208" localSheetId="0">基本設定!#REF!</definedName>
    <definedName name="外部資料_208" localSheetId="4">評比系統!#REF!</definedName>
    <definedName name="外部資料_2080" localSheetId="2">紅綠燈!#REF!</definedName>
    <definedName name="外部資料_2081" localSheetId="2">紅綠燈!#REF!</definedName>
    <definedName name="外部資料_2082" localSheetId="2">紅綠燈!#REF!</definedName>
    <definedName name="外部資料_2084" localSheetId="2">紅綠燈!#REF!</definedName>
    <definedName name="外部資料_2085" localSheetId="2">紅綠燈!#REF!</definedName>
    <definedName name="外部資料_2086" localSheetId="2">紅綠燈!#REF!</definedName>
    <definedName name="外部資料_2088" localSheetId="2">紅綠燈!#REF!</definedName>
    <definedName name="外部資料_2089" localSheetId="2">紅綠燈!#REF!</definedName>
    <definedName name="外部資料_209" localSheetId="12">PKA!#REF!</definedName>
    <definedName name="外部資料_209" localSheetId="13">PKB!#REF!</definedName>
    <definedName name="外部資料_209" localSheetId="14">PKC!#REF!</definedName>
    <definedName name="外部資料_209" localSheetId="7">公司債!#REF!</definedName>
    <definedName name="外部資料_209" localSheetId="0">基本設定!#REF!</definedName>
    <definedName name="外部資料_209" localSheetId="4">評比系統!#REF!</definedName>
    <definedName name="外部資料_2090" localSheetId="2">紅綠燈!#REF!</definedName>
    <definedName name="外部資料_2092" localSheetId="2">紅綠燈!#REF!</definedName>
    <definedName name="外部資料_2093" localSheetId="2">紅綠燈!#REF!</definedName>
    <definedName name="外部資料_2094" localSheetId="2">紅綠燈!#REF!</definedName>
    <definedName name="外部資料_2096" localSheetId="2">紅綠燈!#REF!</definedName>
    <definedName name="外部資料_2097" localSheetId="2">紅綠燈!#REF!</definedName>
    <definedName name="外部資料_2098" localSheetId="2">紅綠燈!#REF!</definedName>
    <definedName name="外部資料_21" localSheetId="12">PKA!#REF!</definedName>
    <definedName name="外部資料_21" localSheetId="13">PKB!#REF!</definedName>
    <definedName name="外部資料_21" localSheetId="14">PKC!#REF!</definedName>
    <definedName name="外部資料_21" localSheetId="7">公司債!#REF!</definedName>
    <definedName name="外部資料_21" localSheetId="2">紅綠燈!#REF!</definedName>
    <definedName name="外部資料_21" localSheetId="0">基本設定!#REF!</definedName>
    <definedName name="外部資料_21" localSheetId="4">評比系統!#REF!</definedName>
    <definedName name="外部資料_21" localSheetId="5">搶先報!#REF!</definedName>
    <definedName name="外部資料_210" localSheetId="12">PKA!#REF!</definedName>
    <definedName name="外部資料_210" localSheetId="13">PKB!#REF!</definedName>
    <definedName name="外部資料_210" localSheetId="14">PKC!#REF!</definedName>
    <definedName name="外部資料_210" localSheetId="7">公司債!#REF!</definedName>
    <definedName name="外部資料_210" localSheetId="0">基本設定!#REF!</definedName>
    <definedName name="外部資料_210" localSheetId="4">評比系統!#REF!</definedName>
    <definedName name="外部資料_2100" localSheetId="2">紅綠燈!#REF!</definedName>
    <definedName name="外部資料_2101" localSheetId="2">紅綠燈!#REF!</definedName>
    <definedName name="外部資料_2102" localSheetId="2">紅綠燈!#REF!</definedName>
    <definedName name="外部資料_2104" localSheetId="2">紅綠燈!#REF!</definedName>
    <definedName name="外部資料_2105" localSheetId="2">紅綠燈!#REF!</definedName>
    <definedName name="外部資料_2106" localSheetId="2">紅綠燈!#REF!</definedName>
    <definedName name="外部資料_2108" localSheetId="2">紅綠燈!#REF!</definedName>
    <definedName name="外部資料_2109" localSheetId="2">紅綠燈!#REF!</definedName>
    <definedName name="外部資料_211" localSheetId="12">PKA!#REF!</definedName>
    <definedName name="外部資料_211" localSheetId="13">PKB!#REF!</definedName>
    <definedName name="外部資料_211" localSheetId="14">PKC!#REF!</definedName>
    <definedName name="外部資料_211" localSheetId="7">公司債!#REF!</definedName>
    <definedName name="外部資料_211" localSheetId="0">基本設定!#REF!</definedName>
    <definedName name="外部資料_211" localSheetId="4">評比系統!#REF!</definedName>
    <definedName name="外部資料_2110" localSheetId="2">紅綠燈!#REF!</definedName>
    <definedName name="外部資料_2112" localSheetId="2">紅綠燈!#REF!</definedName>
    <definedName name="外部資料_2113" localSheetId="2">紅綠燈!#REF!</definedName>
    <definedName name="外部資料_2114" localSheetId="2">紅綠燈!#REF!</definedName>
    <definedName name="外部資料_2116" localSheetId="2">紅綠燈!#REF!</definedName>
    <definedName name="外部資料_2117" localSheetId="2">紅綠燈!#REF!</definedName>
    <definedName name="外部資料_2118" localSheetId="2">紅綠燈!#REF!</definedName>
    <definedName name="外部資料_212" localSheetId="12">PKA!#REF!</definedName>
    <definedName name="外部資料_212" localSheetId="13">PKB!#REF!</definedName>
    <definedName name="外部資料_212" localSheetId="14">PKC!#REF!</definedName>
    <definedName name="外部資料_212" localSheetId="7">公司債!#REF!</definedName>
    <definedName name="外部資料_212" localSheetId="0">基本設定!#REF!</definedName>
    <definedName name="外部資料_212" localSheetId="4">評比系統!#REF!</definedName>
    <definedName name="外部資料_2120" localSheetId="2">紅綠燈!#REF!</definedName>
    <definedName name="外部資料_2121" localSheetId="2">紅綠燈!#REF!</definedName>
    <definedName name="外部資料_2122" localSheetId="2">紅綠燈!#REF!</definedName>
    <definedName name="外部資料_2124" localSheetId="2">紅綠燈!#REF!</definedName>
    <definedName name="外部資料_2125" localSheetId="2">紅綠燈!#REF!</definedName>
    <definedName name="外部資料_2126" localSheetId="2">紅綠燈!#REF!</definedName>
    <definedName name="外部資料_2128" localSheetId="2">紅綠燈!#REF!</definedName>
    <definedName name="外部資料_2129" localSheetId="2">紅綠燈!#REF!</definedName>
    <definedName name="外部資料_213" localSheetId="12">PKA!#REF!</definedName>
    <definedName name="外部資料_213" localSheetId="13">PKB!#REF!</definedName>
    <definedName name="外部資料_213" localSheetId="14">PKC!#REF!</definedName>
    <definedName name="外部資料_213" localSheetId="7">公司債!#REF!</definedName>
    <definedName name="外部資料_213" localSheetId="0">基本設定!#REF!</definedName>
    <definedName name="外部資料_213" localSheetId="4">評比系統!#REF!</definedName>
    <definedName name="外部資料_2130" localSheetId="2">紅綠燈!#REF!</definedName>
    <definedName name="外部資料_2132" localSheetId="2">紅綠燈!#REF!</definedName>
    <definedName name="外部資料_2133" localSheetId="2">紅綠燈!#REF!</definedName>
    <definedName name="外部資料_2134" localSheetId="2">紅綠燈!#REF!</definedName>
    <definedName name="外部資料_2136" localSheetId="2">紅綠燈!#REF!</definedName>
    <definedName name="外部資料_2137" localSheetId="2">紅綠燈!#REF!</definedName>
    <definedName name="外部資料_2138" localSheetId="2">紅綠燈!#REF!</definedName>
    <definedName name="外部資料_214" localSheetId="12">PKA!#REF!</definedName>
    <definedName name="外部資料_214" localSheetId="13">PKB!#REF!</definedName>
    <definedName name="外部資料_214" localSheetId="14">PKC!#REF!</definedName>
    <definedName name="外部資料_214" localSheetId="7">公司債!#REF!</definedName>
    <definedName name="外部資料_214" localSheetId="0">基本設定!#REF!</definedName>
    <definedName name="外部資料_214" localSheetId="4">評比系統!#REF!</definedName>
    <definedName name="外部資料_2140" localSheetId="2">紅綠燈!#REF!</definedName>
    <definedName name="外部資料_2141" localSheetId="2">紅綠燈!#REF!</definedName>
    <definedName name="外部資料_2142" localSheetId="2">紅綠燈!#REF!</definedName>
    <definedName name="外部資料_2144" localSheetId="2">紅綠燈!#REF!</definedName>
    <definedName name="外部資料_2145" localSheetId="2">紅綠燈!#REF!</definedName>
    <definedName name="外部資料_2146" localSheetId="2">紅綠燈!#REF!</definedName>
    <definedName name="外部資料_2148" localSheetId="2">紅綠燈!#REF!</definedName>
    <definedName name="外部資料_2149" localSheetId="2">紅綠燈!#REF!</definedName>
    <definedName name="外部資料_215" localSheetId="12">PKA!#REF!</definedName>
    <definedName name="外部資料_215" localSheetId="13">PKB!#REF!</definedName>
    <definedName name="外部資料_215" localSheetId="14">PKC!#REF!</definedName>
    <definedName name="外部資料_215" localSheetId="7">公司債!#REF!</definedName>
    <definedName name="外部資料_215" localSheetId="0">基本設定!#REF!</definedName>
    <definedName name="外部資料_215" localSheetId="4">評比系統!#REF!</definedName>
    <definedName name="外部資料_2150" localSheetId="2">紅綠燈!#REF!</definedName>
    <definedName name="外部資料_2152" localSheetId="2">紅綠燈!#REF!</definedName>
    <definedName name="外部資料_2153" localSheetId="2">紅綠燈!#REF!</definedName>
    <definedName name="外部資料_2154" localSheetId="2">紅綠燈!#REF!</definedName>
    <definedName name="外部資料_2156" localSheetId="2">紅綠燈!#REF!</definedName>
    <definedName name="外部資料_2157" localSheetId="2">紅綠燈!#REF!</definedName>
    <definedName name="外部資料_2158" localSheetId="2">紅綠燈!#REF!</definedName>
    <definedName name="外部資料_216" localSheetId="12">PKA!#REF!</definedName>
    <definedName name="外部資料_216" localSheetId="13">PKB!#REF!</definedName>
    <definedName name="外部資料_216" localSheetId="14">PKC!#REF!</definedName>
    <definedName name="外部資料_216" localSheetId="7">公司債!#REF!</definedName>
    <definedName name="外部資料_216" localSheetId="0">基本設定!#REF!</definedName>
    <definedName name="外部資料_216" localSheetId="4">評比系統!#REF!</definedName>
    <definedName name="外部資料_2160" localSheetId="2">紅綠燈!#REF!</definedName>
    <definedName name="外部資料_2161" localSheetId="2">紅綠燈!#REF!</definedName>
    <definedName name="外部資料_2162" localSheetId="2">紅綠燈!#REF!</definedName>
    <definedName name="外部資料_2164" localSheetId="2">紅綠燈!#REF!</definedName>
    <definedName name="外部資料_2165" localSheetId="2">紅綠燈!#REF!</definedName>
    <definedName name="外部資料_2166" localSheetId="2">紅綠燈!#REF!</definedName>
    <definedName name="外部資料_2168" localSheetId="2">紅綠燈!#REF!</definedName>
    <definedName name="外部資料_2169" localSheetId="2">紅綠燈!#REF!</definedName>
    <definedName name="外部資料_217" localSheetId="12">PKA!#REF!</definedName>
    <definedName name="外部資料_217" localSheetId="13">PKB!#REF!</definedName>
    <definedName name="外部資料_217" localSheetId="14">PKC!#REF!</definedName>
    <definedName name="外部資料_217" localSheetId="7">公司債!#REF!</definedName>
    <definedName name="外部資料_217" localSheetId="0">基本設定!#REF!</definedName>
    <definedName name="外部資料_217" localSheetId="4">評比系統!#REF!</definedName>
    <definedName name="外部資料_2170" localSheetId="2">紅綠燈!#REF!</definedName>
    <definedName name="外部資料_2172" localSheetId="2">紅綠燈!#REF!</definedName>
    <definedName name="外部資料_2173" localSheetId="2">紅綠燈!#REF!</definedName>
    <definedName name="外部資料_2174" localSheetId="2">紅綠燈!#REF!</definedName>
    <definedName name="外部資料_2176" localSheetId="2">紅綠燈!#REF!</definedName>
    <definedName name="外部資料_2177" localSheetId="2">紅綠燈!#REF!</definedName>
    <definedName name="外部資料_2178" localSheetId="2">紅綠燈!#REF!</definedName>
    <definedName name="外部資料_218" localSheetId="12">PKA!#REF!</definedName>
    <definedName name="外部資料_218" localSheetId="13">PKB!#REF!</definedName>
    <definedName name="外部資料_218" localSheetId="14">PKC!#REF!</definedName>
    <definedName name="外部資料_218" localSheetId="7">公司債!#REF!</definedName>
    <definedName name="外部資料_218" localSheetId="0">基本設定!#REF!</definedName>
    <definedName name="外部資料_218" localSheetId="4">評比系統!#REF!</definedName>
    <definedName name="外部資料_2180" localSheetId="2">紅綠燈!#REF!</definedName>
    <definedName name="外部資料_2181" localSheetId="2">紅綠燈!#REF!</definedName>
    <definedName name="外部資料_2182" localSheetId="2">紅綠燈!#REF!</definedName>
    <definedName name="外部資料_2184" localSheetId="2">紅綠燈!#REF!</definedName>
    <definedName name="外部資料_2185" localSheetId="2">紅綠燈!#REF!</definedName>
    <definedName name="外部資料_2186" localSheetId="2">紅綠燈!#REF!</definedName>
    <definedName name="外部資料_2188" localSheetId="2">紅綠燈!#REF!</definedName>
    <definedName name="外部資料_2189" localSheetId="2">紅綠燈!#REF!</definedName>
    <definedName name="外部資料_219" localSheetId="12">PKA!#REF!</definedName>
    <definedName name="外部資料_219" localSheetId="13">PKB!#REF!</definedName>
    <definedName name="外部資料_219" localSheetId="14">PKC!#REF!</definedName>
    <definedName name="外部資料_219" localSheetId="7">公司債!#REF!</definedName>
    <definedName name="外部資料_219" localSheetId="0">基本設定!#REF!</definedName>
    <definedName name="外部資料_219" localSheetId="4">評比系統!#REF!</definedName>
    <definedName name="外部資料_2190" localSheetId="2">紅綠燈!#REF!</definedName>
    <definedName name="外部資料_2192" localSheetId="2">紅綠燈!#REF!</definedName>
    <definedName name="外部資料_2193" localSheetId="2">紅綠燈!#REF!</definedName>
    <definedName name="外部資料_2194" localSheetId="2">紅綠燈!#REF!</definedName>
    <definedName name="外部資料_2196" localSheetId="2">紅綠燈!#REF!</definedName>
    <definedName name="外部資料_2197" localSheetId="2">紅綠燈!#REF!</definedName>
    <definedName name="外部資料_2198" localSheetId="2">紅綠燈!#REF!</definedName>
    <definedName name="外部資料_22" localSheetId="12">PKA!#REF!</definedName>
    <definedName name="外部資料_22" localSheetId="13">PKB!#REF!</definedName>
    <definedName name="外部資料_22" localSheetId="14">PKC!#REF!</definedName>
    <definedName name="外部資料_22" localSheetId="7">公司債!#REF!</definedName>
    <definedName name="外部資料_22" localSheetId="2">紅綠燈!#REF!</definedName>
    <definedName name="外部資料_22" localSheetId="0">基本設定!#REF!</definedName>
    <definedName name="外部資料_22" localSheetId="4">評比系統!#REF!</definedName>
    <definedName name="外部資料_22" localSheetId="5">搶先報!#REF!</definedName>
    <definedName name="外部資料_220" localSheetId="12">PKA!#REF!</definedName>
    <definedName name="外部資料_220" localSheetId="13">PKB!#REF!</definedName>
    <definedName name="外部資料_220" localSheetId="14">PKC!#REF!</definedName>
    <definedName name="外部資料_220" localSheetId="7">公司債!#REF!</definedName>
    <definedName name="外部資料_220" localSheetId="0">基本設定!#REF!</definedName>
    <definedName name="外部資料_220" localSheetId="4">評比系統!#REF!</definedName>
    <definedName name="外部資料_2200" localSheetId="2">紅綠燈!#REF!</definedName>
    <definedName name="外部資料_2201" localSheetId="2">紅綠燈!#REF!</definedName>
    <definedName name="外部資料_2202" localSheetId="2">紅綠燈!#REF!</definedName>
    <definedName name="外部資料_2204" localSheetId="2">紅綠燈!#REF!</definedName>
    <definedName name="外部資料_2205" localSheetId="2">紅綠燈!#REF!</definedName>
    <definedName name="外部資料_2206" localSheetId="2">紅綠燈!#REF!</definedName>
    <definedName name="外部資料_2208" localSheetId="2">紅綠燈!#REF!</definedName>
    <definedName name="外部資料_2209" localSheetId="2">紅綠燈!#REF!</definedName>
    <definedName name="外部資料_221" localSheetId="12">PKA!#REF!</definedName>
    <definedName name="外部資料_221" localSheetId="13">PKB!#REF!</definedName>
    <definedName name="外部資料_221" localSheetId="14">PKC!#REF!</definedName>
    <definedName name="外部資料_221" localSheetId="7">公司債!#REF!</definedName>
    <definedName name="外部資料_221" localSheetId="0">基本設定!#REF!</definedName>
    <definedName name="外部資料_221" localSheetId="4">評比系統!#REF!</definedName>
    <definedName name="外部資料_2210" localSheetId="2">紅綠燈!#REF!</definedName>
    <definedName name="外部資料_2212" localSheetId="2">紅綠燈!#REF!</definedName>
    <definedName name="外部資料_2213" localSheetId="2">紅綠燈!#REF!</definedName>
    <definedName name="外部資料_2214" localSheetId="2">紅綠燈!#REF!</definedName>
    <definedName name="外部資料_2216" localSheetId="2">紅綠燈!#REF!</definedName>
    <definedName name="外部資料_2217" localSheetId="2">紅綠燈!#REF!</definedName>
    <definedName name="外部資料_2218" localSheetId="2">紅綠燈!#REF!</definedName>
    <definedName name="外部資料_222" localSheetId="12">PKA!#REF!</definedName>
    <definedName name="外部資料_222" localSheetId="13">PKB!#REF!</definedName>
    <definedName name="外部資料_222" localSheetId="14">PKC!#REF!</definedName>
    <definedName name="外部資料_222" localSheetId="7">公司債!#REF!</definedName>
    <definedName name="外部資料_222" localSheetId="0">基本設定!#REF!</definedName>
    <definedName name="外部資料_222" localSheetId="4">評比系統!#REF!</definedName>
    <definedName name="外部資料_2220" localSheetId="2">紅綠燈!#REF!</definedName>
    <definedName name="外部資料_2221" localSheetId="2">紅綠燈!#REF!</definedName>
    <definedName name="外部資料_2222" localSheetId="2">紅綠燈!#REF!</definedName>
    <definedName name="外部資料_2224" localSheetId="2">紅綠燈!#REF!</definedName>
    <definedName name="外部資料_2225" localSheetId="2">紅綠燈!#REF!</definedName>
    <definedName name="外部資料_2226" localSheetId="2">紅綠燈!#REF!</definedName>
    <definedName name="外部資料_2228" localSheetId="2">紅綠燈!#REF!</definedName>
    <definedName name="外部資料_2229" localSheetId="2">紅綠燈!#REF!</definedName>
    <definedName name="外部資料_223" localSheetId="12">PKA!#REF!</definedName>
    <definedName name="外部資料_223" localSheetId="13">PKB!#REF!</definedName>
    <definedName name="外部資料_223" localSheetId="14">PKC!#REF!</definedName>
    <definedName name="外部資料_223" localSheetId="7">公司債!#REF!</definedName>
    <definedName name="外部資料_223" localSheetId="0">基本設定!#REF!</definedName>
    <definedName name="外部資料_223" localSheetId="4">評比系統!#REF!</definedName>
    <definedName name="外部資料_2230" localSheetId="2">紅綠燈!#REF!</definedName>
    <definedName name="外部資料_2232" localSheetId="2">紅綠燈!#REF!</definedName>
    <definedName name="外部資料_2233" localSheetId="2">紅綠燈!#REF!</definedName>
    <definedName name="外部資料_2234" localSheetId="2">紅綠燈!#REF!</definedName>
    <definedName name="外部資料_2236" localSheetId="2">紅綠燈!#REF!</definedName>
    <definedName name="外部資料_2237" localSheetId="2">紅綠燈!#REF!</definedName>
    <definedName name="外部資料_2238" localSheetId="2">紅綠燈!#REF!</definedName>
    <definedName name="外部資料_224" localSheetId="12">PKA!#REF!</definedName>
    <definedName name="外部資料_224" localSheetId="13">PKB!#REF!</definedName>
    <definedName name="外部資料_224" localSheetId="14">PKC!#REF!</definedName>
    <definedName name="外部資料_224" localSheetId="7">公司債!#REF!</definedName>
    <definedName name="外部資料_224" localSheetId="0">基本設定!#REF!</definedName>
    <definedName name="外部資料_224" localSheetId="4">評比系統!#REF!</definedName>
    <definedName name="外部資料_2240" localSheetId="2">紅綠燈!#REF!</definedName>
    <definedName name="外部資料_2241" localSheetId="2">紅綠燈!#REF!</definedName>
    <definedName name="外部資料_2242" localSheetId="2">紅綠燈!#REF!</definedName>
    <definedName name="外部資料_2244" localSheetId="2">紅綠燈!#REF!</definedName>
    <definedName name="外部資料_2245" localSheetId="2">紅綠燈!#REF!</definedName>
    <definedName name="外部資料_2246" localSheetId="2">紅綠燈!#REF!</definedName>
    <definedName name="外部資料_2248" localSheetId="2">紅綠燈!#REF!</definedName>
    <definedName name="外部資料_2249" localSheetId="2">紅綠燈!#REF!</definedName>
    <definedName name="外部資料_225" localSheetId="12">PKA!#REF!</definedName>
    <definedName name="外部資料_225" localSheetId="13">PKB!#REF!</definedName>
    <definedName name="外部資料_225" localSheetId="14">PKC!#REF!</definedName>
    <definedName name="外部資料_225" localSheetId="7">公司債!#REF!</definedName>
    <definedName name="外部資料_225" localSheetId="0">基本設定!#REF!</definedName>
    <definedName name="外部資料_225" localSheetId="4">評比系統!#REF!</definedName>
    <definedName name="外部資料_2250" localSheetId="2">紅綠燈!#REF!</definedName>
    <definedName name="外部資料_2252" localSheetId="2">紅綠燈!#REF!</definedName>
    <definedName name="外部資料_2253" localSheetId="2">紅綠燈!#REF!</definedName>
    <definedName name="外部資料_2254" localSheetId="2">紅綠燈!#REF!</definedName>
    <definedName name="外部資料_2256" localSheetId="2">紅綠燈!#REF!</definedName>
    <definedName name="外部資料_2257" localSheetId="2">紅綠燈!#REF!</definedName>
    <definedName name="外部資料_2258" localSheetId="2">紅綠燈!#REF!</definedName>
    <definedName name="外部資料_226" localSheetId="12">PKA!#REF!</definedName>
    <definedName name="外部資料_226" localSheetId="13">PKB!#REF!</definedName>
    <definedName name="外部資料_226" localSheetId="14">PKC!#REF!</definedName>
    <definedName name="外部資料_226" localSheetId="7">公司債!#REF!</definedName>
    <definedName name="外部資料_226" localSheetId="0">基本設定!#REF!</definedName>
    <definedName name="外部資料_226" localSheetId="4">評比系統!#REF!</definedName>
    <definedName name="外部資料_2260" localSheetId="2">紅綠燈!#REF!</definedName>
    <definedName name="外部資料_2261" localSheetId="2">紅綠燈!#REF!</definedName>
    <definedName name="外部資料_2262" localSheetId="2">紅綠燈!#REF!</definedName>
    <definedName name="外部資料_2264" localSheetId="2">紅綠燈!#REF!</definedName>
    <definedName name="外部資料_2265" localSheetId="2">紅綠燈!#REF!</definedName>
    <definedName name="外部資料_2266" localSheetId="2">紅綠燈!#REF!</definedName>
    <definedName name="外部資料_2268" localSheetId="2">紅綠燈!#REF!</definedName>
    <definedName name="外部資料_2269" localSheetId="2">紅綠燈!#REF!</definedName>
    <definedName name="外部資料_227" localSheetId="12">PKA!#REF!</definedName>
    <definedName name="外部資料_227" localSheetId="13">PKB!#REF!</definedName>
    <definedName name="外部資料_227" localSheetId="14">PKC!#REF!</definedName>
    <definedName name="外部資料_227" localSheetId="7">公司債!#REF!</definedName>
    <definedName name="外部資料_227" localSheetId="0">基本設定!#REF!</definedName>
    <definedName name="外部資料_227" localSheetId="4">評比系統!#REF!</definedName>
    <definedName name="外部資料_2270" localSheetId="2">紅綠燈!#REF!</definedName>
    <definedName name="外部資料_2272" localSheetId="2">紅綠燈!#REF!</definedName>
    <definedName name="外部資料_2273" localSheetId="2">紅綠燈!#REF!</definedName>
    <definedName name="外部資料_2274" localSheetId="2">紅綠燈!#REF!</definedName>
    <definedName name="外部資料_2276" localSheetId="2">紅綠燈!#REF!</definedName>
    <definedName name="外部資料_2277" localSheetId="2">紅綠燈!#REF!</definedName>
    <definedName name="外部資料_2278" localSheetId="2">紅綠燈!#REF!</definedName>
    <definedName name="外部資料_228" localSheetId="12">PKA!#REF!</definedName>
    <definedName name="外部資料_228" localSheetId="13">PKB!#REF!</definedName>
    <definedName name="外部資料_228" localSheetId="14">PKC!#REF!</definedName>
    <definedName name="外部資料_228" localSheetId="7">公司債!#REF!</definedName>
    <definedName name="外部資料_228" localSheetId="0">基本設定!#REF!</definedName>
    <definedName name="外部資料_228" localSheetId="4">評比系統!#REF!</definedName>
    <definedName name="外部資料_2280" localSheetId="2">紅綠燈!#REF!</definedName>
    <definedName name="外部資料_2281" localSheetId="2">紅綠燈!#REF!</definedName>
    <definedName name="外部資料_2282" localSheetId="2">紅綠燈!#REF!</definedName>
    <definedName name="外部資料_2284" localSheetId="2">紅綠燈!#REF!</definedName>
    <definedName name="外部資料_2285" localSheetId="2">紅綠燈!#REF!</definedName>
    <definedName name="外部資料_2286" localSheetId="2">紅綠燈!#REF!</definedName>
    <definedName name="外部資料_2288" localSheetId="2">紅綠燈!#REF!</definedName>
    <definedName name="外部資料_2289" localSheetId="2">紅綠燈!#REF!</definedName>
    <definedName name="外部資料_229" localSheetId="12">PKA!#REF!</definedName>
    <definedName name="外部資料_229" localSheetId="13">PKB!#REF!</definedName>
    <definedName name="外部資料_229" localSheetId="14">PKC!#REF!</definedName>
    <definedName name="外部資料_229" localSheetId="7">公司債!#REF!</definedName>
    <definedName name="外部資料_229" localSheetId="0">基本設定!#REF!</definedName>
    <definedName name="外部資料_229" localSheetId="4">評比系統!#REF!</definedName>
    <definedName name="外部資料_2290" localSheetId="2">紅綠燈!#REF!</definedName>
    <definedName name="外部資料_2292" localSheetId="2">紅綠燈!#REF!</definedName>
    <definedName name="外部資料_2293" localSheetId="2">紅綠燈!#REF!</definedName>
    <definedName name="外部資料_2294" localSheetId="2">紅綠燈!#REF!</definedName>
    <definedName name="外部資料_2296" localSheetId="2">紅綠燈!#REF!</definedName>
    <definedName name="外部資料_2297" localSheetId="2">紅綠燈!#REF!</definedName>
    <definedName name="外部資料_2298" localSheetId="2">紅綠燈!#REF!</definedName>
    <definedName name="外部資料_23" localSheetId="12">PKA!#REF!</definedName>
    <definedName name="外部資料_23" localSheetId="13">PKB!#REF!</definedName>
    <definedName name="外部資料_23" localSheetId="14">PKC!#REF!</definedName>
    <definedName name="外部資料_23" localSheetId="7">公司債!#REF!</definedName>
    <definedName name="外部資料_23" localSheetId="2">紅綠燈!#REF!</definedName>
    <definedName name="外部資料_23" localSheetId="0">基本設定!#REF!</definedName>
    <definedName name="外部資料_23" localSheetId="4">評比系統!#REF!</definedName>
    <definedName name="外部資料_23" localSheetId="5">搶先報!#REF!</definedName>
    <definedName name="外部資料_230" localSheetId="12">PKA!#REF!</definedName>
    <definedName name="外部資料_230" localSheetId="13">PKB!#REF!</definedName>
    <definedName name="外部資料_230" localSheetId="14">PKC!#REF!</definedName>
    <definedName name="外部資料_230" localSheetId="7">公司債!#REF!</definedName>
    <definedName name="外部資料_230" localSheetId="0">基本設定!#REF!</definedName>
    <definedName name="外部資料_230" localSheetId="4">評比系統!#REF!</definedName>
    <definedName name="外部資料_2300" localSheetId="2">紅綠燈!#REF!</definedName>
    <definedName name="外部資料_2301" localSheetId="2">紅綠燈!#REF!</definedName>
    <definedName name="外部資料_2302" localSheetId="2">紅綠燈!#REF!</definedName>
    <definedName name="外部資料_2304" localSheetId="2">紅綠燈!#REF!</definedName>
    <definedName name="外部資料_2305" localSheetId="2">紅綠燈!#REF!</definedName>
    <definedName name="外部資料_2306" localSheetId="2">紅綠燈!#REF!</definedName>
    <definedName name="外部資料_2308" localSheetId="2">紅綠燈!#REF!</definedName>
    <definedName name="外部資料_2309" localSheetId="2">紅綠燈!#REF!</definedName>
    <definedName name="外部資料_231" localSheetId="12">PKA!#REF!</definedName>
    <definedName name="外部資料_231" localSheetId="13">PKB!#REF!</definedName>
    <definedName name="外部資料_231" localSheetId="14">PKC!#REF!</definedName>
    <definedName name="外部資料_231" localSheetId="7">公司債!#REF!</definedName>
    <definedName name="外部資料_231" localSheetId="0">基本設定!#REF!</definedName>
    <definedName name="外部資料_231" localSheetId="4">評比系統!#REF!</definedName>
    <definedName name="外部資料_2310" localSheetId="2">紅綠燈!#REF!</definedName>
    <definedName name="外部資料_2312" localSheetId="2">紅綠燈!#REF!</definedName>
    <definedName name="外部資料_2313" localSheetId="2">紅綠燈!#REF!</definedName>
    <definedName name="外部資料_2314" localSheetId="2">紅綠燈!#REF!</definedName>
    <definedName name="外部資料_2316" localSheetId="2">紅綠燈!#REF!</definedName>
    <definedName name="外部資料_2317" localSheetId="2">紅綠燈!#REF!</definedName>
    <definedName name="外部資料_2318" localSheetId="2">紅綠燈!#REF!</definedName>
    <definedName name="外部資料_232" localSheetId="12">PKA!#REF!</definedName>
    <definedName name="外部資料_232" localSheetId="13">PKB!#REF!</definedName>
    <definedName name="外部資料_232" localSheetId="14">PKC!#REF!</definedName>
    <definedName name="外部資料_232" localSheetId="7">公司債!#REF!</definedName>
    <definedName name="外部資料_232" localSheetId="0">基本設定!#REF!</definedName>
    <definedName name="外部資料_232" localSheetId="4">評比系統!#REF!</definedName>
    <definedName name="外部資料_2320" localSheetId="2">紅綠燈!#REF!</definedName>
    <definedName name="外部資料_2321" localSheetId="2">紅綠燈!#REF!</definedName>
    <definedName name="外部資料_2322" localSheetId="2">紅綠燈!#REF!</definedName>
    <definedName name="外部資料_2324" localSheetId="2">紅綠燈!#REF!</definedName>
    <definedName name="外部資料_2325" localSheetId="2">紅綠燈!#REF!</definedName>
    <definedName name="外部資料_2326" localSheetId="2">紅綠燈!#REF!</definedName>
    <definedName name="外部資料_2328" localSheetId="2">紅綠燈!#REF!</definedName>
    <definedName name="外部資料_2329" localSheetId="2">紅綠燈!#REF!</definedName>
    <definedName name="外部資料_233" localSheetId="12">PKA!#REF!</definedName>
    <definedName name="外部資料_233" localSheetId="13">PKB!#REF!</definedName>
    <definedName name="外部資料_233" localSheetId="14">PKC!#REF!</definedName>
    <definedName name="外部資料_233" localSheetId="7">公司債!#REF!</definedName>
    <definedName name="外部資料_233" localSheetId="0">基本設定!#REF!</definedName>
    <definedName name="外部資料_233" localSheetId="4">評比系統!#REF!</definedName>
    <definedName name="外部資料_2330" localSheetId="2">紅綠燈!#REF!</definedName>
    <definedName name="外部資料_2332" localSheetId="2">紅綠燈!#REF!</definedName>
    <definedName name="外部資料_2333" localSheetId="2">紅綠燈!#REF!</definedName>
    <definedName name="外部資料_2334" localSheetId="2">紅綠燈!#REF!</definedName>
    <definedName name="外部資料_2336" localSheetId="2">紅綠燈!#REF!</definedName>
    <definedName name="外部資料_2337" localSheetId="2">紅綠燈!#REF!</definedName>
    <definedName name="外部資料_2338" localSheetId="2">紅綠燈!#REF!</definedName>
    <definedName name="外部資料_234" localSheetId="12">PKA!#REF!</definedName>
    <definedName name="外部資料_234" localSheetId="13">PKB!#REF!</definedName>
    <definedName name="外部資料_234" localSheetId="14">PKC!#REF!</definedName>
    <definedName name="外部資料_234" localSheetId="7">公司債!#REF!</definedName>
    <definedName name="外部資料_234" localSheetId="0">基本設定!#REF!</definedName>
    <definedName name="外部資料_234" localSheetId="4">評比系統!#REF!</definedName>
    <definedName name="外部資料_2340" localSheetId="2">紅綠燈!#REF!</definedName>
    <definedName name="外部資料_2341" localSheetId="2">紅綠燈!#REF!</definedName>
    <definedName name="外部資料_2342" localSheetId="2">紅綠燈!#REF!</definedName>
    <definedName name="外部資料_2344" localSheetId="2">紅綠燈!#REF!</definedName>
    <definedName name="外部資料_2345" localSheetId="2">紅綠燈!#REF!</definedName>
    <definedName name="外部資料_2346" localSheetId="2">紅綠燈!#REF!</definedName>
    <definedName name="外部資料_2348" localSheetId="2">紅綠燈!#REF!</definedName>
    <definedName name="外部資料_2349" localSheetId="2">紅綠燈!#REF!</definedName>
    <definedName name="外部資料_235" localSheetId="12">PKA!#REF!</definedName>
    <definedName name="外部資料_235" localSheetId="13">PKB!#REF!</definedName>
    <definedName name="外部資料_235" localSheetId="14">PKC!#REF!</definedName>
    <definedName name="外部資料_235" localSheetId="7">公司債!#REF!</definedName>
    <definedName name="外部資料_235" localSheetId="0">基本設定!#REF!</definedName>
    <definedName name="外部資料_235" localSheetId="4">評比系統!#REF!</definedName>
    <definedName name="外部資料_2350" localSheetId="2">紅綠燈!#REF!</definedName>
    <definedName name="外部資料_2352" localSheetId="2">紅綠燈!#REF!</definedName>
    <definedName name="外部資料_2353" localSheetId="2">紅綠燈!#REF!</definedName>
    <definedName name="外部資料_2354" localSheetId="2">紅綠燈!#REF!</definedName>
    <definedName name="外部資料_2356" localSheetId="2">紅綠燈!#REF!</definedName>
    <definedName name="外部資料_2357" localSheetId="2">紅綠燈!#REF!</definedName>
    <definedName name="外部資料_2358" localSheetId="2">紅綠燈!#REF!</definedName>
    <definedName name="外部資料_236" localSheetId="12">PKA!#REF!</definedName>
    <definedName name="外部資料_236" localSheetId="13">PKB!#REF!</definedName>
    <definedName name="外部資料_236" localSheetId="14">PKC!#REF!</definedName>
    <definedName name="外部資料_236" localSheetId="7">公司債!#REF!</definedName>
    <definedName name="外部資料_236" localSheetId="0">基本設定!#REF!</definedName>
    <definedName name="外部資料_236" localSheetId="4">評比系統!#REF!</definedName>
    <definedName name="外部資料_2360" localSheetId="2">紅綠燈!#REF!</definedName>
    <definedName name="外部資料_2361" localSheetId="2">紅綠燈!#REF!</definedName>
    <definedName name="外部資料_2362" localSheetId="2">紅綠燈!#REF!</definedName>
    <definedName name="外部資料_2364" localSheetId="2">紅綠燈!#REF!</definedName>
    <definedName name="外部資料_2365" localSheetId="2">紅綠燈!#REF!</definedName>
    <definedName name="外部資料_2366" localSheetId="2">紅綠燈!#REF!</definedName>
    <definedName name="外部資料_2368" localSheetId="2">紅綠燈!#REF!</definedName>
    <definedName name="外部資料_2369" localSheetId="2">紅綠燈!#REF!</definedName>
    <definedName name="外部資料_237" localSheetId="12">PKA!#REF!</definedName>
    <definedName name="外部資料_237" localSheetId="13">PKB!#REF!</definedName>
    <definedName name="外部資料_237" localSheetId="14">PKC!#REF!</definedName>
    <definedName name="外部資料_237" localSheetId="7">公司債!#REF!</definedName>
    <definedName name="外部資料_237" localSheetId="0">基本設定!#REF!</definedName>
    <definedName name="外部資料_237" localSheetId="4">評比系統!#REF!</definedName>
    <definedName name="外部資料_2370" localSheetId="2">紅綠燈!#REF!</definedName>
    <definedName name="外部資料_2372" localSheetId="2">紅綠燈!#REF!</definedName>
    <definedName name="外部資料_2373" localSheetId="2">紅綠燈!#REF!</definedName>
    <definedName name="外部資料_2374" localSheetId="2">紅綠燈!#REF!</definedName>
    <definedName name="外部資料_2376" localSheetId="2">紅綠燈!#REF!</definedName>
    <definedName name="外部資料_2377" localSheetId="2">紅綠燈!#REF!</definedName>
    <definedName name="外部資料_2378" localSheetId="2">紅綠燈!#REF!</definedName>
    <definedName name="外部資料_238" localSheetId="12">PKA!#REF!</definedName>
    <definedName name="外部資料_238" localSheetId="13">PKB!#REF!</definedName>
    <definedName name="外部資料_238" localSheetId="14">PKC!#REF!</definedName>
    <definedName name="外部資料_238" localSheetId="7">公司債!#REF!</definedName>
    <definedName name="外部資料_238" localSheetId="0">基本設定!#REF!</definedName>
    <definedName name="外部資料_238" localSheetId="4">評比系統!#REF!</definedName>
    <definedName name="外部資料_2380" localSheetId="2">紅綠燈!#REF!</definedName>
    <definedName name="外部資料_2381" localSheetId="2">紅綠燈!#REF!</definedName>
    <definedName name="外部資料_2382" localSheetId="2">紅綠燈!#REF!</definedName>
    <definedName name="外部資料_2384" localSheetId="2">紅綠燈!#REF!</definedName>
    <definedName name="外部資料_2385" localSheetId="2">紅綠燈!#REF!</definedName>
    <definedName name="外部資料_2386" localSheetId="2">紅綠燈!#REF!</definedName>
    <definedName name="外部資料_2388" localSheetId="2">紅綠燈!#REF!</definedName>
    <definedName name="外部資料_2389" localSheetId="2">紅綠燈!#REF!</definedName>
    <definedName name="外部資料_239" localSheetId="12">PKA!#REF!</definedName>
    <definedName name="外部資料_239" localSheetId="13">PKB!#REF!</definedName>
    <definedName name="外部資料_239" localSheetId="14">PKC!#REF!</definedName>
    <definedName name="外部資料_239" localSheetId="7">公司債!#REF!</definedName>
    <definedName name="外部資料_239" localSheetId="0">基本設定!#REF!</definedName>
    <definedName name="外部資料_239" localSheetId="4">評比系統!#REF!</definedName>
    <definedName name="外部資料_2390" localSheetId="2">紅綠燈!#REF!</definedName>
    <definedName name="外部資料_2392" localSheetId="2">紅綠燈!#REF!</definedName>
    <definedName name="外部資料_2393" localSheetId="2">紅綠燈!#REF!</definedName>
    <definedName name="外部資料_2394" localSheetId="2">紅綠燈!#REF!</definedName>
    <definedName name="外部資料_2396" localSheetId="2">紅綠燈!#REF!</definedName>
    <definedName name="外部資料_2397" localSheetId="2">紅綠燈!#REF!</definedName>
    <definedName name="外部資料_2398" localSheetId="2">紅綠燈!#REF!</definedName>
    <definedName name="外部資料_24" localSheetId="12">PKA!#REF!</definedName>
    <definedName name="外部資料_24" localSheetId="13">PKB!#REF!</definedName>
    <definedName name="外部資料_24" localSheetId="14">PKC!#REF!</definedName>
    <definedName name="外部資料_24" localSheetId="7">公司債!#REF!</definedName>
    <definedName name="外部資料_24" localSheetId="2">紅綠燈!#REF!</definedName>
    <definedName name="外部資料_24" localSheetId="0">基本設定!#REF!</definedName>
    <definedName name="外部資料_24" localSheetId="4">評比系統!#REF!</definedName>
    <definedName name="外部資料_24" localSheetId="5">搶先報!#REF!</definedName>
    <definedName name="外部資料_240" localSheetId="12">PKA!#REF!</definedName>
    <definedName name="外部資料_240" localSheetId="13">PKB!#REF!</definedName>
    <definedName name="外部資料_240" localSheetId="14">PKC!#REF!</definedName>
    <definedName name="外部資料_240" localSheetId="7">公司債!#REF!</definedName>
    <definedName name="外部資料_240" localSheetId="0">基本設定!#REF!</definedName>
    <definedName name="外部資料_240" localSheetId="4">評比系統!#REF!</definedName>
    <definedName name="外部資料_2400" localSheetId="2">紅綠燈!#REF!</definedName>
    <definedName name="外部資料_2401" localSheetId="2">紅綠燈!#REF!</definedName>
    <definedName name="外部資料_2402" localSheetId="2">紅綠燈!#REF!</definedName>
    <definedName name="外部資料_2404" localSheetId="2">紅綠燈!#REF!</definedName>
    <definedName name="外部資料_2405" localSheetId="2">紅綠燈!#REF!</definedName>
    <definedName name="外部資料_2406" localSheetId="2">紅綠燈!#REF!</definedName>
    <definedName name="外部資料_2408" localSheetId="2">紅綠燈!#REF!</definedName>
    <definedName name="外部資料_2409" localSheetId="2">紅綠燈!#REF!</definedName>
    <definedName name="外部資料_241" localSheetId="12">PKA!#REF!</definedName>
    <definedName name="外部資料_241" localSheetId="13">PKB!#REF!</definedName>
    <definedName name="外部資料_241" localSheetId="14">PKC!#REF!</definedName>
    <definedName name="外部資料_241" localSheetId="7">公司債!#REF!</definedName>
    <definedName name="外部資料_241" localSheetId="0">基本設定!#REF!</definedName>
    <definedName name="外部資料_241" localSheetId="4">評比系統!#REF!</definedName>
    <definedName name="外部資料_2410" localSheetId="2">紅綠燈!#REF!</definedName>
    <definedName name="外部資料_2412" localSheetId="2">紅綠燈!#REF!</definedName>
    <definedName name="外部資料_2413" localSheetId="2">紅綠燈!#REF!</definedName>
    <definedName name="外部資料_2414" localSheetId="2">紅綠燈!#REF!</definedName>
    <definedName name="外部資料_2416" localSheetId="2">紅綠燈!#REF!</definedName>
    <definedName name="外部資料_2417" localSheetId="2">紅綠燈!#REF!</definedName>
    <definedName name="外部資料_2418" localSheetId="2">紅綠燈!#REF!</definedName>
    <definedName name="外部資料_242" localSheetId="12">PKA!#REF!</definedName>
    <definedName name="外部資料_242" localSheetId="13">PKB!#REF!</definedName>
    <definedName name="外部資料_242" localSheetId="14">PKC!#REF!</definedName>
    <definedName name="外部資料_242" localSheetId="7">公司債!#REF!</definedName>
    <definedName name="外部資料_242" localSheetId="0">基本設定!#REF!</definedName>
    <definedName name="外部資料_242" localSheetId="4">評比系統!#REF!</definedName>
    <definedName name="外部資料_2420" localSheetId="2">紅綠燈!#REF!</definedName>
    <definedName name="外部資料_2421" localSheetId="2">紅綠燈!#REF!</definedName>
    <definedName name="外部資料_2422" localSheetId="2">紅綠燈!#REF!</definedName>
    <definedName name="外部資料_2424" localSheetId="2">紅綠燈!#REF!</definedName>
    <definedName name="外部資料_2425" localSheetId="2">紅綠燈!#REF!</definedName>
    <definedName name="外部資料_2426" localSheetId="2">紅綠燈!#REF!</definedName>
    <definedName name="外部資料_2428" localSheetId="2">紅綠燈!#REF!</definedName>
    <definedName name="外部資料_2429" localSheetId="2">紅綠燈!#REF!</definedName>
    <definedName name="外部資料_243" localSheetId="12">PKA!#REF!</definedName>
    <definedName name="外部資料_243" localSheetId="13">PKB!#REF!</definedName>
    <definedName name="外部資料_243" localSheetId="14">PKC!#REF!</definedName>
    <definedName name="外部資料_243" localSheetId="7">公司債!#REF!</definedName>
    <definedName name="外部資料_243" localSheetId="0">基本設定!#REF!</definedName>
    <definedName name="外部資料_243" localSheetId="4">評比系統!#REF!</definedName>
    <definedName name="外部資料_2430" localSheetId="2">紅綠燈!#REF!</definedName>
    <definedName name="外部資料_2432" localSheetId="2">紅綠燈!#REF!</definedName>
    <definedName name="外部資料_2433" localSheetId="2">紅綠燈!#REF!</definedName>
    <definedName name="外部資料_2434" localSheetId="2">紅綠燈!#REF!</definedName>
    <definedName name="外部資料_2436" localSheetId="2">紅綠燈!#REF!</definedName>
    <definedName name="外部資料_2437" localSheetId="2">紅綠燈!#REF!</definedName>
    <definedName name="外部資料_2438" localSheetId="2">紅綠燈!#REF!</definedName>
    <definedName name="外部資料_244" localSheetId="12">PKA!#REF!</definedName>
    <definedName name="外部資料_244" localSheetId="13">PKB!#REF!</definedName>
    <definedName name="外部資料_244" localSheetId="14">PKC!#REF!</definedName>
    <definedName name="外部資料_244" localSheetId="7">公司債!#REF!</definedName>
    <definedName name="外部資料_244" localSheetId="0">基本設定!#REF!</definedName>
    <definedName name="外部資料_244" localSheetId="4">評比系統!#REF!</definedName>
    <definedName name="外部資料_2440" localSheetId="2">紅綠燈!#REF!</definedName>
    <definedName name="外部資料_2441" localSheetId="2">紅綠燈!#REF!</definedName>
    <definedName name="外部資料_2442" localSheetId="2">紅綠燈!#REF!</definedName>
    <definedName name="外部資料_2444" localSheetId="2">紅綠燈!#REF!</definedName>
    <definedName name="外部資料_2445" localSheetId="2">紅綠燈!#REF!</definedName>
    <definedName name="外部資料_2446" localSheetId="2">紅綠燈!#REF!</definedName>
    <definedName name="外部資料_2448" localSheetId="2">紅綠燈!#REF!</definedName>
    <definedName name="外部資料_2449" localSheetId="2">紅綠燈!#REF!</definedName>
    <definedName name="外部資料_245" localSheetId="12">PKA!#REF!</definedName>
    <definedName name="外部資料_245" localSheetId="13">PKB!#REF!</definedName>
    <definedName name="外部資料_245" localSheetId="14">PKC!#REF!</definedName>
    <definedName name="外部資料_245" localSheetId="7">公司債!#REF!</definedName>
    <definedName name="外部資料_245" localSheetId="0">基本設定!#REF!</definedName>
    <definedName name="外部資料_245" localSheetId="4">評比系統!#REF!</definedName>
    <definedName name="外部資料_2451" localSheetId="2">紅綠燈!#REF!</definedName>
    <definedName name="外部資料_2452" localSheetId="2">紅綠燈!#REF!</definedName>
    <definedName name="外部資料_2453" localSheetId="2">紅綠燈!#REF!</definedName>
    <definedName name="外部資料_2455" localSheetId="2">紅綠燈!#REF!</definedName>
    <definedName name="外部資料_2456" localSheetId="2">紅綠燈!#REF!</definedName>
    <definedName name="外部資料_2457" localSheetId="2">紅綠燈!#REF!</definedName>
    <definedName name="外部資料_2459" localSheetId="2">紅綠燈!#REF!</definedName>
    <definedName name="外部資料_246" localSheetId="12">PKA!#REF!</definedName>
    <definedName name="外部資料_246" localSheetId="13">PKB!#REF!</definedName>
    <definedName name="外部資料_246" localSheetId="14">PKC!#REF!</definedName>
    <definedName name="外部資料_246" localSheetId="7">公司債!#REF!</definedName>
    <definedName name="外部資料_246" localSheetId="0">基本設定!#REF!</definedName>
    <definedName name="外部資料_246" localSheetId="4">評比系統!#REF!</definedName>
    <definedName name="外部資料_2460" localSheetId="2">紅綠燈!#REF!</definedName>
    <definedName name="外部資料_2461" localSheetId="2">紅綠燈!#REF!</definedName>
    <definedName name="外部資料_2463" localSheetId="2">紅綠燈!#REF!</definedName>
    <definedName name="外部資料_2464" localSheetId="2">紅綠燈!#REF!</definedName>
    <definedName name="外部資料_2465" localSheetId="2">紅綠燈!#REF!</definedName>
    <definedName name="外部資料_2467" localSheetId="2">紅綠燈!#REF!</definedName>
    <definedName name="外部資料_2468" localSheetId="2">紅綠燈!#REF!</definedName>
    <definedName name="外部資料_2469" localSheetId="2">紅綠燈!#REF!</definedName>
    <definedName name="外部資料_247" localSheetId="12">PKA!#REF!</definedName>
    <definedName name="外部資料_247" localSheetId="13">PKB!#REF!</definedName>
    <definedName name="外部資料_247" localSheetId="14">PKC!#REF!</definedName>
    <definedName name="外部資料_247" localSheetId="7">公司債!#REF!</definedName>
    <definedName name="外部資料_247" localSheetId="0">基本設定!#REF!</definedName>
    <definedName name="外部資料_247" localSheetId="4">評比系統!#REF!</definedName>
    <definedName name="外部資料_2471" localSheetId="2">紅綠燈!#REF!</definedName>
    <definedName name="外部資料_2472" localSheetId="2">紅綠燈!#REF!</definedName>
    <definedName name="外部資料_2473" localSheetId="2">紅綠燈!#REF!</definedName>
    <definedName name="外部資料_2475" localSheetId="2">紅綠燈!#REF!</definedName>
    <definedName name="外部資料_2476" localSheetId="2">紅綠燈!#REF!</definedName>
    <definedName name="外部資料_2477" localSheetId="2">紅綠燈!#REF!</definedName>
    <definedName name="外部資料_2479" localSheetId="2">紅綠燈!#REF!</definedName>
    <definedName name="外部資料_248" localSheetId="12">PKA!#REF!</definedName>
    <definedName name="外部資料_248" localSheetId="13">PKB!#REF!</definedName>
    <definedName name="外部資料_248" localSheetId="14">PKC!#REF!</definedName>
    <definedName name="外部資料_248" localSheetId="7">公司債!#REF!</definedName>
    <definedName name="外部資料_248" localSheetId="0">基本設定!#REF!</definedName>
    <definedName name="外部資料_248" localSheetId="4">評比系統!#REF!</definedName>
    <definedName name="外部資料_2480" localSheetId="2">紅綠燈!#REF!</definedName>
    <definedName name="外部資料_2481" localSheetId="2">紅綠燈!#REF!</definedName>
    <definedName name="外部資料_2483" localSheetId="2">紅綠燈!#REF!</definedName>
    <definedName name="外部資料_2484" localSheetId="2">紅綠燈!#REF!</definedName>
    <definedName name="外部資料_2485" localSheetId="2">紅綠燈!#REF!</definedName>
    <definedName name="外部資料_2487" localSheetId="2">紅綠燈!#REF!</definedName>
    <definedName name="外部資料_2488" localSheetId="2">紅綠燈!#REF!</definedName>
    <definedName name="外部資料_2489" localSheetId="2">紅綠燈!#REF!</definedName>
    <definedName name="外部資料_249" localSheetId="12">PKA!#REF!</definedName>
    <definedName name="外部資料_249" localSheetId="13">PKB!#REF!</definedName>
    <definedName name="外部資料_249" localSheetId="14">PKC!#REF!</definedName>
    <definedName name="外部資料_249" localSheetId="7">公司債!#REF!</definedName>
    <definedName name="外部資料_249" localSheetId="0">基本設定!#REF!</definedName>
    <definedName name="外部資料_249" localSheetId="4">評比系統!#REF!</definedName>
    <definedName name="外部資料_2491" localSheetId="2">紅綠燈!#REF!</definedName>
    <definedName name="外部資料_2492" localSheetId="2">紅綠燈!#REF!</definedName>
    <definedName name="外部資料_2493" localSheetId="2">紅綠燈!#REF!</definedName>
    <definedName name="外部資料_2495" localSheetId="2">紅綠燈!#REF!</definedName>
    <definedName name="外部資料_2496" localSheetId="2">紅綠燈!#REF!</definedName>
    <definedName name="外部資料_2497" localSheetId="2">紅綠燈!#REF!</definedName>
    <definedName name="外部資料_2499" localSheetId="2">紅綠燈!#REF!</definedName>
    <definedName name="外部資料_25" localSheetId="12">PKA!#REF!</definedName>
    <definedName name="外部資料_25" localSheetId="13">PKB!#REF!</definedName>
    <definedName name="外部資料_25" localSheetId="14">PKC!#REF!</definedName>
    <definedName name="外部資料_25" localSheetId="7">公司債!#REF!</definedName>
    <definedName name="外部資料_25" localSheetId="2">紅綠燈!#REF!</definedName>
    <definedName name="外部資料_25" localSheetId="0">基本設定!#REF!</definedName>
    <definedName name="外部資料_25" localSheetId="4">評比系統!#REF!</definedName>
    <definedName name="外部資料_25" localSheetId="5">搶先報!#REF!</definedName>
    <definedName name="外部資料_250" localSheetId="12">PKA!#REF!</definedName>
    <definedName name="外部資料_250" localSheetId="13">PKB!#REF!</definedName>
    <definedName name="外部資料_250" localSheetId="14">PKC!#REF!</definedName>
    <definedName name="外部資料_250" localSheetId="7">公司債!#REF!</definedName>
    <definedName name="外部資料_250" localSheetId="0">基本設定!#REF!</definedName>
    <definedName name="外部資料_250" localSheetId="4">評比系統!#REF!</definedName>
    <definedName name="外部資料_2500" localSheetId="2">紅綠燈!#REF!</definedName>
    <definedName name="外部資料_2501" localSheetId="2">紅綠燈!#REF!</definedName>
    <definedName name="外部資料_2503" localSheetId="2">紅綠燈!#REF!</definedName>
    <definedName name="外部資料_2504" localSheetId="2">紅綠燈!#REF!</definedName>
    <definedName name="外部資料_2505" localSheetId="2">紅綠燈!#REF!</definedName>
    <definedName name="外部資料_2507" localSheetId="2">紅綠燈!#REF!</definedName>
    <definedName name="外部資料_2508" localSheetId="2">紅綠燈!#REF!</definedName>
    <definedName name="外部資料_2509" localSheetId="2">紅綠燈!#REF!</definedName>
    <definedName name="外部資料_251" localSheetId="12">PKA!#REF!</definedName>
    <definedName name="外部資料_251" localSheetId="13">PKB!#REF!</definedName>
    <definedName name="外部資料_251" localSheetId="14">PKC!#REF!</definedName>
    <definedName name="外部資料_251" localSheetId="7">公司債!#REF!</definedName>
    <definedName name="外部資料_251" localSheetId="0">基本設定!#REF!</definedName>
    <definedName name="外部資料_251" localSheetId="4">評比系統!#REF!</definedName>
    <definedName name="外部資料_2511" localSheetId="2">紅綠燈!#REF!</definedName>
    <definedName name="外部資料_2512" localSheetId="2">紅綠燈!#REF!</definedName>
    <definedName name="外部資料_2513" localSheetId="2">紅綠燈!#REF!</definedName>
    <definedName name="外部資料_2515" localSheetId="2">紅綠燈!#REF!</definedName>
    <definedName name="外部資料_2516" localSheetId="2">紅綠燈!#REF!</definedName>
    <definedName name="外部資料_2517" localSheetId="2">紅綠燈!#REF!</definedName>
    <definedName name="外部資料_2519" localSheetId="2">紅綠燈!#REF!</definedName>
    <definedName name="外部資料_252" localSheetId="12">PKA!#REF!</definedName>
    <definedName name="外部資料_252" localSheetId="13">PKB!#REF!</definedName>
    <definedName name="外部資料_252" localSheetId="14">PKC!#REF!</definedName>
    <definedName name="外部資料_252" localSheetId="7">公司債!#REF!</definedName>
    <definedName name="外部資料_252" localSheetId="0">基本設定!#REF!</definedName>
    <definedName name="外部資料_252" localSheetId="4">評比系統!#REF!</definedName>
    <definedName name="外部資料_2520" localSheetId="2">紅綠燈!#REF!</definedName>
    <definedName name="外部資料_2521" localSheetId="2">紅綠燈!#REF!</definedName>
    <definedName name="外部資料_2523" localSheetId="2">紅綠燈!#REF!</definedName>
    <definedName name="外部資料_2524" localSheetId="2">紅綠燈!#REF!</definedName>
    <definedName name="外部資料_2525" localSheetId="2">紅綠燈!#REF!</definedName>
    <definedName name="外部資料_2527" localSheetId="2">紅綠燈!#REF!</definedName>
    <definedName name="外部資料_2528" localSheetId="2">紅綠燈!#REF!</definedName>
    <definedName name="外部資料_2529" localSheetId="2">紅綠燈!#REF!</definedName>
    <definedName name="外部資料_253" localSheetId="12">PKA!#REF!</definedName>
    <definedName name="外部資料_253" localSheetId="13">PKB!#REF!</definedName>
    <definedName name="外部資料_253" localSheetId="14">PKC!#REF!</definedName>
    <definedName name="外部資料_253" localSheetId="7">公司債!#REF!</definedName>
    <definedName name="外部資料_253" localSheetId="0">基本設定!#REF!</definedName>
    <definedName name="外部資料_253" localSheetId="4">評比系統!#REF!</definedName>
    <definedName name="外部資料_2531" localSheetId="2">紅綠燈!#REF!</definedName>
    <definedName name="外部資料_2532" localSheetId="2">紅綠燈!#REF!</definedName>
    <definedName name="外部資料_2533" localSheetId="2">紅綠燈!#REF!</definedName>
    <definedName name="外部資料_2535" localSheetId="2">紅綠燈!#REF!</definedName>
    <definedName name="外部資料_2536" localSheetId="2">紅綠燈!#REF!</definedName>
    <definedName name="外部資料_2537" localSheetId="2">紅綠燈!#REF!</definedName>
    <definedName name="外部資料_2539" localSheetId="2">紅綠燈!#REF!</definedName>
    <definedName name="外部資料_254" localSheetId="12">PKA!#REF!</definedName>
    <definedName name="外部資料_254" localSheetId="13">PKB!#REF!</definedName>
    <definedName name="外部資料_254" localSheetId="14">PKC!#REF!</definedName>
    <definedName name="外部資料_254" localSheetId="7">公司債!#REF!</definedName>
    <definedName name="外部資料_254" localSheetId="0">基本設定!#REF!</definedName>
    <definedName name="外部資料_254" localSheetId="4">評比系統!#REF!</definedName>
    <definedName name="外部資料_2540" localSheetId="2">紅綠燈!#REF!</definedName>
    <definedName name="外部資料_2541" localSheetId="2">紅綠燈!#REF!</definedName>
    <definedName name="外部資料_2543" localSheetId="2">紅綠燈!#REF!</definedName>
    <definedName name="外部資料_2544" localSheetId="2">紅綠燈!#REF!</definedName>
    <definedName name="外部資料_2545" localSheetId="2">紅綠燈!#REF!</definedName>
    <definedName name="外部資料_2547" localSheetId="2">紅綠燈!#REF!</definedName>
    <definedName name="外部資料_2548" localSheetId="2">紅綠燈!#REF!</definedName>
    <definedName name="外部資料_2549" localSheetId="2">紅綠燈!#REF!</definedName>
    <definedName name="外部資料_255" localSheetId="12">PKA!#REF!</definedName>
    <definedName name="外部資料_255" localSheetId="13">PKB!#REF!</definedName>
    <definedName name="外部資料_255" localSheetId="14">PKC!#REF!</definedName>
    <definedName name="外部資料_255" localSheetId="7">公司債!#REF!</definedName>
    <definedName name="外部資料_255" localSheetId="0">基本設定!#REF!</definedName>
    <definedName name="外部資料_255" localSheetId="4">評比系統!#REF!</definedName>
    <definedName name="外部資料_2551" localSheetId="2">紅綠燈!#REF!</definedName>
    <definedName name="外部資料_2552" localSheetId="2">紅綠燈!#REF!</definedName>
    <definedName name="外部資料_2553" localSheetId="2">紅綠燈!#REF!</definedName>
    <definedName name="外部資料_2555" localSheetId="2">紅綠燈!#REF!</definedName>
    <definedName name="外部資料_2556" localSheetId="2">紅綠燈!#REF!</definedName>
    <definedName name="外部資料_2557" localSheetId="2">紅綠燈!#REF!</definedName>
    <definedName name="外部資料_2559" localSheetId="2">紅綠燈!#REF!</definedName>
    <definedName name="外部資料_256" localSheetId="12">PKA!#REF!</definedName>
    <definedName name="外部資料_256" localSheetId="13">PKB!#REF!</definedName>
    <definedName name="外部資料_256" localSheetId="14">PKC!#REF!</definedName>
    <definedName name="外部資料_256" localSheetId="7">公司債!#REF!</definedName>
    <definedName name="外部資料_256" localSheetId="0">基本設定!#REF!</definedName>
    <definedName name="外部資料_256" localSheetId="4">評比系統!#REF!</definedName>
    <definedName name="外部資料_2560" localSheetId="2">紅綠燈!#REF!</definedName>
    <definedName name="外部資料_2561" localSheetId="2">紅綠燈!#REF!</definedName>
    <definedName name="外部資料_2563" localSheetId="2">紅綠燈!#REF!</definedName>
    <definedName name="外部資料_2564" localSheetId="2">紅綠燈!#REF!</definedName>
    <definedName name="外部資料_2565" localSheetId="2">紅綠燈!#REF!</definedName>
    <definedName name="外部資料_2567" localSheetId="2">紅綠燈!#REF!</definedName>
    <definedName name="外部資料_2568" localSheetId="2">紅綠燈!#REF!</definedName>
    <definedName name="外部資料_2569" localSheetId="2">紅綠燈!#REF!</definedName>
    <definedName name="外部資料_257" localSheetId="12">PKA!#REF!</definedName>
    <definedName name="外部資料_257" localSheetId="13">PKB!#REF!</definedName>
    <definedName name="外部資料_257" localSheetId="14">PKC!#REF!</definedName>
    <definedName name="外部資料_257" localSheetId="7">公司債!#REF!</definedName>
    <definedName name="外部資料_257" localSheetId="0">基本設定!#REF!</definedName>
    <definedName name="外部資料_257" localSheetId="4">評比系統!#REF!</definedName>
    <definedName name="外部資料_2571" localSheetId="2">紅綠燈!#REF!</definedName>
    <definedName name="外部資料_2572" localSheetId="2">紅綠燈!#REF!</definedName>
    <definedName name="外部資料_2573" localSheetId="2">紅綠燈!#REF!</definedName>
    <definedName name="外部資料_2575" localSheetId="2">紅綠燈!#REF!</definedName>
    <definedName name="外部資料_2576" localSheetId="2">紅綠燈!#REF!</definedName>
    <definedName name="外部資料_2577" localSheetId="2">紅綠燈!#REF!</definedName>
    <definedName name="外部資料_2579" localSheetId="2">紅綠燈!#REF!</definedName>
    <definedName name="外部資料_258" localSheetId="12">PKA!#REF!</definedName>
    <definedName name="外部資料_258" localSheetId="13">PKB!#REF!</definedName>
    <definedName name="外部資料_258" localSheetId="14">PKC!#REF!</definedName>
    <definedName name="外部資料_258" localSheetId="7">公司債!#REF!</definedName>
    <definedName name="外部資料_258" localSheetId="0">基本設定!#REF!</definedName>
    <definedName name="外部資料_258" localSheetId="4">評比系統!#REF!</definedName>
    <definedName name="外部資料_2580" localSheetId="2">紅綠燈!#REF!</definedName>
    <definedName name="外部資料_2581" localSheetId="2">紅綠燈!#REF!</definedName>
    <definedName name="外部資料_2583" localSheetId="2">紅綠燈!#REF!</definedName>
    <definedName name="外部資料_2584" localSheetId="2">紅綠燈!#REF!</definedName>
    <definedName name="外部資料_2585" localSheetId="2">紅綠燈!#REF!</definedName>
    <definedName name="外部資料_2587" localSheetId="2">紅綠燈!#REF!</definedName>
    <definedName name="外部資料_2588" localSheetId="2">紅綠燈!#REF!</definedName>
    <definedName name="外部資料_2589" localSheetId="2">紅綠燈!#REF!</definedName>
    <definedName name="外部資料_259" localSheetId="12">PKA!#REF!</definedName>
    <definedName name="外部資料_259" localSheetId="13">PKB!#REF!</definedName>
    <definedName name="外部資料_259" localSheetId="14">PKC!#REF!</definedName>
    <definedName name="外部資料_259" localSheetId="7">公司債!#REF!</definedName>
    <definedName name="外部資料_259" localSheetId="0">基本設定!#REF!</definedName>
    <definedName name="外部資料_259" localSheetId="4">評比系統!#REF!</definedName>
    <definedName name="外部資料_2591" localSheetId="2">紅綠燈!#REF!</definedName>
    <definedName name="外部資料_2592" localSheetId="2">紅綠燈!#REF!</definedName>
    <definedName name="外部資料_2593" localSheetId="2">紅綠燈!#REF!</definedName>
    <definedName name="外部資料_2595" localSheetId="2">紅綠燈!#REF!</definedName>
    <definedName name="外部資料_2596" localSheetId="2">紅綠燈!#REF!</definedName>
    <definedName name="外部資料_2597" localSheetId="2">紅綠燈!#REF!</definedName>
    <definedName name="外部資料_2599" localSheetId="2">紅綠燈!#REF!</definedName>
    <definedName name="外部資料_26" localSheetId="12">PKA!#REF!</definedName>
    <definedName name="外部資料_26" localSheetId="13">PKB!#REF!</definedName>
    <definedName name="外部資料_26" localSheetId="14">PKC!#REF!</definedName>
    <definedName name="外部資料_26" localSheetId="7">公司債!#REF!</definedName>
    <definedName name="外部資料_26" localSheetId="2">紅綠燈!#REF!</definedName>
    <definedName name="外部資料_26" localSheetId="0">基本設定!#REF!</definedName>
    <definedName name="外部資料_26" localSheetId="4">評比系統!#REF!</definedName>
    <definedName name="外部資料_26" localSheetId="5">搶先報!#REF!</definedName>
    <definedName name="外部資料_260" localSheetId="12">PKA!#REF!</definedName>
    <definedName name="外部資料_260" localSheetId="13">PKB!#REF!</definedName>
    <definedName name="外部資料_260" localSheetId="14">PKC!#REF!</definedName>
    <definedName name="外部資料_260" localSheetId="7">公司債!#REF!</definedName>
    <definedName name="外部資料_260" localSheetId="0">基本設定!#REF!</definedName>
    <definedName name="外部資料_260" localSheetId="4">評比系統!#REF!</definedName>
    <definedName name="外部資料_2600" localSheetId="2">紅綠燈!#REF!</definedName>
    <definedName name="外部資料_2601" localSheetId="2">紅綠燈!#REF!</definedName>
    <definedName name="外部資料_2603" localSheetId="2">紅綠燈!#REF!</definedName>
    <definedName name="外部資料_2604" localSheetId="2">紅綠燈!#REF!</definedName>
    <definedName name="外部資料_2605" localSheetId="2">紅綠燈!#REF!</definedName>
    <definedName name="外部資料_2607" localSheetId="2">紅綠燈!#REF!</definedName>
    <definedName name="外部資料_2608" localSheetId="2">紅綠燈!#REF!</definedName>
    <definedName name="外部資料_261" localSheetId="12">PKA!#REF!</definedName>
    <definedName name="外部資料_261" localSheetId="13">PKB!#REF!</definedName>
    <definedName name="外部資料_261" localSheetId="14">PKC!#REF!</definedName>
    <definedName name="外部資料_261" localSheetId="7">公司債!#REF!</definedName>
    <definedName name="外部資料_261" localSheetId="0">基本設定!#REF!</definedName>
    <definedName name="外部資料_261" localSheetId="4">評比系統!#REF!</definedName>
    <definedName name="外部資料_2610" localSheetId="2">紅綠燈!#REF!</definedName>
    <definedName name="外部資料_2611" localSheetId="2">紅綠燈!#REF!</definedName>
    <definedName name="外部資料_2612" localSheetId="2">紅綠燈!#REF!</definedName>
    <definedName name="外部資料_2614" localSheetId="2">紅綠燈!#REF!</definedName>
    <definedName name="外部資料_2615" localSheetId="2">紅綠燈!#REF!</definedName>
    <definedName name="外部資料_2616" localSheetId="2">紅綠燈!#REF!</definedName>
    <definedName name="外部資料_2618" localSheetId="2">紅綠燈!#REF!</definedName>
    <definedName name="外部資料_2619" localSheetId="2">紅綠燈!#REF!</definedName>
    <definedName name="外部資料_262" localSheetId="12">PKA!#REF!</definedName>
    <definedName name="外部資料_262" localSheetId="13">PKB!#REF!</definedName>
    <definedName name="外部資料_262" localSheetId="14">PKC!#REF!</definedName>
    <definedName name="外部資料_262" localSheetId="7">公司債!#REF!</definedName>
    <definedName name="外部資料_262" localSheetId="0">基本設定!#REF!</definedName>
    <definedName name="外部資料_262" localSheetId="4">評比系統!#REF!</definedName>
    <definedName name="外部資料_2621" localSheetId="2">紅綠燈!#REF!</definedName>
    <definedName name="外部資料_2622" localSheetId="2">紅綠燈!#REF!</definedName>
    <definedName name="外部資料_2623" localSheetId="2">紅綠燈!#REF!</definedName>
    <definedName name="外部資料_2625" localSheetId="2">紅綠燈!#REF!</definedName>
    <definedName name="外部資料_2626" localSheetId="2">紅綠燈!#REF!</definedName>
    <definedName name="外部資料_2627" localSheetId="2">紅綠燈!#REF!</definedName>
    <definedName name="外部資料_2629" localSheetId="2">紅綠燈!#REF!</definedName>
    <definedName name="外部資料_263" localSheetId="12">PKA!#REF!</definedName>
    <definedName name="外部資料_263" localSheetId="13">PKB!#REF!</definedName>
    <definedName name="外部資料_263" localSheetId="14">PKC!#REF!</definedName>
    <definedName name="外部資料_263" localSheetId="7">公司債!#REF!</definedName>
    <definedName name="外部資料_263" localSheetId="0">基本設定!#REF!</definedName>
    <definedName name="外部資料_263" localSheetId="4">評比系統!#REF!</definedName>
    <definedName name="外部資料_2630" localSheetId="2">紅綠燈!#REF!</definedName>
    <definedName name="外部資料_2631" localSheetId="2">紅綠燈!#REF!</definedName>
    <definedName name="外部資料_2633" localSheetId="2">紅綠燈!#REF!</definedName>
    <definedName name="外部資料_2634" localSheetId="2">紅綠燈!#REF!</definedName>
    <definedName name="外部資料_2635" localSheetId="2">紅綠燈!#REF!</definedName>
    <definedName name="外部資料_2637" localSheetId="2">紅綠燈!#REF!</definedName>
    <definedName name="外部資料_2638" localSheetId="2">紅綠燈!#REF!</definedName>
    <definedName name="外部資料_2639" localSheetId="2">紅綠燈!#REF!</definedName>
    <definedName name="外部資料_264" localSheetId="12">PKA!#REF!</definedName>
    <definedName name="外部資料_264" localSheetId="13">PKB!#REF!</definedName>
    <definedName name="外部資料_264" localSheetId="14">PKC!#REF!</definedName>
    <definedName name="外部資料_264" localSheetId="7">公司債!#REF!</definedName>
    <definedName name="外部資料_264" localSheetId="0">基本設定!#REF!</definedName>
    <definedName name="外部資料_264" localSheetId="4">評比系統!#REF!</definedName>
    <definedName name="外部資料_2641" localSheetId="2">紅綠燈!#REF!</definedName>
    <definedName name="外部資料_2642" localSheetId="2">紅綠燈!#REF!</definedName>
    <definedName name="外部資料_2643" localSheetId="2">紅綠燈!#REF!</definedName>
    <definedName name="外部資料_2645" localSheetId="2">紅綠燈!#REF!</definedName>
    <definedName name="外部資料_2646" localSheetId="2">紅綠燈!#REF!</definedName>
    <definedName name="外部資料_2647" localSheetId="2">紅綠燈!#REF!</definedName>
    <definedName name="外部資料_2649" localSheetId="2">紅綠燈!#REF!</definedName>
    <definedName name="外部資料_265" localSheetId="12">PKA!#REF!</definedName>
    <definedName name="外部資料_265" localSheetId="13">PKB!#REF!</definedName>
    <definedName name="外部資料_265" localSheetId="14">PKC!#REF!</definedName>
    <definedName name="外部資料_265" localSheetId="7">公司債!#REF!</definedName>
    <definedName name="外部資料_265" localSheetId="0">基本設定!#REF!</definedName>
    <definedName name="外部資料_265" localSheetId="4">評比系統!#REF!</definedName>
    <definedName name="外部資料_2650" localSheetId="2">紅綠燈!#REF!</definedName>
    <definedName name="外部資料_2651" localSheetId="2">紅綠燈!#REF!</definedName>
    <definedName name="外部資料_2653" localSheetId="2">紅綠燈!#REF!</definedName>
    <definedName name="外部資料_2654" localSheetId="2">紅綠燈!#REF!</definedName>
    <definedName name="外部資料_2655" localSheetId="2">紅綠燈!#REF!</definedName>
    <definedName name="外部資料_2657" localSheetId="2">紅綠燈!#REF!</definedName>
    <definedName name="外部資料_2658" localSheetId="2">紅綠燈!#REF!</definedName>
    <definedName name="外部資料_2659" localSheetId="2">紅綠燈!#REF!</definedName>
    <definedName name="外部資料_266" localSheetId="12">PKA!#REF!</definedName>
    <definedName name="外部資料_266" localSheetId="13">PKB!#REF!</definedName>
    <definedName name="外部資料_266" localSheetId="14">PKC!#REF!</definedName>
    <definedName name="外部資料_266" localSheetId="7">公司債!#REF!</definedName>
    <definedName name="外部資料_266" localSheetId="0">基本設定!#REF!</definedName>
    <definedName name="外部資料_266" localSheetId="4">評比系統!#REF!</definedName>
    <definedName name="外部資料_2661" localSheetId="2">紅綠燈!#REF!</definedName>
    <definedName name="外部資料_2662" localSheetId="2">紅綠燈!#REF!</definedName>
    <definedName name="外部資料_2663" localSheetId="2">紅綠燈!#REF!</definedName>
    <definedName name="外部資料_2665" localSheetId="2">紅綠燈!#REF!</definedName>
    <definedName name="外部資料_2666" localSheetId="2">紅綠燈!#REF!</definedName>
    <definedName name="外部資料_2667" localSheetId="2">紅綠燈!#REF!</definedName>
    <definedName name="外部資料_2669" localSheetId="2">紅綠燈!#REF!</definedName>
    <definedName name="外部資料_267" localSheetId="12">PKA!#REF!</definedName>
    <definedName name="外部資料_267" localSheetId="13">PKB!#REF!</definedName>
    <definedName name="外部資料_267" localSheetId="14">PKC!#REF!</definedName>
    <definedName name="外部資料_267" localSheetId="7">公司債!#REF!</definedName>
    <definedName name="外部資料_267" localSheetId="0">基本設定!#REF!</definedName>
    <definedName name="外部資料_267" localSheetId="4">評比系統!#REF!</definedName>
    <definedName name="外部資料_2670" localSheetId="2">紅綠燈!#REF!</definedName>
    <definedName name="外部資料_2671" localSheetId="2">紅綠燈!#REF!</definedName>
    <definedName name="外部資料_2673" localSheetId="2">紅綠燈!#REF!</definedName>
    <definedName name="外部資料_2674" localSheetId="2">紅綠燈!#REF!</definedName>
    <definedName name="外部資料_2675" localSheetId="2">紅綠燈!#REF!</definedName>
    <definedName name="外部資料_2677" localSheetId="2">紅綠燈!#REF!</definedName>
    <definedName name="外部資料_2678" localSheetId="2">紅綠燈!#REF!</definedName>
    <definedName name="外部資料_2679" localSheetId="2">紅綠燈!#REF!</definedName>
    <definedName name="外部資料_268" localSheetId="12">PKA!#REF!</definedName>
    <definedName name="外部資料_268" localSheetId="13">PKB!#REF!</definedName>
    <definedName name="外部資料_268" localSheetId="14">PKC!#REF!</definedName>
    <definedName name="外部資料_268" localSheetId="7">公司債!#REF!</definedName>
    <definedName name="外部資料_268" localSheetId="0">基本設定!#REF!</definedName>
    <definedName name="外部資料_268" localSheetId="4">評比系統!#REF!</definedName>
    <definedName name="外部資料_2681" localSheetId="2">紅綠燈!#REF!</definedName>
    <definedName name="外部資料_2682" localSheetId="2">紅綠燈!#REF!</definedName>
    <definedName name="外部資料_2683" localSheetId="2">紅綠燈!#REF!</definedName>
    <definedName name="外部資料_2685" localSheetId="2">紅綠燈!#REF!</definedName>
    <definedName name="外部資料_2686" localSheetId="2">紅綠燈!#REF!</definedName>
    <definedName name="外部資料_2687" localSheetId="2">紅綠燈!#REF!</definedName>
    <definedName name="外部資料_2689" localSheetId="2">紅綠燈!#REF!</definedName>
    <definedName name="外部資料_269" localSheetId="12">PKA!#REF!</definedName>
    <definedName name="外部資料_269" localSheetId="13">PKB!#REF!</definedName>
    <definedName name="外部資料_269" localSheetId="14">PKC!#REF!</definedName>
    <definedName name="外部資料_269" localSheetId="7">公司債!#REF!</definedName>
    <definedName name="外部資料_269" localSheetId="0">基本設定!#REF!</definedName>
    <definedName name="外部資料_269" localSheetId="4">評比系統!#REF!</definedName>
    <definedName name="外部資料_2690" localSheetId="2">紅綠燈!#REF!</definedName>
    <definedName name="外部資料_2691" localSheetId="2">紅綠燈!#REF!</definedName>
    <definedName name="外部資料_2693" localSheetId="2">紅綠燈!#REF!</definedName>
    <definedName name="外部資料_2694" localSheetId="2">紅綠燈!#REF!</definedName>
    <definedName name="外部資料_2695" localSheetId="2">紅綠燈!#REF!</definedName>
    <definedName name="外部資料_2697" localSheetId="2">紅綠燈!#REF!</definedName>
    <definedName name="外部資料_2698" localSheetId="2">紅綠燈!#REF!</definedName>
    <definedName name="外部資料_2699" localSheetId="2">紅綠燈!#REF!</definedName>
    <definedName name="外部資料_27" localSheetId="12">PKA!#REF!</definedName>
    <definedName name="外部資料_27" localSheetId="13">PKB!#REF!</definedName>
    <definedName name="外部資料_27" localSheetId="14">PKC!#REF!</definedName>
    <definedName name="外部資料_27" localSheetId="7">公司債!#REF!</definedName>
    <definedName name="外部資料_27" localSheetId="1">季財報!#REF!</definedName>
    <definedName name="外部資料_27" localSheetId="2">紅綠燈!$A$52:$K$116</definedName>
    <definedName name="外部資料_27" localSheetId="0">基本設定!#REF!</definedName>
    <definedName name="外部資料_27" localSheetId="4">評比系統!#REF!</definedName>
    <definedName name="外部資料_27" localSheetId="5">搶先報!#REF!</definedName>
    <definedName name="外部資料_270" localSheetId="12">PKA!#REF!</definedName>
    <definedName name="外部資料_270" localSheetId="13">PKB!#REF!</definedName>
    <definedName name="外部資料_270" localSheetId="14">PKC!#REF!</definedName>
    <definedName name="外部資料_270" localSheetId="7">公司債!#REF!</definedName>
    <definedName name="外部資料_270" localSheetId="0">基本設定!#REF!</definedName>
    <definedName name="外部資料_270" localSheetId="4">評比系統!#REF!</definedName>
    <definedName name="外部資料_2701" localSheetId="2">紅綠燈!#REF!</definedName>
    <definedName name="外部資料_2702" localSheetId="2">紅綠燈!#REF!</definedName>
    <definedName name="外部資料_2703" localSheetId="2">紅綠燈!#REF!</definedName>
    <definedName name="外部資料_2705" localSheetId="2">紅綠燈!#REF!</definedName>
    <definedName name="外部資料_2706" localSheetId="2">紅綠燈!#REF!</definedName>
    <definedName name="外部資料_2707" localSheetId="2">紅綠燈!#REF!</definedName>
    <definedName name="外部資料_2709" localSheetId="2">紅綠燈!#REF!</definedName>
    <definedName name="外部資料_271" localSheetId="12">PKA!#REF!</definedName>
    <definedName name="外部資料_271" localSheetId="13">PKB!#REF!</definedName>
    <definedName name="外部資料_271" localSheetId="14">PKC!#REF!</definedName>
    <definedName name="外部資料_271" localSheetId="7">公司債!#REF!</definedName>
    <definedName name="外部資料_271" localSheetId="0">基本設定!#REF!</definedName>
    <definedName name="外部資料_271" localSheetId="4">評比系統!#REF!</definedName>
    <definedName name="外部資料_2710" localSheetId="2">紅綠燈!#REF!</definedName>
    <definedName name="外部資料_2711" localSheetId="2">紅綠燈!#REF!</definedName>
    <definedName name="外部資料_2713" localSheetId="2">紅綠燈!#REF!</definedName>
    <definedName name="外部資料_2714" localSheetId="2">紅綠燈!#REF!</definedName>
    <definedName name="外部資料_2715" localSheetId="2">紅綠燈!#REF!</definedName>
    <definedName name="外部資料_2717" localSheetId="2">紅綠燈!#REF!</definedName>
    <definedName name="外部資料_2718" localSheetId="2">紅綠燈!#REF!</definedName>
    <definedName name="外部資料_2719" localSheetId="2">紅綠燈!#REF!</definedName>
    <definedName name="外部資料_272" localSheetId="12">PKA!#REF!</definedName>
    <definedName name="外部資料_272" localSheetId="13">PKB!#REF!</definedName>
    <definedName name="外部資料_272" localSheetId="14">PKC!#REF!</definedName>
    <definedName name="外部資料_272" localSheetId="7">公司債!#REF!</definedName>
    <definedName name="外部資料_272" localSheetId="0">基本設定!#REF!</definedName>
    <definedName name="外部資料_272" localSheetId="4">評比系統!#REF!</definedName>
    <definedName name="外部資料_2721" localSheetId="2">紅綠燈!#REF!</definedName>
    <definedName name="外部資料_2722" localSheetId="2">紅綠燈!#REF!</definedName>
    <definedName name="外部資料_2723" localSheetId="2">紅綠燈!#REF!</definedName>
    <definedName name="外部資料_2725" localSheetId="2">紅綠燈!#REF!</definedName>
    <definedName name="外部資料_2726" localSheetId="2">紅綠燈!#REF!</definedName>
    <definedName name="外部資料_2727" localSheetId="2">紅綠燈!#REF!</definedName>
    <definedName name="外部資料_2729" localSheetId="2">紅綠燈!#REF!</definedName>
    <definedName name="外部資料_273" localSheetId="12">PKA!#REF!</definedName>
    <definedName name="外部資料_273" localSheetId="13">PKB!#REF!</definedName>
    <definedName name="外部資料_273" localSheetId="14">PKC!#REF!</definedName>
    <definedName name="外部資料_273" localSheetId="7">公司債!#REF!</definedName>
    <definedName name="外部資料_273" localSheetId="0">基本設定!#REF!</definedName>
    <definedName name="外部資料_273" localSheetId="4">評比系統!#REF!</definedName>
    <definedName name="外部資料_2730" localSheetId="2">紅綠燈!#REF!</definedName>
    <definedName name="外部資料_2731" localSheetId="2">紅綠燈!#REF!</definedName>
    <definedName name="外部資料_2733" localSheetId="2">紅綠燈!#REF!</definedName>
    <definedName name="外部資料_2734" localSheetId="2">紅綠燈!#REF!</definedName>
    <definedName name="外部資料_2735" localSheetId="2">紅綠燈!#REF!</definedName>
    <definedName name="外部資料_2737" localSheetId="2">紅綠燈!#REF!</definedName>
    <definedName name="外部資料_2738" localSheetId="2">紅綠燈!#REF!</definedName>
    <definedName name="外部資料_2739" localSheetId="2">紅綠燈!#REF!</definedName>
    <definedName name="外部資料_274" localSheetId="12">PKA!#REF!</definedName>
    <definedName name="外部資料_274" localSheetId="13">PKB!#REF!</definedName>
    <definedName name="外部資料_274" localSheetId="14">PKC!#REF!</definedName>
    <definedName name="外部資料_274" localSheetId="7">公司債!#REF!</definedName>
    <definedName name="外部資料_274" localSheetId="0">基本設定!#REF!</definedName>
    <definedName name="外部資料_274" localSheetId="4">評比系統!#REF!</definedName>
    <definedName name="外部資料_2741" localSheetId="2">紅綠燈!#REF!</definedName>
    <definedName name="外部資料_2742" localSheetId="2">紅綠燈!#REF!</definedName>
    <definedName name="外部資料_2743" localSheetId="2">紅綠燈!#REF!</definedName>
    <definedName name="外部資料_2745" localSheetId="2">紅綠燈!#REF!</definedName>
    <definedName name="外部資料_2746" localSheetId="2">紅綠燈!#REF!</definedName>
    <definedName name="外部資料_2747" localSheetId="2">紅綠燈!#REF!</definedName>
    <definedName name="外部資料_2749" localSheetId="2">紅綠燈!#REF!</definedName>
    <definedName name="外部資料_275" localSheetId="12">PKA!#REF!</definedName>
    <definedName name="外部資料_275" localSheetId="13">PKB!#REF!</definedName>
    <definedName name="外部資料_275" localSheetId="14">PKC!#REF!</definedName>
    <definedName name="外部資料_275" localSheetId="7">公司債!#REF!</definedName>
    <definedName name="外部資料_275" localSheetId="0">基本設定!#REF!</definedName>
    <definedName name="外部資料_275" localSheetId="4">評比系統!#REF!</definedName>
    <definedName name="外部資料_2750" localSheetId="2">紅綠燈!#REF!</definedName>
    <definedName name="外部資料_2751" localSheetId="2">紅綠燈!#REF!</definedName>
    <definedName name="外部資料_2753" localSheetId="2">紅綠燈!#REF!</definedName>
    <definedName name="外部資料_2754" localSheetId="2">紅綠燈!#REF!</definedName>
    <definedName name="外部資料_2755" localSheetId="2">紅綠燈!#REF!</definedName>
    <definedName name="外部資料_2757" localSheetId="2">紅綠燈!#REF!</definedName>
    <definedName name="外部資料_2758" localSheetId="2">紅綠燈!#REF!</definedName>
    <definedName name="外部資料_2759" localSheetId="2">紅綠燈!#REF!</definedName>
    <definedName name="外部資料_276" localSheetId="12">PKA!#REF!</definedName>
    <definedName name="外部資料_276" localSheetId="13">PKB!#REF!</definedName>
    <definedName name="外部資料_276" localSheetId="14">PKC!#REF!</definedName>
    <definedName name="外部資料_276" localSheetId="7">公司債!#REF!</definedName>
    <definedName name="外部資料_276" localSheetId="0">基本設定!#REF!</definedName>
    <definedName name="外部資料_276" localSheetId="4">評比系統!#REF!</definedName>
    <definedName name="外部資料_2761" localSheetId="2">紅綠燈!#REF!</definedName>
    <definedName name="外部資料_2762" localSheetId="2">紅綠燈!#REF!</definedName>
    <definedName name="外部資料_2763" localSheetId="2">紅綠燈!#REF!</definedName>
    <definedName name="外部資料_2765" localSheetId="2">紅綠燈!#REF!</definedName>
    <definedName name="外部資料_2766" localSheetId="2">紅綠燈!#REF!</definedName>
    <definedName name="外部資料_2767" localSheetId="2">紅綠燈!#REF!</definedName>
    <definedName name="外部資料_2769" localSheetId="2">紅綠燈!#REF!</definedName>
    <definedName name="外部資料_277" localSheetId="12">PKA!#REF!</definedName>
    <definedName name="外部資料_277" localSheetId="13">PKB!#REF!</definedName>
    <definedName name="外部資料_277" localSheetId="14">PKC!#REF!</definedName>
    <definedName name="外部資料_277" localSheetId="7">公司債!#REF!</definedName>
    <definedName name="外部資料_277" localSheetId="0">基本設定!#REF!</definedName>
    <definedName name="外部資料_277" localSheetId="4">評比系統!#REF!</definedName>
    <definedName name="外部資料_2770" localSheetId="2">紅綠燈!#REF!</definedName>
    <definedName name="外部資料_2771" localSheetId="2">紅綠燈!#REF!</definedName>
    <definedName name="外部資料_2773" localSheetId="2">紅綠燈!#REF!</definedName>
    <definedName name="外部資料_2774" localSheetId="2">紅綠燈!#REF!</definedName>
    <definedName name="外部資料_2775" localSheetId="2">紅綠燈!#REF!</definedName>
    <definedName name="外部資料_2777" localSheetId="2">紅綠燈!#REF!</definedName>
    <definedName name="外部資料_2778" localSheetId="2">紅綠燈!#REF!</definedName>
    <definedName name="外部資料_2779" localSheetId="2">紅綠燈!#REF!</definedName>
    <definedName name="外部資料_278" localSheetId="12">PKA!#REF!</definedName>
    <definedName name="外部資料_278" localSheetId="13">PKB!#REF!</definedName>
    <definedName name="外部資料_278" localSheetId="14">PKC!#REF!</definedName>
    <definedName name="外部資料_278" localSheetId="7">公司債!#REF!</definedName>
    <definedName name="外部資料_278" localSheetId="0">基本設定!#REF!</definedName>
    <definedName name="外部資料_278" localSheetId="4">評比系統!#REF!</definedName>
    <definedName name="外部資料_2781" localSheetId="2">紅綠燈!#REF!</definedName>
    <definedName name="外部資料_2782" localSheetId="2">紅綠燈!#REF!</definedName>
    <definedName name="外部資料_2783" localSheetId="2">紅綠燈!#REF!</definedName>
    <definedName name="外部資料_2785" localSheetId="2">紅綠燈!#REF!</definedName>
    <definedName name="外部資料_2786" localSheetId="2">紅綠燈!#REF!</definedName>
    <definedName name="外部資料_2787" localSheetId="2">紅綠燈!#REF!</definedName>
    <definedName name="外部資料_2789" localSheetId="2">紅綠燈!#REF!</definedName>
    <definedName name="外部資料_279" localSheetId="12">PKA!#REF!</definedName>
    <definedName name="外部資料_279" localSheetId="13">PKB!#REF!</definedName>
    <definedName name="外部資料_279" localSheetId="14">PKC!#REF!</definedName>
    <definedName name="外部資料_279" localSheetId="7">公司債!#REF!</definedName>
    <definedName name="外部資料_279" localSheetId="0">基本設定!#REF!</definedName>
    <definedName name="外部資料_279" localSheetId="4">評比系統!#REF!</definedName>
    <definedName name="外部資料_2790" localSheetId="2">紅綠燈!#REF!</definedName>
    <definedName name="外部資料_2792" localSheetId="2">紅綠燈!#REF!</definedName>
    <definedName name="外部資料_2793" localSheetId="2">紅綠燈!#REF!</definedName>
    <definedName name="外部資料_2794" localSheetId="2">紅綠燈!#REF!</definedName>
    <definedName name="外部資料_2796" localSheetId="2">紅綠燈!#REF!</definedName>
    <definedName name="外部資料_2797" localSheetId="2">紅綠燈!#REF!</definedName>
    <definedName name="外部資料_2798" localSheetId="2">紅綠燈!#REF!</definedName>
    <definedName name="外部資料_28" localSheetId="12">PKA!#REF!</definedName>
    <definedName name="外部資料_28" localSheetId="13">PKB!#REF!</definedName>
    <definedName name="外部資料_28" localSheetId="14">PKC!#REF!</definedName>
    <definedName name="外部資料_28" localSheetId="7">公司債!#REF!</definedName>
    <definedName name="外部資料_28" localSheetId="1">季財報!#REF!</definedName>
    <definedName name="外部資料_28" localSheetId="2">紅綠燈!#REF!</definedName>
    <definedName name="外部資料_28" localSheetId="0">基本設定!#REF!</definedName>
    <definedName name="外部資料_28" localSheetId="4">評比系統!#REF!</definedName>
    <definedName name="外部資料_28" localSheetId="5">搶先報!$A$2:$M$40</definedName>
    <definedName name="外部資料_280" localSheetId="12">PKA!#REF!</definedName>
    <definedName name="外部資料_280" localSheetId="13">PKB!#REF!</definedName>
    <definedName name="外部資料_280" localSheetId="14">PKC!#REF!</definedName>
    <definedName name="外部資料_280" localSheetId="7">公司債!#REF!</definedName>
    <definedName name="外部資料_280" localSheetId="0">基本設定!#REF!</definedName>
    <definedName name="外部資料_280" localSheetId="4">評比系統!#REF!</definedName>
    <definedName name="外部資料_2800" localSheetId="2">紅綠燈!#REF!</definedName>
    <definedName name="外部資料_2801" localSheetId="2">紅綠燈!#REF!</definedName>
    <definedName name="外部資料_2802" localSheetId="2">紅綠燈!#REF!</definedName>
    <definedName name="外部資料_2804" localSheetId="2">紅綠燈!#REF!</definedName>
    <definedName name="外部資料_2805" localSheetId="2">紅綠燈!#REF!</definedName>
    <definedName name="外部資料_2806" localSheetId="2">紅綠燈!#REF!</definedName>
    <definedName name="外部資料_2808" localSheetId="2">紅綠燈!#REF!</definedName>
    <definedName name="外部資料_2809" localSheetId="2">紅綠燈!#REF!</definedName>
    <definedName name="外部資料_281" localSheetId="12">PKA!#REF!</definedName>
    <definedName name="外部資料_281" localSheetId="13">PKB!#REF!</definedName>
    <definedName name="外部資料_281" localSheetId="14">PKC!#REF!</definedName>
    <definedName name="外部資料_281" localSheetId="7">公司債!#REF!</definedName>
    <definedName name="外部資料_281" localSheetId="0">基本設定!#REF!</definedName>
    <definedName name="外部資料_281" localSheetId="4">評比系統!#REF!</definedName>
    <definedName name="外部資料_2810" localSheetId="2">紅綠燈!#REF!</definedName>
    <definedName name="外部資料_2812" localSheetId="2">紅綠燈!#REF!</definedName>
    <definedName name="外部資料_2813" localSheetId="2">紅綠燈!#REF!</definedName>
    <definedName name="外部資料_2814" localSheetId="2">紅綠燈!#REF!</definedName>
    <definedName name="外部資料_2816" localSheetId="2">紅綠燈!#REF!</definedName>
    <definedName name="外部資料_2817" localSheetId="2">紅綠燈!#REF!</definedName>
    <definedName name="外部資料_2818" localSheetId="2">紅綠燈!#REF!</definedName>
    <definedName name="外部資料_282" localSheetId="12">PKA!#REF!</definedName>
    <definedName name="外部資料_282" localSheetId="13">PKB!#REF!</definedName>
    <definedName name="外部資料_282" localSheetId="14">PKC!#REF!</definedName>
    <definedName name="外部資料_282" localSheetId="7">公司債!#REF!</definedName>
    <definedName name="外部資料_282" localSheetId="0">基本設定!#REF!</definedName>
    <definedName name="外部資料_282" localSheetId="4">評比系統!#REF!</definedName>
    <definedName name="外部資料_2820" localSheetId="2">紅綠燈!#REF!</definedName>
    <definedName name="外部資料_2821" localSheetId="2">紅綠燈!#REF!</definedName>
    <definedName name="外部資料_2822" localSheetId="2">紅綠燈!#REF!</definedName>
    <definedName name="外部資料_2824" localSheetId="2">紅綠燈!#REF!</definedName>
    <definedName name="外部資料_2825" localSheetId="2">紅綠燈!#REF!</definedName>
    <definedName name="外部資料_2826" localSheetId="2">紅綠燈!#REF!</definedName>
    <definedName name="外部資料_2828" localSheetId="2">紅綠燈!#REF!</definedName>
    <definedName name="外部資料_2829" localSheetId="2">紅綠燈!#REF!</definedName>
    <definedName name="外部資料_283" localSheetId="12">PKA!#REF!</definedName>
    <definedName name="外部資料_283" localSheetId="13">PKB!#REF!</definedName>
    <definedName name="外部資料_283" localSheetId="14">PKC!#REF!</definedName>
    <definedName name="外部資料_283" localSheetId="7">公司債!#REF!</definedName>
    <definedName name="外部資料_283" localSheetId="0">基本設定!#REF!</definedName>
    <definedName name="外部資料_283" localSheetId="4">評比系統!#REF!</definedName>
    <definedName name="外部資料_2830" localSheetId="2">紅綠燈!#REF!</definedName>
    <definedName name="外部資料_2832" localSheetId="2">紅綠燈!#REF!</definedName>
    <definedName name="外部資料_2833" localSheetId="2">紅綠燈!#REF!</definedName>
    <definedName name="外部資料_2834" localSheetId="2">紅綠燈!#REF!</definedName>
    <definedName name="外部資料_2836" localSheetId="2">紅綠燈!#REF!</definedName>
    <definedName name="外部資料_2837" localSheetId="2">紅綠燈!#REF!</definedName>
    <definedName name="外部資料_2838" localSheetId="2">紅綠燈!#REF!</definedName>
    <definedName name="外部資料_284" localSheetId="12">PKA!#REF!</definedName>
    <definedName name="外部資料_284" localSheetId="13">PKB!#REF!</definedName>
    <definedName name="外部資料_284" localSheetId="14">PKC!#REF!</definedName>
    <definedName name="外部資料_284" localSheetId="7">公司債!#REF!</definedName>
    <definedName name="外部資料_284" localSheetId="0">基本設定!#REF!</definedName>
    <definedName name="外部資料_284" localSheetId="4">評比系統!#REF!</definedName>
    <definedName name="外部資料_2840" localSheetId="2">紅綠燈!#REF!</definedName>
    <definedName name="外部資料_2841" localSheetId="2">紅綠燈!#REF!</definedName>
    <definedName name="外部資料_2842" localSheetId="2">紅綠燈!#REF!</definedName>
    <definedName name="外部資料_2844" localSheetId="2">紅綠燈!#REF!</definedName>
    <definedName name="外部資料_2845" localSheetId="2">紅綠燈!#REF!</definedName>
    <definedName name="外部資料_2846" localSheetId="2">紅綠燈!#REF!</definedName>
    <definedName name="外部資料_2848" localSheetId="2">紅綠燈!#REF!</definedName>
    <definedName name="外部資料_2849" localSheetId="2">紅綠燈!#REF!</definedName>
    <definedName name="外部資料_285" localSheetId="12">PKA!#REF!</definedName>
    <definedName name="外部資料_285" localSheetId="13">PKB!#REF!</definedName>
    <definedName name="外部資料_285" localSheetId="14">PKC!#REF!</definedName>
    <definedName name="外部資料_285" localSheetId="7">公司債!#REF!</definedName>
    <definedName name="外部資料_285" localSheetId="0">基本設定!#REF!</definedName>
    <definedName name="外部資料_285" localSheetId="4">評比系統!#REF!</definedName>
    <definedName name="外部資料_2850" localSheetId="2">紅綠燈!#REF!</definedName>
    <definedName name="外部資料_2852" localSheetId="2">紅綠燈!#REF!</definedName>
    <definedName name="外部資料_2853" localSheetId="2">紅綠燈!#REF!</definedName>
    <definedName name="外部資料_2854" localSheetId="2">紅綠燈!#REF!</definedName>
    <definedName name="外部資料_2856" localSheetId="2">紅綠燈!#REF!</definedName>
    <definedName name="外部資料_2857" localSheetId="2">紅綠燈!#REF!</definedName>
    <definedName name="外部資料_2858" localSheetId="2">紅綠燈!#REF!</definedName>
    <definedName name="外部資料_286" localSheetId="12">PKA!#REF!</definedName>
    <definedName name="外部資料_286" localSheetId="13">PKB!#REF!</definedName>
    <definedName name="外部資料_286" localSheetId="14">PKC!#REF!</definedName>
    <definedName name="外部資料_286" localSheetId="7">公司債!#REF!</definedName>
    <definedName name="外部資料_286" localSheetId="0">基本設定!#REF!</definedName>
    <definedName name="外部資料_286" localSheetId="4">評比系統!#REF!</definedName>
    <definedName name="外部資料_2860" localSheetId="2">紅綠燈!#REF!</definedName>
    <definedName name="外部資料_2861" localSheetId="2">紅綠燈!#REF!</definedName>
    <definedName name="外部資料_2862" localSheetId="2">紅綠燈!#REF!</definedName>
    <definedName name="外部資料_2864" localSheetId="2">紅綠燈!#REF!</definedName>
    <definedName name="外部資料_2865" localSheetId="2">紅綠燈!#REF!</definedName>
    <definedName name="外部資料_2866" localSheetId="2">紅綠燈!#REF!</definedName>
    <definedName name="外部資料_2868" localSheetId="2">紅綠燈!#REF!</definedName>
    <definedName name="外部資料_2869" localSheetId="2">紅綠燈!#REF!</definedName>
    <definedName name="外部資料_287" localSheetId="12">PKA!#REF!</definedName>
    <definedName name="外部資料_287" localSheetId="13">PKB!#REF!</definedName>
    <definedName name="外部資料_287" localSheetId="14">PKC!#REF!</definedName>
    <definedName name="外部資料_287" localSheetId="7">公司債!#REF!</definedName>
    <definedName name="外部資料_287" localSheetId="0">基本設定!#REF!</definedName>
    <definedName name="外部資料_287" localSheetId="4">評比系統!#REF!</definedName>
    <definedName name="外部資料_2870" localSheetId="2">紅綠燈!#REF!</definedName>
    <definedName name="外部資料_2872" localSheetId="2">紅綠燈!#REF!</definedName>
    <definedName name="外部資料_2873" localSheetId="2">紅綠燈!#REF!</definedName>
    <definedName name="外部資料_2874" localSheetId="2">紅綠燈!#REF!</definedName>
    <definedName name="外部資料_2876" localSheetId="2">紅綠燈!#REF!</definedName>
    <definedName name="外部資料_2877" localSheetId="2">紅綠燈!#REF!</definedName>
    <definedName name="外部資料_2878" localSheetId="2">紅綠燈!#REF!</definedName>
    <definedName name="外部資料_288" localSheetId="12">PKA!#REF!</definedName>
    <definedName name="外部資料_288" localSheetId="13">PKB!#REF!</definedName>
    <definedName name="外部資料_288" localSheetId="14">PKC!#REF!</definedName>
    <definedName name="外部資料_288" localSheetId="7">公司債!#REF!</definedName>
    <definedName name="外部資料_288" localSheetId="0">基本設定!#REF!</definedName>
    <definedName name="外部資料_288" localSheetId="4">評比系統!#REF!</definedName>
    <definedName name="外部資料_2880" localSheetId="2">紅綠燈!#REF!</definedName>
    <definedName name="外部資料_2881" localSheetId="2">紅綠燈!#REF!</definedName>
    <definedName name="外部資料_2882" localSheetId="2">紅綠燈!#REF!</definedName>
    <definedName name="外部資料_2884" localSheetId="2">紅綠燈!#REF!</definedName>
    <definedName name="外部資料_2885" localSheetId="2">紅綠燈!#REF!</definedName>
    <definedName name="外部資料_2886" localSheetId="2">紅綠燈!#REF!</definedName>
    <definedName name="外部資料_2888" localSheetId="2">紅綠燈!#REF!</definedName>
    <definedName name="外部資料_2889" localSheetId="2">紅綠燈!#REF!</definedName>
    <definedName name="外部資料_289" localSheetId="12">PKA!#REF!</definedName>
    <definedName name="外部資料_289" localSheetId="13">PKB!#REF!</definedName>
    <definedName name="外部資料_289" localSheetId="14">PKC!#REF!</definedName>
    <definedName name="外部資料_289" localSheetId="7">公司債!#REF!</definedName>
    <definedName name="外部資料_289" localSheetId="0">基本設定!#REF!</definedName>
    <definedName name="外部資料_289" localSheetId="4">評比系統!#REF!</definedName>
    <definedName name="外部資料_2890" localSheetId="2">紅綠燈!#REF!</definedName>
    <definedName name="外部資料_2892" localSheetId="2">紅綠燈!#REF!</definedName>
    <definedName name="外部資料_2893" localSheetId="2">紅綠燈!#REF!</definedName>
    <definedName name="外部資料_2894" localSheetId="2">紅綠燈!#REF!</definedName>
    <definedName name="外部資料_2896" localSheetId="2">紅綠燈!#REF!</definedName>
    <definedName name="外部資料_2897" localSheetId="2">紅綠燈!#REF!</definedName>
    <definedName name="外部資料_2898" localSheetId="2">紅綠燈!#REF!</definedName>
    <definedName name="外部資料_29" localSheetId="12">PKA!#REF!</definedName>
    <definedName name="外部資料_29" localSheetId="13">PKB!#REF!</definedName>
    <definedName name="外部資料_29" localSheetId="14">PKC!#REF!</definedName>
    <definedName name="外部資料_29" localSheetId="7">公司債!#REF!</definedName>
    <definedName name="外部資料_29" localSheetId="1">季財報!#REF!</definedName>
    <definedName name="外部資料_29" localSheetId="2">紅綠燈!#REF!</definedName>
    <definedName name="外部資料_29" localSheetId="0">基本設定!#REF!</definedName>
    <definedName name="外部資料_29" localSheetId="4">評比系統!#REF!</definedName>
    <definedName name="外部資料_29" localSheetId="5">搶先報!$A$41:$M$92</definedName>
    <definedName name="外部資料_290" localSheetId="12">PKA!#REF!</definedName>
    <definedName name="外部資料_290" localSheetId="13">PKB!#REF!</definedName>
    <definedName name="外部資料_290" localSheetId="14">PKC!#REF!</definedName>
    <definedName name="外部資料_290" localSheetId="7">公司債!#REF!</definedName>
    <definedName name="外部資料_290" localSheetId="0">基本設定!#REF!</definedName>
    <definedName name="外部資料_290" localSheetId="4">評比系統!#REF!</definedName>
    <definedName name="外部資料_2900" localSheetId="2">紅綠燈!#REF!</definedName>
    <definedName name="外部資料_2901" localSheetId="2">紅綠燈!#REF!</definedName>
    <definedName name="外部資料_2902" localSheetId="2">紅綠燈!#REF!</definedName>
    <definedName name="外部資料_2904" localSheetId="2">紅綠燈!#REF!</definedName>
    <definedName name="外部資料_2905" localSheetId="2">紅綠燈!#REF!</definedName>
    <definedName name="外部資料_2906" localSheetId="2">紅綠燈!#REF!</definedName>
    <definedName name="外部資料_2908" localSheetId="2">紅綠燈!#REF!</definedName>
    <definedName name="外部資料_2909" localSheetId="2">紅綠燈!#REF!</definedName>
    <definedName name="外部資料_291" localSheetId="12">PKA!#REF!</definedName>
    <definedName name="外部資料_291" localSheetId="13">PKB!#REF!</definedName>
    <definedName name="外部資料_291" localSheetId="14">PKC!#REF!</definedName>
    <definedName name="外部資料_291" localSheetId="7">公司債!#REF!</definedName>
    <definedName name="外部資料_291" localSheetId="0">基本設定!#REF!</definedName>
    <definedName name="外部資料_291" localSheetId="4">評比系統!#REF!</definedName>
    <definedName name="外部資料_2910" localSheetId="2">紅綠燈!#REF!</definedName>
    <definedName name="外部資料_2912" localSheetId="2">紅綠燈!#REF!</definedName>
    <definedName name="外部資料_2913" localSheetId="2">紅綠燈!#REF!</definedName>
    <definedName name="外部資料_2914" localSheetId="2">紅綠燈!#REF!</definedName>
    <definedName name="外部資料_2916" localSheetId="2">紅綠燈!#REF!</definedName>
    <definedName name="外部資料_2917" localSheetId="2">紅綠燈!#REF!</definedName>
    <definedName name="外部資料_2918" localSheetId="2">紅綠燈!#REF!</definedName>
    <definedName name="外部資料_292" localSheetId="12">PKA!#REF!</definedName>
    <definedName name="外部資料_292" localSheetId="13">PKB!#REF!</definedName>
    <definedName name="外部資料_292" localSheetId="14">PKC!#REF!</definedName>
    <definedName name="外部資料_292" localSheetId="7">公司債!#REF!</definedName>
    <definedName name="外部資料_292" localSheetId="0">基本設定!#REF!</definedName>
    <definedName name="外部資料_292" localSheetId="4">評比系統!#REF!</definedName>
    <definedName name="外部資料_2920" localSheetId="2">紅綠燈!#REF!</definedName>
    <definedName name="外部資料_2921" localSheetId="2">紅綠燈!#REF!</definedName>
    <definedName name="外部資料_2922" localSheetId="2">紅綠燈!#REF!</definedName>
    <definedName name="外部資料_2924" localSheetId="2">紅綠燈!#REF!</definedName>
    <definedName name="外部資料_2925" localSheetId="2">紅綠燈!#REF!</definedName>
    <definedName name="外部資料_2926" localSheetId="2">紅綠燈!#REF!</definedName>
    <definedName name="外部資料_2928" localSheetId="2">紅綠燈!#REF!</definedName>
    <definedName name="外部資料_2929" localSheetId="2">紅綠燈!#REF!</definedName>
    <definedName name="外部資料_293" localSheetId="12">PKA!#REF!</definedName>
    <definedName name="外部資料_293" localSheetId="13">PKB!#REF!</definedName>
    <definedName name="外部資料_293" localSheetId="14">PKC!#REF!</definedName>
    <definedName name="外部資料_293" localSheetId="7">公司債!#REF!</definedName>
    <definedName name="外部資料_293" localSheetId="0">基本設定!#REF!</definedName>
    <definedName name="外部資料_293" localSheetId="4">評比系統!#REF!</definedName>
    <definedName name="外部資料_2930" localSheetId="2">紅綠燈!#REF!</definedName>
    <definedName name="外部資料_2932" localSheetId="2">紅綠燈!#REF!</definedName>
    <definedName name="外部資料_2933" localSheetId="2">紅綠燈!#REF!</definedName>
    <definedName name="外部資料_2934" localSheetId="2">紅綠燈!#REF!</definedName>
    <definedName name="外部資料_2936" localSheetId="2">紅綠燈!#REF!</definedName>
    <definedName name="外部資料_2937" localSheetId="2">紅綠燈!#REF!</definedName>
    <definedName name="外部資料_2938" localSheetId="2">紅綠燈!#REF!</definedName>
    <definedName name="外部資料_294" localSheetId="12">PKA!#REF!</definedName>
    <definedName name="外部資料_294" localSheetId="13">PKB!#REF!</definedName>
    <definedName name="外部資料_294" localSheetId="14">PKC!#REF!</definedName>
    <definedName name="外部資料_294" localSheetId="7">公司債!#REF!</definedName>
    <definedName name="外部資料_294" localSheetId="0">基本設定!#REF!</definedName>
    <definedName name="外部資料_294" localSheetId="4">評比系統!#REF!</definedName>
    <definedName name="外部資料_2940" localSheetId="2">紅綠燈!#REF!</definedName>
    <definedName name="外部資料_2941" localSheetId="2">紅綠燈!#REF!</definedName>
    <definedName name="外部資料_2942" localSheetId="2">紅綠燈!#REF!</definedName>
    <definedName name="外部資料_2944" localSheetId="2">紅綠燈!#REF!</definedName>
    <definedName name="外部資料_2945" localSheetId="2">紅綠燈!#REF!</definedName>
    <definedName name="外部資料_2946" localSheetId="2">紅綠燈!#REF!</definedName>
    <definedName name="外部資料_2948" localSheetId="2">紅綠燈!#REF!</definedName>
    <definedName name="外部資料_2949" localSheetId="2">紅綠燈!#REF!</definedName>
    <definedName name="外部資料_295" localSheetId="12">PKA!#REF!</definedName>
    <definedName name="外部資料_295" localSheetId="13">PKB!#REF!</definedName>
    <definedName name="外部資料_295" localSheetId="14">PKC!#REF!</definedName>
    <definedName name="外部資料_295" localSheetId="7">公司債!#REF!</definedName>
    <definedName name="外部資料_295" localSheetId="0">基本設定!#REF!</definedName>
    <definedName name="外部資料_295" localSheetId="4">評比系統!#REF!</definedName>
    <definedName name="外部資料_2950" localSheetId="2">紅綠燈!#REF!</definedName>
    <definedName name="外部資料_2952" localSheetId="2">紅綠燈!#REF!</definedName>
    <definedName name="外部資料_2953" localSheetId="2">紅綠燈!#REF!</definedName>
    <definedName name="外部資料_2954" localSheetId="2">紅綠燈!#REF!</definedName>
    <definedName name="外部資料_2956" localSheetId="2">紅綠燈!#REF!</definedName>
    <definedName name="外部資料_2957" localSheetId="2">紅綠燈!#REF!</definedName>
    <definedName name="外部資料_2958" localSheetId="2">紅綠燈!#REF!</definedName>
    <definedName name="外部資料_296" localSheetId="12">PKA!#REF!</definedName>
    <definedName name="外部資料_296" localSheetId="13">PKB!#REF!</definedName>
    <definedName name="外部資料_296" localSheetId="14">PKC!#REF!</definedName>
    <definedName name="外部資料_296" localSheetId="7">公司債!#REF!</definedName>
    <definedName name="外部資料_296" localSheetId="0">基本設定!#REF!</definedName>
    <definedName name="外部資料_296" localSheetId="4">評比系統!#REF!</definedName>
    <definedName name="外部資料_2960" localSheetId="2">紅綠燈!#REF!</definedName>
    <definedName name="外部資料_2961" localSheetId="2">紅綠燈!#REF!</definedName>
    <definedName name="外部資料_2962" localSheetId="2">紅綠燈!#REF!</definedName>
    <definedName name="外部資料_2964" localSheetId="2">紅綠燈!#REF!</definedName>
    <definedName name="外部資料_2965" localSheetId="2">紅綠燈!#REF!</definedName>
    <definedName name="外部資料_2966" localSheetId="2">紅綠燈!#REF!</definedName>
    <definedName name="外部資料_2968" localSheetId="2">紅綠燈!#REF!</definedName>
    <definedName name="外部資料_2969" localSheetId="2">紅綠燈!#REF!</definedName>
    <definedName name="外部資料_297" localSheetId="12">PKA!#REF!</definedName>
    <definedName name="外部資料_297" localSheetId="13">PKB!#REF!</definedName>
    <definedName name="外部資料_297" localSheetId="14">PKC!#REF!</definedName>
    <definedName name="外部資料_297" localSheetId="7">公司債!#REF!</definedName>
    <definedName name="外部資料_297" localSheetId="0">基本設定!#REF!</definedName>
    <definedName name="外部資料_297" localSheetId="4">評比系統!#REF!</definedName>
    <definedName name="外部資料_2970" localSheetId="2">紅綠燈!#REF!</definedName>
    <definedName name="外部資料_2972" localSheetId="2">紅綠燈!#REF!</definedName>
    <definedName name="外部資料_2973" localSheetId="2">紅綠燈!#REF!</definedName>
    <definedName name="外部資料_2974" localSheetId="2">紅綠燈!#REF!</definedName>
    <definedName name="外部資料_2976" localSheetId="2">紅綠燈!#REF!</definedName>
    <definedName name="外部資料_2977" localSheetId="2">紅綠燈!#REF!</definedName>
    <definedName name="外部資料_2978" localSheetId="2">紅綠燈!#REF!</definedName>
    <definedName name="外部資料_298" localSheetId="12">PKA!#REF!</definedName>
    <definedName name="外部資料_298" localSheetId="13">PKB!#REF!</definedName>
    <definedName name="外部資料_298" localSheetId="14">PKC!#REF!</definedName>
    <definedName name="外部資料_298" localSheetId="7">公司債!#REF!</definedName>
    <definedName name="外部資料_298" localSheetId="0">基本設定!#REF!</definedName>
    <definedName name="外部資料_298" localSheetId="4">評比系統!#REF!</definedName>
    <definedName name="外部資料_2980" localSheetId="2">紅綠燈!#REF!</definedName>
    <definedName name="外部資料_2981" localSheetId="2">紅綠燈!#REF!</definedName>
    <definedName name="外部資料_2982" localSheetId="2">紅綠燈!#REF!</definedName>
    <definedName name="外部資料_2984" localSheetId="2">紅綠燈!#REF!</definedName>
    <definedName name="外部資料_2985" localSheetId="2">紅綠燈!#REF!</definedName>
    <definedName name="外部資料_2986" localSheetId="2">紅綠燈!#REF!</definedName>
    <definedName name="外部資料_2988" localSheetId="2">紅綠燈!#REF!</definedName>
    <definedName name="外部資料_2989" localSheetId="2">紅綠燈!#REF!</definedName>
    <definedName name="外部資料_299" localSheetId="12">PKA!#REF!</definedName>
    <definedName name="外部資料_299" localSheetId="13">PKB!#REF!</definedName>
    <definedName name="外部資料_299" localSheetId="14">PKC!#REF!</definedName>
    <definedName name="外部資料_299" localSheetId="7">公司債!#REF!</definedName>
    <definedName name="外部資料_299" localSheetId="0">基本設定!#REF!</definedName>
    <definedName name="外部資料_299" localSheetId="4">評比系統!#REF!</definedName>
    <definedName name="外部資料_2990" localSheetId="2">紅綠燈!#REF!</definedName>
    <definedName name="外部資料_2992" localSheetId="2">紅綠燈!#REF!</definedName>
    <definedName name="外部資料_2993" localSheetId="2">紅綠燈!#REF!</definedName>
    <definedName name="外部資料_2994" localSheetId="2">紅綠燈!#REF!</definedName>
    <definedName name="外部資料_2996" localSheetId="2">紅綠燈!#REF!</definedName>
    <definedName name="外部資料_2997" localSheetId="2">紅綠燈!#REF!</definedName>
    <definedName name="外部資料_2998" localSheetId="2">紅綠燈!#REF!</definedName>
    <definedName name="外部資料_3" localSheetId="12">PKA!#REF!</definedName>
    <definedName name="外部資料_3" localSheetId="13">PKB!#REF!</definedName>
    <definedName name="外部資料_3" localSheetId="14">PKC!#REF!</definedName>
    <definedName name="外部資料_3" localSheetId="7">公司債!#REF!</definedName>
    <definedName name="外部資料_3" localSheetId="2">紅綠燈!#REF!</definedName>
    <definedName name="外部資料_3" localSheetId="0">基本設定!#REF!</definedName>
    <definedName name="外部資料_3" localSheetId="4">評比系統!#REF!</definedName>
    <definedName name="外部資料_3" localSheetId="5">搶先報!#REF!</definedName>
    <definedName name="外部資料_30" localSheetId="12">PKA!#REF!</definedName>
    <definedName name="外部資料_30" localSheetId="13">PKB!#REF!</definedName>
    <definedName name="外部資料_30" localSheetId="14">PKC!#REF!</definedName>
    <definedName name="外部資料_30" localSheetId="7">公司債!#REF!</definedName>
    <definedName name="外部資料_30" localSheetId="1">季財報!#REF!</definedName>
    <definedName name="外部資料_30" localSheetId="2">紅綠燈!#REF!</definedName>
    <definedName name="外部資料_30" localSheetId="0">基本設定!#REF!</definedName>
    <definedName name="外部資料_30" localSheetId="4">評比系統!#REF!</definedName>
    <definedName name="外部資料_30" localSheetId="5">搶先報!#REF!</definedName>
    <definedName name="外部資料_300" localSheetId="12">PKA!#REF!</definedName>
    <definedName name="外部資料_300" localSheetId="13">PKB!#REF!</definedName>
    <definedName name="外部資料_300" localSheetId="14">PKC!#REF!</definedName>
    <definedName name="外部資料_300" localSheetId="7">公司債!#REF!</definedName>
    <definedName name="外部資料_300" localSheetId="0">基本設定!#REF!</definedName>
    <definedName name="外部資料_300" localSheetId="4">評比系統!#REF!</definedName>
    <definedName name="外部資料_3000" localSheetId="2">紅綠燈!#REF!</definedName>
    <definedName name="外部資料_3001" localSheetId="2">紅綠燈!#REF!</definedName>
    <definedName name="外部資料_3002" localSheetId="2">紅綠燈!#REF!</definedName>
    <definedName name="外部資料_3004" localSheetId="2">紅綠燈!#REF!</definedName>
    <definedName name="外部資料_3005" localSheetId="2">紅綠燈!#REF!</definedName>
    <definedName name="外部資料_3006" localSheetId="2">紅綠燈!#REF!</definedName>
    <definedName name="外部資料_3008" localSheetId="2">紅綠燈!#REF!</definedName>
    <definedName name="外部資料_3009" localSheetId="2">紅綠燈!#REF!</definedName>
    <definedName name="外部資料_301" localSheetId="12">PKA!#REF!</definedName>
    <definedName name="外部資料_301" localSheetId="13">PKB!#REF!</definedName>
    <definedName name="外部資料_301" localSheetId="14">PKC!#REF!</definedName>
    <definedName name="外部資料_301" localSheetId="7">公司債!#REF!</definedName>
    <definedName name="外部資料_301" localSheetId="0">基本設定!#REF!</definedName>
    <definedName name="外部資料_301" localSheetId="4">評比系統!#REF!</definedName>
    <definedName name="外部資料_3011" localSheetId="2">紅綠燈!#REF!</definedName>
    <definedName name="外部資料_3012" localSheetId="2">紅綠燈!#REF!</definedName>
    <definedName name="外部資料_3013" localSheetId="2">紅綠燈!#REF!</definedName>
    <definedName name="外部資料_3015" localSheetId="2">紅綠燈!#REF!</definedName>
    <definedName name="外部資料_3016" localSheetId="2">紅綠燈!#REF!</definedName>
    <definedName name="外部資料_3017" localSheetId="2">紅綠燈!#REF!</definedName>
    <definedName name="外部資料_3019" localSheetId="2">紅綠燈!#REF!</definedName>
    <definedName name="外部資料_302" localSheetId="12">PKA!#REF!</definedName>
    <definedName name="外部資料_302" localSheetId="13">PKB!#REF!</definedName>
    <definedName name="外部資料_302" localSheetId="14">PKC!#REF!</definedName>
    <definedName name="外部資料_302" localSheetId="7">公司債!#REF!</definedName>
    <definedName name="外部資料_302" localSheetId="0">基本設定!#REF!</definedName>
    <definedName name="外部資料_302" localSheetId="4">評比系統!#REF!</definedName>
    <definedName name="外部資料_3020" localSheetId="2">紅綠燈!#REF!</definedName>
    <definedName name="外部資料_3022" localSheetId="2">紅綠燈!#REF!</definedName>
    <definedName name="外部資料_3023" localSheetId="2">紅綠燈!#REF!</definedName>
    <definedName name="外部資料_3024" localSheetId="2">紅綠燈!#REF!</definedName>
    <definedName name="外部資料_3026" localSheetId="2">紅綠燈!#REF!</definedName>
    <definedName name="外部資料_3027" localSheetId="2">紅綠燈!#REF!</definedName>
    <definedName name="外部資料_3028" localSheetId="2">紅綠燈!#REF!</definedName>
    <definedName name="外部資料_303" localSheetId="12">PKA!#REF!</definedName>
    <definedName name="外部資料_303" localSheetId="13">PKB!#REF!</definedName>
    <definedName name="外部資料_303" localSheetId="14">PKC!#REF!</definedName>
    <definedName name="外部資料_303" localSheetId="7">公司債!#REF!</definedName>
    <definedName name="外部資料_303" localSheetId="0">基本設定!#REF!</definedName>
    <definedName name="外部資料_303" localSheetId="4">評比系統!#REF!</definedName>
    <definedName name="外部資料_3030" localSheetId="2">紅綠燈!#REF!</definedName>
    <definedName name="外部資料_3031" localSheetId="2">紅綠燈!#REF!</definedName>
    <definedName name="外部資料_3032" localSheetId="2">紅綠燈!#REF!</definedName>
    <definedName name="外部資料_3034" localSheetId="2">紅綠燈!#REF!</definedName>
    <definedName name="外部資料_3035" localSheetId="2">紅綠燈!#REF!</definedName>
    <definedName name="外部資料_3036" localSheetId="2">紅綠燈!#REF!</definedName>
    <definedName name="外部資料_3038" localSheetId="2">紅綠燈!#REF!</definedName>
    <definedName name="外部資料_3039" localSheetId="2">紅綠燈!#REF!</definedName>
    <definedName name="外部資料_304" localSheetId="12">PKA!#REF!</definedName>
    <definedName name="外部資料_304" localSheetId="13">PKB!#REF!</definedName>
    <definedName name="外部資料_304" localSheetId="14">PKC!#REF!</definedName>
    <definedName name="外部資料_304" localSheetId="7">公司債!#REF!</definedName>
    <definedName name="外部資料_304" localSheetId="0">基本設定!#REF!</definedName>
    <definedName name="外部資料_304" localSheetId="4">評比系統!#REF!</definedName>
    <definedName name="外部資料_3040" localSheetId="2">紅綠燈!#REF!</definedName>
    <definedName name="外部資料_3042" localSheetId="2">紅綠燈!#REF!</definedName>
    <definedName name="外部資料_3043" localSheetId="2">紅綠燈!#REF!</definedName>
    <definedName name="外部資料_3044" localSheetId="2">紅綠燈!#REF!</definedName>
    <definedName name="外部資料_3046" localSheetId="2">紅綠燈!#REF!</definedName>
    <definedName name="外部資料_3047" localSheetId="2">紅綠燈!#REF!</definedName>
    <definedName name="外部資料_3048" localSheetId="2">紅綠燈!#REF!</definedName>
    <definedName name="外部資料_305" localSheetId="12">PKA!#REF!</definedName>
    <definedName name="外部資料_305" localSheetId="13">PKB!#REF!</definedName>
    <definedName name="外部資料_305" localSheetId="14">PKC!#REF!</definedName>
    <definedName name="外部資料_305" localSheetId="7">公司債!#REF!</definedName>
    <definedName name="外部資料_305" localSheetId="0">基本設定!#REF!</definedName>
    <definedName name="外部資料_305" localSheetId="4">評比系統!#REF!</definedName>
    <definedName name="外部資料_3050" localSheetId="2">紅綠燈!#REF!</definedName>
    <definedName name="外部資料_3051" localSheetId="2">紅綠燈!#REF!</definedName>
    <definedName name="外部資料_3053" localSheetId="2">紅綠燈!#REF!</definedName>
    <definedName name="外部資料_3054" localSheetId="2">紅綠燈!#REF!</definedName>
    <definedName name="外部資料_3056" localSheetId="2">紅綠燈!#REF!</definedName>
    <definedName name="外部資料_3057" localSheetId="2">紅綠燈!#REF!</definedName>
    <definedName name="外部資料_3058" localSheetId="2">紅綠燈!#REF!</definedName>
    <definedName name="外部資料_306" localSheetId="12">PKA!#REF!</definedName>
    <definedName name="外部資料_306" localSheetId="13">PKB!#REF!</definedName>
    <definedName name="外部資料_306" localSheetId="14">PKC!#REF!</definedName>
    <definedName name="外部資料_306" localSheetId="7">公司債!#REF!</definedName>
    <definedName name="外部資料_306" localSheetId="0">基本設定!#REF!</definedName>
    <definedName name="外部資料_306" localSheetId="4">評比系統!#REF!</definedName>
    <definedName name="外部資料_3060" localSheetId="2">紅綠燈!#REF!</definedName>
    <definedName name="外部資料_3061" localSheetId="2">紅綠燈!#REF!</definedName>
    <definedName name="外部資料_3062" localSheetId="2">紅綠燈!#REF!</definedName>
    <definedName name="外部資料_3064" localSheetId="2">紅綠燈!#REF!</definedName>
    <definedName name="外部資料_3065" localSheetId="2">紅綠燈!#REF!</definedName>
    <definedName name="外部資料_3066" localSheetId="2">紅綠燈!#REF!</definedName>
    <definedName name="外部資料_3068" localSheetId="2">紅綠燈!#REF!</definedName>
    <definedName name="外部資料_3069" localSheetId="2">紅綠燈!#REF!</definedName>
    <definedName name="外部資料_307" localSheetId="12">PKA!#REF!</definedName>
    <definedName name="外部資料_307" localSheetId="13">PKB!#REF!</definedName>
    <definedName name="外部資料_307" localSheetId="14">PKC!#REF!</definedName>
    <definedName name="外部資料_307" localSheetId="7">公司債!#REF!</definedName>
    <definedName name="外部資料_307" localSheetId="0">基本設定!#REF!</definedName>
    <definedName name="外部資料_307" localSheetId="4">評比系統!#REF!</definedName>
    <definedName name="外部資料_3070" localSheetId="2">紅綠燈!#REF!</definedName>
    <definedName name="外部資料_3072" localSheetId="2">紅綠燈!#REF!</definedName>
    <definedName name="外部資料_3073" localSheetId="2">紅綠燈!#REF!</definedName>
    <definedName name="外部資料_3074" localSheetId="2">紅綠燈!#REF!</definedName>
    <definedName name="外部資料_3076" localSheetId="2">紅綠燈!#REF!</definedName>
    <definedName name="外部資料_3077" localSheetId="2">紅綠燈!#REF!</definedName>
    <definedName name="外部資料_3078" localSheetId="2">紅綠燈!#REF!</definedName>
    <definedName name="外部資料_308" localSheetId="12">PKA!#REF!</definedName>
    <definedName name="外部資料_308" localSheetId="13">PKB!#REF!</definedName>
    <definedName name="外部資料_308" localSheetId="14">PKC!#REF!</definedName>
    <definedName name="外部資料_308" localSheetId="7">公司債!#REF!</definedName>
    <definedName name="外部資料_308" localSheetId="0">基本設定!#REF!</definedName>
    <definedName name="外部資料_308" localSheetId="4">評比系統!#REF!</definedName>
    <definedName name="外部資料_3080" localSheetId="2">紅綠燈!#REF!</definedName>
    <definedName name="外部資料_3081" localSheetId="2">紅綠燈!#REF!</definedName>
    <definedName name="外部資料_3082" localSheetId="2">紅綠燈!#REF!</definedName>
    <definedName name="外部資料_3084" localSheetId="2">紅綠燈!#REF!</definedName>
    <definedName name="外部資料_3085" localSheetId="2">紅綠燈!#REF!</definedName>
    <definedName name="外部資料_3086" localSheetId="2">紅綠燈!#REF!</definedName>
    <definedName name="外部資料_3088" localSheetId="2">紅綠燈!#REF!</definedName>
    <definedName name="外部資料_3089" localSheetId="2">紅綠燈!#REF!</definedName>
    <definedName name="外部資料_309" localSheetId="12">PKA!#REF!</definedName>
    <definedName name="外部資料_309" localSheetId="13">PKB!#REF!</definedName>
    <definedName name="外部資料_309" localSheetId="14">PKC!#REF!</definedName>
    <definedName name="外部資料_309" localSheetId="7">公司債!#REF!</definedName>
    <definedName name="外部資料_309" localSheetId="0">基本設定!#REF!</definedName>
    <definedName name="外部資料_309" localSheetId="4">評比系統!#REF!</definedName>
    <definedName name="外部資料_3090" localSheetId="2">紅綠燈!#REF!</definedName>
    <definedName name="外部資料_3092" localSheetId="2">紅綠燈!#REF!</definedName>
    <definedName name="外部資料_3093" localSheetId="2">紅綠燈!#REF!</definedName>
    <definedName name="外部資料_3094" localSheetId="2">紅綠燈!#REF!</definedName>
    <definedName name="外部資料_3096" localSheetId="2">紅綠燈!#REF!</definedName>
    <definedName name="外部資料_3097" localSheetId="2">紅綠燈!#REF!</definedName>
    <definedName name="外部資料_3098" localSheetId="2">紅綠燈!#REF!</definedName>
    <definedName name="外部資料_31" localSheetId="12">PKA!#REF!</definedName>
    <definedName name="外部資料_31" localSheetId="13">PKB!#REF!</definedName>
    <definedName name="外部資料_31" localSheetId="14">PKC!#REF!</definedName>
    <definedName name="外部資料_31" localSheetId="7">公司債!#REF!</definedName>
    <definedName name="外部資料_31" localSheetId="1">季財報!#REF!</definedName>
    <definedName name="外部資料_31" localSheetId="2">紅綠燈!$A$121:$K$181</definedName>
    <definedName name="外部資料_31" localSheetId="0">基本設定!#REF!</definedName>
    <definedName name="外部資料_31" localSheetId="4">評比系統!#REF!</definedName>
    <definedName name="外部資料_310" localSheetId="12">PKA!#REF!</definedName>
    <definedName name="外部資料_310" localSheetId="13">PKB!#REF!</definedName>
    <definedName name="外部資料_310" localSheetId="14">PKC!#REF!</definedName>
    <definedName name="外部資料_310" localSheetId="7">公司債!#REF!</definedName>
    <definedName name="外部資料_310" localSheetId="0">基本設定!#REF!</definedName>
    <definedName name="外部資料_310" localSheetId="4">評比系統!#REF!</definedName>
    <definedName name="外部資料_3100" localSheetId="2">紅綠燈!#REF!</definedName>
    <definedName name="外部資料_3101" localSheetId="2">紅綠燈!#REF!</definedName>
    <definedName name="外部資料_3102" localSheetId="2">紅綠燈!#REF!</definedName>
    <definedName name="外部資料_3104" localSheetId="2">紅綠燈!#REF!</definedName>
    <definedName name="外部資料_3105" localSheetId="2">紅綠燈!#REF!</definedName>
    <definedName name="外部資料_3106" localSheetId="2">紅綠燈!#REF!</definedName>
    <definedName name="外部資料_3108" localSheetId="2">紅綠燈!#REF!</definedName>
    <definedName name="外部資料_3109" localSheetId="2">紅綠燈!#REF!</definedName>
    <definedName name="外部資料_311" localSheetId="12">PKA!#REF!</definedName>
    <definedName name="外部資料_311" localSheetId="13">PKB!#REF!</definedName>
    <definedName name="外部資料_311" localSheetId="14">PKC!#REF!</definedName>
    <definedName name="外部資料_311" localSheetId="7">公司債!#REF!</definedName>
    <definedName name="外部資料_311" localSheetId="0">基本設定!#REF!</definedName>
    <definedName name="外部資料_311" localSheetId="4">評比系統!#REF!</definedName>
    <definedName name="外部資料_3110" localSheetId="2">紅綠燈!#REF!</definedName>
    <definedName name="外部資料_3112" localSheetId="2">紅綠燈!#REF!</definedName>
    <definedName name="外部資料_3113" localSheetId="2">紅綠燈!#REF!</definedName>
    <definedName name="外部資料_3114" localSheetId="2">紅綠燈!#REF!</definedName>
    <definedName name="外部資料_3116" localSheetId="2">紅綠燈!#REF!</definedName>
    <definedName name="外部資料_3117" localSheetId="2">紅綠燈!#REF!</definedName>
    <definedName name="外部資料_3119" localSheetId="2">紅綠燈!#REF!</definedName>
    <definedName name="外部資料_312" localSheetId="12">PKA!#REF!</definedName>
    <definedName name="外部資料_312" localSheetId="13">PKB!#REF!</definedName>
    <definedName name="外部資料_312" localSheetId="14">PKC!#REF!</definedName>
    <definedName name="外部資料_312" localSheetId="7">公司債!#REF!</definedName>
    <definedName name="外部資料_312" localSheetId="0">基本設定!#REF!</definedName>
    <definedName name="外部資料_312" localSheetId="4">評比系統!#REF!</definedName>
    <definedName name="外部資料_3120" localSheetId="2">紅綠燈!#REF!</definedName>
    <definedName name="外部資料_3121" localSheetId="2">紅綠燈!#REF!</definedName>
    <definedName name="外部資料_3123" localSheetId="2">紅綠燈!#REF!</definedName>
    <definedName name="外部資料_3124" localSheetId="2">紅綠燈!#REF!</definedName>
    <definedName name="外部資料_3125" localSheetId="2">紅綠燈!#REF!</definedName>
    <definedName name="外部資料_3127" localSheetId="2">紅綠燈!#REF!</definedName>
    <definedName name="外部資料_3128" localSheetId="2">紅綠燈!#REF!</definedName>
    <definedName name="外部資料_3129" localSheetId="2">紅綠燈!#REF!</definedName>
    <definedName name="外部資料_313" localSheetId="12">PKA!#REF!</definedName>
    <definedName name="外部資料_313" localSheetId="13">PKB!#REF!</definedName>
    <definedName name="外部資料_313" localSheetId="14">PKC!#REF!</definedName>
    <definedName name="外部資料_313" localSheetId="7">公司債!#REF!</definedName>
    <definedName name="外部資料_313" localSheetId="0">基本設定!#REF!</definedName>
    <definedName name="外部資料_313" localSheetId="4">評比系統!#REF!</definedName>
    <definedName name="外部資料_3131" localSheetId="2">紅綠燈!#REF!</definedName>
    <definedName name="外部資料_3132" localSheetId="2">紅綠燈!#REF!</definedName>
    <definedName name="外部資料_3133" localSheetId="2">紅綠燈!#REF!</definedName>
    <definedName name="外部資料_3135" localSheetId="2">紅綠燈!#REF!</definedName>
    <definedName name="外部資料_3136" localSheetId="2">紅綠燈!#REF!</definedName>
    <definedName name="外部資料_3137" localSheetId="2">紅綠燈!#REF!</definedName>
    <definedName name="外部資料_3139" localSheetId="2">紅綠燈!#REF!</definedName>
    <definedName name="外部資料_314" localSheetId="12">PKA!#REF!</definedName>
    <definedName name="外部資料_314" localSheetId="13">PKB!#REF!</definedName>
    <definedName name="外部資料_314" localSheetId="14">PKC!#REF!</definedName>
    <definedName name="外部資料_314" localSheetId="7">公司債!#REF!</definedName>
    <definedName name="外部資料_314" localSheetId="0">基本設定!#REF!</definedName>
    <definedName name="外部資料_314" localSheetId="4">評比系統!#REF!</definedName>
    <definedName name="外部資料_3140" localSheetId="2">紅綠燈!#REF!</definedName>
    <definedName name="外部資料_3141" localSheetId="2">紅綠燈!#REF!</definedName>
    <definedName name="外部資料_3143" localSheetId="2">紅綠燈!#REF!</definedName>
    <definedName name="外部資料_3144" localSheetId="2">紅綠燈!#REF!</definedName>
    <definedName name="外部資料_3145" localSheetId="2">紅綠燈!#REF!</definedName>
    <definedName name="外部資料_3147" localSheetId="2">紅綠燈!#REF!</definedName>
    <definedName name="外部資料_3148" localSheetId="2">紅綠燈!#REF!</definedName>
    <definedName name="外部資料_3149" localSheetId="2">紅綠燈!#REF!</definedName>
    <definedName name="外部資料_315" localSheetId="12">PKA!#REF!</definedName>
    <definedName name="外部資料_315" localSheetId="13">PKB!#REF!</definedName>
    <definedName name="外部資料_315" localSheetId="14">PKC!#REF!</definedName>
    <definedName name="外部資料_315" localSheetId="7">公司債!#REF!</definedName>
    <definedName name="外部資料_315" localSheetId="0">基本設定!#REF!</definedName>
    <definedName name="外部資料_315" localSheetId="4">評比系統!#REF!</definedName>
    <definedName name="外部資料_3151" localSheetId="2">紅綠燈!#REF!</definedName>
    <definedName name="外部資料_3152" localSheetId="2">紅綠燈!#REF!</definedName>
    <definedName name="外部資料_3153" localSheetId="2">紅綠燈!#REF!</definedName>
    <definedName name="外部資料_3155" localSheetId="2">紅綠燈!#REF!</definedName>
    <definedName name="外部資料_3156" localSheetId="2">紅綠燈!#REF!</definedName>
    <definedName name="外部資料_3157" localSheetId="2">紅綠燈!#REF!</definedName>
    <definedName name="外部資料_3159" localSheetId="2">紅綠燈!#REF!</definedName>
    <definedName name="外部資料_316" localSheetId="12">PKA!#REF!</definedName>
    <definedName name="外部資料_316" localSheetId="13">PKB!#REF!</definedName>
    <definedName name="外部資料_316" localSheetId="14">PKC!#REF!</definedName>
    <definedName name="外部資料_316" localSheetId="7">公司債!#REF!</definedName>
    <definedName name="外部資料_316" localSheetId="0">基本設定!#REF!</definedName>
    <definedName name="外部資料_316" localSheetId="4">評比系統!#REF!</definedName>
    <definedName name="外部資料_3160" localSheetId="2">紅綠燈!#REF!</definedName>
    <definedName name="外部資料_3161" localSheetId="2">紅綠燈!#REF!</definedName>
    <definedName name="外部資料_3163" localSheetId="2">紅綠燈!#REF!</definedName>
    <definedName name="外部資料_3164" localSheetId="2">紅綠燈!#REF!</definedName>
    <definedName name="外部資料_3165" localSheetId="2">紅綠燈!#REF!</definedName>
    <definedName name="外部資料_3167" localSheetId="2">紅綠燈!#REF!</definedName>
    <definedName name="外部資料_3168" localSheetId="2">紅綠燈!#REF!</definedName>
    <definedName name="外部資料_3169" localSheetId="2">紅綠燈!#REF!</definedName>
    <definedName name="外部資料_317" localSheetId="12">PKA!#REF!</definedName>
    <definedName name="外部資料_317" localSheetId="13">PKB!#REF!</definedName>
    <definedName name="外部資料_317" localSheetId="14">PKC!#REF!</definedName>
    <definedName name="外部資料_317" localSheetId="7">公司債!#REF!</definedName>
    <definedName name="外部資料_317" localSheetId="0">基本設定!#REF!</definedName>
    <definedName name="外部資料_317" localSheetId="4">評比系統!#REF!</definedName>
    <definedName name="外部資料_3171" localSheetId="2">紅綠燈!#REF!</definedName>
    <definedName name="外部資料_3172" localSheetId="2">紅綠燈!#REF!</definedName>
    <definedName name="外部資料_3173" localSheetId="2">紅綠燈!#REF!</definedName>
    <definedName name="外部資料_3175" localSheetId="2">紅綠燈!#REF!</definedName>
    <definedName name="外部資料_3176" localSheetId="2">紅綠燈!#REF!</definedName>
    <definedName name="外部資料_3177" localSheetId="2">紅綠燈!#REF!</definedName>
    <definedName name="外部資料_3179" localSheetId="2">紅綠燈!#REF!</definedName>
    <definedName name="外部資料_318" localSheetId="12">PKA!#REF!</definedName>
    <definedName name="外部資料_318" localSheetId="13">PKB!#REF!</definedName>
    <definedName name="外部資料_318" localSheetId="14">PKC!#REF!</definedName>
    <definedName name="外部資料_318" localSheetId="7">公司債!#REF!</definedName>
    <definedName name="外部資料_318" localSheetId="0">基本設定!#REF!</definedName>
    <definedName name="外部資料_318" localSheetId="4">評比系統!#REF!</definedName>
    <definedName name="外部資料_3180" localSheetId="2">紅綠燈!#REF!</definedName>
    <definedName name="外部資料_3181" localSheetId="2">紅綠燈!#REF!</definedName>
    <definedName name="外部資料_3183" localSheetId="2">紅綠燈!#REF!</definedName>
    <definedName name="外部資料_3184" localSheetId="2">紅綠燈!#REF!</definedName>
    <definedName name="外部資料_3185" localSheetId="2">紅綠燈!#REF!</definedName>
    <definedName name="外部資料_3187" localSheetId="2">紅綠燈!#REF!</definedName>
    <definedName name="外部資料_3188" localSheetId="2">紅綠燈!#REF!</definedName>
    <definedName name="外部資料_3189" localSheetId="2">紅綠燈!#REF!</definedName>
    <definedName name="外部資料_319" localSheetId="12">PKA!#REF!</definedName>
    <definedName name="外部資料_319" localSheetId="13">PKB!#REF!</definedName>
    <definedName name="外部資料_319" localSheetId="14">PKC!#REF!</definedName>
    <definedName name="外部資料_319" localSheetId="7">公司債!#REF!</definedName>
    <definedName name="外部資料_319" localSheetId="0">基本設定!#REF!</definedName>
    <definedName name="外部資料_319" localSheetId="4">評比系統!#REF!</definedName>
    <definedName name="外部資料_3191" localSheetId="2">紅綠燈!#REF!</definedName>
    <definedName name="外部資料_3192" localSheetId="2">紅綠燈!#REF!</definedName>
    <definedName name="外部資料_3193" localSheetId="2">紅綠燈!#REF!</definedName>
    <definedName name="外部資料_3195" localSheetId="2">紅綠燈!#REF!</definedName>
    <definedName name="外部資料_3196" localSheetId="2">紅綠燈!#REF!</definedName>
    <definedName name="外部資料_3197" localSheetId="2">紅綠燈!#REF!</definedName>
    <definedName name="外部資料_3199" localSheetId="2">紅綠燈!#REF!</definedName>
    <definedName name="外部資料_32" localSheetId="12">PKA!#REF!</definedName>
    <definedName name="外部資料_32" localSheetId="13">PKB!#REF!</definedName>
    <definedName name="外部資料_32" localSheetId="14">PKC!#REF!</definedName>
    <definedName name="外部資料_32" localSheetId="7">公司債!#REF!</definedName>
    <definedName name="外部資料_32" localSheetId="1">季財報!#REF!</definedName>
    <definedName name="外部資料_32" localSheetId="2">紅綠燈!#REF!</definedName>
    <definedName name="外部資料_32" localSheetId="0">基本設定!#REF!</definedName>
    <definedName name="外部資料_32" localSheetId="4">評比系統!#REF!</definedName>
    <definedName name="外部資料_32" localSheetId="5">搶先報!#REF!</definedName>
    <definedName name="外部資料_320" localSheetId="12">PKA!#REF!</definedName>
    <definedName name="外部資料_320" localSheetId="13">PKB!#REF!</definedName>
    <definedName name="外部資料_320" localSheetId="14">PKC!#REF!</definedName>
    <definedName name="外部資料_320" localSheetId="7">公司債!#REF!</definedName>
    <definedName name="外部資料_320" localSheetId="0">基本設定!#REF!</definedName>
    <definedName name="外部資料_320" localSheetId="4">評比系統!#REF!</definedName>
    <definedName name="外部資料_3200" localSheetId="2">紅綠燈!#REF!</definedName>
    <definedName name="外部資料_3201" localSheetId="2">紅綠燈!#REF!</definedName>
    <definedName name="外部資料_3203" localSheetId="2">紅綠燈!#REF!</definedName>
    <definedName name="外部資料_3204" localSheetId="2">紅綠燈!#REF!</definedName>
    <definedName name="外部資料_3205" localSheetId="2">紅綠燈!#REF!</definedName>
    <definedName name="外部資料_3207" localSheetId="2">紅綠燈!#REF!</definedName>
    <definedName name="外部資料_3208" localSheetId="2">紅綠燈!#REF!</definedName>
    <definedName name="外部資料_3209" localSheetId="2">紅綠燈!#REF!</definedName>
    <definedName name="外部資料_321" localSheetId="12">PKA!#REF!</definedName>
    <definedName name="外部資料_321" localSheetId="13">PKB!#REF!</definedName>
    <definedName name="外部資料_321" localSheetId="14">PKC!#REF!</definedName>
    <definedName name="外部資料_321" localSheetId="7">公司債!#REF!</definedName>
    <definedName name="外部資料_321" localSheetId="0">基本設定!#REF!</definedName>
    <definedName name="外部資料_321" localSheetId="4">評比系統!#REF!</definedName>
    <definedName name="外部資料_3211" localSheetId="2">紅綠燈!#REF!</definedName>
    <definedName name="外部資料_3212" localSheetId="2">紅綠燈!#REF!</definedName>
    <definedName name="外部資料_3213" localSheetId="2">紅綠燈!#REF!</definedName>
    <definedName name="外部資料_3215" localSheetId="2">紅綠燈!#REF!</definedName>
    <definedName name="外部資料_3216" localSheetId="2">紅綠燈!#REF!</definedName>
    <definedName name="外部資料_3217" localSheetId="2">紅綠燈!#REF!</definedName>
    <definedName name="外部資料_3219" localSheetId="2">紅綠燈!#REF!</definedName>
    <definedName name="外部資料_322" localSheetId="12">PKA!#REF!</definedName>
    <definedName name="外部資料_322" localSheetId="13">PKB!#REF!</definedName>
    <definedName name="外部資料_322" localSheetId="14">PKC!#REF!</definedName>
    <definedName name="外部資料_322" localSheetId="7">公司債!#REF!</definedName>
    <definedName name="外部資料_322" localSheetId="0">基本設定!#REF!</definedName>
    <definedName name="外部資料_322" localSheetId="4">評比系統!#REF!</definedName>
    <definedName name="外部資料_3220" localSheetId="2">紅綠燈!#REF!</definedName>
    <definedName name="外部資料_3221" localSheetId="2">紅綠燈!#REF!</definedName>
    <definedName name="外部資料_3223" localSheetId="2">紅綠燈!#REF!</definedName>
    <definedName name="外部資料_3224" localSheetId="2">紅綠燈!#REF!</definedName>
    <definedName name="外部資料_3225" localSheetId="2">紅綠燈!#REF!</definedName>
    <definedName name="外部資料_3227" localSheetId="2">紅綠燈!#REF!</definedName>
    <definedName name="外部資料_3228" localSheetId="2">紅綠燈!#REF!</definedName>
    <definedName name="外部資料_3229" localSheetId="2">紅綠燈!#REF!</definedName>
    <definedName name="外部資料_323" localSheetId="12">PKA!#REF!</definedName>
    <definedName name="外部資料_323" localSheetId="13">PKB!#REF!</definedName>
    <definedName name="外部資料_323" localSheetId="14">PKC!#REF!</definedName>
    <definedName name="外部資料_323" localSheetId="7">公司債!#REF!</definedName>
    <definedName name="外部資料_323" localSheetId="0">基本設定!#REF!</definedName>
    <definedName name="外部資料_323" localSheetId="4">評比系統!#REF!</definedName>
    <definedName name="外部資料_3231" localSheetId="2">紅綠燈!#REF!</definedName>
    <definedName name="外部資料_3232" localSheetId="2">紅綠燈!#REF!</definedName>
    <definedName name="外部資料_3233" localSheetId="2">紅綠燈!#REF!</definedName>
    <definedName name="外部資料_3235" localSheetId="2">紅綠燈!#REF!</definedName>
    <definedName name="外部資料_3236" localSheetId="2">紅綠燈!#REF!</definedName>
    <definedName name="外部資料_3237" localSheetId="2">紅綠燈!#REF!</definedName>
    <definedName name="外部資料_3239" localSheetId="2">紅綠燈!#REF!</definedName>
    <definedName name="外部資料_324" localSheetId="12">PKA!#REF!</definedName>
    <definedName name="外部資料_324" localSheetId="13">PKB!#REF!</definedName>
    <definedName name="外部資料_324" localSheetId="14">PKC!#REF!</definedName>
    <definedName name="外部資料_324" localSheetId="7">公司債!#REF!</definedName>
    <definedName name="外部資料_324" localSheetId="0">基本設定!#REF!</definedName>
    <definedName name="外部資料_324" localSheetId="4">評比系統!#REF!</definedName>
    <definedName name="外部資料_3240" localSheetId="2">紅綠燈!#REF!</definedName>
    <definedName name="外部資料_3241" localSheetId="2">紅綠燈!#REF!</definedName>
    <definedName name="外部資料_3243" localSheetId="2">紅綠燈!#REF!</definedName>
    <definedName name="外部資料_3244" localSheetId="2">紅綠燈!#REF!</definedName>
    <definedName name="外部資料_3245" localSheetId="2">紅綠燈!#REF!</definedName>
    <definedName name="外部資料_3247" localSheetId="2">紅綠燈!#REF!</definedName>
    <definedName name="外部資料_3248" localSheetId="2">紅綠燈!#REF!</definedName>
    <definedName name="外部資料_3249" localSheetId="2">紅綠燈!#REF!</definedName>
    <definedName name="外部資料_325" localSheetId="12">PKA!#REF!</definedName>
    <definedName name="外部資料_325" localSheetId="13">PKB!#REF!</definedName>
    <definedName name="外部資料_325" localSheetId="14">PKC!#REF!</definedName>
    <definedName name="外部資料_325" localSheetId="7">公司債!#REF!</definedName>
    <definedName name="外部資料_325" localSheetId="0">基本設定!#REF!</definedName>
    <definedName name="外部資料_325" localSheetId="4">評比系統!#REF!</definedName>
    <definedName name="外部資料_3251" localSheetId="2">紅綠燈!#REF!</definedName>
    <definedName name="外部資料_3252" localSheetId="2">紅綠燈!#REF!</definedName>
    <definedName name="外部資料_3253" localSheetId="2">紅綠燈!#REF!</definedName>
    <definedName name="外部資料_3255" localSheetId="2">紅綠燈!#REF!</definedName>
    <definedName name="外部資料_3256" localSheetId="2">紅綠燈!#REF!</definedName>
    <definedName name="外部資料_3257" localSheetId="2">紅綠燈!#REF!</definedName>
    <definedName name="外部資料_3259" localSheetId="2">紅綠燈!#REF!</definedName>
    <definedName name="外部資料_326" localSheetId="12">PKA!#REF!</definedName>
    <definedName name="外部資料_326" localSheetId="13">PKB!#REF!</definedName>
    <definedName name="外部資料_326" localSheetId="14">PKC!#REF!</definedName>
    <definedName name="外部資料_326" localSheetId="7">公司債!#REF!</definedName>
    <definedName name="外部資料_326" localSheetId="0">基本設定!#REF!</definedName>
    <definedName name="外部資料_326" localSheetId="4">評比系統!#REF!</definedName>
    <definedName name="外部資料_3260" localSheetId="2">紅綠燈!#REF!</definedName>
    <definedName name="外部資料_3261" localSheetId="2">紅綠燈!#REF!</definedName>
    <definedName name="外部資料_3263" localSheetId="2">紅綠燈!#REF!</definedName>
    <definedName name="外部資料_3264" localSheetId="2">紅綠燈!#REF!</definedName>
    <definedName name="外部資料_3265" localSheetId="2">紅綠燈!#REF!</definedName>
    <definedName name="外部資料_3267" localSheetId="2">紅綠燈!#REF!</definedName>
    <definedName name="外部資料_3268" localSheetId="2">紅綠燈!#REF!</definedName>
    <definedName name="外部資料_3269" localSheetId="2">紅綠燈!#REF!</definedName>
    <definedName name="外部資料_327" localSheetId="12">PKA!#REF!</definedName>
    <definedName name="外部資料_327" localSheetId="13">PKB!#REF!</definedName>
    <definedName name="外部資料_327" localSheetId="14">PKC!#REF!</definedName>
    <definedName name="外部資料_327" localSheetId="7">公司債!#REF!</definedName>
    <definedName name="外部資料_327" localSheetId="0">基本設定!#REF!</definedName>
    <definedName name="外部資料_327" localSheetId="4">評比系統!#REF!</definedName>
    <definedName name="外部資料_3271" localSheetId="2">紅綠燈!#REF!</definedName>
    <definedName name="外部資料_3272" localSheetId="2">紅綠燈!#REF!</definedName>
    <definedName name="外部資料_3273" localSheetId="2">紅綠燈!#REF!</definedName>
    <definedName name="外部資料_3275" localSheetId="2">紅綠燈!#REF!</definedName>
    <definedName name="外部資料_3276" localSheetId="2">紅綠燈!#REF!</definedName>
    <definedName name="外部資料_3277" localSheetId="2">紅綠燈!#REF!</definedName>
    <definedName name="外部資料_3279" localSheetId="2">紅綠燈!#REF!</definedName>
    <definedName name="外部資料_328" localSheetId="12">PKA!#REF!</definedName>
    <definedName name="外部資料_328" localSheetId="13">PKB!#REF!</definedName>
    <definedName name="外部資料_328" localSheetId="14">PKC!#REF!</definedName>
    <definedName name="外部資料_328" localSheetId="7">公司債!#REF!</definedName>
    <definedName name="外部資料_328" localSheetId="0">基本設定!#REF!</definedName>
    <definedName name="外部資料_328" localSheetId="4">評比系統!#REF!</definedName>
    <definedName name="外部資料_3280" localSheetId="2">紅綠燈!#REF!</definedName>
    <definedName name="外部資料_3281" localSheetId="2">紅綠燈!#REF!</definedName>
    <definedName name="外部資料_3283" localSheetId="2">紅綠燈!#REF!</definedName>
    <definedName name="外部資料_3284" localSheetId="2">紅綠燈!#REF!</definedName>
    <definedName name="外部資料_3285" localSheetId="2">紅綠燈!#REF!</definedName>
    <definedName name="外部資料_3287" localSheetId="2">紅綠燈!#REF!</definedName>
    <definedName name="外部資料_3288" localSheetId="2">紅綠燈!#REF!</definedName>
    <definedName name="外部資料_3289" localSheetId="2">紅綠燈!#REF!</definedName>
    <definedName name="外部資料_329" localSheetId="12">PKA!#REF!</definedName>
    <definedName name="外部資料_329" localSheetId="13">PKB!#REF!</definedName>
    <definedName name="外部資料_329" localSheetId="14">PKC!#REF!</definedName>
    <definedName name="外部資料_329" localSheetId="7">公司債!#REF!</definedName>
    <definedName name="外部資料_329" localSheetId="0">基本設定!#REF!</definedName>
    <definedName name="外部資料_329" localSheetId="4">評比系統!#REF!</definedName>
    <definedName name="外部資料_3291" localSheetId="2">紅綠燈!#REF!</definedName>
    <definedName name="外部資料_3292" localSheetId="2">紅綠燈!#REF!</definedName>
    <definedName name="外部資料_3293" localSheetId="2">紅綠燈!#REF!</definedName>
    <definedName name="外部資料_3295" localSheetId="2">紅綠燈!#REF!</definedName>
    <definedName name="外部資料_3296" localSheetId="2">紅綠燈!#REF!</definedName>
    <definedName name="外部資料_3297" localSheetId="2">紅綠燈!#REF!</definedName>
    <definedName name="外部資料_3299" localSheetId="2">紅綠燈!#REF!</definedName>
    <definedName name="外部資料_33" localSheetId="12">PKA!#REF!</definedName>
    <definedName name="外部資料_33" localSheetId="13">PKB!#REF!</definedName>
    <definedName name="外部資料_33" localSheetId="14">PKC!#REF!</definedName>
    <definedName name="外部資料_33" localSheetId="7">公司債!#REF!</definedName>
    <definedName name="外部資料_33" localSheetId="1">季財報!#REF!</definedName>
    <definedName name="外部資料_33" localSheetId="2">紅綠燈!#REF!</definedName>
    <definedName name="外部資料_33" localSheetId="0">基本設定!#REF!</definedName>
    <definedName name="外部資料_33" localSheetId="4">評比系統!#REF!</definedName>
    <definedName name="外部資料_33" localSheetId="5">搶先報!#REF!</definedName>
    <definedName name="外部資料_330" localSheetId="12">PKA!#REF!</definedName>
    <definedName name="外部資料_330" localSheetId="13">PKB!#REF!</definedName>
    <definedName name="外部資料_330" localSheetId="14">PKC!#REF!</definedName>
    <definedName name="外部資料_330" localSheetId="7">公司債!#REF!</definedName>
    <definedName name="外部資料_330" localSheetId="0">基本設定!#REF!</definedName>
    <definedName name="外部資料_330" localSheetId="4">評比系統!#REF!</definedName>
    <definedName name="外部資料_3300" localSheetId="2">紅綠燈!#REF!</definedName>
    <definedName name="外部資料_3301" localSheetId="2">紅綠燈!#REF!</definedName>
    <definedName name="外部資料_3303" localSheetId="2">紅綠燈!#REF!</definedName>
    <definedName name="外部資料_3304" localSheetId="2">紅綠燈!#REF!</definedName>
    <definedName name="外部資料_3305" localSheetId="2">紅綠燈!#REF!</definedName>
    <definedName name="外部資料_3307" localSheetId="2">紅綠燈!#REF!</definedName>
    <definedName name="外部資料_3308" localSheetId="2">紅綠燈!#REF!</definedName>
    <definedName name="外部資料_3309" localSheetId="2">紅綠燈!#REF!</definedName>
    <definedName name="外部資料_331" localSheetId="12">PKA!#REF!</definedName>
    <definedName name="外部資料_331" localSheetId="13">PKB!#REF!</definedName>
    <definedName name="外部資料_331" localSheetId="14">PKC!#REF!</definedName>
    <definedName name="外部資料_331" localSheetId="7">公司債!#REF!</definedName>
    <definedName name="外部資料_331" localSheetId="0">基本設定!#REF!</definedName>
    <definedName name="外部資料_331" localSheetId="4">評比系統!#REF!</definedName>
    <definedName name="外部資料_3311" localSheetId="2">紅綠燈!#REF!</definedName>
    <definedName name="外部資料_3312" localSheetId="2">紅綠燈!#REF!</definedName>
    <definedName name="外部資料_3313" localSheetId="2">紅綠燈!#REF!</definedName>
    <definedName name="外部資料_3315" localSheetId="2">紅綠燈!#REF!</definedName>
    <definedName name="外部資料_3316" localSheetId="2">紅綠燈!#REF!</definedName>
    <definedName name="外部資料_3317" localSheetId="2">紅綠燈!#REF!</definedName>
    <definedName name="外部資料_3319" localSheetId="2">紅綠燈!#REF!</definedName>
    <definedName name="外部資料_332" localSheetId="12">PKA!#REF!</definedName>
    <definedName name="外部資料_332" localSheetId="13">PKB!#REF!</definedName>
    <definedName name="外部資料_332" localSheetId="14">PKC!#REF!</definedName>
    <definedName name="外部資料_332" localSheetId="7">公司債!#REF!</definedName>
    <definedName name="外部資料_332" localSheetId="0">基本設定!#REF!</definedName>
    <definedName name="外部資料_332" localSheetId="4">評比系統!#REF!</definedName>
    <definedName name="外部資料_3320" localSheetId="2">紅綠燈!#REF!</definedName>
    <definedName name="外部資料_3321" localSheetId="2">紅綠燈!#REF!</definedName>
    <definedName name="外部資料_3323" localSheetId="2">紅綠燈!#REF!</definedName>
    <definedName name="外部資料_3324" localSheetId="2">紅綠燈!#REF!</definedName>
    <definedName name="外部資料_3325" localSheetId="2">紅綠燈!#REF!</definedName>
    <definedName name="外部資料_3327" localSheetId="2">紅綠燈!#REF!</definedName>
    <definedName name="外部資料_3328" localSheetId="2">紅綠燈!#REF!</definedName>
    <definedName name="外部資料_3329" localSheetId="2">紅綠燈!#REF!</definedName>
    <definedName name="外部資料_333" localSheetId="12">PKA!#REF!</definedName>
    <definedName name="外部資料_333" localSheetId="13">PKB!#REF!</definedName>
    <definedName name="外部資料_333" localSheetId="14">PKC!#REF!</definedName>
    <definedName name="外部資料_333" localSheetId="7">公司債!#REF!</definedName>
    <definedName name="外部資料_333" localSheetId="0">基本設定!#REF!</definedName>
    <definedName name="外部資料_333" localSheetId="4">評比系統!#REF!</definedName>
    <definedName name="外部資料_3331" localSheetId="2">紅綠燈!#REF!</definedName>
    <definedName name="外部資料_3332" localSheetId="2">紅綠燈!#REF!</definedName>
    <definedName name="外部資料_3333" localSheetId="2">紅綠燈!#REF!</definedName>
    <definedName name="外部資料_3335" localSheetId="2">紅綠燈!#REF!</definedName>
    <definedName name="外部資料_3336" localSheetId="2">紅綠燈!#REF!</definedName>
    <definedName name="外部資料_3337" localSheetId="2">紅綠燈!#REF!</definedName>
    <definedName name="外部資料_3339" localSheetId="2">紅綠燈!#REF!</definedName>
    <definedName name="外部資料_334" localSheetId="12">PKA!#REF!</definedName>
    <definedName name="外部資料_334" localSheetId="13">PKB!#REF!</definedName>
    <definedName name="外部資料_334" localSheetId="14">PKC!#REF!</definedName>
    <definedName name="外部資料_334" localSheetId="7">公司債!#REF!</definedName>
    <definedName name="外部資料_334" localSheetId="0">基本設定!#REF!</definedName>
    <definedName name="外部資料_334" localSheetId="4">評比系統!#REF!</definedName>
    <definedName name="外部資料_3340" localSheetId="2">紅綠燈!#REF!</definedName>
    <definedName name="外部資料_3341" localSheetId="2">紅綠燈!#REF!</definedName>
    <definedName name="外部資料_3343" localSheetId="2">紅綠燈!#REF!</definedName>
    <definedName name="外部資料_3344" localSheetId="2">紅綠燈!#REF!</definedName>
    <definedName name="外部資料_3345" localSheetId="2">紅綠燈!#REF!</definedName>
    <definedName name="外部資料_3347" localSheetId="2">紅綠燈!#REF!</definedName>
    <definedName name="外部資料_3348" localSheetId="2">紅綠燈!#REF!</definedName>
    <definedName name="外部資料_3349" localSheetId="2">紅綠燈!#REF!</definedName>
    <definedName name="外部資料_335" localSheetId="12">PKA!#REF!</definedName>
    <definedName name="外部資料_335" localSheetId="13">PKB!#REF!</definedName>
    <definedName name="外部資料_335" localSheetId="14">PKC!#REF!</definedName>
    <definedName name="外部資料_335" localSheetId="7">公司債!#REF!</definedName>
    <definedName name="外部資料_335" localSheetId="0">基本設定!#REF!</definedName>
    <definedName name="外部資料_335" localSheetId="4">評比系統!#REF!</definedName>
    <definedName name="外部資料_3351" localSheetId="2">紅綠燈!#REF!</definedName>
    <definedName name="外部資料_3352" localSheetId="2">紅綠燈!#REF!</definedName>
    <definedName name="外部資料_3353" localSheetId="2">紅綠燈!#REF!</definedName>
    <definedName name="外部資料_3355" localSheetId="2">紅綠燈!#REF!</definedName>
    <definedName name="外部資料_3356" localSheetId="2">紅綠燈!#REF!</definedName>
    <definedName name="外部資料_3357" localSheetId="2">紅綠燈!#REF!</definedName>
    <definedName name="外部資料_3359" localSheetId="2">紅綠燈!#REF!</definedName>
    <definedName name="外部資料_336" localSheetId="12">PKA!#REF!</definedName>
    <definedName name="外部資料_336" localSheetId="13">PKB!#REF!</definedName>
    <definedName name="外部資料_336" localSheetId="14">PKC!#REF!</definedName>
    <definedName name="外部資料_336" localSheetId="7">公司債!#REF!</definedName>
    <definedName name="外部資料_336" localSheetId="0">基本設定!#REF!</definedName>
    <definedName name="外部資料_336" localSheetId="4">評比系統!#REF!</definedName>
    <definedName name="外部資料_3360" localSheetId="2">紅綠燈!#REF!</definedName>
    <definedName name="外部資料_3361" localSheetId="2">紅綠燈!#REF!</definedName>
    <definedName name="外部資料_3363" localSheetId="2">紅綠燈!#REF!</definedName>
    <definedName name="外部資料_3364" localSheetId="2">紅綠燈!#REF!</definedName>
    <definedName name="外部資料_3365" localSheetId="2">紅綠燈!#REF!</definedName>
    <definedName name="外部資料_3367" localSheetId="2">紅綠燈!#REF!</definedName>
    <definedName name="外部資料_3368" localSheetId="2">紅綠燈!#REF!</definedName>
    <definedName name="外部資料_3369" localSheetId="2">紅綠燈!#REF!</definedName>
    <definedName name="外部資料_337" localSheetId="12">PKA!#REF!</definedName>
    <definedName name="外部資料_337" localSheetId="13">PKB!#REF!</definedName>
    <definedName name="外部資料_337" localSheetId="14">PKC!#REF!</definedName>
    <definedName name="外部資料_337" localSheetId="7">公司債!#REF!</definedName>
    <definedName name="外部資料_337" localSheetId="0">基本設定!#REF!</definedName>
    <definedName name="外部資料_337" localSheetId="4">評比系統!#REF!</definedName>
    <definedName name="外部資料_3371" localSheetId="2">紅綠燈!#REF!</definedName>
    <definedName name="外部資料_3372" localSheetId="2">紅綠燈!#REF!</definedName>
    <definedName name="外部資料_3373" localSheetId="2">紅綠燈!#REF!</definedName>
    <definedName name="外部資料_3375" localSheetId="2">紅綠燈!#REF!</definedName>
    <definedName name="外部資料_3376" localSheetId="2">紅綠燈!#REF!</definedName>
    <definedName name="外部資料_3377" localSheetId="2">紅綠燈!#REF!</definedName>
    <definedName name="外部資料_3379" localSheetId="2">紅綠燈!#REF!</definedName>
    <definedName name="外部資料_338" localSheetId="12">PKA!#REF!</definedName>
    <definedName name="外部資料_338" localSheetId="13">PKB!#REF!</definedName>
    <definedName name="外部資料_338" localSheetId="14">PKC!#REF!</definedName>
    <definedName name="外部資料_338" localSheetId="7">公司債!#REF!</definedName>
    <definedName name="外部資料_338" localSheetId="0">基本設定!#REF!</definedName>
    <definedName name="外部資料_338" localSheetId="4">評比系統!#REF!</definedName>
    <definedName name="外部資料_3380" localSheetId="2">紅綠燈!#REF!</definedName>
    <definedName name="外部資料_3381" localSheetId="2">紅綠燈!#REF!</definedName>
    <definedName name="外部資料_3383" localSheetId="2">紅綠燈!#REF!</definedName>
    <definedName name="外部資料_3384" localSheetId="2">紅綠燈!#REF!</definedName>
    <definedName name="外部資料_3385" localSheetId="2">紅綠燈!#REF!</definedName>
    <definedName name="外部資料_3387" localSheetId="2">紅綠燈!#REF!</definedName>
    <definedName name="外部資料_3388" localSheetId="2">紅綠燈!#REF!</definedName>
    <definedName name="外部資料_3389" localSheetId="2">紅綠燈!#REF!</definedName>
    <definedName name="外部資料_339" localSheetId="12">PKA!#REF!</definedName>
    <definedName name="外部資料_339" localSheetId="13">PKB!#REF!</definedName>
    <definedName name="外部資料_339" localSheetId="14">PKC!#REF!</definedName>
    <definedName name="外部資料_339" localSheetId="7">公司債!#REF!</definedName>
    <definedName name="外部資料_339" localSheetId="0">基本設定!#REF!</definedName>
    <definedName name="外部資料_339" localSheetId="4">評比系統!#REF!</definedName>
    <definedName name="外部資料_3391" localSheetId="2">紅綠燈!#REF!</definedName>
    <definedName name="外部資料_3392" localSheetId="2">紅綠燈!#REF!</definedName>
    <definedName name="外部資料_3393" localSheetId="2">紅綠燈!#REF!</definedName>
    <definedName name="外部資料_3395" localSheetId="2">紅綠燈!#REF!</definedName>
    <definedName name="外部資料_3396" localSheetId="2">紅綠燈!#REF!</definedName>
    <definedName name="外部資料_3397" localSheetId="2">紅綠燈!#REF!</definedName>
    <definedName name="外部資料_3399" localSheetId="2">紅綠燈!#REF!</definedName>
    <definedName name="外部資料_34" localSheetId="12">PKA!#REF!</definedName>
    <definedName name="外部資料_34" localSheetId="13">PKB!#REF!</definedName>
    <definedName name="外部資料_34" localSheetId="14">PKC!#REF!</definedName>
    <definedName name="外部資料_34" localSheetId="7">公司債!#REF!</definedName>
    <definedName name="外部資料_34" localSheetId="1">季財報!#REF!</definedName>
    <definedName name="外部資料_34" localSheetId="2">紅綠燈!#REF!</definedName>
    <definedName name="外部資料_34" localSheetId="0">基本設定!#REF!</definedName>
    <definedName name="外部資料_34" localSheetId="4">評比系統!#REF!</definedName>
    <definedName name="外部資料_340" localSheetId="12">PKA!#REF!</definedName>
    <definedName name="外部資料_340" localSheetId="13">PKB!#REF!</definedName>
    <definedName name="外部資料_340" localSheetId="14">PKC!#REF!</definedName>
    <definedName name="外部資料_340" localSheetId="7">公司債!#REF!</definedName>
    <definedName name="外部資料_340" localSheetId="0">基本設定!#REF!</definedName>
    <definedName name="外部資料_340" localSheetId="4">評比系統!#REF!</definedName>
    <definedName name="外部資料_3400" localSheetId="2">紅綠燈!#REF!</definedName>
    <definedName name="外部資料_3401" localSheetId="2">紅綠燈!#REF!</definedName>
    <definedName name="外部資料_3403" localSheetId="2">紅綠燈!#REF!</definedName>
    <definedName name="外部資料_3404" localSheetId="2">紅綠燈!#REF!</definedName>
    <definedName name="外部資料_3405" localSheetId="2">紅綠燈!#REF!</definedName>
    <definedName name="外部資料_3407" localSheetId="2">紅綠燈!#REF!</definedName>
    <definedName name="外部資料_3408" localSheetId="2">紅綠燈!#REF!</definedName>
    <definedName name="外部資料_3409" localSheetId="2">紅綠燈!#REF!</definedName>
    <definedName name="外部資料_341" localSheetId="12">PKA!#REF!</definedName>
    <definedName name="外部資料_341" localSheetId="13">PKB!#REF!</definedName>
    <definedName name="外部資料_341" localSheetId="14">PKC!#REF!</definedName>
    <definedName name="外部資料_341" localSheetId="7">公司債!#REF!</definedName>
    <definedName name="外部資料_341" localSheetId="0">基本設定!#REF!</definedName>
    <definedName name="外部資料_341" localSheetId="4">評比系統!#REF!</definedName>
    <definedName name="外部資料_3411" localSheetId="2">紅綠燈!#REF!</definedName>
    <definedName name="外部資料_3412" localSheetId="2">紅綠燈!#REF!</definedName>
    <definedName name="外部資料_3413" localSheetId="2">紅綠燈!#REF!</definedName>
    <definedName name="外部資料_3415" localSheetId="2">紅綠燈!#REF!</definedName>
    <definedName name="外部資料_3416" localSheetId="2">紅綠燈!#REF!</definedName>
    <definedName name="外部資料_3417" localSheetId="2">紅綠燈!#REF!</definedName>
    <definedName name="外部資料_3419" localSheetId="2">紅綠燈!#REF!</definedName>
    <definedName name="外部資料_342" localSheetId="12">PKA!#REF!</definedName>
    <definedName name="外部資料_342" localSheetId="13">PKB!#REF!</definedName>
    <definedName name="外部資料_342" localSheetId="14">PKC!#REF!</definedName>
    <definedName name="外部資料_342" localSheetId="7">公司債!#REF!</definedName>
    <definedName name="外部資料_342" localSheetId="0">基本設定!#REF!</definedName>
    <definedName name="外部資料_342" localSheetId="4">評比系統!#REF!</definedName>
    <definedName name="外部資料_3420" localSheetId="2">紅綠燈!#REF!</definedName>
    <definedName name="外部資料_3421" localSheetId="2">紅綠燈!#REF!</definedName>
    <definedName name="外部資料_3423" localSheetId="2">紅綠燈!#REF!</definedName>
    <definedName name="外部資料_3424" localSheetId="2">紅綠燈!#REF!</definedName>
    <definedName name="外部資料_3425" localSheetId="2">紅綠燈!#REF!</definedName>
    <definedName name="外部資料_3427" localSheetId="2">紅綠燈!#REF!</definedName>
    <definedName name="外部資料_3428" localSheetId="2">紅綠燈!#REF!</definedName>
    <definedName name="外部資料_3429" localSheetId="2">紅綠燈!#REF!</definedName>
    <definedName name="外部資料_343" localSheetId="12">PKA!#REF!</definedName>
    <definedName name="外部資料_343" localSheetId="13">PKB!#REF!</definedName>
    <definedName name="外部資料_343" localSheetId="14">PKC!#REF!</definedName>
    <definedName name="外部資料_343" localSheetId="7">公司債!#REF!</definedName>
    <definedName name="外部資料_343" localSheetId="0">基本設定!#REF!</definedName>
    <definedName name="外部資料_343" localSheetId="4">評比系統!#REF!</definedName>
    <definedName name="外部資料_3431" localSheetId="2">紅綠燈!#REF!</definedName>
    <definedName name="外部資料_3432" localSheetId="2">紅綠燈!#REF!</definedName>
    <definedName name="外部資料_3433" localSheetId="2">紅綠燈!#REF!</definedName>
    <definedName name="外部資料_3435" localSheetId="2">紅綠燈!#REF!</definedName>
    <definedName name="外部資料_3436" localSheetId="2">紅綠燈!#REF!</definedName>
    <definedName name="外部資料_3437" localSheetId="2">紅綠燈!#REF!</definedName>
    <definedName name="外部資料_3439" localSheetId="2">紅綠燈!#REF!</definedName>
    <definedName name="外部資料_344" localSheetId="12">PKA!#REF!</definedName>
    <definedName name="外部資料_344" localSheetId="13">PKB!#REF!</definedName>
    <definedName name="外部資料_344" localSheetId="14">PKC!#REF!</definedName>
    <definedName name="外部資料_344" localSheetId="7">公司債!#REF!</definedName>
    <definedName name="外部資料_344" localSheetId="0">基本設定!#REF!</definedName>
    <definedName name="外部資料_344" localSheetId="4">評比系統!#REF!</definedName>
    <definedName name="外部資料_3440" localSheetId="2">紅綠燈!#REF!</definedName>
    <definedName name="外部資料_3441" localSheetId="2">紅綠燈!#REF!</definedName>
    <definedName name="外部資料_3443" localSheetId="2">紅綠燈!#REF!</definedName>
    <definedName name="外部資料_3444" localSheetId="2">紅綠燈!#REF!</definedName>
    <definedName name="外部資料_3445" localSheetId="2">紅綠燈!#REF!</definedName>
    <definedName name="外部資料_3447" localSheetId="2">紅綠燈!#REF!</definedName>
    <definedName name="外部資料_3448" localSheetId="2">紅綠燈!#REF!</definedName>
    <definedName name="外部資料_3449" localSheetId="2">紅綠燈!#REF!</definedName>
    <definedName name="外部資料_345" localSheetId="12">PKA!#REF!</definedName>
    <definedName name="外部資料_345" localSheetId="13">PKB!#REF!</definedName>
    <definedName name="外部資料_345" localSheetId="14">PKC!#REF!</definedName>
    <definedName name="外部資料_345" localSheetId="7">公司債!#REF!</definedName>
    <definedName name="外部資料_345" localSheetId="0">基本設定!#REF!</definedName>
    <definedName name="外部資料_345" localSheetId="4">評比系統!#REF!</definedName>
    <definedName name="外部資料_3451" localSheetId="2">紅綠燈!#REF!</definedName>
    <definedName name="外部資料_3452" localSheetId="2">紅綠燈!#REF!</definedName>
    <definedName name="外部資料_3453" localSheetId="2">紅綠燈!#REF!</definedName>
    <definedName name="外部資料_3455" localSheetId="2">紅綠燈!#REF!</definedName>
    <definedName name="外部資料_3456" localSheetId="2">紅綠燈!#REF!</definedName>
    <definedName name="外部資料_3457" localSheetId="2">紅綠燈!#REF!</definedName>
    <definedName name="外部資料_3459" localSheetId="2">紅綠燈!#REF!</definedName>
    <definedName name="外部資料_346" localSheetId="12">PKA!#REF!</definedName>
    <definedName name="外部資料_346" localSheetId="13">PKB!#REF!</definedName>
    <definedName name="外部資料_346" localSheetId="14">PKC!#REF!</definedName>
    <definedName name="外部資料_346" localSheetId="7">公司債!#REF!</definedName>
    <definedName name="外部資料_346" localSheetId="0">基本設定!#REF!</definedName>
    <definedName name="外部資料_346" localSheetId="4">評比系統!#REF!</definedName>
    <definedName name="外部資料_3460" localSheetId="2">紅綠燈!#REF!</definedName>
    <definedName name="外部資料_3461" localSheetId="2">紅綠燈!#REF!</definedName>
    <definedName name="外部資料_3463" localSheetId="2">紅綠燈!#REF!</definedName>
    <definedName name="外部資料_3464" localSheetId="2">紅綠燈!#REF!</definedName>
    <definedName name="外部資料_3465" localSheetId="2">紅綠燈!#REF!</definedName>
    <definedName name="外部資料_3467" localSheetId="2">紅綠燈!#REF!</definedName>
    <definedName name="外部資料_3468" localSheetId="2">紅綠燈!#REF!</definedName>
    <definedName name="外部資料_3469" localSheetId="2">紅綠燈!#REF!</definedName>
    <definedName name="外部資料_347" localSheetId="12">PKA!#REF!</definedName>
    <definedName name="外部資料_347" localSheetId="13">PKB!#REF!</definedName>
    <definedName name="外部資料_347" localSheetId="14">PKC!#REF!</definedName>
    <definedName name="外部資料_347" localSheetId="7">公司債!#REF!</definedName>
    <definedName name="外部資料_347" localSheetId="0">基本設定!#REF!</definedName>
    <definedName name="外部資料_347" localSheetId="4">評比系統!#REF!</definedName>
    <definedName name="外部資料_3471" localSheetId="2">紅綠燈!#REF!</definedName>
    <definedName name="外部資料_3472" localSheetId="2">紅綠燈!#REF!</definedName>
    <definedName name="外部資料_3473" localSheetId="2">紅綠燈!#REF!</definedName>
    <definedName name="外部資料_3475" localSheetId="2">紅綠燈!#REF!</definedName>
    <definedName name="外部資料_3476" localSheetId="2">紅綠燈!#REF!</definedName>
    <definedName name="外部資料_3477" localSheetId="2">紅綠燈!#REF!</definedName>
    <definedName name="外部資料_3479" localSheetId="2">紅綠燈!#REF!</definedName>
    <definedName name="外部資料_348" localSheetId="12">PKA!#REF!</definedName>
    <definedName name="外部資料_348" localSheetId="13">PKB!#REF!</definedName>
    <definedName name="外部資料_348" localSheetId="14">PKC!#REF!</definedName>
    <definedName name="外部資料_348" localSheetId="7">公司債!#REF!</definedName>
    <definedName name="外部資料_348" localSheetId="0">基本設定!#REF!</definedName>
    <definedName name="外部資料_348" localSheetId="4">評比系統!#REF!</definedName>
    <definedName name="外部資料_3480" localSheetId="2">紅綠燈!#REF!</definedName>
    <definedName name="外部資料_3481" localSheetId="2">紅綠燈!#REF!</definedName>
    <definedName name="外部資料_3483" localSheetId="2">紅綠燈!#REF!</definedName>
    <definedName name="外部資料_3484" localSheetId="2">紅綠燈!#REF!</definedName>
    <definedName name="外部資料_3485" localSheetId="2">紅綠燈!#REF!</definedName>
    <definedName name="外部資料_3487" localSheetId="2">紅綠燈!#REF!</definedName>
    <definedName name="外部資料_3488" localSheetId="2">紅綠燈!#REF!</definedName>
    <definedName name="外部資料_3489" localSheetId="2">紅綠燈!#REF!</definedName>
    <definedName name="外部資料_349" localSheetId="12">PKA!#REF!</definedName>
    <definedName name="外部資料_349" localSheetId="13">PKB!#REF!</definedName>
    <definedName name="外部資料_349" localSheetId="14">PKC!#REF!</definedName>
    <definedName name="外部資料_349" localSheetId="7">公司債!#REF!</definedName>
    <definedName name="外部資料_349" localSheetId="0">基本設定!#REF!</definedName>
    <definedName name="外部資料_349" localSheetId="4">評比系統!#REF!</definedName>
    <definedName name="外部資料_3491" localSheetId="2">紅綠燈!#REF!</definedName>
    <definedName name="外部資料_3492" localSheetId="2">紅綠燈!#REF!</definedName>
    <definedName name="外部資料_3493" localSheetId="2">紅綠燈!#REF!</definedName>
    <definedName name="外部資料_3495" localSheetId="2">紅綠燈!#REF!</definedName>
    <definedName name="外部資料_3496" localSheetId="2">紅綠燈!#REF!</definedName>
    <definedName name="外部資料_3497" localSheetId="2">紅綠燈!#REF!</definedName>
    <definedName name="外部資料_3499" localSheetId="2">紅綠燈!#REF!</definedName>
    <definedName name="外部資料_35" localSheetId="12">PKA!#REF!</definedName>
    <definedName name="外部資料_35" localSheetId="13">PKB!#REF!</definedName>
    <definedName name="外部資料_35" localSheetId="14">PKC!#REF!</definedName>
    <definedName name="外部資料_35" localSheetId="7">公司債!#REF!</definedName>
    <definedName name="外部資料_35" localSheetId="2">紅綠燈!#REF!</definedName>
    <definedName name="外部資料_35" localSheetId="0">基本設定!#REF!</definedName>
    <definedName name="外部資料_35" localSheetId="4">評比系統!#REF!</definedName>
    <definedName name="外部資料_35" localSheetId="5">搶先報!#REF!</definedName>
    <definedName name="外部資料_350" localSheetId="12">PKA!#REF!</definedName>
    <definedName name="外部資料_350" localSheetId="13">PKB!#REF!</definedName>
    <definedName name="外部資料_350" localSheetId="14">PKC!#REF!</definedName>
    <definedName name="外部資料_350" localSheetId="7">公司債!#REF!</definedName>
    <definedName name="外部資料_350" localSheetId="0">基本設定!#REF!</definedName>
    <definedName name="外部資料_350" localSheetId="4">評比系統!#REF!</definedName>
    <definedName name="外部資料_3500" localSheetId="2">紅綠燈!#REF!</definedName>
    <definedName name="外部資料_3501" localSheetId="2">紅綠燈!#REF!</definedName>
    <definedName name="外部資料_3503" localSheetId="2">紅綠燈!#REF!</definedName>
    <definedName name="外部資料_3504" localSheetId="2">紅綠燈!#REF!</definedName>
    <definedName name="外部資料_3505" localSheetId="2">紅綠燈!#REF!</definedName>
    <definedName name="外部資料_3507" localSheetId="2">紅綠燈!#REF!</definedName>
    <definedName name="外部資料_3508" localSheetId="2">紅綠燈!#REF!</definedName>
    <definedName name="外部資料_3509" localSheetId="2">紅綠燈!#REF!</definedName>
    <definedName name="外部資料_351" localSheetId="12">PKA!#REF!</definedName>
    <definedName name="外部資料_351" localSheetId="13">PKB!#REF!</definedName>
    <definedName name="外部資料_351" localSheetId="14">PKC!#REF!</definedName>
    <definedName name="外部資料_351" localSheetId="7">公司債!#REF!</definedName>
    <definedName name="外部資料_351" localSheetId="0">基本設定!#REF!</definedName>
    <definedName name="外部資料_351" localSheetId="4">評比系統!#REF!</definedName>
    <definedName name="外部資料_3511" localSheetId="2">紅綠燈!#REF!</definedName>
    <definedName name="外部資料_3512" localSheetId="2">紅綠燈!#REF!</definedName>
    <definedName name="外部資料_3513" localSheetId="2">紅綠燈!#REF!</definedName>
    <definedName name="外部資料_3515" localSheetId="2">紅綠燈!#REF!</definedName>
    <definedName name="外部資料_3516" localSheetId="2">紅綠燈!#REF!</definedName>
    <definedName name="外部資料_3517" localSheetId="2">紅綠燈!#REF!</definedName>
    <definedName name="外部資料_3519" localSheetId="2">紅綠燈!#REF!</definedName>
    <definedName name="外部資料_352" localSheetId="12">PKA!#REF!</definedName>
    <definedName name="外部資料_352" localSheetId="13">PKB!#REF!</definedName>
    <definedName name="外部資料_352" localSheetId="14">PKC!#REF!</definedName>
    <definedName name="外部資料_352" localSheetId="7">公司債!#REF!</definedName>
    <definedName name="外部資料_352" localSheetId="0">基本設定!#REF!</definedName>
    <definedName name="外部資料_352" localSheetId="4">評比系統!#REF!</definedName>
    <definedName name="外部資料_3520" localSheetId="2">紅綠燈!#REF!</definedName>
    <definedName name="外部資料_3521" localSheetId="2">紅綠燈!#REF!</definedName>
    <definedName name="外部資料_3523" localSheetId="2">紅綠燈!#REF!</definedName>
    <definedName name="外部資料_3524" localSheetId="2">紅綠燈!#REF!</definedName>
    <definedName name="外部資料_3525" localSheetId="2">紅綠燈!#REF!</definedName>
    <definedName name="外部資料_3527" localSheetId="2">紅綠燈!#REF!</definedName>
    <definedName name="外部資料_3528" localSheetId="2">紅綠燈!#REF!</definedName>
    <definedName name="外部資料_3529" localSheetId="2">紅綠燈!#REF!</definedName>
    <definedName name="外部資料_353" localSheetId="12">PKA!#REF!</definedName>
    <definedName name="外部資料_353" localSheetId="13">PKB!#REF!</definedName>
    <definedName name="外部資料_353" localSheetId="14">PKC!#REF!</definedName>
    <definedName name="外部資料_353" localSheetId="7">公司債!#REF!</definedName>
    <definedName name="外部資料_353" localSheetId="0">基本設定!#REF!</definedName>
    <definedName name="外部資料_353" localSheetId="4">評比系統!#REF!</definedName>
    <definedName name="外部資料_3531" localSheetId="2">紅綠燈!#REF!</definedName>
    <definedName name="外部資料_3532" localSheetId="2">紅綠燈!#REF!</definedName>
    <definedName name="外部資料_3533" localSheetId="2">紅綠燈!#REF!</definedName>
    <definedName name="外部資料_3535" localSheetId="2">紅綠燈!#REF!</definedName>
    <definedName name="外部資料_3536" localSheetId="2">紅綠燈!#REF!</definedName>
    <definedName name="外部資料_3537" localSheetId="2">紅綠燈!#REF!</definedName>
    <definedName name="外部資料_3539" localSheetId="2">紅綠燈!#REF!</definedName>
    <definedName name="外部資料_354" localSheetId="12">PKA!#REF!</definedName>
    <definedName name="外部資料_354" localSheetId="13">PKB!#REF!</definedName>
    <definedName name="外部資料_354" localSheetId="14">PKC!#REF!</definedName>
    <definedName name="外部資料_354" localSheetId="7">公司債!#REF!</definedName>
    <definedName name="外部資料_354" localSheetId="0">基本設定!#REF!</definedName>
    <definedName name="外部資料_354" localSheetId="4">評比系統!#REF!</definedName>
    <definedName name="外部資料_3540" localSheetId="2">紅綠燈!#REF!</definedName>
    <definedName name="外部資料_3541" localSheetId="2">紅綠燈!#REF!</definedName>
    <definedName name="外部資料_3543" localSheetId="2">紅綠燈!#REF!</definedName>
    <definedName name="外部資料_3544" localSheetId="2">紅綠燈!#REF!</definedName>
    <definedName name="外部資料_3545" localSheetId="2">紅綠燈!#REF!</definedName>
    <definedName name="外部資料_3547" localSheetId="2">紅綠燈!#REF!</definedName>
    <definedName name="外部資料_3548" localSheetId="2">紅綠燈!#REF!</definedName>
    <definedName name="外部資料_3549" localSheetId="2">紅綠燈!#REF!</definedName>
    <definedName name="外部資料_355" localSheetId="12">PKA!#REF!</definedName>
    <definedName name="外部資料_355" localSheetId="13">PKB!#REF!</definedName>
    <definedName name="外部資料_355" localSheetId="14">PKC!#REF!</definedName>
    <definedName name="外部資料_355" localSheetId="7">公司債!#REF!</definedName>
    <definedName name="外部資料_355" localSheetId="0">基本設定!#REF!</definedName>
    <definedName name="外部資料_355" localSheetId="4">評比系統!#REF!</definedName>
    <definedName name="外部資料_3551" localSheetId="2">紅綠燈!#REF!</definedName>
    <definedName name="外部資料_3552" localSheetId="2">紅綠燈!#REF!</definedName>
    <definedName name="外部資料_3553" localSheetId="2">紅綠燈!#REF!</definedName>
    <definedName name="外部資料_3555" localSheetId="2">紅綠燈!#REF!</definedName>
    <definedName name="外部資料_3556" localSheetId="2">紅綠燈!#REF!</definedName>
    <definedName name="外部資料_3557" localSheetId="2">紅綠燈!#REF!</definedName>
    <definedName name="外部資料_3559" localSheetId="2">紅綠燈!#REF!</definedName>
    <definedName name="外部資料_356" localSheetId="12">PKA!#REF!</definedName>
    <definedName name="外部資料_356" localSheetId="13">PKB!#REF!</definedName>
    <definedName name="外部資料_356" localSheetId="14">PKC!#REF!</definedName>
    <definedName name="外部資料_356" localSheetId="7">公司債!#REF!</definedName>
    <definedName name="外部資料_356" localSheetId="0">基本設定!#REF!</definedName>
    <definedName name="外部資料_356" localSheetId="4">評比系統!#REF!</definedName>
    <definedName name="外部資料_3560" localSheetId="2">紅綠燈!#REF!</definedName>
    <definedName name="外部資料_3561" localSheetId="2">紅綠燈!#REF!</definedName>
    <definedName name="外部資料_3563" localSheetId="2">紅綠燈!#REF!</definedName>
    <definedName name="外部資料_3564" localSheetId="2">紅綠燈!#REF!</definedName>
    <definedName name="外部資料_3565" localSheetId="2">紅綠燈!#REF!</definedName>
    <definedName name="外部資料_3567" localSheetId="2">紅綠燈!#REF!</definedName>
    <definedName name="外部資料_3568" localSheetId="2">紅綠燈!#REF!</definedName>
    <definedName name="外部資料_3569" localSheetId="2">紅綠燈!#REF!</definedName>
    <definedName name="外部資料_357" localSheetId="12">PKA!#REF!</definedName>
    <definedName name="外部資料_357" localSheetId="13">PKB!#REF!</definedName>
    <definedName name="外部資料_357" localSheetId="14">PKC!#REF!</definedName>
    <definedName name="外部資料_357" localSheetId="7">公司債!#REF!</definedName>
    <definedName name="外部資料_357" localSheetId="0">基本設定!#REF!</definedName>
    <definedName name="外部資料_357" localSheetId="4">評比系統!#REF!</definedName>
    <definedName name="外部資料_3571" localSheetId="2">紅綠燈!#REF!</definedName>
    <definedName name="外部資料_3572" localSheetId="2">紅綠燈!#REF!</definedName>
    <definedName name="外部資料_3573" localSheetId="2">紅綠燈!#REF!</definedName>
    <definedName name="外部資料_3575" localSheetId="2">紅綠燈!#REF!</definedName>
    <definedName name="外部資料_3576" localSheetId="2">紅綠燈!#REF!</definedName>
    <definedName name="外部資料_3577" localSheetId="2">紅綠燈!#REF!</definedName>
    <definedName name="外部資料_3579" localSheetId="2">紅綠燈!#REF!</definedName>
    <definedName name="外部資料_358" localSheetId="12">PKA!#REF!</definedName>
    <definedName name="外部資料_358" localSheetId="13">PKB!#REF!</definedName>
    <definedName name="外部資料_358" localSheetId="14">PKC!#REF!</definedName>
    <definedName name="外部資料_358" localSheetId="7">公司債!#REF!</definedName>
    <definedName name="外部資料_358" localSheetId="0">基本設定!#REF!</definedName>
    <definedName name="外部資料_358" localSheetId="4">評比系統!#REF!</definedName>
    <definedName name="外部資料_3580" localSheetId="2">紅綠燈!#REF!</definedName>
    <definedName name="外部資料_3581" localSheetId="2">紅綠燈!#REF!</definedName>
    <definedName name="外部資料_3583" localSheetId="2">紅綠燈!#REF!</definedName>
    <definedName name="外部資料_3584" localSheetId="2">紅綠燈!#REF!</definedName>
    <definedName name="外部資料_3585" localSheetId="2">紅綠燈!#REF!</definedName>
    <definedName name="外部資料_3587" localSheetId="2">紅綠燈!#REF!</definedName>
    <definedName name="外部資料_3588" localSheetId="2">紅綠燈!#REF!</definedName>
    <definedName name="外部資料_3589" localSheetId="2">紅綠燈!#REF!</definedName>
    <definedName name="外部資料_359" localSheetId="12">PKA!#REF!</definedName>
    <definedName name="外部資料_359" localSheetId="13">PKB!#REF!</definedName>
    <definedName name="外部資料_359" localSheetId="14">PKC!#REF!</definedName>
    <definedName name="外部資料_359" localSheetId="7">公司債!#REF!</definedName>
    <definedName name="外部資料_359" localSheetId="0">基本設定!#REF!</definedName>
    <definedName name="外部資料_359" localSheetId="4">評比系統!#REF!</definedName>
    <definedName name="外部資料_3591" localSheetId="2">紅綠燈!#REF!</definedName>
    <definedName name="外部資料_3592" localSheetId="2">紅綠燈!#REF!</definedName>
    <definedName name="外部資料_3593" localSheetId="2">紅綠燈!#REF!</definedName>
    <definedName name="外部資料_3595" localSheetId="2">紅綠燈!#REF!</definedName>
    <definedName name="外部資料_3596" localSheetId="2">紅綠燈!#REF!</definedName>
    <definedName name="外部資料_3597" localSheetId="2">紅綠燈!#REF!</definedName>
    <definedName name="外部資料_3599" localSheetId="2">紅綠燈!#REF!</definedName>
    <definedName name="外部資料_36" localSheetId="12">PKA!#REF!</definedName>
    <definedName name="外部資料_36" localSheetId="13">PKB!#REF!</definedName>
    <definedName name="外部資料_36" localSheetId="14">PKC!#REF!</definedName>
    <definedName name="外部資料_36" localSheetId="7">公司債!#REF!</definedName>
    <definedName name="外部資料_36" localSheetId="1">季財報!#REF!</definedName>
    <definedName name="外部資料_36" localSheetId="2">紅綠燈!#REF!</definedName>
    <definedName name="外部資料_36" localSheetId="0">基本設定!#REF!</definedName>
    <definedName name="外部資料_36" localSheetId="4">評比系統!#REF!</definedName>
    <definedName name="外部資料_360" localSheetId="12">PKA!#REF!</definedName>
    <definedName name="外部資料_360" localSheetId="13">PKB!#REF!</definedName>
    <definedName name="外部資料_360" localSheetId="14">PKC!#REF!</definedName>
    <definedName name="外部資料_360" localSheetId="7">公司債!#REF!</definedName>
    <definedName name="外部資料_360" localSheetId="0">基本設定!#REF!</definedName>
    <definedName name="外部資料_360" localSheetId="4">評比系統!#REF!</definedName>
    <definedName name="外部資料_3600" localSheetId="2">紅綠燈!#REF!</definedName>
    <definedName name="外部資料_3601" localSheetId="2">紅綠燈!#REF!</definedName>
    <definedName name="外部資料_3603" localSheetId="2">紅綠燈!#REF!</definedName>
    <definedName name="外部資料_3604" localSheetId="2">紅綠燈!#REF!</definedName>
    <definedName name="外部資料_3605" localSheetId="2">紅綠燈!#REF!</definedName>
    <definedName name="外部資料_3607" localSheetId="2">紅綠燈!#REF!</definedName>
    <definedName name="外部資料_3608" localSheetId="2">紅綠燈!#REF!</definedName>
    <definedName name="外部資料_3609" localSheetId="2">紅綠燈!#REF!</definedName>
    <definedName name="外部資料_361" localSheetId="12">PKA!#REF!</definedName>
    <definedName name="外部資料_361" localSheetId="13">PKB!#REF!</definedName>
    <definedName name="外部資料_361" localSheetId="14">PKC!#REF!</definedName>
    <definedName name="外部資料_361" localSheetId="7">公司債!#REF!</definedName>
    <definedName name="外部資料_361" localSheetId="0">基本設定!#REF!</definedName>
    <definedName name="外部資料_361" localSheetId="4">評比系統!#REF!</definedName>
    <definedName name="外部資料_3611" localSheetId="2">紅綠燈!#REF!</definedName>
    <definedName name="外部資料_3612" localSheetId="2">紅綠燈!#REF!</definedName>
    <definedName name="外部資料_3613" localSheetId="2">紅綠燈!#REF!</definedName>
    <definedName name="外部資料_3615" localSheetId="2">紅綠燈!#REF!</definedName>
    <definedName name="外部資料_3616" localSheetId="2">紅綠燈!#REF!</definedName>
    <definedName name="外部資料_3617" localSheetId="2">紅綠燈!#REF!</definedName>
    <definedName name="外部資料_3619" localSheetId="2">紅綠燈!#REF!</definedName>
    <definedName name="外部資料_362" localSheetId="12">PKA!#REF!</definedName>
    <definedName name="外部資料_362" localSheetId="13">PKB!#REF!</definedName>
    <definedName name="外部資料_362" localSheetId="14">PKC!#REF!</definedName>
    <definedName name="外部資料_362" localSheetId="7">公司債!#REF!</definedName>
    <definedName name="外部資料_362" localSheetId="0">基本設定!#REF!</definedName>
    <definedName name="外部資料_362" localSheetId="4">評比系統!#REF!</definedName>
    <definedName name="外部資料_3620" localSheetId="2">紅綠燈!#REF!</definedName>
    <definedName name="外部資料_3621" localSheetId="2">紅綠燈!#REF!</definedName>
    <definedName name="外部資料_3623" localSheetId="2">紅綠燈!#REF!</definedName>
    <definedName name="外部資料_3624" localSheetId="2">紅綠燈!#REF!</definedName>
    <definedName name="外部資料_3625" localSheetId="2">紅綠燈!#REF!</definedName>
    <definedName name="外部資料_3627" localSheetId="2">紅綠燈!#REF!</definedName>
    <definedName name="外部資料_3628" localSheetId="2">紅綠燈!#REF!</definedName>
    <definedName name="外部資料_3629" localSheetId="2">紅綠燈!#REF!</definedName>
    <definedName name="外部資料_363" localSheetId="12">PKA!#REF!</definedName>
    <definedName name="外部資料_363" localSheetId="13">PKB!#REF!</definedName>
    <definedName name="外部資料_363" localSheetId="14">PKC!#REF!</definedName>
    <definedName name="外部資料_363" localSheetId="7">公司債!#REF!</definedName>
    <definedName name="外部資料_363" localSheetId="0">基本設定!#REF!</definedName>
    <definedName name="外部資料_363" localSheetId="4">評比系統!#REF!</definedName>
    <definedName name="外部資料_3631" localSheetId="2">紅綠燈!#REF!</definedName>
    <definedName name="外部資料_3632" localSheetId="2">紅綠燈!#REF!</definedName>
    <definedName name="外部資料_3633" localSheetId="2">紅綠燈!#REF!</definedName>
    <definedName name="外部資料_3635" localSheetId="2">紅綠燈!#REF!</definedName>
    <definedName name="外部資料_3636" localSheetId="2">紅綠燈!#REF!</definedName>
    <definedName name="外部資料_3638" localSheetId="2">紅綠燈!#REF!</definedName>
    <definedName name="外部資料_3639" localSheetId="2">紅綠燈!#REF!</definedName>
    <definedName name="外部資料_364" localSheetId="12">PKA!#REF!</definedName>
    <definedName name="外部資料_364" localSheetId="13">PKB!#REF!</definedName>
    <definedName name="外部資料_364" localSheetId="14">PKC!#REF!</definedName>
    <definedName name="外部資料_364" localSheetId="7">公司債!#REF!</definedName>
    <definedName name="外部資料_364" localSheetId="0">基本設定!#REF!</definedName>
    <definedName name="外部資料_364" localSheetId="4">評比系統!#REF!</definedName>
    <definedName name="外部資料_3640" localSheetId="2">紅綠燈!#REF!</definedName>
    <definedName name="外部資料_3642" localSheetId="2">紅綠燈!#REF!</definedName>
    <definedName name="外部資料_3643" localSheetId="2">紅綠燈!#REF!</definedName>
    <definedName name="外部資料_3644" localSheetId="2">紅綠燈!#REF!</definedName>
    <definedName name="外部資料_3646" localSheetId="2">紅綠燈!#REF!</definedName>
    <definedName name="外部資料_3647" localSheetId="2">紅綠燈!#REF!</definedName>
    <definedName name="外部資料_3648" localSheetId="2">紅綠燈!#REF!</definedName>
    <definedName name="外部資料_365" localSheetId="12">PKA!#REF!</definedName>
    <definedName name="外部資料_365" localSheetId="13">PKB!#REF!</definedName>
    <definedName name="外部資料_365" localSheetId="14">PKC!#REF!</definedName>
    <definedName name="外部資料_365" localSheetId="7">公司債!#REF!</definedName>
    <definedName name="外部資料_365" localSheetId="0">基本設定!#REF!</definedName>
    <definedName name="外部資料_365" localSheetId="4">評比系統!#REF!</definedName>
    <definedName name="外部資料_3650" localSheetId="2">紅綠燈!#REF!</definedName>
    <definedName name="外部資料_3651" localSheetId="2">紅綠燈!#REF!</definedName>
    <definedName name="外部資料_3652" localSheetId="2">紅綠燈!#REF!</definedName>
    <definedName name="外部資料_3654" localSheetId="2">紅綠燈!#REF!</definedName>
    <definedName name="外部資料_3655" localSheetId="2">紅綠燈!#REF!</definedName>
    <definedName name="外部資料_3656" localSheetId="2">紅綠燈!#REF!</definedName>
    <definedName name="外部資料_3658" localSheetId="2">紅綠燈!#REF!</definedName>
    <definedName name="外部資料_3659" localSheetId="2">紅綠燈!#REF!</definedName>
    <definedName name="外部資料_366" localSheetId="12">PKA!#REF!</definedName>
    <definedName name="外部資料_366" localSheetId="13">PKB!#REF!</definedName>
    <definedName name="外部資料_366" localSheetId="14">PKC!#REF!</definedName>
    <definedName name="外部資料_366" localSheetId="7">公司債!#REF!</definedName>
    <definedName name="外部資料_366" localSheetId="0">基本設定!#REF!</definedName>
    <definedName name="外部資料_366" localSheetId="4">評比系統!#REF!</definedName>
    <definedName name="外部資料_3660" localSheetId="2">紅綠燈!#REF!</definedName>
    <definedName name="外部資料_3662" localSheetId="2">紅綠燈!#REF!</definedName>
    <definedName name="外部資料_3663" localSheetId="2">紅綠燈!#REF!</definedName>
    <definedName name="外部資料_3664" localSheetId="2">紅綠燈!#REF!</definedName>
    <definedName name="外部資料_3666" localSheetId="2">紅綠燈!#REF!</definedName>
    <definedName name="外部資料_3667" localSheetId="2">紅綠燈!#REF!</definedName>
    <definedName name="外部資料_3668" localSheetId="2">紅綠燈!#REF!</definedName>
    <definedName name="外部資料_367" localSheetId="12">PKA!#REF!</definedName>
    <definedName name="外部資料_367" localSheetId="13">PKB!#REF!</definedName>
    <definedName name="外部資料_367" localSheetId="14">PKC!#REF!</definedName>
    <definedName name="外部資料_367" localSheetId="7">公司債!#REF!</definedName>
    <definedName name="外部資料_367" localSheetId="0">基本設定!#REF!</definedName>
    <definedName name="外部資料_367" localSheetId="4">評比系統!#REF!</definedName>
    <definedName name="外部資料_3670" localSheetId="2">紅綠燈!#REF!</definedName>
    <definedName name="外部資料_3671" localSheetId="2">紅綠燈!#REF!</definedName>
    <definedName name="外部資料_3673" localSheetId="2">紅綠燈!#REF!</definedName>
    <definedName name="外部資料_3674" localSheetId="2">紅綠燈!#REF!</definedName>
    <definedName name="外部資料_3675" localSheetId="2">紅綠燈!#REF!</definedName>
    <definedName name="外部資料_3677" localSheetId="2">紅綠燈!#REF!</definedName>
    <definedName name="外部資料_3678" localSheetId="2">紅綠燈!#REF!</definedName>
    <definedName name="外部資料_3679" localSheetId="2">紅綠燈!#REF!</definedName>
    <definedName name="外部資料_368" localSheetId="12">PKA!#REF!</definedName>
    <definedName name="外部資料_368" localSheetId="13">PKB!#REF!</definedName>
    <definedName name="外部資料_368" localSheetId="14">PKC!#REF!</definedName>
    <definedName name="外部資料_368" localSheetId="7">公司債!#REF!</definedName>
    <definedName name="外部資料_368" localSheetId="0">基本設定!#REF!</definedName>
    <definedName name="外部資料_368" localSheetId="4">評比系統!#REF!</definedName>
    <definedName name="外部資料_3681" localSheetId="2">紅綠燈!#REF!</definedName>
    <definedName name="外部資料_3682" localSheetId="2">紅綠燈!#REF!</definedName>
    <definedName name="外部資料_3685" localSheetId="2">紅綠燈!#REF!</definedName>
    <definedName name="外部資料_3686" localSheetId="2">紅綠燈!#REF!</definedName>
    <definedName name="外部資料_3689" localSheetId="2">紅綠燈!#REF!</definedName>
    <definedName name="外部資料_369" localSheetId="12">PKA!#REF!</definedName>
    <definedName name="外部資料_369" localSheetId="13">PKB!#REF!</definedName>
    <definedName name="外部資料_369" localSheetId="14">PKC!#REF!</definedName>
    <definedName name="外部資料_369" localSheetId="7">公司債!#REF!</definedName>
    <definedName name="外部資料_369" localSheetId="0">基本設定!#REF!</definedName>
    <definedName name="外部資料_369" localSheetId="4">評比系統!#REF!</definedName>
    <definedName name="外部資料_3690" localSheetId="2">紅綠燈!#REF!</definedName>
    <definedName name="外部資料_3693" localSheetId="2">紅綠燈!#REF!</definedName>
    <definedName name="外部資料_3694" localSheetId="2">紅綠燈!#REF!</definedName>
    <definedName name="外部資料_3695" localSheetId="2">紅綠燈!#REF!</definedName>
    <definedName name="外部資料_3697" localSheetId="2">紅綠燈!#REF!</definedName>
    <definedName name="外部資料_3698" localSheetId="2">紅綠燈!#REF!</definedName>
    <definedName name="外部資料_3699" localSheetId="2">紅綠燈!#REF!</definedName>
    <definedName name="外部資料_37" localSheetId="12">PKA!#REF!</definedName>
    <definedName name="外部資料_37" localSheetId="13">PKB!#REF!</definedName>
    <definedName name="外部資料_37" localSheetId="14">PKC!#REF!</definedName>
    <definedName name="外部資料_37" localSheetId="7">公司債!#REF!</definedName>
    <definedName name="外部資料_37" localSheetId="1">季財報!#REF!</definedName>
    <definedName name="外部資料_37" localSheetId="2">紅綠燈!#REF!</definedName>
    <definedName name="外部資料_37" localSheetId="0">基本設定!#REF!</definedName>
    <definedName name="外部資料_37" localSheetId="4">評比系統!#REF!</definedName>
    <definedName name="外部資料_370" localSheetId="12">PKA!#REF!</definedName>
    <definedName name="外部資料_370" localSheetId="13">PKB!#REF!</definedName>
    <definedName name="外部資料_370" localSheetId="14">PKC!#REF!</definedName>
    <definedName name="外部資料_370" localSheetId="7">公司債!#REF!</definedName>
    <definedName name="外部資料_370" localSheetId="0">基本設定!#REF!</definedName>
    <definedName name="外部資料_370" localSheetId="4">評比系統!#REF!</definedName>
    <definedName name="外部資料_3701" localSheetId="2">紅綠燈!#REF!</definedName>
    <definedName name="外部資料_3702" localSheetId="2">紅綠燈!#REF!</definedName>
    <definedName name="外部資料_3703" localSheetId="2">紅綠燈!#REF!</definedName>
    <definedName name="外部資料_3705" localSheetId="2">紅綠燈!#REF!</definedName>
    <definedName name="外部資料_3706" localSheetId="2">紅綠燈!#REF!</definedName>
    <definedName name="外部資料_3707" localSheetId="2">紅綠燈!#REF!</definedName>
    <definedName name="外部資料_3709" localSheetId="2">紅綠燈!#REF!</definedName>
    <definedName name="外部資料_371" localSheetId="12">PKA!#REF!</definedName>
    <definedName name="外部資料_371" localSheetId="13">PKB!#REF!</definedName>
    <definedName name="外部資料_371" localSheetId="14">PKC!#REF!</definedName>
    <definedName name="外部資料_371" localSheetId="7">公司債!#REF!</definedName>
    <definedName name="外部資料_371" localSheetId="0">基本設定!#REF!</definedName>
    <definedName name="外部資料_371" localSheetId="4">評比系統!#REF!</definedName>
    <definedName name="外部資料_3710" localSheetId="2">紅綠燈!#REF!</definedName>
    <definedName name="外部資料_3711" localSheetId="2">紅綠燈!#REF!</definedName>
    <definedName name="外部資料_3713" localSheetId="2">紅綠燈!#REF!</definedName>
    <definedName name="外部資料_3714" localSheetId="2">紅綠燈!#REF!</definedName>
    <definedName name="外部資料_3715" localSheetId="2">紅綠燈!#REF!</definedName>
    <definedName name="外部資料_3717" localSheetId="2">紅綠燈!#REF!</definedName>
    <definedName name="外部資料_3718" localSheetId="2">紅綠燈!#REF!</definedName>
    <definedName name="外部資料_3719" localSheetId="2">紅綠燈!#REF!</definedName>
    <definedName name="外部資料_372" localSheetId="12">PKA!#REF!</definedName>
    <definedName name="外部資料_372" localSheetId="13">PKB!#REF!</definedName>
    <definedName name="外部資料_372" localSheetId="14">PKC!#REF!</definedName>
    <definedName name="外部資料_372" localSheetId="7">公司債!#REF!</definedName>
    <definedName name="外部資料_372" localSheetId="0">基本設定!#REF!</definedName>
    <definedName name="外部資料_372" localSheetId="4">評比系統!#REF!</definedName>
    <definedName name="外部資料_3721" localSheetId="2">紅綠燈!#REF!</definedName>
    <definedName name="外部資料_3722" localSheetId="2">紅綠燈!#REF!</definedName>
    <definedName name="外部資料_3723" localSheetId="2">紅綠燈!#REF!</definedName>
    <definedName name="外部資料_3725" localSheetId="2">紅綠燈!#REF!</definedName>
    <definedName name="外部資料_3726" localSheetId="2">紅綠燈!#REF!</definedName>
    <definedName name="外部資料_3727" localSheetId="2">紅綠燈!#REF!</definedName>
    <definedName name="外部資料_3729" localSheetId="2">紅綠燈!#REF!</definedName>
    <definedName name="外部資料_373" localSheetId="12">PKA!#REF!</definedName>
    <definedName name="外部資料_373" localSheetId="13">PKB!#REF!</definedName>
    <definedName name="外部資料_373" localSheetId="14">PKC!#REF!</definedName>
    <definedName name="外部資料_373" localSheetId="7">公司債!#REF!</definedName>
    <definedName name="外部資料_373" localSheetId="0">基本設定!#REF!</definedName>
    <definedName name="外部資料_373" localSheetId="4">評比系統!#REF!</definedName>
    <definedName name="外部資料_3730" localSheetId="2">紅綠燈!#REF!</definedName>
    <definedName name="外部資料_3731" localSheetId="2">紅綠燈!#REF!</definedName>
    <definedName name="外部資料_3733" localSheetId="2">紅綠燈!#REF!</definedName>
    <definedName name="外部資料_3734" localSheetId="2">紅綠燈!#REF!</definedName>
    <definedName name="外部資料_3735" localSheetId="2">紅綠燈!#REF!</definedName>
    <definedName name="外部資料_3737" localSheetId="2">紅綠燈!#REF!</definedName>
    <definedName name="外部資料_3738" localSheetId="2">紅綠燈!#REF!</definedName>
    <definedName name="外部資料_3739" localSheetId="2">紅綠燈!#REF!</definedName>
    <definedName name="外部資料_374" localSheetId="12">PKA!#REF!</definedName>
    <definedName name="外部資料_374" localSheetId="13">PKB!#REF!</definedName>
    <definedName name="外部資料_374" localSheetId="14">PKC!#REF!</definedName>
    <definedName name="外部資料_374" localSheetId="7">公司債!#REF!</definedName>
    <definedName name="外部資料_374" localSheetId="0">基本設定!#REF!</definedName>
    <definedName name="外部資料_374" localSheetId="4">評比系統!#REF!</definedName>
    <definedName name="外部資料_3741" localSheetId="2">紅綠燈!#REF!</definedName>
    <definedName name="外部資料_3742" localSheetId="2">紅綠燈!#REF!</definedName>
    <definedName name="外部資料_3743" localSheetId="2">紅綠燈!#REF!</definedName>
    <definedName name="外部資料_3745" localSheetId="2">紅綠燈!#REF!</definedName>
    <definedName name="外部資料_3746" localSheetId="2">紅綠燈!#REF!</definedName>
    <definedName name="外部資料_3747" localSheetId="2">紅綠燈!#REF!</definedName>
    <definedName name="外部資料_3749" localSheetId="2">紅綠燈!#REF!</definedName>
    <definedName name="外部資料_375" localSheetId="12">PKA!#REF!</definedName>
    <definedName name="外部資料_375" localSheetId="13">PKB!#REF!</definedName>
    <definedName name="外部資料_375" localSheetId="14">PKC!#REF!</definedName>
    <definedName name="外部資料_375" localSheetId="7">公司債!#REF!</definedName>
    <definedName name="外部資料_375" localSheetId="0">基本設定!#REF!</definedName>
    <definedName name="外部資料_375" localSheetId="4">評比系統!#REF!</definedName>
    <definedName name="外部資料_3750" localSheetId="2">紅綠燈!#REF!</definedName>
    <definedName name="外部資料_3751" localSheetId="2">紅綠燈!#REF!</definedName>
    <definedName name="外部資料_3753" localSheetId="2">紅綠燈!#REF!</definedName>
    <definedName name="外部資料_3754" localSheetId="2">紅綠燈!#REF!</definedName>
    <definedName name="外部資料_3755" localSheetId="2">紅綠燈!#REF!</definedName>
    <definedName name="外部資料_3757" localSheetId="2">紅綠燈!#REF!</definedName>
    <definedName name="外部資料_3758" localSheetId="2">紅綠燈!#REF!</definedName>
    <definedName name="外部資料_3759" localSheetId="2">紅綠燈!#REF!</definedName>
    <definedName name="外部資料_376" localSheetId="12">PKA!#REF!</definedName>
    <definedName name="外部資料_376" localSheetId="13">PKB!#REF!</definedName>
    <definedName name="外部資料_376" localSheetId="14">PKC!#REF!</definedName>
    <definedName name="外部資料_376" localSheetId="7">公司債!#REF!</definedName>
    <definedName name="外部資料_376" localSheetId="0">基本設定!#REF!</definedName>
    <definedName name="外部資料_376" localSheetId="4">評比系統!#REF!</definedName>
    <definedName name="外部資料_3761" localSheetId="2">紅綠燈!#REF!</definedName>
    <definedName name="外部資料_3762" localSheetId="2">紅綠燈!#REF!</definedName>
    <definedName name="外部資料_3763" localSheetId="2">紅綠燈!#REF!</definedName>
    <definedName name="外部資料_3765" localSheetId="2">紅綠燈!#REF!</definedName>
    <definedName name="外部資料_3766" localSheetId="2">紅綠燈!#REF!</definedName>
    <definedName name="外部資料_3767" localSheetId="2">紅綠燈!#REF!</definedName>
    <definedName name="外部資料_3769" localSheetId="2">紅綠燈!#REF!</definedName>
    <definedName name="外部資料_377" localSheetId="12">PKA!#REF!</definedName>
    <definedName name="外部資料_377" localSheetId="13">PKB!#REF!</definedName>
    <definedName name="外部資料_377" localSheetId="14">PKC!#REF!</definedName>
    <definedName name="外部資料_377" localSheetId="7">公司債!#REF!</definedName>
    <definedName name="外部資料_377" localSheetId="0">基本設定!#REF!</definedName>
    <definedName name="外部資料_377" localSheetId="4">評比系統!#REF!</definedName>
    <definedName name="外部資料_3770" localSheetId="2">紅綠燈!#REF!</definedName>
    <definedName name="外部資料_3771" localSheetId="2">紅綠燈!#REF!</definedName>
    <definedName name="外部資料_3773" localSheetId="2">紅綠燈!#REF!</definedName>
    <definedName name="外部資料_3774" localSheetId="2">紅綠燈!#REF!</definedName>
    <definedName name="外部資料_3775" localSheetId="2">紅綠燈!#REF!</definedName>
    <definedName name="外部資料_3777" localSheetId="2">紅綠燈!#REF!</definedName>
    <definedName name="外部資料_3778" localSheetId="2">紅綠燈!#REF!</definedName>
    <definedName name="外部資料_3779" localSheetId="2">紅綠燈!#REF!</definedName>
    <definedName name="外部資料_378" localSheetId="12">PKA!#REF!</definedName>
    <definedName name="外部資料_378" localSheetId="13">PKB!#REF!</definedName>
    <definedName name="外部資料_378" localSheetId="14">PKC!#REF!</definedName>
    <definedName name="外部資料_378" localSheetId="7">公司債!#REF!</definedName>
    <definedName name="外部資料_378" localSheetId="0">基本設定!#REF!</definedName>
    <definedName name="外部資料_378" localSheetId="4">評比系統!#REF!</definedName>
    <definedName name="外部資料_3781" localSheetId="2">紅綠燈!#REF!</definedName>
    <definedName name="外部資料_3782" localSheetId="2">紅綠燈!#REF!</definedName>
    <definedName name="外部資料_3783" localSheetId="2">紅綠燈!#REF!</definedName>
    <definedName name="外部資料_3785" localSheetId="2">紅綠燈!#REF!</definedName>
    <definedName name="外部資料_3786" localSheetId="2">紅綠燈!#REF!</definedName>
    <definedName name="外部資料_3787" localSheetId="2">紅綠燈!#REF!</definedName>
    <definedName name="外部資料_3789" localSheetId="2">紅綠燈!#REF!</definedName>
    <definedName name="外部資料_379" localSheetId="12">PKA!#REF!</definedName>
    <definedName name="外部資料_379" localSheetId="13">PKB!#REF!</definedName>
    <definedName name="外部資料_379" localSheetId="14">PKC!#REF!</definedName>
    <definedName name="外部資料_379" localSheetId="7">公司債!#REF!</definedName>
    <definedName name="外部資料_379" localSheetId="0">基本設定!#REF!</definedName>
    <definedName name="外部資料_379" localSheetId="4">評比系統!#REF!</definedName>
    <definedName name="外部資料_3790" localSheetId="2">紅綠燈!#REF!</definedName>
    <definedName name="外部資料_3791" localSheetId="2">紅綠燈!#REF!</definedName>
    <definedName name="外部資料_3793" localSheetId="2">紅綠燈!#REF!</definedName>
    <definedName name="外部資料_3794" localSheetId="2">紅綠燈!#REF!</definedName>
    <definedName name="外部資料_3795" localSheetId="2">紅綠燈!#REF!</definedName>
    <definedName name="外部資料_3797" localSheetId="2">紅綠燈!#REF!</definedName>
    <definedName name="外部資料_3798" localSheetId="2">紅綠燈!#REF!</definedName>
    <definedName name="外部資料_3799" localSheetId="2">紅綠燈!#REF!</definedName>
    <definedName name="外部資料_38" localSheetId="12">PKA!#REF!</definedName>
    <definedName name="外部資料_38" localSheetId="13">PKB!#REF!</definedName>
    <definedName name="外部資料_38" localSheetId="14">PKC!#REF!</definedName>
    <definedName name="外部資料_38" localSheetId="7">公司債!#REF!</definedName>
    <definedName name="外部資料_38" localSheetId="1">季財報!#REF!</definedName>
    <definedName name="外部資料_38" localSheetId="2">紅綠燈!#REF!</definedName>
    <definedName name="外部資料_38" localSheetId="0">基本設定!#REF!</definedName>
    <definedName name="外部資料_38" localSheetId="4">評比系統!#REF!</definedName>
    <definedName name="外部資料_380" localSheetId="12">PKA!#REF!</definedName>
    <definedName name="外部資料_380" localSheetId="13">PKB!#REF!</definedName>
    <definedName name="外部資料_380" localSheetId="14">PKC!#REF!</definedName>
    <definedName name="外部資料_380" localSheetId="7">公司債!#REF!</definedName>
    <definedName name="外部資料_380" localSheetId="0">基本設定!#REF!</definedName>
    <definedName name="外部資料_380" localSheetId="4">評比系統!#REF!</definedName>
    <definedName name="外部資料_3801" localSheetId="2">紅綠燈!#REF!</definedName>
    <definedName name="外部資料_3802" localSheetId="2">紅綠燈!#REF!</definedName>
    <definedName name="外部資料_3803" localSheetId="2">紅綠燈!#REF!</definedName>
    <definedName name="外部資料_3805" localSheetId="2">紅綠燈!#REF!</definedName>
    <definedName name="外部資料_3806" localSheetId="2">紅綠燈!#REF!</definedName>
    <definedName name="外部資料_3807" localSheetId="2">紅綠燈!#REF!</definedName>
    <definedName name="外部資料_3809" localSheetId="2">紅綠燈!#REF!</definedName>
    <definedName name="外部資料_381" localSheetId="12">PKA!#REF!</definedName>
    <definedName name="外部資料_381" localSheetId="13">PKB!#REF!</definedName>
    <definedName name="外部資料_381" localSheetId="14">PKC!#REF!</definedName>
    <definedName name="外部資料_381" localSheetId="7">公司債!#REF!</definedName>
    <definedName name="外部資料_381" localSheetId="0">基本設定!#REF!</definedName>
    <definedName name="外部資料_381" localSheetId="4">評比系統!#REF!</definedName>
    <definedName name="外部資料_3810" localSheetId="2">紅綠燈!#REF!</definedName>
    <definedName name="外部資料_3811" localSheetId="2">紅綠燈!#REF!</definedName>
    <definedName name="外部資料_3813" localSheetId="2">紅綠燈!#REF!</definedName>
    <definedName name="外部資料_3814" localSheetId="2">紅綠燈!#REF!</definedName>
    <definedName name="外部資料_3815" localSheetId="2">紅綠燈!#REF!</definedName>
    <definedName name="外部資料_3817" localSheetId="2">紅綠燈!#REF!</definedName>
    <definedName name="外部資料_3818" localSheetId="2">紅綠燈!#REF!</definedName>
    <definedName name="外部資料_3819" localSheetId="2">紅綠燈!#REF!</definedName>
    <definedName name="外部資料_382" localSheetId="12">PKA!#REF!</definedName>
    <definedName name="外部資料_382" localSheetId="13">PKB!#REF!</definedName>
    <definedName name="外部資料_382" localSheetId="14">PKC!#REF!</definedName>
    <definedName name="外部資料_382" localSheetId="7">公司債!#REF!</definedName>
    <definedName name="外部資料_382" localSheetId="0">基本設定!#REF!</definedName>
    <definedName name="外部資料_382" localSheetId="4">評比系統!#REF!</definedName>
    <definedName name="外部資料_3821" localSheetId="2">紅綠燈!#REF!</definedName>
    <definedName name="外部資料_3822" localSheetId="2">紅綠燈!#REF!</definedName>
    <definedName name="外部資料_3823" localSheetId="2">紅綠燈!#REF!</definedName>
    <definedName name="外部資料_3825" localSheetId="2">紅綠燈!#REF!</definedName>
    <definedName name="外部資料_3826" localSheetId="2">紅綠燈!#REF!</definedName>
    <definedName name="外部資料_3827" localSheetId="2">紅綠燈!#REF!</definedName>
    <definedName name="外部資料_3829" localSheetId="2">紅綠燈!#REF!</definedName>
    <definedName name="外部資料_383" localSheetId="12">PKA!#REF!</definedName>
    <definedName name="外部資料_383" localSheetId="13">PKB!#REF!</definedName>
    <definedName name="外部資料_383" localSheetId="14">PKC!#REF!</definedName>
    <definedName name="外部資料_383" localSheetId="7">公司債!#REF!</definedName>
    <definedName name="外部資料_383" localSheetId="0">基本設定!#REF!</definedName>
    <definedName name="外部資料_383" localSheetId="4">評比系統!#REF!</definedName>
    <definedName name="外部資料_3830" localSheetId="2">紅綠燈!#REF!</definedName>
    <definedName name="外部資料_3831" localSheetId="2">紅綠燈!#REF!</definedName>
    <definedName name="外部資料_3833" localSheetId="2">紅綠燈!#REF!</definedName>
    <definedName name="外部資料_3834" localSheetId="2">紅綠燈!#REF!</definedName>
    <definedName name="外部資料_3836" localSheetId="2">紅綠燈!#REF!</definedName>
    <definedName name="外部資料_3837" localSheetId="2">紅綠燈!#REF!</definedName>
    <definedName name="外部資料_3838" localSheetId="2">紅綠燈!#REF!</definedName>
    <definedName name="外部資料_384" localSheetId="12">PKA!#REF!</definedName>
    <definedName name="外部資料_384" localSheetId="13">PKB!#REF!</definedName>
    <definedName name="外部資料_384" localSheetId="14">PKC!#REF!</definedName>
    <definedName name="外部資料_384" localSheetId="7">公司債!#REF!</definedName>
    <definedName name="外部資料_384" localSheetId="0">基本設定!#REF!</definedName>
    <definedName name="外部資料_384" localSheetId="4">評比系統!#REF!</definedName>
    <definedName name="外部資料_3840" localSheetId="2">紅綠燈!#REF!</definedName>
    <definedName name="外部資料_3841" localSheetId="2">紅綠燈!#REF!</definedName>
    <definedName name="外部資料_3842" localSheetId="2">紅綠燈!#REF!</definedName>
    <definedName name="外部資料_3844" localSheetId="2">紅綠燈!#REF!</definedName>
    <definedName name="外部資料_3845" localSheetId="2">紅綠燈!#REF!</definedName>
    <definedName name="外部資料_3846" localSheetId="2">紅綠燈!#REF!</definedName>
    <definedName name="外部資料_3848" localSheetId="2">紅綠燈!#REF!</definedName>
    <definedName name="外部資料_3849" localSheetId="2">紅綠燈!#REF!</definedName>
    <definedName name="外部資料_385" localSheetId="12">PKA!#REF!</definedName>
    <definedName name="外部資料_385" localSheetId="13">PKB!#REF!</definedName>
    <definedName name="外部資料_385" localSheetId="14">PKC!#REF!</definedName>
    <definedName name="外部資料_385" localSheetId="7">公司債!#REF!</definedName>
    <definedName name="外部資料_385" localSheetId="0">基本設定!#REF!</definedName>
    <definedName name="外部資料_385" localSheetId="4">評比系統!#REF!</definedName>
    <definedName name="外部資料_3850" localSheetId="2">紅綠燈!#REF!</definedName>
    <definedName name="外部資料_3852" localSheetId="2">紅綠燈!#REF!</definedName>
    <definedName name="外部資料_3853" localSheetId="2">紅綠燈!#REF!</definedName>
    <definedName name="外部資料_3854" localSheetId="2">紅綠燈!#REF!</definedName>
    <definedName name="外部資料_3856" localSheetId="2">紅綠燈!#REF!</definedName>
    <definedName name="外部資料_3857" localSheetId="2">紅綠燈!#REF!</definedName>
    <definedName name="外部資料_3858" localSheetId="2">紅綠燈!#REF!</definedName>
    <definedName name="外部資料_386" localSheetId="12">PKA!#REF!</definedName>
    <definedName name="外部資料_386" localSheetId="13">PKB!#REF!</definedName>
    <definedName name="外部資料_386" localSheetId="14">PKC!#REF!</definedName>
    <definedName name="外部資料_386" localSheetId="7">公司債!#REF!</definedName>
    <definedName name="外部資料_386" localSheetId="0">基本設定!#REF!</definedName>
    <definedName name="外部資料_386" localSheetId="4">評比系統!#REF!</definedName>
    <definedName name="外部資料_3860" localSheetId="2">紅綠燈!#REF!</definedName>
    <definedName name="外部資料_3861" localSheetId="2">紅綠燈!#REF!</definedName>
    <definedName name="外部資料_3862" localSheetId="2">紅綠燈!#REF!</definedName>
    <definedName name="外部資料_3864" localSheetId="2">紅綠燈!#REF!</definedName>
    <definedName name="外部資料_3865" localSheetId="2">紅綠燈!#REF!</definedName>
    <definedName name="外部資料_3866" localSheetId="2">紅綠燈!#REF!</definedName>
    <definedName name="外部資料_3868" localSheetId="2">紅綠燈!#REF!</definedName>
    <definedName name="外部資料_3869" localSheetId="2">紅綠燈!#REF!</definedName>
    <definedName name="外部資料_387" localSheetId="12">PKA!#REF!</definedName>
    <definedName name="外部資料_387" localSheetId="13">PKB!#REF!</definedName>
    <definedName name="外部資料_387" localSheetId="14">PKC!#REF!</definedName>
    <definedName name="外部資料_387" localSheetId="7">公司債!#REF!</definedName>
    <definedName name="外部資料_387" localSheetId="0">基本設定!#REF!</definedName>
    <definedName name="外部資料_387" localSheetId="4">評比系統!#REF!</definedName>
    <definedName name="外部資料_3870" localSheetId="2">紅綠燈!#REF!</definedName>
    <definedName name="外部資料_3872" localSheetId="2">紅綠燈!#REF!</definedName>
    <definedName name="外部資料_3873" localSheetId="2">紅綠燈!#REF!</definedName>
    <definedName name="外部資料_3874" localSheetId="2">紅綠燈!#REF!</definedName>
    <definedName name="外部資料_3876" localSheetId="2">紅綠燈!#REF!</definedName>
    <definedName name="外部資料_3877" localSheetId="2">紅綠燈!#REF!</definedName>
    <definedName name="外部資料_3878" localSheetId="2">紅綠燈!#REF!</definedName>
    <definedName name="外部資料_388" localSheetId="12">PKA!#REF!</definedName>
    <definedName name="外部資料_388" localSheetId="13">PKB!#REF!</definedName>
    <definedName name="外部資料_388" localSheetId="14">PKC!#REF!</definedName>
    <definedName name="外部資料_388" localSheetId="7">公司債!#REF!</definedName>
    <definedName name="外部資料_388" localSheetId="0">基本設定!#REF!</definedName>
    <definedName name="外部資料_388" localSheetId="4">評比系統!#REF!</definedName>
    <definedName name="外部資料_3880" localSheetId="2">紅綠燈!#REF!</definedName>
    <definedName name="外部資料_3881" localSheetId="2">紅綠燈!#REF!</definedName>
    <definedName name="外部資料_3882" localSheetId="2">紅綠燈!#REF!</definedName>
    <definedName name="外部資料_3884" localSheetId="2">紅綠燈!#REF!</definedName>
    <definedName name="外部資料_3885" localSheetId="2">紅綠燈!#REF!</definedName>
    <definedName name="外部資料_3886" localSheetId="2">紅綠燈!#REF!</definedName>
    <definedName name="外部資料_3888" localSheetId="2">紅綠燈!#REF!</definedName>
    <definedName name="外部資料_3889" localSheetId="2">紅綠燈!#REF!</definedName>
    <definedName name="外部資料_389" localSheetId="12">PKA!#REF!</definedName>
    <definedName name="外部資料_389" localSheetId="13">PKB!#REF!</definedName>
    <definedName name="外部資料_389" localSheetId="14">PKC!#REF!</definedName>
    <definedName name="外部資料_389" localSheetId="7">公司債!#REF!</definedName>
    <definedName name="外部資料_389" localSheetId="0">基本設定!#REF!</definedName>
    <definedName name="外部資料_389" localSheetId="4">評比系統!#REF!</definedName>
    <definedName name="外部資料_3890" localSheetId="2">紅綠燈!#REF!</definedName>
    <definedName name="外部資料_3892" localSheetId="2">紅綠燈!#REF!</definedName>
    <definedName name="外部資料_3893" localSheetId="2">紅綠燈!#REF!</definedName>
    <definedName name="外部資料_3894" localSheetId="2">紅綠燈!#REF!</definedName>
    <definedName name="外部資料_3896" localSheetId="2">紅綠燈!#REF!</definedName>
    <definedName name="外部資料_3897" localSheetId="2">紅綠燈!#REF!</definedName>
    <definedName name="外部資料_3898" localSheetId="2">紅綠燈!#REF!</definedName>
    <definedName name="外部資料_39" localSheetId="12">PKA!#REF!</definedName>
    <definedName name="外部資料_39" localSheetId="13">PKB!#REF!</definedName>
    <definedName name="外部資料_39" localSheetId="14">PKC!#REF!</definedName>
    <definedName name="外部資料_39" localSheetId="1">季財報!#REF!</definedName>
    <definedName name="外部資料_39" localSheetId="2">紅綠燈!#REF!</definedName>
    <definedName name="外部資料_39" localSheetId="0">基本設定!#REF!</definedName>
    <definedName name="外部資料_39" localSheetId="4">評比系統!#REF!</definedName>
    <definedName name="外部資料_390" localSheetId="12">PKA!#REF!</definedName>
    <definedName name="外部資料_390" localSheetId="13">PKB!#REF!</definedName>
    <definedName name="外部資料_390" localSheetId="14">PKC!#REF!</definedName>
    <definedName name="外部資料_390" localSheetId="7">公司債!#REF!</definedName>
    <definedName name="外部資料_390" localSheetId="0">基本設定!#REF!</definedName>
    <definedName name="外部資料_390" localSheetId="4">評比系統!#REF!</definedName>
    <definedName name="外部資料_3900" localSheetId="2">紅綠燈!#REF!</definedName>
    <definedName name="外部資料_3901" localSheetId="2">紅綠燈!#REF!</definedName>
    <definedName name="外部資料_3902" localSheetId="2">紅綠燈!#REF!</definedName>
    <definedName name="外部資料_3904" localSheetId="2">紅綠燈!#REF!</definedName>
    <definedName name="外部資料_3905" localSheetId="2">紅綠燈!#REF!</definedName>
    <definedName name="外部資料_3906" localSheetId="2">紅綠燈!#REF!</definedName>
    <definedName name="外部資料_3908" localSheetId="2">紅綠燈!#REF!</definedName>
    <definedName name="外部資料_3909" localSheetId="2">紅綠燈!#REF!</definedName>
    <definedName name="外部資料_391" localSheetId="12">PKA!#REF!</definedName>
    <definedName name="外部資料_391" localSheetId="13">PKB!#REF!</definedName>
    <definedName name="外部資料_391" localSheetId="14">PKC!#REF!</definedName>
    <definedName name="外部資料_391" localSheetId="7">公司債!#REF!</definedName>
    <definedName name="外部資料_391" localSheetId="0">基本設定!#REF!</definedName>
    <definedName name="外部資料_391" localSheetId="4">評比系統!#REF!</definedName>
    <definedName name="外部資料_3910" localSheetId="2">紅綠燈!#REF!</definedName>
    <definedName name="外部資料_3912" localSheetId="2">紅綠燈!#REF!</definedName>
    <definedName name="外部資料_3913" localSheetId="2">紅綠燈!#REF!</definedName>
    <definedName name="外部資料_3914" localSheetId="2">紅綠燈!#REF!</definedName>
    <definedName name="外部資料_3916" localSheetId="2">紅綠燈!#REF!</definedName>
    <definedName name="外部資料_3917" localSheetId="2">紅綠燈!#REF!</definedName>
    <definedName name="外部資料_3918" localSheetId="2">紅綠燈!#REF!</definedName>
    <definedName name="外部資料_392" localSheetId="12">PKA!#REF!</definedName>
    <definedName name="外部資料_392" localSheetId="13">PKB!#REF!</definedName>
    <definedName name="外部資料_392" localSheetId="14">PKC!#REF!</definedName>
    <definedName name="外部資料_392" localSheetId="7">公司債!#REF!</definedName>
    <definedName name="外部資料_392" localSheetId="0">基本設定!#REF!</definedName>
    <definedName name="外部資料_392" localSheetId="4">評比系統!#REF!</definedName>
    <definedName name="外部資料_3920" localSheetId="2">紅綠燈!#REF!</definedName>
    <definedName name="外部資料_3921" localSheetId="2">紅綠燈!#REF!</definedName>
    <definedName name="外部資料_3922" localSheetId="2">紅綠燈!#REF!</definedName>
    <definedName name="外部資料_3924" localSheetId="2">紅綠燈!#REF!</definedName>
    <definedName name="外部資料_3925" localSheetId="2">紅綠燈!#REF!</definedName>
    <definedName name="外部資料_3926" localSheetId="2">紅綠燈!#REF!</definedName>
    <definedName name="外部資料_3928" localSheetId="2">紅綠燈!#REF!</definedName>
    <definedName name="外部資料_3929" localSheetId="2">紅綠燈!#REF!</definedName>
    <definedName name="外部資料_393" localSheetId="12">PKA!#REF!</definedName>
    <definedName name="外部資料_393" localSheetId="13">PKB!#REF!</definedName>
    <definedName name="外部資料_393" localSheetId="14">PKC!#REF!</definedName>
    <definedName name="外部資料_393" localSheetId="7">公司債!#REF!</definedName>
    <definedName name="外部資料_393" localSheetId="0">基本設定!#REF!</definedName>
    <definedName name="外部資料_393" localSheetId="4">評比系統!#REF!</definedName>
    <definedName name="外部資料_3930" localSheetId="2">紅綠燈!#REF!</definedName>
    <definedName name="外部資料_3932" localSheetId="2">紅綠燈!#REF!</definedName>
    <definedName name="外部資料_3933" localSheetId="2">紅綠燈!#REF!</definedName>
    <definedName name="外部資料_3934" localSheetId="2">紅綠燈!#REF!</definedName>
    <definedName name="外部資料_3936" localSheetId="2">紅綠燈!#REF!</definedName>
    <definedName name="外部資料_3937" localSheetId="2">紅綠燈!#REF!</definedName>
    <definedName name="外部資料_3938" localSheetId="2">紅綠燈!#REF!</definedName>
    <definedName name="外部資料_394" localSheetId="12">PKA!#REF!</definedName>
    <definedName name="外部資料_394" localSheetId="13">PKB!#REF!</definedName>
    <definedName name="外部資料_394" localSheetId="14">PKC!#REF!</definedName>
    <definedName name="外部資料_394" localSheetId="7">公司債!#REF!</definedName>
    <definedName name="外部資料_394" localSheetId="0">基本設定!#REF!</definedName>
    <definedName name="外部資料_394" localSheetId="4">評比系統!#REF!</definedName>
    <definedName name="外部資料_3940" localSheetId="2">紅綠燈!#REF!</definedName>
    <definedName name="外部資料_3941" localSheetId="2">紅綠燈!#REF!</definedName>
    <definedName name="外部資料_3942" localSheetId="2">紅綠燈!#REF!</definedName>
    <definedName name="外部資料_3944" localSheetId="2">紅綠燈!#REF!</definedName>
    <definedName name="外部資料_3945" localSheetId="2">紅綠燈!#REF!</definedName>
    <definedName name="外部資料_3946" localSheetId="2">紅綠燈!#REF!</definedName>
    <definedName name="外部資料_3948" localSheetId="2">紅綠燈!#REF!</definedName>
    <definedName name="外部資料_3949" localSheetId="2">紅綠燈!#REF!</definedName>
    <definedName name="外部資料_395" localSheetId="12">PKA!#REF!</definedName>
    <definedName name="外部資料_395" localSheetId="13">PKB!#REF!</definedName>
    <definedName name="外部資料_395" localSheetId="14">PKC!#REF!</definedName>
    <definedName name="外部資料_395" localSheetId="7">公司債!#REF!</definedName>
    <definedName name="外部資料_395" localSheetId="0">基本設定!#REF!</definedName>
    <definedName name="外部資料_395" localSheetId="4">評比系統!#REF!</definedName>
    <definedName name="外部資料_3950" localSheetId="2">紅綠燈!#REF!</definedName>
    <definedName name="外部資料_3952" localSheetId="2">紅綠燈!#REF!</definedName>
    <definedName name="外部資料_3953" localSheetId="2">紅綠燈!#REF!</definedName>
    <definedName name="外部資料_3954" localSheetId="2">紅綠燈!#REF!</definedName>
    <definedName name="外部資料_3956" localSheetId="2">紅綠燈!#REF!</definedName>
    <definedName name="外部資料_3957" localSheetId="2">紅綠燈!#REF!</definedName>
    <definedName name="外部資料_3958" localSheetId="2">紅綠燈!#REF!</definedName>
    <definedName name="外部資料_396" localSheetId="12">PKA!#REF!</definedName>
    <definedName name="外部資料_396" localSheetId="13">PKB!#REF!</definedName>
    <definedName name="外部資料_396" localSheetId="14">PKC!#REF!</definedName>
    <definedName name="外部資料_396" localSheetId="7">公司債!#REF!</definedName>
    <definedName name="外部資料_396" localSheetId="0">基本設定!#REF!</definedName>
    <definedName name="外部資料_396" localSheetId="4">評比系統!#REF!</definedName>
    <definedName name="外部資料_3960" localSheetId="2">紅綠燈!#REF!</definedName>
    <definedName name="外部資料_3961" localSheetId="2">紅綠燈!#REF!</definedName>
    <definedName name="外部資料_3962" localSheetId="2">紅綠燈!#REF!</definedName>
    <definedName name="外部資料_3964" localSheetId="2">紅綠燈!#REF!</definedName>
    <definedName name="外部資料_3965" localSheetId="2">紅綠燈!#REF!</definedName>
    <definedName name="外部資料_3966" localSheetId="2">紅綠燈!#REF!</definedName>
    <definedName name="外部資料_3968" localSheetId="2">紅綠燈!#REF!</definedName>
    <definedName name="外部資料_3969" localSheetId="2">紅綠燈!#REF!</definedName>
    <definedName name="外部資料_397" localSheetId="12">PKA!#REF!</definedName>
    <definedName name="外部資料_397" localSheetId="13">PKB!#REF!</definedName>
    <definedName name="外部資料_397" localSheetId="14">PKC!#REF!</definedName>
    <definedName name="外部資料_397" localSheetId="7">公司債!#REF!</definedName>
    <definedName name="外部資料_397" localSheetId="0">基本設定!#REF!</definedName>
    <definedName name="外部資料_397" localSheetId="4">評比系統!#REF!</definedName>
    <definedName name="外部資料_3970" localSheetId="2">紅綠燈!#REF!</definedName>
    <definedName name="外部資料_3972" localSheetId="2">紅綠燈!#REF!</definedName>
    <definedName name="外部資料_3973" localSheetId="2">紅綠燈!#REF!</definedName>
    <definedName name="外部資料_3974" localSheetId="2">紅綠燈!#REF!</definedName>
    <definedName name="外部資料_3976" localSheetId="2">紅綠燈!#REF!</definedName>
    <definedName name="外部資料_3977" localSheetId="2">紅綠燈!#REF!</definedName>
    <definedName name="外部資料_3978" localSheetId="2">紅綠燈!#REF!</definedName>
    <definedName name="外部資料_398" localSheetId="12">PKA!#REF!</definedName>
    <definedName name="外部資料_398" localSheetId="13">PKB!#REF!</definedName>
    <definedName name="外部資料_398" localSheetId="14">PKC!#REF!</definedName>
    <definedName name="外部資料_398" localSheetId="7">公司債!#REF!</definedName>
    <definedName name="外部資料_398" localSheetId="0">基本設定!#REF!</definedName>
    <definedName name="外部資料_398" localSheetId="4">評比系統!#REF!</definedName>
    <definedName name="外部資料_3980" localSheetId="2">紅綠燈!#REF!</definedName>
    <definedName name="外部資料_3981" localSheetId="2">紅綠燈!#REF!</definedName>
    <definedName name="外部資料_3982" localSheetId="2">紅綠燈!#REF!</definedName>
    <definedName name="外部資料_3984" localSheetId="2">紅綠燈!#REF!</definedName>
    <definedName name="外部資料_3985" localSheetId="2">紅綠燈!#REF!</definedName>
    <definedName name="外部資料_3986" localSheetId="2">紅綠燈!#REF!</definedName>
    <definedName name="外部資料_3988" localSheetId="2">紅綠燈!#REF!</definedName>
    <definedName name="外部資料_3989" localSheetId="2">紅綠燈!#REF!</definedName>
    <definedName name="外部資料_399" localSheetId="12">PKA!#REF!</definedName>
    <definedName name="外部資料_399" localSheetId="13">PKB!#REF!</definedName>
    <definedName name="外部資料_399" localSheetId="14">PKC!#REF!</definedName>
    <definedName name="外部資料_399" localSheetId="7">公司債!#REF!</definedName>
    <definedName name="外部資料_399" localSheetId="0">基本設定!#REF!</definedName>
    <definedName name="外部資料_399" localSheetId="4">評比系統!#REF!</definedName>
    <definedName name="外部資料_3990" localSheetId="2">紅綠燈!#REF!</definedName>
    <definedName name="外部資料_3992" localSheetId="2">紅綠燈!#REF!</definedName>
    <definedName name="外部資料_3993" localSheetId="2">紅綠燈!#REF!</definedName>
    <definedName name="外部資料_3994" localSheetId="2">紅綠燈!#REF!</definedName>
    <definedName name="外部資料_3996" localSheetId="2">紅綠燈!#REF!</definedName>
    <definedName name="外部資料_3997" localSheetId="2">紅綠燈!#REF!</definedName>
    <definedName name="外部資料_3998" localSheetId="2">紅綠燈!#REF!</definedName>
    <definedName name="外部資料_4" localSheetId="12">PKA!#REF!</definedName>
    <definedName name="外部資料_4" localSheetId="13">PKB!#REF!</definedName>
    <definedName name="外部資料_4" localSheetId="14">PKC!#REF!</definedName>
    <definedName name="外部資料_4" localSheetId="7">公司債!#REF!</definedName>
    <definedName name="外部資料_4" localSheetId="2">紅綠燈!#REF!</definedName>
    <definedName name="外部資料_4" localSheetId="0">基本設定!#REF!</definedName>
    <definedName name="外部資料_4" localSheetId="4">評比系統!#REF!</definedName>
    <definedName name="外部資料_4" localSheetId="5">搶先報!#REF!</definedName>
    <definedName name="外部資料_40" localSheetId="12">PKA!#REF!</definedName>
    <definedName name="外部資料_40" localSheetId="13">PKB!#REF!</definedName>
    <definedName name="外部資料_40" localSheetId="14">PKC!#REF!</definedName>
    <definedName name="外部資料_40" localSheetId="7">公司債!#REF!</definedName>
    <definedName name="外部資料_40" localSheetId="1">季財報!#REF!</definedName>
    <definedName name="外部資料_40" localSheetId="2">紅綠燈!#REF!</definedName>
    <definedName name="外部資料_40" localSheetId="0">基本設定!#REF!</definedName>
    <definedName name="外部資料_40" localSheetId="4">評比系統!#REF!</definedName>
    <definedName name="外部資料_400" localSheetId="12">PKA!#REF!</definedName>
    <definedName name="外部資料_400" localSheetId="13">PKB!#REF!</definedName>
    <definedName name="外部資料_400" localSheetId="14">PKC!#REF!</definedName>
    <definedName name="外部資料_400" localSheetId="7">公司債!#REF!</definedName>
    <definedName name="外部資料_400" localSheetId="0">基本設定!#REF!</definedName>
    <definedName name="外部資料_400" localSheetId="4">評比系統!#REF!</definedName>
    <definedName name="外部資料_4000" localSheetId="2">紅綠燈!#REF!</definedName>
    <definedName name="外部資料_4001" localSheetId="2">紅綠燈!#REF!</definedName>
    <definedName name="外部資料_4003" localSheetId="2">紅綠燈!#REF!</definedName>
    <definedName name="外部資料_4004" localSheetId="2">紅綠燈!#REF!</definedName>
    <definedName name="外部資料_4005" localSheetId="2">紅綠燈!#REF!</definedName>
    <definedName name="外部資料_4007" localSheetId="2">紅綠燈!#REF!</definedName>
    <definedName name="外部資料_4008" localSheetId="2">紅綠燈!#REF!</definedName>
    <definedName name="外部資料_4009" localSheetId="2">紅綠燈!#REF!</definedName>
    <definedName name="外部資料_401" localSheetId="12">PKA!#REF!</definedName>
    <definedName name="外部資料_401" localSheetId="13">PKB!#REF!</definedName>
    <definedName name="外部資料_401" localSheetId="14">PKC!#REF!</definedName>
    <definedName name="外部資料_401" localSheetId="7">公司債!#REF!</definedName>
    <definedName name="外部資料_401" localSheetId="0">基本設定!#REF!</definedName>
    <definedName name="外部資料_401" localSheetId="4">評比系統!#REF!</definedName>
    <definedName name="外部資料_4011" localSheetId="2">紅綠燈!#REF!</definedName>
    <definedName name="外部資料_4012" localSheetId="2">紅綠燈!#REF!</definedName>
    <definedName name="外部資料_4013" localSheetId="2">紅綠燈!#REF!</definedName>
    <definedName name="外部資料_4015" localSheetId="2">紅綠燈!#REF!</definedName>
    <definedName name="外部資料_4016" localSheetId="2">紅綠燈!#REF!</definedName>
    <definedName name="外部資料_4017" localSheetId="2">紅綠燈!#REF!</definedName>
    <definedName name="外部資料_4019" localSheetId="2">紅綠燈!#REF!</definedName>
    <definedName name="外部資料_402" localSheetId="12">PKA!#REF!</definedName>
    <definedName name="外部資料_402" localSheetId="13">PKB!#REF!</definedName>
    <definedName name="外部資料_402" localSheetId="14">PKC!#REF!</definedName>
    <definedName name="外部資料_402" localSheetId="7">公司債!#REF!</definedName>
    <definedName name="外部資料_402" localSheetId="0">基本設定!#REF!</definedName>
    <definedName name="外部資料_402" localSheetId="4">評比系統!#REF!</definedName>
    <definedName name="外部資料_4020" localSheetId="2">紅綠燈!#REF!</definedName>
    <definedName name="外部資料_4021" localSheetId="2">紅綠燈!#REF!</definedName>
    <definedName name="外部資料_4023" localSheetId="2">紅綠燈!#REF!</definedName>
    <definedName name="外部資料_4024" localSheetId="2">紅綠燈!#REF!</definedName>
    <definedName name="外部資料_4025" localSheetId="2">紅綠燈!#REF!</definedName>
    <definedName name="外部資料_4027" localSheetId="2">紅綠燈!#REF!</definedName>
    <definedName name="外部資料_4028" localSheetId="2">紅綠燈!#REF!</definedName>
    <definedName name="外部資料_4029" localSheetId="2">紅綠燈!#REF!</definedName>
    <definedName name="外部資料_403" localSheetId="12">PKA!#REF!</definedName>
    <definedName name="外部資料_403" localSheetId="13">PKB!#REF!</definedName>
    <definedName name="外部資料_403" localSheetId="14">PKC!#REF!</definedName>
    <definedName name="外部資料_403" localSheetId="7">公司債!#REF!</definedName>
    <definedName name="外部資料_403" localSheetId="0">基本設定!#REF!</definedName>
    <definedName name="外部資料_403" localSheetId="4">評比系統!#REF!</definedName>
    <definedName name="外部資料_4031" localSheetId="2">紅綠燈!#REF!</definedName>
    <definedName name="外部資料_4032" localSheetId="2">紅綠燈!#REF!</definedName>
    <definedName name="外部資料_4033" localSheetId="2">紅綠燈!#REF!</definedName>
    <definedName name="外部資料_4035" localSheetId="2">紅綠燈!#REF!</definedName>
    <definedName name="外部資料_4036" localSheetId="2">紅綠燈!#REF!</definedName>
    <definedName name="外部資料_4037" localSheetId="2">紅綠燈!#REF!</definedName>
    <definedName name="外部資料_4039" localSheetId="2">紅綠燈!#REF!</definedName>
    <definedName name="外部資料_404" localSheetId="12">PKA!#REF!</definedName>
    <definedName name="外部資料_404" localSheetId="13">PKB!#REF!</definedName>
    <definedName name="外部資料_404" localSheetId="14">PKC!#REF!</definedName>
    <definedName name="外部資料_404" localSheetId="7">公司債!#REF!</definedName>
    <definedName name="外部資料_404" localSheetId="0">基本設定!#REF!</definedName>
    <definedName name="外部資料_404" localSheetId="4">評比系統!#REF!</definedName>
    <definedName name="外部資料_4040" localSheetId="2">紅綠燈!#REF!</definedName>
    <definedName name="外部資料_4041" localSheetId="2">紅綠燈!#REF!</definedName>
    <definedName name="外部資料_4043" localSheetId="2">紅綠燈!#REF!</definedName>
    <definedName name="外部資料_4044" localSheetId="2">紅綠燈!#REF!</definedName>
    <definedName name="外部資料_4045" localSheetId="2">紅綠燈!#REF!</definedName>
    <definedName name="外部資料_4047" localSheetId="2">紅綠燈!#REF!</definedName>
    <definedName name="外部資料_4048" localSheetId="2">紅綠燈!#REF!</definedName>
    <definedName name="外部資料_4049" localSheetId="2">紅綠燈!#REF!</definedName>
    <definedName name="外部資料_405" localSheetId="12">PKA!#REF!</definedName>
    <definedName name="外部資料_405" localSheetId="13">PKB!#REF!</definedName>
    <definedName name="外部資料_405" localSheetId="14">PKC!#REF!</definedName>
    <definedName name="外部資料_405" localSheetId="7">公司債!#REF!</definedName>
    <definedName name="外部資料_405" localSheetId="0">基本設定!#REF!</definedName>
    <definedName name="外部資料_405" localSheetId="4">評比系統!#REF!</definedName>
    <definedName name="外部資料_4051" localSheetId="2">紅綠燈!#REF!</definedName>
    <definedName name="外部資料_4052" localSheetId="2">紅綠燈!#REF!</definedName>
    <definedName name="外部資料_4053" localSheetId="2">紅綠燈!#REF!</definedName>
    <definedName name="外部資料_4055" localSheetId="2">紅綠燈!#REF!</definedName>
    <definedName name="外部資料_4056" localSheetId="2">紅綠燈!#REF!</definedName>
    <definedName name="外部資料_4057" localSheetId="2">紅綠燈!#REF!</definedName>
    <definedName name="外部資料_4059" localSheetId="2">紅綠燈!#REF!</definedName>
    <definedName name="外部資料_406" localSheetId="12">PKA!#REF!</definedName>
    <definedName name="外部資料_406" localSheetId="13">PKB!#REF!</definedName>
    <definedName name="外部資料_406" localSheetId="14">PKC!#REF!</definedName>
    <definedName name="外部資料_406" localSheetId="7">公司債!#REF!</definedName>
    <definedName name="外部資料_406" localSheetId="0">基本設定!#REF!</definedName>
    <definedName name="外部資料_406" localSheetId="4">評比系統!#REF!</definedName>
    <definedName name="外部資料_4060" localSheetId="2">紅綠燈!#REF!</definedName>
    <definedName name="外部資料_4061" localSheetId="2">紅綠燈!#REF!</definedName>
    <definedName name="外部資料_4063" localSheetId="2">紅綠燈!#REF!</definedName>
    <definedName name="外部資料_4064" localSheetId="2">紅綠燈!#REF!</definedName>
    <definedName name="外部資料_4065" localSheetId="2">紅綠燈!#REF!</definedName>
    <definedName name="外部資料_4067" localSheetId="2">紅綠燈!#REF!</definedName>
    <definedName name="外部資料_4068" localSheetId="2">紅綠燈!#REF!</definedName>
    <definedName name="外部資料_4069" localSheetId="2">紅綠燈!#REF!</definedName>
    <definedName name="外部資料_407" localSheetId="12">PKA!#REF!</definedName>
    <definedName name="外部資料_407" localSheetId="13">PKB!#REF!</definedName>
    <definedName name="外部資料_407" localSheetId="14">PKC!#REF!</definedName>
    <definedName name="外部資料_407" localSheetId="7">公司債!#REF!</definedName>
    <definedName name="外部資料_407" localSheetId="0">基本設定!#REF!</definedName>
    <definedName name="外部資料_407" localSheetId="4">評比系統!#REF!</definedName>
    <definedName name="外部資料_4071" localSheetId="2">紅綠燈!#REF!</definedName>
    <definedName name="外部資料_4072" localSheetId="2">紅綠燈!#REF!</definedName>
    <definedName name="外部資料_4073" localSheetId="2">紅綠燈!#REF!</definedName>
    <definedName name="外部資料_4075" localSheetId="2">紅綠燈!#REF!</definedName>
    <definedName name="外部資料_4076" localSheetId="2">紅綠燈!#REF!</definedName>
    <definedName name="外部資料_4077" localSheetId="2">紅綠燈!#REF!</definedName>
    <definedName name="外部資料_4079" localSheetId="2">紅綠燈!#REF!</definedName>
    <definedName name="外部資料_408" localSheetId="12">PKA!#REF!</definedName>
    <definedName name="外部資料_408" localSheetId="13">PKB!#REF!</definedName>
    <definedName name="外部資料_408" localSheetId="14">PKC!#REF!</definedName>
    <definedName name="外部資料_408" localSheetId="7">公司債!#REF!</definedName>
    <definedName name="外部資料_408" localSheetId="0">基本設定!#REF!</definedName>
    <definedName name="外部資料_408" localSheetId="4">評比系統!#REF!</definedName>
    <definedName name="外部資料_4080" localSheetId="2">紅綠燈!#REF!</definedName>
    <definedName name="外部資料_4081" localSheetId="2">紅綠燈!#REF!</definedName>
    <definedName name="外部資料_4083" localSheetId="2">紅綠燈!#REF!</definedName>
    <definedName name="外部資料_4084" localSheetId="2">紅綠燈!#REF!</definedName>
    <definedName name="外部資料_4085" localSheetId="2">紅綠燈!#REF!</definedName>
    <definedName name="外部資料_4087" localSheetId="2">紅綠燈!#REF!</definedName>
    <definedName name="外部資料_4088" localSheetId="2">紅綠燈!#REF!</definedName>
    <definedName name="外部資料_4089" localSheetId="2">紅綠燈!#REF!</definedName>
    <definedName name="外部資料_409" localSheetId="12">PKA!#REF!</definedName>
    <definedName name="外部資料_409" localSheetId="13">PKB!#REF!</definedName>
    <definedName name="外部資料_409" localSheetId="14">PKC!#REF!</definedName>
    <definedName name="外部資料_409" localSheetId="7">公司債!#REF!</definedName>
    <definedName name="外部資料_409" localSheetId="0">基本設定!#REF!</definedName>
    <definedName name="外部資料_409" localSheetId="4">評比系統!#REF!</definedName>
    <definedName name="外部資料_4091" localSheetId="2">紅綠燈!#REF!</definedName>
    <definedName name="外部資料_4092" localSheetId="2">紅綠燈!#REF!</definedName>
    <definedName name="外部資料_4093" localSheetId="2">紅綠燈!#REF!</definedName>
    <definedName name="外部資料_4095" localSheetId="2">紅綠燈!#REF!</definedName>
    <definedName name="外部資料_4096" localSheetId="2">紅綠燈!#REF!</definedName>
    <definedName name="外部資料_4097" localSheetId="2">紅綠燈!#REF!</definedName>
    <definedName name="外部資料_4099" localSheetId="2">紅綠燈!#REF!</definedName>
    <definedName name="外部資料_41" localSheetId="12">PKA!#REF!</definedName>
    <definedName name="外部資料_41" localSheetId="13">PKB!#REF!</definedName>
    <definedName name="外部資料_41" localSheetId="14">PKC!#REF!</definedName>
    <definedName name="外部資料_41" localSheetId="7">公司債!#REF!</definedName>
    <definedName name="外部資料_41" localSheetId="1">季財報!#REF!</definedName>
    <definedName name="外部資料_41" localSheetId="2">紅綠燈!#REF!</definedName>
    <definedName name="外部資料_41" localSheetId="0">基本設定!#REF!</definedName>
    <definedName name="外部資料_41" localSheetId="4">評比系統!#REF!</definedName>
    <definedName name="外部資料_410" localSheetId="12">PKA!#REF!</definedName>
    <definedName name="外部資料_410" localSheetId="13">PKB!#REF!</definedName>
    <definedName name="外部資料_410" localSheetId="14">PKC!#REF!</definedName>
    <definedName name="外部資料_410" localSheetId="7">公司債!#REF!</definedName>
    <definedName name="外部資料_410" localSheetId="0">基本設定!#REF!</definedName>
    <definedName name="外部資料_410" localSheetId="4">評比系統!#REF!</definedName>
    <definedName name="外部資料_4100" localSheetId="2">紅綠燈!#REF!</definedName>
    <definedName name="外部資料_4101" localSheetId="2">紅綠燈!#REF!</definedName>
    <definedName name="外部資料_4103" localSheetId="2">紅綠燈!#REF!</definedName>
    <definedName name="外部資料_4104" localSheetId="2">紅綠燈!#REF!</definedName>
    <definedName name="外部資料_4105" localSheetId="2">紅綠燈!#REF!</definedName>
    <definedName name="外部資料_4107" localSheetId="2">紅綠燈!#REF!</definedName>
    <definedName name="外部資料_4108" localSheetId="2">紅綠燈!#REF!</definedName>
    <definedName name="外部資料_4109" localSheetId="2">紅綠燈!#REF!</definedName>
    <definedName name="外部資料_411" localSheetId="12">PKA!#REF!</definedName>
    <definedName name="外部資料_411" localSheetId="13">PKB!#REF!</definedName>
    <definedName name="外部資料_411" localSheetId="14">PKC!#REF!</definedName>
    <definedName name="外部資料_411" localSheetId="7">公司債!#REF!</definedName>
    <definedName name="外部資料_411" localSheetId="0">基本設定!#REF!</definedName>
    <definedName name="外部資料_411" localSheetId="4">評比系統!#REF!</definedName>
    <definedName name="外部資料_4111" localSheetId="2">紅綠燈!#REF!</definedName>
    <definedName name="外部資料_4112" localSheetId="2">紅綠燈!#REF!</definedName>
    <definedName name="外部資料_4114" localSheetId="2">紅綠燈!#REF!</definedName>
    <definedName name="外部資料_4115" localSheetId="2">紅綠燈!#REF!</definedName>
    <definedName name="外部資料_4117" localSheetId="2">紅綠燈!#REF!</definedName>
    <definedName name="外部資料_4118" localSheetId="2">紅綠燈!#REF!</definedName>
    <definedName name="外部資料_4119" localSheetId="2">紅綠燈!#REF!</definedName>
    <definedName name="外部資料_412" localSheetId="12">PKA!#REF!</definedName>
    <definedName name="外部資料_412" localSheetId="13">PKB!#REF!</definedName>
    <definedName name="外部資料_412" localSheetId="14">PKC!#REF!</definedName>
    <definedName name="外部資料_412" localSheetId="7">公司債!#REF!</definedName>
    <definedName name="外部資料_412" localSheetId="0">基本設定!#REF!</definedName>
    <definedName name="外部資料_412" localSheetId="4">評比系統!#REF!</definedName>
    <definedName name="外部資料_4121" localSheetId="2">紅綠燈!#REF!</definedName>
    <definedName name="外部資料_4122" localSheetId="2">紅綠燈!#REF!</definedName>
    <definedName name="外部資料_4123" localSheetId="2">紅綠燈!#REF!</definedName>
    <definedName name="外部資料_4125" localSheetId="2">紅綠燈!#REF!</definedName>
    <definedName name="外部資料_4126" localSheetId="2">紅綠燈!#REF!</definedName>
    <definedName name="外部資料_4127" localSheetId="2">紅綠燈!#REF!</definedName>
    <definedName name="外部資料_4129" localSheetId="2">紅綠燈!#REF!</definedName>
    <definedName name="外部資料_413" localSheetId="12">PKA!#REF!</definedName>
    <definedName name="外部資料_413" localSheetId="13">PKB!#REF!</definedName>
    <definedName name="外部資料_413" localSheetId="14">PKC!#REF!</definedName>
    <definedName name="外部資料_413" localSheetId="7">公司債!#REF!</definedName>
    <definedName name="外部資料_413" localSheetId="0">基本設定!#REF!</definedName>
    <definedName name="外部資料_413" localSheetId="4">評比系統!#REF!</definedName>
    <definedName name="外部資料_4130" localSheetId="2">紅綠燈!#REF!</definedName>
    <definedName name="外部資料_4131" localSheetId="2">紅綠燈!#REF!</definedName>
    <definedName name="外部資料_4133" localSheetId="2">紅綠燈!#REF!</definedName>
    <definedName name="外部資料_4134" localSheetId="2">紅綠燈!#REF!</definedName>
    <definedName name="外部資料_4135" localSheetId="2">紅綠燈!#REF!</definedName>
    <definedName name="外部資料_4137" localSheetId="2">紅綠燈!#REF!</definedName>
    <definedName name="外部資料_4138" localSheetId="2">紅綠燈!#REF!</definedName>
    <definedName name="外部資料_4139" localSheetId="2">紅綠燈!#REF!</definedName>
    <definedName name="外部資料_414" localSheetId="12">PKA!#REF!</definedName>
    <definedName name="外部資料_414" localSheetId="13">PKB!#REF!</definedName>
    <definedName name="外部資料_414" localSheetId="14">PKC!#REF!</definedName>
    <definedName name="外部資料_414" localSheetId="7">公司債!#REF!</definedName>
    <definedName name="外部資料_414" localSheetId="0">基本設定!#REF!</definedName>
    <definedName name="外部資料_414" localSheetId="4">評比系統!#REF!</definedName>
    <definedName name="外部資料_4141" localSheetId="2">紅綠燈!#REF!</definedName>
    <definedName name="外部資料_4142" localSheetId="2">紅綠燈!#REF!</definedName>
    <definedName name="外部資料_4143" localSheetId="2">紅綠燈!#REF!</definedName>
    <definedName name="外部資料_4145" localSheetId="2">紅綠燈!#REF!</definedName>
    <definedName name="外部資料_4146" localSheetId="2">紅綠燈!#REF!</definedName>
    <definedName name="外部資料_4147" localSheetId="2">紅綠燈!#REF!</definedName>
    <definedName name="外部資料_4149" localSheetId="2">紅綠燈!#REF!</definedName>
    <definedName name="外部資料_415" localSheetId="12">PKA!#REF!</definedName>
    <definedName name="外部資料_415" localSheetId="13">PKB!#REF!</definedName>
    <definedName name="外部資料_415" localSheetId="14">PKC!#REF!</definedName>
    <definedName name="外部資料_415" localSheetId="7">公司債!#REF!</definedName>
    <definedName name="外部資料_415" localSheetId="0">基本設定!#REF!</definedName>
    <definedName name="外部資料_415" localSheetId="4">評比系統!#REF!</definedName>
    <definedName name="外部資料_4150" localSheetId="2">紅綠燈!#REF!</definedName>
    <definedName name="外部資料_4151" localSheetId="2">紅綠燈!#REF!</definedName>
    <definedName name="外部資料_4153" localSheetId="2">紅綠燈!#REF!</definedName>
    <definedName name="外部資料_4154" localSheetId="2">紅綠燈!#REF!</definedName>
    <definedName name="外部資料_4155" localSheetId="2">紅綠燈!#REF!</definedName>
    <definedName name="外部資料_4157" localSheetId="2">紅綠燈!#REF!</definedName>
    <definedName name="外部資料_4158" localSheetId="2">紅綠燈!#REF!</definedName>
    <definedName name="外部資料_4159" localSheetId="2">紅綠燈!#REF!</definedName>
    <definedName name="外部資料_416" localSheetId="12">PKA!#REF!</definedName>
    <definedName name="外部資料_416" localSheetId="13">PKB!#REF!</definedName>
    <definedName name="外部資料_416" localSheetId="14">PKC!#REF!</definedName>
    <definedName name="外部資料_416" localSheetId="7">公司債!#REF!</definedName>
    <definedName name="外部資料_416" localSheetId="0">基本設定!#REF!</definedName>
    <definedName name="外部資料_416" localSheetId="4">評比系統!#REF!</definedName>
    <definedName name="外部資料_4161" localSheetId="2">紅綠燈!#REF!</definedName>
    <definedName name="外部資料_4162" localSheetId="2">紅綠燈!#REF!</definedName>
    <definedName name="外部資料_4163" localSheetId="2">紅綠燈!#REF!</definedName>
    <definedName name="外部資料_4165" localSheetId="2">紅綠燈!#REF!</definedName>
    <definedName name="外部資料_4166" localSheetId="2">紅綠燈!#REF!</definedName>
    <definedName name="外部資料_4167" localSheetId="2">紅綠燈!#REF!</definedName>
    <definedName name="外部資料_4169" localSheetId="2">紅綠燈!#REF!</definedName>
    <definedName name="外部資料_417" localSheetId="12">PKA!#REF!</definedName>
    <definedName name="外部資料_417" localSheetId="13">PKB!#REF!</definedName>
    <definedName name="外部資料_417" localSheetId="14">PKC!#REF!</definedName>
    <definedName name="外部資料_417" localSheetId="7">公司債!#REF!</definedName>
    <definedName name="外部資料_417" localSheetId="0">基本設定!#REF!</definedName>
    <definedName name="外部資料_417" localSheetId="4">評比系統!#REF!</definedName>
    <definedName name="外部資料_4170" localSheetId="2">紅綠燈!#REF!</definedName>
    <definedName name="外部資料_4171" localSheetId="2">紅綠燈!#REF!</definedName>
    <definedName name="外部資料_4173" localSheetId="2">紅綠燈!#REF!</definedName>
    <definedName name="外部資料_4174" localSheetId="2">紅綠燈!#REF!</definedName>
    <definedName name="外部資料_4175" localSheetId="2">紅綠燈!#REF!</definedName>
    <definedName name="外部資料_4177" localSheetId="2">紅綠燈!#REF!</definedName>
    <definedName name="外部資料_4178" localSheetId="2">紅綠燈!#REF!</definedName>
    <definedName name="外部資料_4179" localSheetId="2">紅綠燈!#REF!</definedName>
    <definedName name="外部資料_418" localSheetId="12">PKA!#REF!</definedName>
    <definedName name="外部資料_418" localSheetId="13">PKB!#REF!</definedName>
    <definedName name="外部資料_418" localSheetId="14">PKC!#REF!</definedName>
    <definedName name="外部資料_418" localSheetId="7">公司債!#REF!</definedName>
    <definedName name="外部資料_418" localSheetId="0">基本設定!#REF!</definedName>
    <definedName name="外部資料_418" localSheetId="4">評比系統!#REF!</definedName>
    <definedName name="外部資料_4181" localSheetId="2">紅綠燈!#REF!</definedName>
    <definedName name="外部資料_4182" localSheetId="2">紅綠燈!#REF!</definedName>
    <definedName name="外部資料_4183" localSheetId="2">紅綠燈!#REF!</definedName>
    <definedName name="外部資料_4185" localSheetId="2">紅綠燈!#REF!</definedName>
    <definedName name="外部資料_4186" localSheetId="2">紅綠燈!#REF!</definedName>
    <definedName name="外部資料_4187" localSheetId="2">紅綠燈!#REF!</definedName>
    <definedName name="外部資料_4189" localSheetId="2">紅綠燈!#REF!</definedName>
    <definedName name="外部資料_419" localSheetId="12">PKA!#REF!</definedName>
    <definedName name="外部資料_419" localSheetId="13">PKB!#REF!</definedName>
    <definedName name="外部資料_419" localSheetId="14">PKC!#REF!</definedName>
    <definedName name="外部資料_419" localSheetId="7">公司債!#REF!</definedName>
    <definedName name="外部資料_419" localSheetId="0">基本設定!#REF!</definedName>
    <definedName name="外部資料_419" localSheetId="4">評比系統!#REF!</definedName>
    <definedName name="外部資料_4190" localSheetId="2">紅綠燈!#REF!</definedName>
    <definedName name="外部資料_4191" localSheetId="2">紅綠燈!#REF!</definedName>
    <definedName name="外部資料_4193" localSheetId="2">紅綠燈!#REF!</definedName>
    <definedName name="外部資料_4194" localSheetId="2">紅綠燈!#REF!</definedName>
    <definedName name="外部資料_4195" localSheetId="2">紅綠燈!#REF!</definedName>
    <definedName name="外部資料_4197" localSheetId="2">紅綠燈!#REF!</definedName>
    <definedName name="外部資料_4198" localSheetId="2">紅綠燈!#REF!</definedName>
    <definedName name="外部資料_4199" localSheetId="2">紅綠燈!#REF!</definedName>
    <definedName name="外部資料_42" localSheetId="12">PKA!#REF!</definedName>
    <definedName name="外部資料_42" localSheetId="13">PKB!#REF!</definedName>
    <definedName name="外部資料_42" localSheetId="14">PKC!#REF!</definedName>
    <definedName name="外部資料_42" localSheetId="7">公司債!#REF!</definedName>
    <definedName name="外部資料_42" localSheetId="2">紅綠燈!#REF!</definedName>
    <definedName name="外部資料_42" localSheetId="0">基本設定!#REF!</definedName>
    <definedName name="外部資料_42" localSheetId="4">評比系統!#REF!</definedName>
    <definedName name="外部資料_420" localSheetId="12">PKA!#REF!</definedName>
    <definedName name="外部資料_420" localSheetId="13">PKB!#REF!</definedName>
    <definedName name="外部資料_420" localSheetId="14">PKC!#REF!</definedName>
    <definedName name="外部資料_420" localSheetId="7">公司債!#REF!</definedName>
    <definedName name="外部資料_420" localSheetId="0">基本設定!#REF!</definedName>
    <definedName name="外部資料_420" localSheetId="4">評比系統!#REF!</definedName>
    <definedName name="外部資料_4201" localSheetId="2">紅綠燈!#REF!</definedName>
    <definedName name="外部資料_4202" localSheetId="2">紅綠燈!#REF!</definedName>
    <definedName name="外部資料_4203" localSheetId="2">紅綠燈!#REF!</definedName>
    <definedName name="外部資料_4205" localSheetId="2">紅綠燈!#REF!</definedName>
    <definedName name="外部資料_4206" localSheetId="2">紅綠燈!#REF!</definedName>
    <definedName name="外部資料_4207" localSheetId="2">紅綠燈!#REF!</definedName>
    <definedName name="外部資料_4209" localSheetId="2">紅綠燈!#REF!</definedName>
    <definedName name="外部資料_421" localSheetId="12">PKA!#REF!</definedName>
    <definedName name="外部資料_421" localSheetId="13">PKB!#REF!</definedName>
    <definedName name="外部資料_421" localSheetId="14">PKC!#REF!</definedName>
    <definedName name="外部資料_421" localSheetId="7">公司債!#REF!</definedName>
    <definedName name="外部資料_421" localSheetId="0">基本設定!#REF!</definedName>
    <definedName name="外部資料_421" localSheetId="4">評比系統!#REF!</definedName>
    <definedName name="外部資料_4210" localSheetId="2">紅綠燈!#REF!</definedName>
    <definedName name="外部資料_4211" localSheetId="2">紅綠燈!#REF!</definedName>
    <definedName name="外部資料_4213" localSheetId="2">紅綠燈!#REF!</definedName>
    <definedName name="外部資料_4214" localSheetId="2">紅綠燈!#REF!</definedName>
    <definedName name="外部資料_4215" localSheetId="2">紅綠燈!#REF!</definedName>
    <definedName name="外部資料_4217" localSheetId="2">紅綠燈!#REF!</definedName>
    <definedName name="外部資料_4218" localSheetId="2">紅綠燈!#REF!</definedName>
    <definedName name="外部資料_4219" localSheetId="2">紅綠燈!#REF!</definedName>
    <definedName name="外部資料_422" localSheetId="12">PKA!#REF!</definedName>
    <definedName name="外部資料_422" localSheetId="13">PKB!#REF!</definedName>
    <definedName name="外部資料_422" localSheetId="14">PKC!#REF!</definedName>
    <definedName name="外部資料_422" localSheetId="7">公司債!#REF!</definedName>
    <definedName name="外部資料_422" localSheetId="0">基本設定!#REF!</definedName>
    <definedName name="外部資料_422" localSheetId="4">評比系統!#REF!</definedName>
    <definedName name="外部資料_4221" localSheetId="2">紅綠燈!#REF!</definedName>
    <definedName name="外部資料_4222" localSheetId="2">紅綠燈!#REF!</definedName>
    <definedName name="外部資料_4223" localSheetId="2">紅綠燈!#REF!</definedName>
    <definedName name="外部資料_4225" localSheetId="2">紅綠燈!#REF!</definedName>
    <definedName name="外部資料_4226" localSheetId="2">紅綠燈!#REF!</definedName>
    <definedName name="外部資料_4227" localSheetId="2">紅綠燈!#REF!</definedName>
    <definedName name="外部資料_4229" localSheetId="2">紅綠燈!#REF!</definedName>
    <definedName name="外部資料_423" localSheetId="12">PKA!#REF!</definedName>
    <definedName name="外部資料_423" localSheetId="13">PKB!#REF!</definedName>
    <definedName name="外部資料_423" localSheetId="14">PKC!#REF!</definedName>
    <definedName name="外部資料_423" localSheetId="7">公司債!#REF!</definedName>
    <definedName name="外部資料_423" localSheetId="0">基本設定!#REF!</definedName>
    <definedName name="外部資料_423" localSheetId="4">評比系統!#REF!</definedName>
    <definedName name="外部資料_4230" localSheetId="2">紅綠燈!#REF!</definedName>
    <definedName name="外部資料_4231" localSheetId="2">紅綠燈!#REF!</definedName>
    <definedName name="外部資料_4233" localSheetId="2">紅綠燈!#REF!</definedName>
    <definedName name="外部資料_4234" localSheetId="2">紅綠燈!#REF!</definedName>
    <definedName name="外部資料_4235" localSheetId="2">紅綠燈!#REF!</definedName>
    <definedName name="外部資料_4237" localSheetId="2">紅綠燈!#REF!</definedName>
    <definedName name="外部資料_4238" localSheetId="2">紅綠燈!#REF!</definedName>
    <definedName name="外部資料_4239" localSheetId="2">紅綠燈!#REF!</definedName>
    <definedName name="外部資料_424" localSheetId="12">PKA!#REF!</definedName>
    <definedName name="外部資料_424" localSheetId="13">PKB!#REF!</definedName>
    <definedName name="外部資料_424" localSheetId="14">PKC!#REF!</definedName>
    <definedName name="外部資料_424" localSheetId="7">公司債!#REF!</definedName>
    <definedName name="外部資料_424" localSheetId="0">基本設定!#REF!</definedName>
    <definedName name="外部資料_424" localSheetId="4">評比系統!#REF!</definedName>
    <definedName name="外部資料_4241" localSheetId="2">紅綠燈!#REF!</definedName>
    <definedName name="外部資料_4242" localSheetId="2">紅綠燈!#REF!</definedName>
    <definedName name="外部資料_4243" localSheetId="2">紅綠燈!#REF!</definedName>
    <definedName name="外部資料_4245" localSheetId="2">紅綠燈!#REF!</definedName>
    <definedName name="外部資料_4246" localSheetId="2">紅綠燈!#REF!</definedName>
    <definedName name="外部資料_4247" localSheetId="2">紅綠燈!#REF!</definedName>
    <definedName name="外部資料_4249" localSheetId="2">紅綠燈!#REF!</definedName>
    <definedName name="外部資料_425" localSheetId="12">PKA!#REF!</definedName>
    <definedName name="外部資料_425" localSheetId="13">PKB!#REF!</definedName>
    <definedName name="外部資料_425" localSheetId="14">PKC!#REF!</definedName>
    <definedName name="外部資料_425" localSheetId="7">公司債!#REF!</definedName>
    <definedName name="外部資料_425" localSheetId="0">基本設定!#REF!</definedName>
    <definedName name="外部資料_425" localSheetId="4">評比系統!#REF!</definedName>
    <definedName name="外部資料_4250" localSheetId="2">紅綠燈!#REF!</definedName>
    <definedName name="外部資料_4251" localSheetId="2">紅綠燈!#REF!</definedName>
    <definedName name="外部資料_4253" localSheetId="2">紅綠燈!#REF!</definedName>
    <definedName name="外部資料_4254" localSheetId="2">紅綠燈!#REF!</definedName>
    <definedName name="外部資料_4255" localSheetId="2">紅綠燈!#REF!</definedName>
    <definedName name="外部資料_4257" localSheetId="2">紅綠燈!#REF!</definedName>
    <definedName name="外部資料_4258" localSheetId="2">紅綠燈!#REF!</definedName>
    <definedName name="外部資料_4259" localSheetId="2">紅綠燈!#REF!</definedName>
    <definedName name="外部資料_426" localSheetId="12">PKA!#REF!</definedName>
    <definedName name="外部資料_426" localSheetId="13">PKB!#REF!</definedName>
    <definedName name="外部資料_426" localSheetId="14">PKC!#REF!</definedName>
    <definedName name="外部資料_426" localSheetId="7">公司債!#REF!</definedName>
    <definedName name="外部資料_426" localSheetId="0">基本設定!#REF!</definedName>
    <definedName name="外部資料_426" localSheetId="4">評比系統!#REF!</definedName>
    <definedName name="外部資料_4261" localSheetId="2">紅綠燈!#REF!</definedName>
    <definedName name="外部資料_4262" localSheetId="2">紅綠燈!#REF!</definedName>
    <definedName name="外部資料_4263" localSheetId="2">紅綠燈!#REF!</definedName>
    <definedName name="外部資料_4265" localSheetId="2">紅綠燈!#REF!</definedName>
    <definedName name="外部資料_4266" localSheetId="2">紅綠燈!#REF!</definedName>
    <definedName name="外部資料_4267" localSheetId="2">紅綠燈!#REF!</definedName>
    <definedName name="外部資料_4269" localSheetId="2">紅綠燈!#REF!</definedName>
    <definedName name="外部資料_427" localSheetId="12">PKA!#REF!</definedName>
    <definedName name="外部資料_427" localSheetId="13">PKB!#REF!</definedName>
    <definedName name="外部資料_427" localSheetId="14">PKC!#REF!</definedName>
    <definedName name="外部資料_427" localSheetId="7">公司債!#REF!</definedName>
    <definedName name="外部資料_427" localSheetId="0">基本設定!#REF!</definedName>
    <definedName name="外部資料_427" localSheetId="4">評比系統!#REF!</definedName>
    <definedName name="外部資料_4270" localSheetId="2">紅綠燈!#REF!</definedName>
    <definedName name="外部資料_4271" localSheetId="2">紅綠燈!#REF!</definedName>
    <definedName name="外部資料_4273" localSheetId="2">紅綠燈!#REF!</definedName>
    <definedName name="外部資料_4274" localSheetId="2">紅綠燈!#REF!</definedName>
    <definedName name="外部資料_4275" localSheetId="2">紅綠燈!#REF!</definedName>
    <definedName name="外部資料_4277" localSheetId="2">紅綠燈!#REF!</definedName>
    <definedName name="外部資料_4278" localSheetId="2">紅綠燈!#REF!</definedName>
    <definedName name="外部資料_4279" localSheetId="2">紅綠燈!#REF!</definedName>
    <definedName name="外部資料_428" localSheetId="12">PKA!#REF!</definedName>
    <definedName name="外部資料_428" localSheetId="13">PKB!#REF!</definedName>
    <definedName name="外部資料_428" localSheetId="14">PKC!#REF!</definedName>
    <definedName name="外部資料_428" localSheetId="7">公司債!#REF!</definedName>
    <definedName name="外部資料_428" localSheetId="0">基本設定!#REF!</definedName>
    <definedName name="外部資料_428" localSheetId="4">評比系統!#REF!</definedName>
    <definedName name="外部資料_4281" localSheetId="2">紅綠燈!#REF!</definedName>
    <definedName name="外部資料_4282" localSheetId="2">紅綠燈!#REF!</definedName>
    <definedName name="外部資料_4283" localSheetId="2">紅綠燈!#REF!</definedName>
    <definedName name="外部資料_4285" localSheetId="2">紅綠燈!#REF!</definedName>
    <definedName name="外部資料_4286" localSheetId="2">紅綠燈!#REF!</definedName>
    <definedName name="外部資料_4287" localSheetId="2">紅綠燈!#REF!</definedName>
    <definedName name="外部資料_4289" localSheetId="2">紅綠燈!#REF!</definedName>
    <definedName name="外部資料_429" localSheetId="12">PKA!#REF!</definedName>
    <definedName name="外部資料_429" localSheetId="13">PKB!#REF!</definedName>
    <definedName name="外部資料_429" localSheetId="14">PKC!#REF!</definedName>
    <definedName name="外部資料_429" localSheetId="7">公司債!#REF!</definedName>
    <definedName name="外部資料_429" localSheetId="0">基本設定!#REF!</definedName>
    <definedName name="外部資料_429" localSheetId="4">評比系統!#REF!</definedName>
    <definedName name="外部資料_4290" localSheetId="2">紅綠燈!#REF!</definedName>
    <definedName name="外部資料_4291" localSheetId="2">紅綠燈!#REF!</definedName>
    <definedName name="外部資料_4293" localSheetId="2">紅綠燈!#REF!</definedName>
    <definedName name="外部資料_4294" localSheetId="2">紅綠燈!#REF!</definedName>
    <definedName name="外部資料_4296" localSheetId="2">紅綠燈!#REF!</definedName>
    <definedName name="外部資料_4297" localSheetId="2">紅綠燈!#REF!</definedName>
    <definedName name="外部資料_4298" localSheetId="2">紅綠燈!#REF!</definedName>
    <definedName name="外部資料_43" localSheetId="12">PKA!#REF!</definedName>
    <definedName name="外部資料_43" localSheetId="13">PKB!#REF!</definedName>
    <definedName name="外部資料_43" localSheetId="14">PKC!#REF!</definedName>
    <definedName name="外部資料_43" localSheetId="7">公司債!#REF!</definedName>
    <definedName name="外部資料_43" localSheetId="2">紅綠燈!$A$220:$K$267</definedName>
    <definedName name="外部資料_43" localSheetId="0">基本設定!#REF!</definedName>
    <definedName name="外部資料_43" localSheetId="4">評比系統!#REF!</definedName>
    <definedName name="外部資料_430" localSheetId="12">PKA!#REF!</definedName>
    <definedName name="外部資料_430" localSheetId="13">PKB!#REF!</definedName>
    <definedName name="外部資料_430" localSheetId="14">PKC!#REF!</definedName>
    <definedName name="外部資料_430" localSheetId="7">公司債!#REF!</definedName>
    <definedName name="外部資料_430" localSheetId="0">基本設定!#REF!</definedName>
    <definedName name="外部資料_430" localSheetId="4">評比系統!#REF!</definedName>
    <definedName name="外部資料_4300" localSheetId="2">紅綠燈!#REF!</definedName>
    <definedName name="外部資料_4301" localSheetId="2">紅綠燈!#REF!</definedName>
    <definedName name="外部資料_4302" localSheetId="2">紅綠燈!#REF!</definedName>
    <definedName name="外部資料_4304" localSheetId="2">紅綠燈!#REF!</definedName>
    <definedName name="外部資料_4305" localSheetId="2">紅綠燈!#REF!</definedName>
    <definedName name="外部資料_4306" localSheetId="2">紅綠燈!#REF!</definedName>
    <definedName name="外部資料_4308" localSheetId="2">紅綠燈!#REF!</definedName>
    <definedName name="外部資料_4309" localSheetId="2">紅綠燈!#REF!</definedName>
    <definedName name="外部資料_431" localSheetId="12">PKA!#REF!</definedName>
    <definedName name="外部資料_431" localSheetId="13">PKB!#REF!</definedName>
    <definedName name="外部資料_431" localSheetId="14">PKC!#REF!</definedName>
    <definedName name="外部資料_431" localSheetId="7">公司債!#REF!</definedName>
    <definedName name="外部資料_431" localSheetId="0">基本設定!#REF!</definedName>
    <definedName name="外部資料_431" localSheetId="4">評比系統!#REF!</definedName>
    <definedName name="外部資料_4310" localSheetId="2">紅綠燈!#REF!</definedName>
    <definedName name="外部資料_4312" localSheetId="2">紅綠燈!#REF!</definedName>
    <definedName name="外部資料_4313" localSheetId="2">紅綠燈!#REF!</definedName>
    <definedName name="外部資料_4314" localSheetId="2">紅綠燈!#REF!</definedName>
    <definedName name="外部資料_4316" localSheetId="2">紅綠燈!#REF!</definedName>
    <definedName name="外部資料_4317" localSheetId="2">紅綠燈!#REF!</definedName>
    <definedName name="外部資料_4318" localSheetId="2">紅綠燈!#REF!</definedName>
    <definedName name="外部資料_432" localSheetId="12">PKA!#REF!</definedName>
    <definedName name="外部資料_432" localSheetId="13">PKB!#REF!</definedName>
    <definedName name="外部資料_432" localSheetId="14">PKC!#REF!</definedName>
    <definedName name="外部資料_432" localSheetId="7">公司債!#REF!</definedName>
    <definedName name="外部資料_432" localSheetId="0">基本設定!#REF!</definedName>
    <definedName name="外部資料_432" localSheetId="4">評比系統!#REF!</definedName>
    <definedName name="外部資料_4320" localSheetId="2">紅綠燈!#REF!</definedName>
    <definedName name="外部資料_4321" localSheetId="2">紅綠燈!#REF!</definedName>
    <definedName name="外部資料_4322" localSheetId="2">紅綠燈!#REF!</definedName>
    <definedName name="外部資料_4324" localSheetId="2">紅綠燈!#REF!</definedName>
    <definedName name="外部資料_4325" localSheetId="2">紅綠燈!#REF!</definedName>
    <definedName name="外部資料_4326" localSheetId="2">紅綠燈!#REF!</definedName>
    <definedName name="外部資料_4328" localSheetId="2">紅綠燈!#REF!</definedName>
    <definedName name="外部資料_4329" localSheetId="2">紅綠燈!#REF!</definedName>
    <definedName name="外部資料_433" localSheetId="12">PKA!#REF!</definedName>
    <definedName name="外部資料_433" localSheetId="13">PKB!#REF!</definedName>
    <definedName name="外部資料_433" localSheetId="14">PKC!#REF!</definedName>
    <definedName name="外部資料_433" localSheetId="7">公司債!#REF!</definedName>
    <definedName name="外部資料_433" localSheetId="0">基本設定!#REF!</definedName>
    <definedName name="外部資料_433" localSheetId="4">評比系統!#REF!</definedName>
    <definedName name="外部資料_4330" localSheetId="2">紅綠燈!#REF!</definedName>
    <definedName name="外部資料_4332" localSheetId="2">紅綠燈!#REF!</definedName>
    <definedName name="外部資料_4333" localSheetId="2">紅綠燈!#REF!</definedName>
    <definedName name="外部資料_4334" localSheetId="2">紅綠燈!#REF!</definedName>
    <definedName name="外部資料_4336" localSheetId="2">紅綠燈!#REF!</definedName>
    <definedName name="外部資料_4337" localSheetId="2">紅綠燈!#REF!</definedName>
    <definedName name="外部資料_4338" localSheetId="2">紅綠燈!#REF!</definedName>
    <definedName name="外部資料_434" localSheetId="12">PKA!#REF!</definedName>
    <definedName name="外部資料_434" localSheetId="13">PKB!#REF!</definedName>
    <definedName name="外部資料_434" localSheetId="14">PKC!#REF!</definedName>
    <definedName name="外部資料_434" localSheetId="7">公司債!#REF!</definedName>
    <definedName name="外部資料_434" localSheetId="0">基本設定!#REF!</definedName>
    <definedName name="外部資料_434" localSheetId="4">評比系統!#REF!</definedName>
    <definedName name="外部資料_4340" localSheetId="2">紅綠燈!#REF!</definedName>
    <definedName name="外部資料_4341" localSheetId="2">紅綠燈!#REF!</definedName>
    <definedName name="外部資料_4342" localSheetId="2">紅綠燈!#REF!</definedName>
    <definedName name="外部資料_4344" localSheetId="2">紅綠燈!#REF!</definedName>
    <definedName name="外部資料_4345" localSheetId="2">紅綠燈!#REF!</definedName>
    <definedName name="外部資料_4346" localSheetId="2">紅綠燈!#REF!</definedName>
    <definedName name="外部資料_4348" localSheetId="2">紅綠燈!#REF!</definedName>
    <definedName name="外部資料_4349" localSheetId="2">紅綠燈!#REF!</definedName>
    <definedName name="外部資料_435" localSheetId="12">PKA!#REF!</definedName>
    <definedName name="外部資料_435" localSheetId="13">PKB!#REF!</definedName>
    <definedName name="外部資料_435" localSheetId="14">PKC!#REF!</definedName>
    <definedName name="外部資料_435" localSheetId="7">公司債!#REF!</definedName>
    <definedName name="外部資料_435" localSheetId="0">基本設定!#REF!</definedName>
    <definedName name="外部資料_435" localSheetId="4">評比系統!#REF!</definedName>
    <definedName name="外部資料_4350" localSheetId="2">紅綠燈!#REF!</definedName>
    <definedName name="外部資料_4352" localSheetId="2">紅綠燈!#REF!</definedName>
    <definedName name="外部資料_4353" localSheetId="2">紅綠燈!#REF!</definedName>
    <definedName name="外部資料_4354" localSheetId="2">紅綠燈!#REF!</definedName>
    <definedName name="外部資料_4356" localSheetId="2">紅綠燈!#REF!</definedName>
    <definedName name="外部資料_4357" localSheetId="2">紅綠燈!#REF!</definedName>
    <definedName name="外部資料_4358" localSheetId="2">紅綠燈!#REF!</definedName>
    <definedName name="外部資料_436" localSheetId="12">PKA!#REF!</definedName>
    <definedName name="外部資料_436" localSheetId="13">PKB!#REF!</definedName>
    <definedName name="外部資料_436" localSheetId="14">PKC!#REF!</definedName>
    <definedName name="外部資料_436" localSheetId="7">公司債!#REF!</definedName>
    <definedName name="外部資料_436" localSheetId="0">基本設定!#REF!</definedName>
    <definedName name="外部資料_436" localSheetId="4">評比系統!#REF!</definedName>
    <definedName name="外部資料_4360" localSheetId="2">紅綠燈!#REF!</definedName>
    <definedName name="外部資料_4361" localSheetId="2">紅綠燈!#REF!</definedName>
    <definedName name="外部資料_4362" localSheetId="2">紅綠燈!#REF!</definedName>
    <definedName name="外部資料_4364" localSheetId="2">紅綠燈!#REF!</definedName>
    <definedName name="外部資料_4365" localSheetId="2">紅綠燈!#REF!</definedName>
    <definedName name="外部資料_4366" localSheetId="2">紅綠燈!#REF!</definedName>
    <definedName name="外部資料_4368" localSheetId="2">紅綠燈!#REF!</definedName>
    <definedName name="外部資料_4369" localSheetId="2">紅綠燈!#REF!</definedName>
    <definedName name="外部資料_437" localSheetId="12">PKA!#REF!</definedName>
    <definedName name="外部資料_437" localSheetId="13">PKB!#REF!</definedName>
    <definedName name="外部資料_437" localSheetId="14">PKC!#REF!</definedName>
    <definedName name="外部資料_437" localSheetId="7">公司債!#REF!</definedName>
    <definedName name="外部資料_437" localSheetId="0">基本設定!#REF!</definedName>
    <definedName name="外部資料_437" localSheetId="4">評比系統!#REF!</definedName>
    <definedName name="外部資料_4370" localSheetId="2">紅綠燈!#REF!</definedName>
    <definedName name="外部資料_4372" localSheetId="2">紅綠燈!#REF!</definedName>
    <definedName name="外部資料_4373" localSheetId="2">紅綠燈!#REF!</definedName>
    <definedName name="外部資料_4374" localSheetId="2">紅綠燈!#REF!</definedName>
    <definedName name="外部資料_4376" localSheetId="2">紅綠燈!#REF!</definedName>
    <definedName name="外部資料_4377" localSheetId="2">紅綠燈!#REF!</definedName>
    <definedName name="外部資料_4378" localSheetId="2">紅綠燈!#REF!</definedName>
    <definedName name="外部資料_438" localSheetId="12">PKA!#REF!</definedName>
    <definedName name="外部資料_438" localSheetId="13">PKB!#REF!</definedName>
    <definedName name="外部資料_438" localSheetId="14">PKC!#REF!</definedName>
    <definedName name="外部資料_438" localSheetId="7">公司債!#REF!</definedName>
    <definedName name="外部資料_438" localSheetId="0">基本設定!#REF!</definedName>
    <definedName name="外部資料_438" localSheetId="4">評比系統!#REF!</definedName>
    <definedName name="外部資料_4380" localSheetId="2">紅綠燈!#REF!</definedName>
    <definedName name="外部資料_4381" localSheetId="2">紅綠燈!#REF!</definedName>
    <definedName name="外部資料_4382" localSheetId="2">紅綠燈!#REF!</definedName>
    <definedName name="外部資料_4384" localSheetId="2">紅綠燈!#REF!</definedName>
    <definedName name="外部資料_4385" localSheetId="2">紅綠燈!#REF!</definedName>
    <definedName name="外部資料_4386" localSheetId="2">紅綠燈!#REF!</definedName>
    <definedName name="外部資料_4388" localSheetId="2">紅綠燈!#REF!</definedName>
    <definedName name="外部資料_4389" localSheetId="2">紅綠燈!#REF!</definedName>
    <definedName name="外部資料_439" localSheetId="12">PKA!#REF!</definedName>
    <definedName name="外部資料_439" localSheetId="13">PKB!#REF!</definedName>
    <definedName name="外部資料_439" localSheetId="14">PKC!#REF!</definedName>
    <definedName name="外部資料_439" localSheetId="7">公司債!#REF!</definedName>
    <definedName name="外部資料_439" localSheetId="0">基本設定!#REF!</definedName>
    <definedName name="外部資料_439" localSheetId="4">評比系統!#REF!</definedName>
    <definedName name="外部資料_4390" localSheetId="2">紅綠燈!#REF!</definedName>
    <definedName name="外部資料_4392" localSheetId="2">紅綠燈!#REF!</definedName>
    <definedName name="外部資料_4393" localSheetId="2">紅綠燈!#REF!</definedName>
    <definedName name="外部資料_4394" localSheetId="2">紅綠燈!#REF!</definedName>
    <definedName name="外部資料_4396" localSheetId="2">紅綠燈!#REF!</definedName>
    <definedName name="外部資料_4397" localSheetId="2">紅綠燈!#REF!</definedName>
    <definedName name="外部資料_4398" localSheetId="2">紅綠燈!#REF!</definedName>
    <definedName name="外部資料_44" localSheetId="12">PKA!#REF!</definedName>
    <definedName name="外部資料_44" localSheetId="13">PKB!#REF!</definedName>
    <definedName name="外部資料_44" localSheetId="14">PKC!#REF!</definedName>
    <definedName name="外部資料_44" localSheetId="7">公司債!#REF!</definedName>
    <definedName name="外部資料_44" localSheetId="2">紅綠燈!$N$52:$Y$58</definedName>
    <definedName name="外部資料_44" localSheetId="0">基本設定!#REF!</definedName>
    <definedName name="外部資料_44" localSheetId="4">評比系統!#REF!</definedName>
    <definedName name="外部資料_440" localSheetId="12">PKA!#REF!</definedName>
    <definedName name="外部資料_440" localSheetId="13">PKB!#REF!</definedName>
    <definedName name="外部資料_440" localSheetId="14">PKC!#REF!</definedName>
    <definedName name="外部資料_440" localSheetId="7">公司債!#REF!</definedName>
    <definedName name="外部資料_440" localSheetId="0">基本設定!#REF!</definedName>
    <definedName name="外部資料_440" localSheetId="4">評比系統!#REF!</definedName>
    <definedName name="外部資料_4400" localSheetId="2">紅綠燈!#REF!</definedName>
    <definedName name="外部資料_4401" localSheetId="2">紅綠燈!#REF!</definedName>
    <definedName name="外部資料_4402" localSheetId="2">紅綠燈!#REF!</definedName>
    <definedName name="外部資料_4404" localSheetId="2">紅綠燈!#REF!</definedName>
    <definedName name="外部資料_4405" localSheetId="2">紅綠燈!#REF!</definedName>
    <definedName name="外部資料_4406" localSheetId="2">紅綠燈!#REF!</definedName>
    <definedName name="外部資料_4408" localSheetId="2">紅綠燈!#REF!</definedName>
    <definedName name="外部資料_4409" localSheetId="2">紅綠燈!#REF!</definedName>
    <definedName name="外部資料_441" localSheetId="12">PKA!#REF!</definedName>
    <definedName name="外部資料_441" localSheetId="13">PKB!#REF!</definedName>
    <definedName name="外部資料_441" localSheetId="14">PKC!#REF!</definedName>
    <definedName name="外部資料_441" localSheetId="7">公司債!#REF!</definedName>
    <definedName name="外部資料_441" localSheetId="0">基本設定!#REF!</definedName>
    <definedName name="外部資料_441" localSheetId="4">評比系統!#REF!</definedName>
    <definedName name="外部資料_4410" localSheetId="2">紅綠燈!#REF!</definedName>
    <definedName name="外部資料_4412" localSheetId="2">紅綠燈!#REF!</definedName>
    <definedName name="外部資料_4413" localSheetId="2">紅綠燈!#REF!</definedName>
    <definedName name="外部資料_4414" localSheetId="2">紅綠燈!#REF!</definedName>
    <definedName name="外部資料_4416" localSheetId="2">紅綠燈!#REF!</definedName>
    <definedName name="外部資料_4417" localSheetId="2">紅綠燈!#REF!</definedName>
    <definedName name="外部資料_4418" localSheetId="2">紅綠燈!#REF!</definedName>
    <definedName name="外部資料_442" localSheetId="12">PKA!#REF!</definedName>
    <definedName name="外部資料_442" localSheetId="13">PKB!#REF!</definedName>
    <definedName name="外部資料_442" localSheetId="14">PKC!#REF!</definedName>
    <definedName name="外部資料_442" localSheetId="7">公司債!#REF!</definedName>
    <definedName name="外部資料_442" localSheetId="0">基本設定!#REF!</definedName>
    <definedName name="外部資料_442" localSheetId="4">評比系統!#REF!</definedName>
    <definedName name="外部資料_4420" localSheetId="2">紅綠燈!#REF!</definedName>
    <definedName name="外部資料_4421" localSheetId="2">紅綠燈!#REF!</definedName>
    <definedName name="外部資料_4422" localSheetId="2">紅綠燈!#REF!</definedName>
    <definedName name="外部資料_4424" localSheetId="2">紅綠燈!#REF!</definedName>
    <definedName name="外部資料_4425" localSheetId="2">紅綠燈!#REF!</definedName>
    <definedName name="外部資料_4426" localSheetId="2">紅綠燈!#REF!</definedName>
    <definedName name="外部資料_4428" localSheetId="2">紅綠燈!#REF!</definedName>
    <definedName name="外部資料_4429" localSheetId="2">紅綠燈!#REF!</definedName>
    <definedName name="外部資料_443" localSheetId="12">PKA!#REF!</definedName>
    <definedName name="外部資料_443" localSheetId="13">PKB!#REF!</definedName>
    <definedName name="外部資料_443" localSheetId="14">PKC!#REF!</definedName>
    <definedName name="外部資料_443" localSheetId="7">公司債!#REF!</definedName>
    <definedName name="外部資料_443" localSheetId="0">基本設定!#REF!</definedName>
    <definedName name="外部資料_443" localSheetId="4">評比系統!#REF!</definedName>
    <definedName name="外部資料_4430" localSheetId="2">紅綠燈!#REF!</definedName>
    <definedName name="外部資料_4432" localSheetId="2">紅綠燈!#REF!</definedName>
    <definedName name="外部資料_4433" localSheetId="2">紅綠燈!#REF!</definedName>
    <definedName name="外部資料_4435" localSheetId="2">紅綠燈!#REF!</definedName>
    <definedName name="外部資料_4436" localSheetId="2">紅綠燈!#REF!</definedName>
    <definedName name="外部資料_4437" localSheetId="2">紅綠燈!#REF!</definedName>
    <definedName name="外部資料_4439" localSheetId="2">紅綠燈!#REF!</definedName>
    <definedName name="外部資料_444" localSheetId="12">PKA!#REF!</definedName>
    <definedName name="外部資料_444" localSheetId="13">PKB!#REF!</definedName>
    <definedName name="外部資料_444" localSheetId="14">PKC!#REF!</definedName>
    <definedName name="外部資料_444" localSheetId="7">公司債!#REF!</definedName>
    <definedName name="外部資料_444" localSheetId="0">基本設定!#REF!</definedName>
    <definedName name="外部資料_444" localSheetId="4">評比系統!#REF!</definedName>
    <definedName name="外部資料_4440" localSheetId="2">紅綠燈!#REF!</definedName>
    <definedName name="外部資料_4441" localSheetId="2">紅綠燈!#REF!</definedName>
    <definedName name="外部資料_4443" localSheetId="2">紅綠燈!#REF!</definedName>
    <definedName name="外部資料_4444" localSheetId="2">紅綠燈!#REF!</definedName>
    <definedName name="外部資料_4445" localSheetId="2">紅綠燈!#REF!</definedName>
    <definedName name="外部資料_4447" localSheetId="2">紅綠燈!#REF!</definedName>
    <definedName name="外部資料_4448" localSheetId="2">紅綠燈!#REF!</definedName>
    <definedName name="外部資料_4449" localSheetId="2">紅綠燈!#REF!</definedName>
    <definedName name="外部資料_445" localSheetId="12">PKA!#REF!</definedName>
    <definedName name="外部資料_445" localSheetId="13">PKB!#REF!</definedName>
    <definedName name="外部資料_445" localSheetId="14">PKC!#REF!</definedName>
    <definedName name="外部資料_445" localSheetId="7">公司債!#REF!</definedName>
    <definedName name="外部資料_445" localSheetId="0">基本設定!#REF!</definedName>
    <definedName name="外部資料_445" localSheetId="4">評比系統!#REF!</definedName>
    <definedName name="外部資料_4451" localSheetId="2">紅綠燈!#REF!</definedName>
    <definedName name="外部資料_4452" localSheetId="2">紅綠燈!#REF!</definedName>
    <definedName name="外部資料_4453" localSheetId="2">紅綠燈!#REF!</definedName>
    <definedName name="外部資料_4455" localSheetId="2">紅綠燈!#REF!</definedName>
    <definedName name="外部資料_4456" localSheetId="2">紅綠燈!#REF!</definedName>
    <definedName name="外部資料_4457" localSheetId="2">紅綠燈!#REF!</definedName>
    <definedName name="外部資料_4459" localSheetId="2">紅綠燈!#REF!</definedName>
    <definedName name="外部資料_446" localSheetId="12">PKA!#REF!</definedName>
    <definedName name="外部資料_446" localSheetId="13">PKB!#REF!</definedName>
    <definedName name="外部資料_446" localSheetId="14">PKC!#REF!</definedName>
    <definedName name="外部資料_446" localSheetId="7">公司債!#REF!</definedName>
    <definedName name="外部資料_446" localSheetId="0">基本設定!#REF!</definedName>
    <definedName name="外部資料_446" localSheetId="4">評比系統!#REF!</definedName>
    <definedName name="外部資料_4460" localSheetId="2">紅綠燈!#REF!</definedName>
    <definedName name="外部資料_4461" localSheetId="2">紅綠燈!#REF!</definedName>
    <definedName name="外部資料_4463" localSheetId="2">紅綠燈!#REF!</definedName>
    <definedName name="外部資料_4464" localSheetId="2">紅綠燈!#REF!</definedName>
    <definedName name="外部資料_4465" localSheetId="2">紅綠燈!#REF!</definedName>
    <definedName name="外部資料_4467" localSheetId="2">紅綠燈!#REF!</definedName>
    <definedName name="外部資料_4468" localSheetId="2">紅綠燈!#REF!</definedName>
    <definedName name="外部資料_4469" localSheetId="2">紅綠燈!#REF!</definedName>
    <definedName name="外部資料_447" localSheetId="12">PKA!#REF!</definedName>
    <definedName name="外部資料_447" localSheetId="13">PKB!#REF!</definedName>
    <definedName name="外部資料_447" localSheetId="14">PKC!#REF!</definedName>
    <definedName name="外部資料_447" localSheetId="7">公司債!#REF!</definedName>
    <definedName name="外部資料_447" localSheetId="0">基本設定!#REF!</definedName>
    <definedName name="外部資料_447" localSheetId="4">評比系統!#REF!</definedName>
    <definedName name="外部資料_4471" localSheetId="2">紅綠燈!#REF!</definedName>
    <definedName name="外部資料_4472" localSheetId="2">紅綠燈!#REF!</definedName>
    <definedName name="外部資料_4473" localSheetId="2">紅綠燈!#REF!</definedName>
    <definedName name="外部資料_4475" localSheetId="2">紅綠燈!#REF!</definedName>
    <definedName name="外部資料_4476" localSheetId="2">紅綠燈!#REF!</definedName>
    <definedName name="外部資料_4478" localSheetId="2">紅綠燈!#REF!</definedName>
    <definedName name="外部資料_4479" localSheetId="2">紅綠燈!#REF!</definedName>
    <definedName name="外部資料_448" localSheetId="12">PKA!#REF!</definedName>
    <definedName name="外部資料_448" localSheetId="13">PKB!#REF!</definedName>
    <definedName name="外部資料_448" localSheetId="14">PKC!#REF!</definedName>
    <definedName name="外部資料_448" localSheetId="7">公司債!#REF!</definedName>
    <definedName name="外部資料_448" localSheetId="0">基本設定!#REF!</definedName>
    <definedName name="外部資料_448" localSheetId="4">評比系統!#REF!</definedName>
    <definedName name="外部資料_4480" localSheetId="2">紅綠燈!#REF!</definedName>
    <definedName name="外部資料_4482" localSheetId="2">紅綠燈!#REF!</definedName>
    <definedName name="外部資料_4483" localSheetId="2">紅綠燈!#REF!</definedName>
    <definedName name="外部資料_4484" localSheetId="2">紅綠燈!#REF!</definedName>
    <definedName name="外部資料_4486" localSheetId="2">紅綠燈!#REF!</definedName>
    <definedName name="外部資料_4487" localSheetId="2">紅綠燈!#REF!</definedName>
    <definedName name="外部資料_4488" localSheetId="2">紅綠燈!#REF!</definedName>
    <definedName name="外部資料_449" localSheetId="12">PKA!#REF!</definedName>
    <definedName name="外部資料_449" localSheetId="13">PKB!#REF!</definedName>
    <definedName name="外部資料_449" localSheetId="14">PKC!#REF!</definedName>
    <definedName name="外部資料_449" localSheetId="7">公司債!#REF!</definedName>
    <definedName name="外部資料_449" localSheetId="0">基本設定!#REF!</definedName>
    <definedName name="外部資料_449" localSheetId="4">評比系統!#REF!</definedName>
    <definedName name="外部資料_4490" localSheetId="2">紅綠燈!#REF!</definedName>
    <definedName name="外部資料_4491" localSheetId="2">紅綠燈!#REF!</definedName>
    <definedName name="外部資料_4492" localSheetId="2">紅綠燈!#REF!</definedName>
    <definedName name="外部資料_4494" localSheetId="2">紅綠燈!#REF!</definedName>
    <definedName name="外部資料_4495" localSheetId="2">紅綠燈!#REF!</definedName>
    <definedName name="外部資料_4496" localSheetId="2">紅綠燈!#REF!</definedName>
    <definedName name="外部資料_4498" localSheetId="2">紅綠燈!#REF!</definedName>
    <definedName name="外部資料_4499" localSheetId="2">紅綠燈!#REF!</definedName>
    <definedName name="外部資料_45" localSheetId="12">PKA!#REF!</definedName>
    <definedName name="外部資料_45" localSheetId="13">PKB!#REF!</definedName>
    <definedName name="外部資料_45" localSheetId="14">PKC!#REF!</definedName>
    <definedName name="外部資料_45" localSheetId="7">公司債!#REF!</definedName>
    <definedName name="外部資料_45" localSheetId="2">紅綠燈!$N$65:$AD$120</definedName>
    <definedName name="外部資料_45" localSheetId="0">基本設定!#REF!</definedName>
    <definedName name="外部資料_45" localSheetId="4">評比系統!#REF!</definedName>
    <definedName name="外部資料_450" localSheetId="12">PKA!#REF!</definedName>
    <definedName name="外部資料_450" localSheetId="13">PKB!#REF!</definedName>
    <definedName name="外部資料_450" localSheetId="14">PKC!#REF!</definedName>
    <definedName name="外部資料_450" localSheetId="7">公司債!#REF!</definedName>
    <definedName name="外部資料_450" localSheetId="0">基本設定!#REF!</definedName>
    <definedName name="外部資料_450" localSheetId="4">評比系統!#REF!</definedName>
    <definedName name="外部資料_4500" localSheetId="2">紅綠燈!#REF!</definedName>
    <definedName name="外部資料_4502" localSheetId="2">紅綠燈!#REF!</definedName>
    <definedName name="外部資料_4503" localSheetId="2">紅綠燈!#REF!</definedName>
    <definedName name="外部資料_4504" localSheetId="2">紅綠燈!#REF!</definedName>
    <definedName name="外部資料_4506" localSheetId="2">紅綠燈!#REF!</definedName>
    <definedName name="外部資料_4507" localSheetId="2">紅綠燈!#REF!</definedName>
    <definedName name="外部資料_4508" localSheetId="2">紅綠燈!#REF!</definedName>
    <definedName name="外部資料_451" localSheetId="12">PKA!#REF!</definedName>
    <definedName name="外部資料_451" localSheetId="13">PKB!#REF!</definedName>
    <definedName name="外部資料_451" localSheetId="14">PKC!#REF!</definedName>
    <definedName name="外部資料_451" localSheetId="7">公司債!#REF!</definedName>
    <definedName name="外部資料_451" localSheetId="0">基本設定!#REF!</definedName>
    <definedName name="外部資料_451" localSheetId="4">評比系統!#REF!</definedName>
    <definedName name="外部資料_4510" localSheetId="2">紅綠燈!#REF!</definedName>
    <definedName name="外部資料_4511" localSheetId="2">紅綠燈!#REF!</definedName>
    <definedName name="外部資料_4512" localSheetId="2">紅綠燈!#REF!</definedName>
    <definedName name="外部資料_4514" localSheetId="2">紅綠燈!#REF!</definedName>
    <definedName name="外部資料_4515" localSheetId="2">紅綠燈!#REF!</definedName>
    <definedName name="外部資料_4517" localSheetId="2">紅綠燈!#REF!</definedName>
    <definedName name="外部資料_4518" localSheetId="2">紅綠燈!#REF!</definedName>
    <definedName name="外部資料_4519" localSheetId="2">紅綠燈!#REF!</definedName>
    <definedName name="外部資料_452" localSheetId="12">PKA!#REF!</definedName>
    <definedName name="外部資料_452" localSheetId="13">PKB!#REF!</definedName>
    <definedName name="外部資料_452" localSheetId="14">PKC!#REF!</definedName>
    <definedName name="外部資料_452" localSheetId="7">公司債!#REF!</definedName>
    <definedName name="外部資料_452" localSheetId="0">基本設定!#REF!</definedName>
    <definedName name="外部資料_452" localSheetId="4">評比系統!#REF!</definedName>
    <definedName name="外部資料_4521" localSheetId="2">紅綠燈!#REF!</definedName>
    <definedName name="外部資料_4522" localSheetId="2">紅綠燈!#REF!</definedName>
    <definedName name="外部資料_4523" localSheetId="2">紅綠燈!#REF!</definedName>
    <definedName name="外部資料_4525" localSheetId="2">紅綠燈!#REF!</definedName>
    <definedName name="外部資料_4526" localSheetId="2">紅綠燈!#REF!</definedName>
    <definedName name="外部資料_4527" localSheetId="2">紅綠燈!#REF!</definedName>
    <definedName name="外部資料_4529" localSheetId="2">紅綠燈!#REF!</definedName>
    <definedName name="外部資料_453" localSheetId="12">PKA!#REF!</definedName>
    <definedName name="外部資料_453" localSheetId="13">PKB!#REF!</definedName>
    <definedName name="外部資料_453" localSheetId="14">PKC!#REF!</definedName>
    <definedName name="外部資料_453" localSheetId="7">公司債!#REF!</definedName>
    <definedName name="外部資料_453" localSheetId="0">基本設定!#REF!</definedName>
    <definedName name="外部資料_453" localSheetId="4">評比系統!#REF!</definedName>
    <definedName name="外部資料_4530" localSheetId="2">紅綠燈!#REF!</definedName>
    <definedName name="外部資料_4531" localSheetId="2">紅綠燈!#REF!</definedName>
    <definedName name="外部資料_4533" localSheetId="2">紅綠燈!#REF!</definedName>
    <definedName name="外部資料_4534" localSheetId="2">紅綠燈!#REF!</definedName>
    <definedName name="外部資料_4535" localSheetId="2">紅綠燈!#REF!</definedName>
    <definedName name="外部資料_4537" localSheetId="2">紅綠燈!#REF!</definedName>
    <definedName name="外部資料_4538" localSheetId="2">紅綠燈!#REF!</definedName>
    <definedName name="外部資料_4539" localSheetId="2">紅綠燈!#REF!</definedName>
    <definedName name="外部資料_454" localSheetId="12">PKA!#REF!</definedName>
    <definedName name="外部資料_454" localSheetId="13">PKB!#REF!</definedName>
    <definedName name="外部資料_454" localSheetId="14">PKC!#REF!</definedName>
    <definedName name="外部資料_454" localSheetId="7">公司債!#REF!</definedName>
    <definedName name="外部資料_454" localSheetId="0">基本設定!#REF!</definedName>
    <definedName name="外部資料_454" localSheetId="4">評比系統!#REF!</definedName>
    <definedName name="外部資料_4541" localSheetId="2">紅綠燈!#REF!</definedName>
    <definedName name="外部資料_4542" localSheetId="2">紅綠燈!#REF!</definedName>
    <definedName name="外部資料_4543" localSheetId="2">紅綠燈!#REF!</definedName>
    <definedName name="外部資料_4545" localSheetId="2">紅綠燈!#REF!</definedName>
    <definedName name="外部資料_4546" localSheetId="2">紅綠燈!#REF!</definedName>
    <definedName name="外部資料_4547" localSheetId="2">紅綠燈!#REF!</definedName>
    <definedName name="外部資料_4549" localSheetId="2">紅綠燈!#REF!</definedName>
    <definedName name="外部資料_455" localSheetId="12">PKA!#REF!</definedName>
    <definedName name="外部資料_455" localSheetId="13">PKB!#REF!</definedName>
    <definedName name="外部資料_455" localSheetId="14">PKC!#REF!</definedName>
    <definedName name="外部資料_455" localSheetId="7">公司債!#REF!</definedName>
    <definedName name="外部資料_455" localSheetId="0">基本設定!#REF!</definedName>
    <definedName name="外部資料_455" localSheetId="4">評比系統!#REF!</definedName>
    <definedName name="外部資料_4550" localSheetId="2">紅綠燈!#REF!</definedName>
    <definedName name="外部資料_4551" localSheetId="2">紅綠燈!#REF!</definedName>
    <definedName name="外部資料_4553" localSheetId="2">紅綠燈!#REF!</definedName>
    <definedName name="外部資料_4554" localSheetId="2">紅綠燈!#REF!</definedName>
    <definedName name="外部資料_4555" localSheetId="2">紅綠燈!#REF!</definedName>
    <definedName name="外部資料_4557" localSheetId="2">紅綠燈!#REF!</definedName>
    <definedName name="外部資料_4558" localSheetId="2">紅綠燈!#REF!</definedName>
    <definedName name="外部資料_4559" localSheetId="2">紅綠燈!#REF!</definedName>
    <definedName name="外部資料_456" localSheetId="12">PKA!#REF!</definedName>
    <definedName name="外部資料_456" localSheetId="13">PKB!#REF!</definedName>
    <definedName name="外部資料_456" localSheetId="14">PKC!#REF!</definedName>
    <definedName name="外部資料_456" localSheetId="7">公司債!#REF!</definedName>
    <definedName name="外部資料_456" localSheetId="0">基本設定!#REF!</definedName>
    <definedName name="外部資料_456" localSheetId="4">評比系統!#REF!</definedName>
    <definedName name="外部資料_4561" localSheetId="2">紅綠燈!#REF!</definedName>
    <definedName name="外部資料_4562" localSheetId="2">紅綠燈!#REF!</definedName>
    <definedName name="外部資料_4564" localSheetId="2">紅綠燈!#REF!</definedName>
    <definedName name="外部資料_4565" localSheetId="2">紅綠燈!#REF!</definedName>
    <definedName name="外部資料_4566" localSheetId="2">紅綠燈!#REF!</definedName>
    <definedName name="外部資料_4568" localSheetId="2">紅綠燈!#REF!</definedName>
    <definedName name="外部資料_4569" localSheetId="2">紅綠燈!#REF!</definedName>
    <definedName name="外部資料_457" localSheetId="12">PKA!#REF!</definedName>
    <definedName name="外部資料_457" localSheetId="13">PKB!#REF!</definedName>
    <definedName name="外部資料_457" localSheetId="14">PKC!#REF!</definedName>
    <definedName name="外部資料_457" localSheetId="7">公司債!#REF!</definedName>
    <definedName name="外部資料_457" localSheetId="0">基本設定!#REF!</definedName>
    <definedName name="外部資料_457" localSheetId="4">評比系統!#REF!</definedName>
    <definedName name="外部資料_4570" localSheetId="2">紅綠燈!#REF!</definedName>
    <definedName name="外部資料_4572" localSheetId="2">紅綠燈!#REF!</definedName>
    <definedName name="外部資料_4573" localSheetId="2">紅綠燈!#REF!</definedName>
    <definedName name="外部資料_4574" localSheetId="2">紅綠燈!#REF!</definedName>
    <definedName name="外部資料_4576" localSheetId="2">紅綠燈!#REF!</definedName>
    <definedName name="外部資料_4577" localSheetId="2">紅綠燈!#REF!</definedName>
    <definedName name="外部資料_4578" localSheetId="2">紅綠燈!#REF!</definedName>
    <definedName name="外部資料_458" localSheetId="12">PKA!#REF!</definedName>
    <definedName name="外部資料_458" localSheetId="13">PKB!#REF!</definedName>
    <definedName name="外部資料_458" localSheetId="14">PKC!#REF!</definedName>
    <definedName name="外部資料_458" localSheetId="7">公司債!#REF!</definedName>
    <definedName name="外部資料_458" localSheetId="0">基本設定!#REF!</definedName>
    <definedName name="外部資料_458" localSheetId="4">評比系統!#REF!</definedName>
    <definedName name="外部資料_4580" localSheetId="2">紅綠燈!#REF!</definedName>
    <definedName name="外部資料_4581" localSheetId="2">紅綠燈!#REF!</definedName>
    <definedName name="外部資料_4582" localSheetId="2">紅綠燈!#REF!</definedName>
    <definedName name="外部資料_4584" localSheetId="2">紅綠燈!#REF!</definedName>
    <definedName name="外部資料_4585" localSheetId="2">紅綠燈!#REF!</definedName>
    <definedName name="外部資料_4586" localSheetId="2">紅綠燈!#REF!</definedName>
    <definedName name="外部資料_4588" localSheetId="2">紅綠燈!#REF!</definedName>
    <definedName name="外部資料_4589" localSheetId="2">紅綠燈!#REF!</definedName>
    <definedName name="外部資料_459" localSheetId="12">PKA!#REF!</definedName>
    <definedName name="外部資料_459" localSheetId="13">PKB!#REF!</definedName>
    <definedName name="外部資料_459" localSheetId="14">PKC!#REF!</definedName>
    <definedName name="外部資料_459" localSheetId="7">公司債!#REF!</definedName>
    <definedName name="外部資料_459" localSheetId="0">基本設定!#REF!</definedName>
    <definedName name="外部資料_459" localSheetId="4">評比系統!#REF!</definedName>
    <definedName name="外部資料_4590" localSheetId="2">紅綠燈!#REF!</definedName>
    <definedName name="外部資料_4592" localSheetId="2">紅綠燈!#REF!</definedName>
    <definedName name="外部資料_4593" localSheetId="2">紅綠燈!#REF!</definedName>
    <definedName name="外部資料_4594" localSheetId="2">紅綠燈!#REF!</definedName>
    <definedName name="外部資料_4596" localSheetId="2">紅綠燈!#REF!</definedName>
    <definedName name="外部資料_4597" localSheetId="2">紅綠燈!#REF!</definedName>
    <definedName name="外部資料_4598" localSheetId="2">紅綠燈!#REF!</definedName>
    <definedName name="外部資料_46" localSheetId="12">PKA!#REF!</definedName>
    <definedName name="外部資料_46" localSheetId="13">PKB!#REF!</definedName>
    <definedName name="外部資料_46" localSheetId="14">PKC!#REF!</definedName>
    <definedName name="外部資料_46" localSheetId="7">公司債!#REF!</definedName>
    <definedName name="外部資料_46" localSheetId="0">基本設定!#REF!</definedName>
    <definedName name="外部資料_46" localSheetId="4">評比系統!#REF!</definedName>
    <definedName name="外部資料_460" localSheetId="12">PKA!#REF!</definedName>
    <definedName name="外部資料_460" localSheetId="13">PKB!#REF!</definedName>
    <definedName name="外部資料_460" localSheetId="14">PKC!#REF!</definedName>
    <definedName name="外部資料_460" localSheetId="7">公司債!#REF!</definedName>
    <definedName name="外部資料_460" localSheetId="0">基本設定!#REF!</definedName>
    <definedName name="外部資料_460" localSheetId="4">評比系統!#REF!</definedName>
    <definedName name="外部資料_4600" localSheetId="2">紅綠燈!#REF!</definedName>
    <definedName name="外部資料_4601" localSheetId="2">紅綠燈!#REF!</definedName>
    <definedName name="外部資料_4602" localSheetId="2">紅綠燈!#REF!</definedName>
    <definedName name="外部資料_4604" localSheetId="2">紅綠燈!#REF!</definedName>
    <definedName name="外部資料_4605" localSheetId="2">紅綠燈!#REF!</definedName>
    <definedName name="外部資料_4606" localSheetId="2">紅綠燈!#REF!</definedName>
    <definedName name="外部資料_4608" localSheetId="2">紅綠燈!#REF!</definedName>
    <definedName name="外部資料_4609" localSheetId="2">紅綠燈!#REF!</definedName>
    <definedName name="外部資料_461" localSheetId="12">PKA!#REF!</definedName>
    <definedName name="外部資料_461" localSheetId="13">PKB!#REF!</definedName>
    <definedName name="外部資料_461" localSheetId="14">PKC!#REF!</definedName>
    <definedName name="外部資料_461" localSheetId="7">公司債!#REF!</definedName>
    <definedName name="外部資料_461" localSheetId="0">基本設定!#REF!</definedName>
    <definedName name="外部資料_461" localSheetId="4">評比系統!#REF!</definedName>
    <definedName name="外部資料_4610" localSheetId="2">紅綠燈!#REF!</definedName>
    <definedName name="外部資料_4612" localSheetId="2">紅綠燈!#REF!</definedName>
    <definedName name="外部資料_4613" localSheetId="2">紅綠燈!#REF!</definedName>
    <definedName name="外部資料_4614" localSheetId="2">紅綠燈!#REF!</definedName>
    <definedName name="外部資料_4616" localSheetId="2">紅綠燈!#REF!</definedName>
    <definedName name="外部資料_4617" localSheetId="2">紅綠燈!#REF!</definedName>
    <definedName name="外部資料_4618" localSheetId="2">紅綠燈!#REF!</definedName>
    <definedName name="外部資料_462" localSheetId="12">PKA!#REF!</definedName>
    <definedName name="外部資料_462" localSheetId="13">PKB!#REF!</definedName>
    <definedName name="外部資料_462" localSheetId="14">PKC!#REF!</definedName>
    <definedName name="外部資料_462" localSheetId="7">公司債!#REF!</definedName>
    <definedName name="外部資料_462" localSheetId="0">基本設定!#REF!</definedName>
    <definedName name="外部資料_462" localSheetId="4">評比系統!#REF!</definedName>
    <definedName name="外部資料_4620" localSheetId="2">紅綠燈!#REF!</definedName>
    <definedName name="外部資料_4621" localSheetId="2">紅綠燈!#REF!</definedName>
    <definedName name="外部資料_4622" localSheetId="2">紅綠燈!#REF!</definedName>
    <definedName name="外部資料_4624" localSheetId="2">紅綠燈!#REF!</definedName>
    <definedName name="外部資料_4625" localSheetId="2">紅綠燈!#REF!</definedName>
    <definedName name="外部資料_4626" localSheetId="2">紅綠燈!#REF!</definedName>
    <definedName name="外部資料_4628" localSheetId="2">紅綠燈!#REF!</definedName>
    <definedName name="外部資料_4629" localSheetId="2">紅綠燈!#REF!</definedName>
    <definedName name="外部資料_463" localSheetId="12">PKA!#REF!</definedName>
    <definedName name="外部資料_463" localSheetId="13">PKB!#REF!</definedName>
    <definedName name="外部資料_463" localSheetId="14">PKC!#REF!</definedName>
    <definedName name="外部資料_463" localSheetId="7">公司債!#REF!</definedName>
    <definedName name="外部資料_463" localSheetId="0">基本設定!#REF!</definedName>
    <definedName name="外部資料_463" localSheetId="4">評比系統!#REF!</definedName>
    <definedName name="外部資料_4630" localSheetId="2">紅綠燈!#REF!</definedName>
    <definedName name="外部資料_4632" localSheetId="2">紅綠燈!#REF!</definedName>
    <definedName name="外部資料_4633" localSheetId="2">紅綠燈!#REF!</definedName>
    <definedName name="外部資料_4634" localSheetId="2">紅綠燈!#REF!</definedName>
    <definedName name="外部資料_4636" localSheetId="2">紅綠燈!#REF!</definedName>
    <definedName name="外部資料_4637" localSheetId="2">紅綠燈!#REF!</definedName>
    <definedName name="外部資料_4638" localSheetId="2">紅綠燈!#REF!</definedName>
    <definedName name="外部資料_464" localSheetId="12">PKA!#REF!</definedName>
    <definedName name="外部資料_464" localSheetId="13">PKB!#REF!</definedName>
    <definedName name="外部資料_464" localSheetId="14">PKC!#REF!</definedName>
    <definedName name="外部資料_464" localSheetId="7">公司債!#REF!</definedName>
    <definedName name="外部資料_464" localSheetId="0">基本設定!#REF!</definedName>
    <definedName name="外部資料_464" localSheetId="4">評比系統!#REF!</definedName>
    <definedName name="外部資料_4642" localSheetId="2">紅綠燈!#REF!</definedName>
    <definedName name="外部資料_4643" localSheetId="2">紅綠燈!#REF!</definedName>
    <definedName name="外部資料_4644" localSheetId="2">紅綠燈!#REF!</definedName>
    <definedName name="外部資料_4646" localSheetId="2">紅綠燈!#REF!</definedName>
    <definedName name="外部資料_4647" localSheetId="2">紅綠燈!#REF!</definedName>
    <definedName name="外部資料_4648" localSheetId="2">紅綠燈!#REF!</definedName>
    <definedName name="外部資料_465" localSheetId="12">PKA!#REF!</definedName>
    <definedName name="外部資料_465" localSheetId="13">PKB!#REF!</definedName>
    <definedName name="外部資料_465" localSheetId="14">PKC!#REF!</definedName>
    <definedName name="外部資料_465" localSheetId="7">公司債!#REF!</definedName>
    <definedName name="外部資料_465" localSheetId="0">基本設定!#REF!</definedName>
    <definedName name="外部資料_465" localSheetId="4">評比系統!#REF!</definedName>
    <definedName name="外部資料_4650" localSheetId="2">紅綠燈!#REF!</definedName>
    <definedName name="外部資料_4651" localSheetId="2">紅綠燈!#REF!</definedName>
    <definedName name="外部資料_4652" localSheetId="2">紅綠燈!#REF!</definedName>
    <definedName name="外部資料_4654" localSheetId="2">紅綠燈!#REF!</definedName>
    <definedName name="外部資料_4655" localSheetId="2">紅綠燈!#REF!</definedName>
    <definedName name="外部資料_4657" localSheetId="2">紅綠燈!#REF!</definedName>
    <definedName name="外部資料_4658" localSheetId="2">紅綠燈!#REF!</definedName>
    <definedName name="外部資料_466" localSheetId="12">PKA!#REF!</definedName>
    <definedName name="外部資料_466" localSheetId="13">PKB!#REF!</definedName>
    <definedName name="外部資料_466" localSheetId="14">PKC!#REF!</definedName>
    <definedName name="外部資料_466" localSheetId="7">公司債!#REF!</definedName>
    <definedName name="外部資料_466" localSheetId="0">基本設定!#REF!</definedName>
    <definedName name="外部資料_466" localSheetId="4">評比系統!#REF!</definedName>
    <definedName name="外部資料_4660" localSheetId="2">紅綠燈!#REF!</definedName>
    <definedName name="外部資料_4661" localSheetId="2">紅綠燈!#REF!</definedName>
    <definedName name="外部資料_4662" localSheetId="2">紅綠燈!#REF!</definedName>
    <definedName name="外部資料_4664" localSheetId="2">紅綠燈!#REF!</definedName>
    <definedName name="外部資料_4665" localSheetId="2">紅綠燈!#REF!</definedName>
    <definedName name="外部資料_4666" localSheetId="2">紅綠燈!#REF!</definedName>
    <definedName name="外部資料_4668" localSheetId="2">紅綠燈!#REF!</definedName>
    <definedName name="外部資料_4669" localSheetId="2">紅綠燈!#REF!</definedName>
    <definedName name="外部資料_467" localSheetId="12">PKA!#REF!</definedName>
    <definedName name="外部資料_467" localSheetId="13">PKB!#REF!</definedName>
    <definedName name="外部資料_467" localSheetId="14">PKC!#REF!</definedName>
    <definedName name="外部資料_467" localSheetId="7">公司債!#REF!</definedName>
    <definedName name="外部資料_467" localSheetId="0">基本設定!#REF!</definedName>
    <definedName name="外部資料_467" localSheetId="4">評比系統!#REF!</definedName>
    <definedName name="外部資料_4670" localSheetId="2">紅綠燈!#REF!</definedName>
    <definedName name="外部資料_4672" localSheetId="2">紅綠燈!#REF!</definedName>
    <definedName name="外部資料_4673" localSheetId="2">紅綠燈!#REF!</definedName>
    <definedName name="外部資料_4674" localSheetId="2">紅綠燈!#REF!</definedName>
    <definedName name="外部資料_4676" localSheetId="2">紅綠燈!#REF!</definedName>
    <definedName name="外部資料_4677" localSheetId="2">紅綠燈!#REF!</definedName>
    <definedName name="外部資料_4678" localSheetId="2">紅綠燈!#REF!</definedName>
    <definedName name="外部資料_468" localSheetId="12">PKA!#REF!</definedName>
    <definedName name="外部資料_468" localSheetId="13">PKB!#REF!</definedName>
    <definedName name="外部資料_468" localSheetId="14">PKC!#REF!</definedName>
    <definedName name="外部資料_468" localSheetId="7">公司債!#REF!</definedName>
    <definedName name="外部資料_468" localSheetId="0">基本設定!#REF!</definedName>
    <definedName name="外部資料_468" localSheetId="4">評比系統!#REF!</definedName>
    <definedName name="外部資料_4680" localSheetId="2">紅綠燈!#REF!</definedName>
    <definedName name="外部資料_4681" localSheetId="2">紅綠燈!#REF!</definedName>
    <definedName name="外部資料_4682" localSheetId="2">紅綠燈!#REF!</definedName>
    <definedName name="外部資料_4684" localSheetId="2">紅綠燈!#REF!</definedName>
    <definedName name="外部資料_4685" localSheetId="2">紅綠燈!#REF!</definedName>
    <definedName name="外部資料_4686" localSheetId="2">紅綠燈!#REF!</definedName>
    <definedName name="外部資料_4688" localSheetId="2">紅綠燈!#REF!</definedName>
    <definedName name="外部資料_4689" localSheetId="2">紅綠燈!#REF!</definedName>
    <definedName name="外部資料_469" localSheetId="12">PKA!#REF!</definedName>
    <definedName name="外部資料_469" localSheetId="13">PKB!#REF!</definedName>
    <definedName name="外部資料_469" localSheetId="14">PKC!#REF!</definedName>
    <definedName name="外部資料_469" localSheetId="7">公司債!#REF!</definedName>
    <definedName name="外部資料_469" localSheetId="0">基本設定!#REF!</definedName>
    <definedName name="外部資料_469" localSheetId="4">評比系統!#REF!</definedName>
    <definedName name="外部資料_4690" localSheetId="2">紅綠燈!#REF!</definedName>
    <definedName name="外部資料_4692" localSheetId="2">紅綠燈!#REF!</definedName>
    <definedName name="外部資料_4693" localSheetId="2">紅綠燈!#REF!</definedName>
    <definedName name="外部資料_4694" localSheetId="2">紅綠燈!#REF!</definedName>
    <definedName name="外部資料_4696" localSheetId="2">紅綠燈!#REF!</definedName>
    <definedName name="外部資料_4697" localSheetId="2">紅綠燈!#REF!</definedName>
    <definedName name="外部資料_4698" localSheetId="2">紅綠燈!#REF!</definedName>
    <definedName name="外部資料_47" localSheetId="12">PKA!#REF!</definedName>
    <definedName name="外部資料_47" localSheetId="13">PKB!#REF!</definedName>
    <definedName name="外部資料_47" localSheetId="14">PKC!#REF!</definedName>
    <definedName name="外部資料_47" localSheetId="7">公司債!#REF!</definedName>
    <definedName name="外部資料_47" localSheetId="0">基本設定!#REF!</definedName>
    <definedName name="外部資料_47" localSheetId="4">評比系統!#REF!</definedName>
    <definedName name="外部資料_470" localSheetId="12">PKA!#REF!</definedName>
    <definedName name="外部資料_470" localSheetId="13">PKB!#REF!</definedName>
    <definedName name="外部資料_470" localSheetId="14">PKC!#REF!</definedName>
    <definedName name="外部資料_470" localSheetId="7">公司債!#REF!</definedName>
    <definedName name="外部資料_470" localSheetId="0">基本設定!#REF!</definedName>
    <definedName name="外部資料_470" localSheetId="4">評比系統!#REF!</definedName>
    <definedName name="外部資料_4700" localSheetId="2">紅綠燈!#REF!</definedName>
    <definedName name="外部資料_4701" localSheetId="2">紅綠燈!#REF!</definedName>
    <definedName name="外部資料_4702" localSheetId="2">紅綠燈!#REF!</definedName>
    <definedName name="外部資料_4704" localSheetId="2">紅綠燈!#REF!</definedName>
    <definedName name="外部資料_4705" localSheetId="2">紅綠燈!#REF!</definedName>
    <definedName name="外部資料_4706" localSheetId="2">紅綠燈!#REF!</definedName>
    <definedName name="外部資料_4708" localSheetId="2">紅綠燈!#REF!</definedName>
    <definedName name="外部資料_4709" localSheetId="2">紅綠燈!#REF!</definedName>
    <definedName name="外部資料_471" localSheetId="12">PKA!#REF!</definedName>
    <definedName name="外部資料_471" localSheetId="13">PKB!#REF!</definedName>
    <definedName name="外部資料_471" localSheetId="14">PKC!#REF!</definedName>
    <definedName name="外部資料_471" localSheetId="7">公司債!#REF!</definedName>
    <definedName name="外部資料_471" localSheetId="0">基本設定!#REF!</definedName>
    <definedName name="外部資料_471" localSheetId="4">評比系統!#REF!</definedName>
    <definedName name="外部資料_4710" localSheetId="2">紅綠燈!#REF!</definedName>
    <definedName name="外部資料_4712" localSheetId="2">紅綠燈!#REF!</definedName>
    <definedName name="外部資料_4713" localSheetId="2">紅綠燈!#REF!</definedName>
    <definedName name="外部資料_4714" localSheetId="2">紅綠燈!#REF!</definedName>
    <definedName name="外部資料_4716" localSheetId="2">紅綠燈!#REF!</definedName>
    <definedName name="外部資料_4717" localSheetId="2">紅綠燈!#REF!</definedName>
    <definedName name="外部資料_4718" localSheetId="2">紅綠燈!#REF!</definedName>
    <definedName name="外部資料_472" localSheetId="12">PKA!#REF!</definedName>
    <definedName name="外部資料_472" localSheetId="13">PKB!#REF!</definedName>
    <definedName name="外部資料_472" localSheetId="14">PKC!#REF!</definedName>
    <definedName name="外部資料_472" localSheetId="7">公司債!#REF!</definedName>
    <definedName name="外部資料_472" localSheetId="0">基本設定!#REF!</definedName>
    <definedName name="外部資料_472" localSheetId="4">評比系統!#REF!</definedName>
    <definedName name="外部資料_4720" localSheetId="2">紅綠燈!#REF!</definedName>
    <definedName name="外部資料_4721" localSheetId="2">紅綠燈!#REF!</definedName>
    <definedName name="外部資料_4722" localSheetId="2">紅綠燈!#REF!</definedName>
    <definedName name="外部資料_4724" localSheetId="2">紅綠燈!#REF!</definedName>
    <definedName name="外部資料_4725" localSheetId="2">紅綠燈!#REF!</definedName>
    <definedName name="外部資料_4726" localSheetId="2">紅綠燈!#REF!</definedName>
    <definedName name="外部資料_4728" localSheetId="2">紅綠燈!#REF!</definedName>
    <definedName name="外部資料_4729" localSheetId="2">紅綠燈!#REF!</definedName>
    <definedName name="外部資料_473" localSheetId="12">PKA!#REF!</definedName>
    <definedName name="外部資料_473" localSheetId="13">PKB!#REF!</definedName>
    <definedName name="外部資料_473" localSheetId="14">PKC!#REF!</definedName>
    <definedName name="外部資料_473" localSheetId="7">公司債!#REF!</definedName>
    <definedName name="外部資料_473" localSheetId="0">基本設定!#REF!</definedName>
    <definedName name="外部資料_473" localSheetId="4">評比系統!#REF!</definedName>
    <definedName name="外部資料_4730" localSheetId="2">紅綠燈!#REF!</definedName>
    <definedName name="外部資料_4732" localSheetId="2">紅綠燈!#REF!</definedName>
    <definedName name="外部資料_4733" localSheetId="2">紅綠燈!#REF!</definedName>
    <definedName name="外部資料_4734" localSheetId="2">紅綠燈!#REF!</definedName>
    <definedName name="外部資料_4736" localSheetId="2">紅綠燈!#REF!</definedName>
    <definedName name="外部資料_4737" localSheetId="2">紅綠燈!#REF!</definedName>
    <definedName name="外部資料_4738" localSheetId="2">紅綠燈!#REF!</definedName>
    <definedName name="外部資料_474" localSheetId="12">PKA!#REF!</definedName>
    <definedName name="外部資料_474" localSheetId="13">PKB!#REF!</definedName>
    <definedName name="外部資料_474" localSheetId="14">PKC!#REF!</definedName>
    <definedName name="外部資料_474" localSheetId="7">公司債!#REF!</definedName>
    <definedName name="外部資料_474" localSheetId="0">基本設定!#REF!</definedName>
    <definedName name="外部資料_474" localSheetId="4">評比系統!#REF!</definedName>
    <definedName name="外部資料_4740" localSheetId="2">紅綠燈!#REF!</definedName>
    <definedName name="外部資料_4741" localSheetId="2">紅綠燈!#REF!</definedName>
    <definedName name="外部資料_4743" localSheetId="2">紅綠燈!#REF!</definedName>
    <definedName name="外部資料_4744" localSheetId="2">紅綠燈!#REF!</definedName>
    <definedName name="外部資料_4745" localSheetId="2">紅綠燈!#REF!</definedName>
    <definedName name="外部資料_4747" localSheetId="2">紅綠燈!#REF!</definedName>
    <definedName name="外部資料_4748" localSheetId="2">紅綠燈!#REF!</definedName>
    <definedName name="外部資料_4749" localSheetId="2">紅綠燈!#REF!</definedName>
    <definedName name="外部資料_475" localSheetId="12">PKA!#REF!</definedName>
    <definedName name="外部資料_475" localSheetId="13">PKB!#REF!</definedName>
    <definedName name="外部資料_475" localSheetId="14">PKC!#REF!</definedName>
    <definedName name="外部資料_475" localSheetId="7">公司債!#REF!</definedName>
    <definedName name="外部資料_475" localSheetId="0">基本設定!#REF!</definedName>
    <definedName name="外部資料_475" localSheetId="4">評比系統!#REF!</definedName>
    <definedName name="外部資料_4751" localSheetId="2">紅綠燈!#REF!</definedName>
    <definedName name="外部資料_4752" localSheetId="2">紅綠燈!#REF!</definedName>
    <definedName name="外部資料_4753" localSheetId="2">紅綠燈!#REF!</definedName>
    <definedName name="外部資料_4755" localSheetId="2">紅綠燈!#REF!</definedName>
    <definedName name="外部資料_4756" localSheetId="2">紅綠燈!#REF!</definedName>
    <definedName name="外部資料_4757" localSheetId="2">紅綠燈!#REF!</definedName>
    <definedName name="外部資料_4759" localSheetId="2">紅綠燈!#REF!</definedName>
    <definedName name="外部資料_476" localSheetId="12">PKA!#REF!</definedName>
    <definedName name="外部資料_476" localSheetId="13">PKB!#REF!</definedName>
    <definedName name="外部資料_476" localSheetId="14">PKC!#REF!</definedName>
    <definedName name="外部資料_476" localSheetId="7">公司債!#REF!</definedName>
    <definedName name="外部資料_476" localSheetId="0">基本設定!#REF!</definedName>
    <definedName name="外部資料_476" localSheetId="4">評比系統!#REF!</definedName>
    <definedName name="外部資料_4760" localSheetId="2">紅綠燈!#REF!</definedName>
    <definedName name="外部資料_4761" localSheetId="2">紅綠燈!#REF!</definedName>
    <definedName name="外部資料_4763" localSheetId="2">紅綠燈!#REF!</definedName>
    <definedName name="外部資料_4764" localSheetId="2">紅綠燈!#REF!</definedName>
    <definedName name="外部資料_4765" localSheetId="2">紅綠燈!#REF!</definedName>
    <definedName name="外部資料_4767" localSheetId="2">紅綠燈!#REF!</definedName>
    <definedName name="外部資料_4768" localSheetId="2">紅綠燈!#REF!</definedName>
    <definedName name="外部資料_4769" localSheetId="2">紅綠燈!#REF!</definedName>
    <definedName name="外部資料_477" localSheetId="12">PKA!#REF!</definedName>
    <definedName name="外部資料_477" localSheetId="13">PKB!#REF!</definedName>
    <definedName name="外部資料_477" localSheetId="14">PKC!#REF!</definedName>
    <definedName name="外部資料_477" localSheetId="7">公司債!#REF!</definedName>
    <definedName name="外部資料_477" localSheetId="0">基本設定!#REF!</definedName>
    <definedName name="外部資料_477" localSheetId="4">評比系統!#REF!</definedName>
    <definedName name="外部資料_4771" localSheetId="2">紅綠燈!#REF!</definedName>
    <definedName name="外部資料_4772" localSheetId="2">紅綠燈!#REF!</definedName>
    <definedName name="外部資料_4773" localSheetId="2">紅綠燈!#REF!</definedName>
    <definedName name="外部資料_4775" localSheetId="2">紅綠燈!#REF!</definedName>
    <definedName name="外部資料_4776" localSheetId="2">紅綠燈!#REF!</definedName>
    <definedName name="外部資料_4777" localSheetId="2">紅綠燈!#REF!</definedName>
    <definedName name="外部資料_4779" localSheetId="2">紅綠燈!#REF!</definedName>
    <definedName name="外部資料_478" localSheetId="12">PKA!#REF!</definedName>
    <definedName name="外部資料_478" localSheetId="13">PKB!#REF!</definedName>
    <definedName name="外部資料_478" localSheetId="14">PKC!#REF!</definedName>
    <definedName name="外部資料_478" localSheetId="7">公司債!#REF!</definedName>
    <definedName name="外部資料_478" localSheetId="0">基本設定!#REF!</definedName>
    <definedName name="外部資料_478" localSheetId="4">評比系統!#REF!</definedName>
    <definedName name="外部資料_4780" localSheetId="2">紅綠燈!#REF!</definedName>
    <definedName name="外部資料_4781" localSheetId="2">紅綠燈!#REF!</definedName>
    <definedName name="外部資料_4783" localSheetId="2">紅綠燈!#REF!</definedName>
    <definedName name="外部資料_4784" localSheetId="2">紅綠燈!#REF!</definedName>
    <definedName name="外部資料_4785" localSheetId="2">紅綠燈!#REF!</definedName>
    <definedName name="外部資料_4787" localSheetId="2">紅綠燈!#REF!</definedName>
    <definedName name="外部資料_4788" localSheetId="2">紅綠燈!#REF!</definedName>
    <definedName name="外部資料_4789" localSheetId="2">紅綠燈!#REF!</definedName>
    <definedName name="外部資料_479" localSheetId="12">PKA!#REF!</definedName>
    <definedName name="外部資料_479" localSheetId="13">PKB!#REF!</definedName>
    <definedName name="外部資料_479" localSheetId="14">PKC!#REF!</definedName>
    <definedName name="外部資料_479" localSheetId="7">公司債!#REF!</definedName>
    <definedName name="外部資料_479" localSheetId="0">基本設定!#REF!</definedName>
    <definedName name="外部資料_479" localSheetId="4">評比系統!#REF!</definedName>
    <definedName name="外部資料_4791" localSheetId="2">紅綠燈!#REF!</definedName>
    <definedName name="外部資料_4792" localSheetId="2">紅綠燈!#REF!</definedName>
    <definedName name="外部資料_4793" localSheetId="2">紅綠燈!#REF!</definedName>
    <definedName name="外部資料_4795" localSheetId="2">紅綠燈!#REF!</definedName>
    <definedName name="外部資料_4796" localSheetId="2">紅綠燈!#REF!</definedName>
    <definedName name="外部資料_4797" localSheetId="2">紅綠燈!#REF!</definedName>
    <definedName name="外部資料_4799" localSheetId="2">紅綠燈!#REF!</definedName>
    <definedName name="外部資料_48" localSheetId="12">PKA!#REF!</definedName>
    <definedName name="外部資料_48" localSheetId="13">PKB!#REF!</definedName>
    <definedName name="外部資料_48" localSheetId="14">PKC!#REF!</definedName>
    <definedName name="外部資料_48" localSheetId="7">公司債!#REF!</definedName>
    <definedName name="外部資料_48" localSheetId="0">基本設定!#REF!</definedName>
    <definedName name="外部資料_48" localSheetId="4">評比系統!#REF!</definedName>
    <definedName name="外部資料_480" localSheetId="12">PKA!#REF!</definedName>
    <definedName name="外部資料_480" localSheetId="13">PKB!#REF!</definedName>
    <definedName name="外部資料_480" localSheetId="14">PKC!#REF!</definedName>
    <definedName name="外部資料_480" localSheetId="7">公司債!#REF!</definedName>
    <definedName name="外部資料_480" localSheetId="0">基本設定!#REF!</definedName>
    <definedName name="外部資料_480" localSheetId="4">評比系統!#REF!</definedName>
    <definedName name="外部資料_4800" localSheetId="2">紅綠燈!#REF!</definedName>
    <definedName name="外部資料_4801" localSheetId="2">紅綠燈!#REF!</definedName>
    <definedName name="外部資料_4803" localSheetId="2">紅綠燈!#REF!</definedName>
    <definedName name="外部資料_4804" localSheetId="2">紅綠燈!#REF!</definedName>
    <definedName name="外部資料_4805" localSheetId="2">紅綠燈!#REF!</definedName>
    <definedName name="外部資料_4807" localSheetId="2">紅綠燈!#REF!</definedName>
    <definedName name="外部資料_4808" localSheetId="2">紅綠燈!#REF!</definedName>
    <definedName name="外部資料_4809" localSheetId="2">紅綠燈!#REF!</definedName>
    <definedName name="外部資料_481" localSheetId="12">PKA!#REF!</definedName>
    <definedName name="外部資料_481" localSheetId="13">PKB!#REF!</definedName>
    <definedName name="外部資料_481" localSheetId="14">PKC!#REF!</definedName>
    <definedName name="外部資料_481" localSheetId="7">公司債!#REF!</definedName>
    <definedName name="外部資料_481" localSheetId="0">基本設定!#REF!</definedName>
    <definedName name="外部資料_481" localSheetId="4">評比系統!#REF!</definedName>
    <definedName name="外部資料_4811" localSheetId="2">紅綠燈!#REF!</definedName>
    <definedName name="外部資料_4812" localSheetId="2">紅綠燈!#REF!</definedName>
    <definedName name="外部資料_4813" localSheetId="2">紅綠燈!#REF!</definedName>
    <definedName name="外部資料_4815" localSheetId="2">紅綠燈!#REF!</definedName>
    <definedName name="外部資料_4816" localSheetId="2">紅綠燈!#REF!</definedName>
    <definedName name="外部資料_4817" localSheetId="2">紅綠燈!#REF!</definedName>
    <definedName name="外部資料_4819" localSheetId="2">紅綠燈!#REF!</definedName>
    <definedName name="外部資料_482" localSheetId="12">PKA!#REF!</definedName>
    <definedName name="外部資料_482" localSheetId="13">PKB!#REF!</definedName>
    <definedName name="外部資料_482" localSheetId="14">PKC!#REF!</definedName>
    <definedName name="外部資料_482" localSheetId="7">公司債!#REF!</definedName>
    <definedName name="外部資料_482" localSheetId="0">基本設定!#REF!</definedName>
    <definedName name="外部資料_482" localSheetId="4">評比系統!#REF!</definedName>
    <definedName name="外部資料_4820" localSheetId="2">紅綠燈!#REF!</definedName>
    <definedName name="外部資料_4821" localSheetId="2">紅綠燈!#REF!</definedName>
    <definedName name="外部資料_4823" localSheetId="2">紅綠燈!#REF!</definedName>
    <definedName name="外部資料_4824" localSheetId="2">紅綠燈!#REF!</definedName>
    <definedName name="外部資料_4825" localSheetId="2">紅綠燈!#REF!</definedName>
    <definedName name="外部資料_4827" localSheetId="2">紅綠燈!#REF!</definedName>
    <definedName name="外部資料_4828" localSheetId="2">紅綠燈!#REF!</definedName>
    <definedName name="外部資料_4829" localSheetId="2">紅綠燈!#REF!</definedName>
    <definedName name="外部資料_483" localSheetId="12">PKA!#REF!</definedName>
    <definedName name="外部資料_483" localSheetId="13">PKB!#REF!</definedName>
    <definedName name="外部資料_483" localSheetId="14">PKC!#REF!</definedName>
    <definedName name="外部資料_483" localSheetId="7">公司債!#REF!</definedName>
    <definedName name="外部資料_483" localSheetId="0">基本設定!#REF!</definedName>
    <definedName name="外部資料_483" localSheetId="4">評比系統!#REF!</definedName>
    <definedName name="外部資料_4831" localSheetId="2">紅綠燈!#REF!</definedName>
    <definedName name="外部資料_4832" localSheetId="2">紅綠燈!#REF!</definedName>
    <definedName name="外部資料_4833" localSheetId="2">紅綠燈!#REF!</definedName>
    <definedName name="外部資料_4835" localSheetId="2">紅綠燈!#REF!</definedName>
    <definedName name="外部資料_4836" localSheetId="2">紅綠燈!#REF!</definedName>
    <definedName name="外部資料_4837" localSheetId="2">紅綠燈!#REF!</definedName>
    <definedName name="外部資料_4839" localSheetId="2">紅綠燈!#REF!</definedName>
    <definedName name="外部資料_484" localSheetId="12">PKA!#REF!</definedName>
    <definedName name="外部資料_484" localSheetId="13">PKB!#REF!</definedName>
    <definedName name="外部資料_484" localSheetId="14">PKC!#REF!</definedName>
    <definedName name="外部資料_484" localSheetId="7">公司債!#REF!</definedName>
    <definedName name="外部資料_484" localSheetId="0">基本設定!#REF!</definedName>
    <definedName name="外部資料_484" localSheetId="4">評比系統!#REF!</definedName>
    <definedName name="外部資料_4840" localSheetId="2">紅綠燈!#REF!</definedName>
    <definedName name="外部資料_4841" localSheetId="2">紅綠燈!#REF!</definedName>
    <definedName name="外部資料_4843" localSheetId="2">紅綠燈!#REF!</definedName>
    <definedName name="外部資料_4844" localSheetId="2">紅綠燈!#REF!</definedName>
    <definedName name="外部資料_4845" localSheetId="2">紅綠燈!#REF!</definedName>
    <definedName name="外部資料_4847" localSheetId="2">紅綠燈!#REF!</definedName>
    <definedName name="外部資料_4848" localSheetId="2">紅綠燈!#REF!</definedName>
    <definedName name="外部資料_4849" localSheetId="2">紅綠燈!#REF!</definedName>
    <definedName name="外部資料_485" localSheetId="12">PKA!#REF!</definedName>
    <definedName name="外部資料_485" localSheetId="13">PKB!#REF!</definedName>
    <definedName name="外部資料_485" localSheetId="14">PKC!#REF!</definedName>
    <definedName name="外部資料_485" localSheetId="7">公司債!#REF!</definedName>
    <definedName name="外部資料_485" localSheetId="0">基本設定!#REF!</definedName>
    <definedName name="外部資料_485" localSheetId="4">評比系統!#REF!</definedName>
    <definedName name="外部資料_4851" localSheetId="2">紅綠燈!#REF!</definedName>
    <definedName name="外部資料_4852" localSheetId="2">紅綠燈!#REF!</definedName>
    <definedName name="外部資料_4853" localSheetId="2">紅綠燈!#REF!</definedName>
    <definedName name="外部資料_4855" localSheetId="2">紅綠燈!#REF!</definedName>
    <definedName name="外部資料_4856" localSheetId="2">紅綠燈!#REF!</definedName>
    <definedName name="外部資料_4857" localSheetId="2">紅綠燈!#REF!</definedName>
    <definedName name="外部資料_4859" localSheetId="2">紅綠燈!#REF!</definedName>
    <definedName name="外部資料_486" localSheetId="12">PKA!#REF!</definedName>
    <definedName name="外部資料_486" localSheetId="13">PKB!#REF!</definedName>
    <definedName name="外部資料_486" localSheetId="14">PKC!#REF!</definedName>
    <definedName name="外部資料_486" localSheetId="7">公司債!#REF!</definedName>
    <definedName name="外部資料_486" localSheetId="0">基本設定!#REF!</definedName>
    <definedName name="外部資料_486" localSheetId="4">評比系統!#REF!</definedName>
    <definedName name="外部資料_4860" localSheetId="2">紅綠燈!#REF!</definedName>
    <definedName name="外部資料_4861" localSheetId="2">紅綠燈!#REF!</definedName>
    <definedName name="外部資料_4863" localSheetId="2">紅綠燈!#REF!</definedName>
    <definedName name="外部資料_4864" localSheetId="2">紅綠燈!#REF!</definedName>
    <definedName name="外部資料_4865" localSheetId="2">紅綠燈!#REF!</definedName>
    <definedName name="外部資料_4867" localSheetId="2">紅綠燈!#REF!</definedName>
    <definedName name="外部資料_4868" localSheetId="2">紅綠燈!#REF!</definedName>
    <definedName name="外部資料_4869" localSheetId="2">紅綠燈!#REF!</definedName>
    <definedName name="外部資料_487" localSheetId="12">PKA!#REF!</definedName>
    <definedName name="外部資料_487" localSheetId="13">PKB!#REF!</definedName>
    <definedName name="外部資料_487" localSheetId="14">PKC!#REF!</definedName>
    <definedName name="外部資料_487" localSheetId="7">公司債!#REF!</definedName>
    <definedName name="外部資料_487" localSheetId="0">基本設定!#REF!</definedName>
    <definedName name="外部資料_487" localSheetId="4">評比系統!#REF!</definedName>
    <definedName name="外部資料_4871" localSheetId="2">紅綠燈!#REF!</definedName>
    <definedName name="外部資料_4872" localSheetId="2">紅綠燈!#REF!</definedName>
    <definedName name="外部資料_4873" localSheetId="2">紅綠燈!#REF!</definedName>
    <definedName name="外部資料_4875" localSheetId="2">紅綠燈!#REF!</definedName>
    <definedName name="外部資料_4876" localSheetId="2">紅綠燈!#REF!</definedName>
    <definedName name="外部資料_4877" localSheetId="2">紅綠燈!#REF!</definedName>
    <definedName name="外部資料_4879" localSheetId="2">紅綠燈!#REF!</definedName>
    <definedName name="外部資料_488" localSheetId="12">PKA!#REF!</definedName>
    <definedName name="外部資料_488" localSheetId="13">PKB!#REF!</definedName>
    <definedName name="外部資料_488" localSheetId="14">PKC!#REF!</definedName>
    <definedName name="外部資料_488" localSheetId="7">公司債!#REF!</definedName>
    <definedName name="外部資料_488" localSheetId="0">基本設定!#REF!</definedName>
    <definedName name="外部資料_488" localSheetId="4">評比系統!#REF!</definedName>
    <definedName name="外部資料_4880" localSheetId="2">紅綠燈!#REF!</definedName>
    <definedName name="外部資料_4881" localSheetId="2">紅綠燈!#REF!</definedName>
    <definedName name="外部資料_4883" localSheetId="2">紅綠燈!#REF!</definedName>
    <definedName name="外部資料_4884" localSheetId="2">紅綠燈!#REF!</definedName>
    <definedName name="外部資料_4885" localSheetId="2">紅綠燈!#REF!</definedName>
    <definedName name="外部資料_4887" localSheetId="2">紅綠燈!#REF!</definedName>
    <definedName name="外部資料_4888" localSheetId="2">紅綠燈!#REF!</definedName>
    <definedName name="外部資料_4889" localSheetId="2">紅綠燈!#REF!</definedName>
    <definedName name="外部資料_489" localSheetId="12">PKA!#REF!</definedName>
    <definedName name="外部資料_489" localSheetId="13">PKB!#REF!</definedName>
    <definedName name="外部資料_489" localSheetId="14">PKC!#REF!</definedName>
    <definedName name="外部資料_489" localSheetId="7">公司債!#REF!</definedName>
    <definedName name="外部資料_489" localSheetId="0">基本設定!#REF!</definedName>
    <definedName name="外部資料_489" localSheetId="4">評比系統!#REF!</definedName>
    <definedName name="外部資料_4891" localSheetId="2">紅綠燈!#REF!</definedName>
    <definedName name="外部資料_4892" localSheetId="2">紅綠燈!#REF!</definedName>
    <definedName name="外部資料_4893" localSheetId="2">紅綠燈!#REF!</definedName>
    <definedName name="外部資料_4895" localSheetId="2">紅綠燈!#REF!</definedName>
    <definedName name="外部資料_4896" localSheetId="2">紅綠燈!#REF!</definedName>
    <definedName name="外部資料_4897" localSheetId="2">紅綠燈!#REF!</definedName>
    <definedName name="外部資料_4899" localSheetId="2">紅綠燈!#REF!</definedName>
    <definedName name="外部資料_49" localSheetId="12">PKA!#REF!</definedName>
    <definedName name="外部資料_49" localSheetId="13">PKB!#REF!</definedName>
    <definedName name="外部資料_49" localSheetId="14">PKC!#REF!</definedName>
    <definedName name="外部資料_49" localSheetId="7">公司債!#REF!</definedName>
    <definedName name="外部資料_49" localSheetId="0">基本設定!#REF!</definedName>
    <definedName name="外部資料_49" localSheetId="4">評比系統!#REF!</definedName>
    <definedName name="外部資料_490" localSheetId="12">PKA!#REF!</definedName>
    <definedName name="外部資料_490" localSheetId="13">PKB!#REF!</definedName>
    <definedName name="外部資料_490" localSheetId="14">PKC!#REF!</definedName>
    <definedName name="外部資料_490" localSheetId="7">公司債!#REF!</definedName>
    <definedName name="外部資料_490" localSheetId="0">基本設定!#REF!</definedName>
    <definedName name="外部資料_490" localSheetId="4">評比系統!#REF!</definedName>
    <definedName name="外部資料_4900" localSheetId="2">紅綠燈!#REF!</definedName>
    <definedName name="外部資料_4901" localSheetId="2">紅綠燈!#REF!</definedName>
    <definedName name="外部資料_4903" localSheetId="2">紅綠燈!#REF!</definedName>
    <definedName name="外部資料_4904" localSheetId="2">紅綠燈!#REF!</definedName>
    <definedName name="外部資料_4905" localSheetId="2">紅綠燈!#REF!</definedName>
    <definedName name="外部資料_4907" localSheetId="2">紅綠燈!#REF!</definedName>
    <definedName name="外部資料_4908" localSheetId="2">紅綠燈!#REF!</definedName>
    <definedName name="外部資料_4909" localSheetId="2">紅綠燈!#REF!</definedName>
    <definedName name="外部資料_491" localSheetId="12">PKA!#REF!</definedName>
    <definedName name="外部資料_491" localSheetId="13">PKB!#REF!</definedName>
    <definedName name="外部資料_491" localSheetId="14">PKC!#REF!</definedName>
    <definedName name="外部資料_491" localSheetId="7">公司債!#REF!</definedName>
    <definedName name="外部資料_491" localSheetId="0">基本設定!#REF!</definedName>
    <definedName name="外部資料_491" localSheetId="4">評比系統!#REF!</definedName>
    <definedName name="外部資料_4911" localSheetId="2">紅綠燈!#REF!</definedName>
    <definedName name="外部資料_4912" localSheetId="2">紅綠燈!#REF!</definedName>
    <definedName name="外部資料_4913" localSheetId="2">紅綠燈!#REF!</definedName>
    <definedName name="外部資料_4915" localSheetId="2">紅綠燈!#REF!</definedName>
    <definedName name="外部資料_4916" localSheetId="2">紅綠燈!#REF!</definedName>
    <definedName name="外部資料_4917" localSheetId="2">紅綠燈!#REF!</definedName>
    <definedName name="外部資料_4919" localSheetId="2">紅綠燈!#REF!</definedName>
    <definedName name="外部資料_492" localSheetId="12">PKA!#REF!</definedName>
    <definedName name="外部資料_492" localSheetId="13">PKB!#REF!</definedName>
    <definedName name="外部資料_492" localSheetId="14">PKC!#REF!</definedName>
    <definedName name="外部資料_492" localSheetId="7">公司債!#REF!</definedName>
    <definedName name="外部資料_492" localSheetId="0">基本設定!#REF!</definedName>
    <definedName name="外部資料_492" localSheetId="4">評比系統!#REF!</definedName>
    <definedName name="外部資料_4920" localSheetId="2">紅綠燈!#REF!</definedName>
    <definedName name="外部資料_4921" localSheetId="2">紅綠燈!#REF!</definedName>
    <definedName name="外部資料_4923" localSheetId="2">紅綠燈!#REF!</definedName>
    <definedName name="外部資料_4924" localSheetId="2">紅綠燈!#REF!</definedName>
    <definedName name="外部資料_4925" localSheetId="2">紅綠燈!#REF!</definedName>
    <definedName name="外部資料_4927" localSheetId="2">紅綠燈!#REF!</definedName>
    <definedName name="外部資料_4928" localSheetId="2">紅綠燈!#REF!</definedName>
    <definedName name="外部資料_4929" localSheetId="2">紅綠燈!#REF!</definedName>
    <definedName name="外部資料_493" localSheetId="12">PKA!#REF!</definedName>
    <definedName name="外部資料_493" localSheetId="13">PKB!#REF!</definedName>
    <definedName name="外部資料_493" localSheetId="14">PKC!#REF!</definedName>
    <definedName name="外部資料_493" localSheetId="7">公司債!#REF!</definedName>
    <definedName name="外部資料_493" localSheetId="0">基本設定!#REF!</definedName>
    <definedName name="外部資料_493" localSheetId="4">評比系統!#REF!</definedName>
    <definedName name="外部資料_4931" localSheetId="2">紅綠燈!#REF!</definedName>
    <definedName name="外部資料_4932" localSheetId="2">紅綠燈!#REF!</definedName>
    <definedName name="外部資料_4933" localSheetId="2">紅綠燈!#REF!</definedName>
    <definedName name="外部資料_4935" localSheetId="2">紅綠燈!#REF!</definedName>
    <definedName name="外部資料_4936" localSheetId="2">紅綠燈!#REF!</definedName>
    <definedName name="外部資料_4937" localSheetId="2">紅綠燈!#REF!</definedName>
    <definedName name="外部資料_4939" localSheetId="2">紅綠燈!#REF!</definedName>
    <definedName name="外部資料_494" localSheetId="12">PKA!#REF!</definedName>
    <definedName name="外部資料_494" localSheetId="13">PKB!#REF!</definedName>
    <definedName name="外部資料_494" localSheetId="14">PKC!#REF!</definedName>
    <definedName name="外部資料_494" localSheetId="7">公司債!#REF!</definedName>
    <definedName name="外部資料_494" localSheetId="0">基本設定!#REF!</definedName>
    <definedName name="外部資料_494" localSheetId="4">評比系統!#REF!</definedName>
    <definedName name="外部資料_4940" localSheetId="2">紅綠燈!#REF!</definedName>
    <definedName name="外部資料_4941" localSheetId="2">紅綠燈!#REF!</definedName>
    <definedName name="外部資料_4943" localSheetId="2">紅綠燈!#REF!</definedName>
    <definedName name="外部資料_4944" localSheetId="2">紅綠燈!#REF!</definedName>
    <definedName name="外部資料_4945" localSheetId="2">紅綠燈!#REF!</definedName>
    <definedName name="外部資料_4947" localSheetId="2">紅綠燈!#REF!</definedName>
    <definedName name="外部資料_4948" localSheetId="2">紅綠燈!#REF!</definedName>
    <definedName name="外部資料_4949" localSheetId="2">紅綠燈!#REF!</definedName>
    <definedName name="外部資料_495" localSheetId="12">PKA!#REF!</definedName>
    <definedName name="外部資料_495" localSheetId="13">PKB!#REF!</definedName>
    <definedName name="外部資料_495" localSheetId="14">PKC!#REF!</definedName>
    <definedName name="外部資料_495" localSheetId="7">公司債!#REF!</definedName>
    <definedName name="外部資料_495" localSheetId="0">基本設定!#REF!</definedName>
    <definedName name="外部資料_495" localSheetId="4">評比系統!#REF!</definedName>
    <definedName name="外部資料_4951" localSheetId="2">紅綠燈!#REF!</definedName>
    <definedName name="外部資料_4952" localSheetId="2">紅綠燈!#REF!</definedName>
    <definedName name="外部資料_4953" localSheetId="2">紅綠燈!#REF!</definedName>
    <definedName name="外部資料_4955" localSheetId="2">紅綠燈!#REF!</definedName>
    <definedName name="外部資料_4956" localSheetId="2">紅綠燈!#REF!</definedName>
    <definedName name="外部資料_4957" localSheetId="2">紅綠燈!#REF!</definedName>
    <definedName name="外部資料_4959" localSheetId="2">紅綠燈!#REF!</definedName>
    <definedName name="外部資料_496" localSheetId="12">PKA!#REF!</definedName>
    <definedName name="外部資料_496" localSheetId="13">PKB!#REF!</definedName>
    <definedName name="外部資料_496" localSheetId="14">PKC!#REF!</definedName>
    <definedName name="外部資料_496" localSheetId="7">公司債!#REF!</definedName>
    <definedName name="外部資料_496" localSheetId="0">基本設定!#REF!</definedName>
    <definedName name="外部資料_496" localSheetId="4">評比系統!#REF!</definedName>
    <definedName name="外部資料_4960" localSheetId="2">紅綠燈!#REF!</definedName>
    <definedName name="外部資料_4961" localSheetId="2">紅綠燈!#REF!</definedName>
    <definedName name="外部資料_4963" localSheetId="2">紅綠燈!#REF!</definedName>
    <definedName name="外部資料_4964" localSheetId="2">紅綠燈!#REF!</definedName>
    <definedName name="外部資料_4965" localSheetId="2">紅綠燈!#REF!</definedName>
    <definedName name="外部資料_4967" localSheetId="2">紅綠燈!#REF!</definedName>
    <definedName name="外部資料_4968" localSheetId="2">紅綠燈!#REF!</definedName>
    <definedName name="外部資料_4969" localSheetId="2">紅綠燈!#REF!</definedName>
    <definedName name="外部資料_497" localSheetId="12">PKA!#REF!</definedName>
    <definedName name="外部資料_497" localSheetId="13">PKB!#REF!</definedName>
    <definedName name="外部資料_497" localSheetId="14">PKC!#REF!</definedName>
    <definedName name="外部資料_497" localSheetId="7">公司債!#REF!</definedName>
    <definedName name="外部資料_497" localSheetId="0">基本設定!#REF!</definedName>
    <definedName name="外部資料_497" localSheetId="4">評比系統!#REF!</definedName>
    <definedName name="外部資料_4971" localSheetId="2">紅綠燈!#REF!</definedName>
    <definedName name="外部資料_4972" localSheetId="2">紅綠燈!#REF!</definedName>
    <definedName name="外部資料_4973" localSheetId="2">紅綠燈!#REF!</definedName>
    <definedName name="外部資料_4975" localSheetId="2">紅綠燈!#REF!</definedName>
    <definedName name="外部資料_4976" localSheetId="2">紅綠燈!#REF!</definedName>
    <definedName name="外部資料_4977" localSheetId="2">紅綠燈!#REF!</definedName>
    <definedName name="外部資料_4979" localSheetId="2">紅綠燈!#REF!</definedName>
    <definedName name="外部資料_498" localSheetId="12">PKA!#REF!</definedName>
    <definedName name="外部資料_498" localSheetId="13">PKB!#REF!</definedName>
    <definedName name="外部資料_498" localSheetId="14">PKC!#REF!</definedName>
    <definedName name="外部資料_498" localSheetId="7">公司債!#REF!</definedName>
    <definedName name="外部資料_498" localSheetId="0">基本設定!#REF!</definedName>
    <definedName name="外部資料_498" localSheetId="4">評比系統!#REF!</definedName>
    <definedName name="外部資料_4980" localSheetId="2">紅綠燈!#REF!</definedName>
    <definedName name="外部資料_4981" localSheetId="2">紅綠燈!#REF!</definedName>
    <definedName name="外部資料_4983" localSheetId="2">紅綠燈!#REF!</definedName>
    <definedName name="外部資料_4984" localSheetId="2">紅綠燈!#REF!</definedName>
    <definedName name="外部資料_4985" localSheetId="2">紅綠燈!#REF!</definedName>
    <definedName name="外部資料_4987" localSheetId="2">紅綠燈!#REF!</definedName>
    <definedName name="外部資料_4988" localSheetId="2">紅綠燈!#REF!</definedName>
    <definedName name="外部資料_4989" localSheetId="2">紅綠燈!#REF!</definedName>
    <definedName name="外部資料_499" localSheetId="12">PKA!#REF!</definedName>
    <definedName name="外部資料_499" localSheetId="13">PKB!#REF!</definedName>
    <definedName name="外部資料_499" localSheetId="14">PKC!#REF!</definedName>
    <definedName name="外部資料_499" localSheetId="7">公司債!#REF!</definedName>
    <definedName name="外部資料_499" localSheetId="0">基本設定!#REF!</definedName>
    <definedName name="外部資料_499" localSheetId="4">評比系統!#REF!</definedName>
    <definedName name="外部資料_4991" localSheetId="2">紅綠燈!#REF!</definedName>
    <definedName name="外部資料_4992" localSheetId="2">紅綠燈!#REF!</definedName>
    <definedName name="外部資料_4993" localSheetId="2">紅綠燈!#REF!</definedName>
    <definedName name="外部資料_4995" localSheetId="2">紅綠燈!#REF!</definedName>
    <definedName name="外部資料_4996" localSheetId="2">紅綠燈!#REF!</definedName>
    <definedName name="外部資料_4997" localSheetId="2">紅綠燈!#REF!</definedName>
    <definedName name="外部資料_4999" localSheetId="2">紅綠燈!#REF!</definedName>
    <definedName name="外部資料_5" localSheetId="12">PKA!#REF!</definedName>
    <definedName name="外部資料_5" localSheetId="13">PKB!#REF!</definedName>
    <definedName name="外部資料_5" localSheetId="14">PKC!#REF!</definedName>
    <definedName name="外部資料_5" localSheetId="7">公司債!#REF!</definedName>
    <definedName name="外部資料_5" localSheetId="2">紅綠燈!#REF!</definedName>
    <definedName name="外部資料_5" localSheetId="0">基本設定!#REF!</definedName>
    <definedName name="外部資料_5" localSheetId="4">評比系統!#REF!</definedName>
    <definedName name="外部資料_5" localSheetId="5">搶先報!#REF!</definedName>
    <definedName name="外部資料_50" localSheetId="12">PKA!#REF!</definedName>
    <definedName name="外部資料_50" localSheetId="13">PKB!#REF!</definedName>
    <definedName name="外部資料_50" localSheetId="14">PKC!#REF!</definedName>
    <definedName name="外部資料_50" localSheetId="7">公司債!#REF!</definedName>
    <definedName name="外部資料_50" localSheetId="0">基本設定!#REF!</definedName>
    <definedName name="外部資料_50" localSheetId="4">評比系統!#REF!</definedName>
    <definedName name="外部資料_500" localSheetId="12">PKA!#REF!</definedName>
    <definedName name="外部資料_500" localSheetId="13">PKB!#REF!</definedName>
    <definedName name="外部資料_500" localSheetId="14">PKC!#REF!</definedName>
    <definedName name="外部資料_500" localSheetId="7">公司債!#REF!</definedName>
    <definedName name="外部資料_500" localSheetId="0">基本設定!#REF!</definedName>
    <definedName name="外部資料_500" localSheetId="4">評比系統!#REF!</definedName>
    <definedName name="外部資料_5000" localSheetId="2">紅綠燈!#REF!</definedName>
    <definedName name="外部資料_5001" localSheetId="2">紅綠燈!#REF!</definedName>
    <definedName name="外部資料_5003" localSheetId="2">紅綠燈!#REF!</definedName>
    <definedName name="外部資料_5004" localSheetId="2">紅綠燈!#REF!</definedName>
    <definedName name="外部資料_5005" localSheetId="2">紅綠燈!#REF!</definedName>
    <definedName name="外部資料_5007" localSheetId="2">紅綠燈!#REF!</definedName>
    <definedName name="外部資料_5008" localSheetId="2">紅綠燈!#REF!</definedName>
    <definedName name="外部資料_5009" localSheetId="2">紅綠燈!#REF!</definedName>
    <definedName name="外部資料_501" localSheetId="12">PKA!#REF!</definedName>
    <definedName name="外部資料_501" localSheetId="13">PKB!#REF!</definedName>
    <definedName name="外部資料_501" localSheetId="14">PKC!#REF!</definedName>
    <definedName name="外部資料_501" localSheetId="7">公司債!#REF!</definedName>
    <definedName name="外部資料_501" localSheetId="0">基本設定!#REF!</definedName>
    <definedName name="外部資料_501" localSheetId="4">評比系統!#REF!</definedName>
    <definedName name="外部資料_5011" localSheetId="2">紅綠燈!#REF!</definedName>
    <definedName name="外部資料_5012" localSheetId="2">紅綠燈!#REF!</definedName>
    <definedName name="外部資料_5013" localSheetId="2">紅綠燈!#REF!</definedName>
    <definedName name="外部資料_5015" localSheetId="2">紅綠燈!#REF!</definedName>
    <definedName name="外部資料_5016" localSheetId="2">紅綠燈!#REF!</definedName>
    <definedName name="外部資料_5017" localSheetId="2">紅綠燈!#REF!</definedName>
    <definedName name="外部資料_5019" localSheetId="2">紅綠燈!#REF!</definedName>
    <definedName name="外部資料_502" localSheetId="12">PKA!#REF!</definedName>
    <definedName name="外部資料_502" localSheetId="13">PKB!#REF!</definedName>
    <definedName name="外部資料_502" localSheetId="14">PKC!#REF!</definedName>
    <definedName name="外部資料_502" localSheetId="7">公司債!#REF!</definedName>
    <definedName name="外部資料_502" localSheetId="0">基本設定!#REF!</definedName>
    <definedName name="外部資料_502" localSheetId="4">評比系統!#REF!</definedName>
    <definedName name="外部資料_5020" localSheetId="2">紅綠燈!#REF!</definedName>
    <definedName name="外部資料_5021" localSheetId="2">紅綠燈!#REF!</definedName>
    <definedName name="外部資料_5023" localSheetId="2">紅綠燈!#REF!</definedName>
    <definedName name="外部資料_5024" localSheetId="2">紅綠燈!#REF!</definedName>
    <definedName name="外部資料_5025" localSheetId="2">紅綠燈!#REF!</definedName>
    <definedName name="外部資料_5027" localSheetId="2">紅綠燈!#REF!</definedName>
    <definedName name="外部資料_5028" localSheetId="2">紅綠燈!#REF!</definedName>
    <definedName name="外部資料_5029" localSheetId="2">紅綠燈!#REF!</definedName>
    <definedName name="外部資料_503" localSheetId="12">PKA!#REF!</definedName>
    <definedName name="外部資料_503" localSheetId="13">PKB!#REF!</definedName>
    <definedName name="外部資料_503" localSheetId="14">PKC!#REF!</definedName>
    <definedName name="外部資料_503" localSheetId="7">公司債!#REF!</definedName>
    <definedName name="外部資料_503" localSheetId="0">基本設定!#REF!</definedName>
    <definedName name="外部資料_503" localSheetId="4">評比系統!#REF!</definedName>
    <definedName name="外部資料_5031" localSheetId="2">紅綠燈!#REF!</definedName>
    <definedName name="外部資料_5032" localSheetId="2">紅綠燈!#REF!</definedName>
    <definedName name="外部資料_5033" localSheetId="2">紅綠燈!#REF!</definedName>
    <definedName name="外部資料_5035" localSheetId="2">紅綠燈!#REF!</definedName>
    <definedName name="外部資料_5036" localSheetId="2">紅綠燈!#REF!</definedName>
    <definedName name="外部資料_5037" localSheetId="2">紅綠燈!#REF!</definedName>
    <definedName name="外部資料_5039" localSheetId="2">紅綠燈!#REF!</definedName>
    <definedName name="外部資料_504" localSheetId="12">PKA!#REF!</definedName>
    <definedName name="外部資料_504" localSheetId="13">PKB!#REF!</definedName>
    <definedName name="外部資料_504" localSheetId="14">PKC!#REF!</definedName>
    <definedName name="外部資料_504" localSheetId="7">公司債!#REF!</definedName>
    <definedName name="外部資料_504" localSheetId="0">基本設定!#REF!</definedName>
    <definedName name="外部資料_504" localSheetId="4">評比系統!#REF!</definedName>
    <definedName name="外部資料_5040" localSheetId="2">紅綠燈!#REF!</definedName>
    <definedName name="外部資料_5041" localSheetId="2">紅綠燈!#REF!</definedName>
    <definedName name="外部資料_5043" localSheetId="2">紅綠燈!#REF!</definedName>
    <definedName name="外部資料_5044" localSheetId="2">紅綠燈!#REF!</definedName>
    <definedName name="外部資料_5045" localSheetId="2">紅綠燈!#REF!</definedName>
    <definedName name="外部資料_5047" localSheetId="2">紅綠燈!#REF!</definedName>
    <definedName name="外部資料_5048" localSheetId="2">紅綠燈!#REF!</definedName>
    <definedName name="外部資料_5049" localSheetId="2">紅綠燈!#REF!</definedName>
    <definedName name="外部資料_505" localSheetId="12">PKA!#REF!</definedName>
    <definedName name="外部資料_505" localSheetId="13">PKB!#REF!</definedName>
    <definedName name="外部資料_505" localSheetId="14">PKC!#REF!</definedName>
    <definedName name="外部資料_505" localSheetId="7">公司債!#REF!</definedName>
    <definedName name="外部資料_505" localSheetId="0">基本設定!#REF!</definedName>
    <definedName name="外部資料_505" localSheetId="4">評比系統!#REF!</definedName>
    <definedName name="外部資料_5051" localSheetId="2">紅綠燈!#REF!</definedName>
    <definedName name="外部資料_5052" localSheetId="2">紅綠燈!#REF!</definedName>
    <definedName name="外部資料_5053" localSheetId="2">紅綠燈!#REF!</definedName>
    <definedName name="外部資料_5055" localSheetId="2">紅綠燈!#REF!</definedName>
    <definedName name="外部資料_5056" localSheetId="2">紅綠燈!#REF!</definedName>
    <definedName name="外部資料_5057" localSheetId="2">紅綠燈!#REF!</definedName>
    <definedName name="外部資料_5059" localSheetId="2">紅綠燈!#REF!</definedName>
    <definedName name="外部資料_506" localSheetId="12">PKA!#REF!</definedName>
    <definedName name="外部資料_506" localSheetId="13">PKB!#REF!</definedName>
    <definedName name="外部資料_506" localSheetId="14">PKC!#REF!</definedName>
    <definedName name="外部資料_506" localSheetId="7">公司債!#REF!</definedName>
    <definedName name="外部資料_506" localSheetId="0">基本設定!#REF!</definedName>
    <definedName name="外部資料_506" localSheetId="4">評比系統!#REF!</definedName>
    <definedName name="外部資料_5060" localSheetId="2">紅綠燈!#REF!</definedName>
    <definedName name="外部資料_5061" localSheetId="2">紅綠燈!#REF!</definedName>
    <definedName name="外部資料_5063" localSheetId="2">紅綠燈!#REF!</definedName>
    <definedName name="外部資料_5064" localSheetId="2">紅綠燈!#REF!</definedName>
    <definedName name="外部資料_5065" localSheetId="2">紅綠燈!#REF!</definedName>
    <definedName name="外部資料_5067" localSheetId="2">紅綠燈!#REF!</definedName>
    <definedName name="外部資料_5068" localSheetId="2">紅綠燈!#REF!</definedName>
    <definedName name="外部資料_5069" localSheetId="2">紅綠燈!#REF!</definedName>
    <definedName name="外部資料_507" localSheetId="12">PKA!#REF!</definedName>
    <definedName name="外部資料_507" localSheetId="13">PKB!#REF!</definedName>
    <definedName name="外部資料_507" localSheetId="14">PKC!#REF!</definedName>
    <definedName name="外部資料_507" localSheetId="7">公司債!#REF!</definedName>
    <definedName name="外部資料_507" localSheetId="0">基本設定!#REF!</definedName>
    <definedName name="外部資料_507" localSheetId="4">評比系統!#REF!</definedName>
    <definedName name="外部資料_5071" localSheetId="2">紅綠燈!#REF!</definedName>
    <definedName name="外部資料_5072" localSheetId="2">紅綠燈!#REF!</definedName>
    <definedName name="外部資料_5073" localSheetId="2">紅綠燈!#REF!</definedName>
    <definedName name="外部資料_5075" localSheetId="2">紅綠燈!#REF!</definedName>
    <definedName name="外部資料_5076" localSheetId="2">紅綠燈!#REF!</definedName>
    <definedName name="外部資料_5077" localSheetId="2">紅綠燈!#REF!</definedName>
    <definedName name="外部資料_5079" localSheetId="2">紅綠燈!#REF!</definedName>
    <definedName name="外部資料_508" localSheetId="12">PKA!#REF!</definedName>
    <definedName name="外部資料_508" localSheetId="13">PKB!#REF!</definedName>
    <definedName name="外部資料_508" localSheetId="14">PKC!#REF!</definedName>
    <definedName name="外部資料_508" localSheetId="7">公司債!#REF!</definedName>
    <definedName name="外部資料_508" localSheetId="0">基本設定!$Q$1:$Q$1</definedName>
    <definedName name="外部資料_508" localSheetId="4">評比系統!#REF!</definedName>
    <definedName name="外部資料_5080" localSheetId="2">紅綠燈!#REF!</definedName>
    <definedName name="外部資料_5081" localSheetId="2">紅綠燈!#REF!</definedName>
    <definedName name="外部資料_5083" localSheetId="2">紅綠燈!#REF!</definedName>
    <definedName name="外部資料_5084" localSheetId="2">紅綠燈!#REF!</definedName>
    <definedName name="外部資料_5085" localSheetId="2">紅綠燈!#REF!</definedName>
    <definedName name="外部資料_5087" localSheetId="2">紅綠燈!#REF!</definedName>
    <definedName name="外部資料_5088" localSheetId="2">紅綠燈!#REF!</definedName>
    <definedName name="外部資料_5089" localSheetId="2">紅綠燈!#REF!</definedName>
    <definedName name="外部資料_509" localSheetId="12">PKA!#REF!</definedName>
    <definedName name="外部資料_509" localSheetId="13">PKB!#REF!</definedName>
    <definedName name="外部資料_509" localSheetId="14">PKC!#REF!</definedName>
    <definedName name="外部資料_509" localSheetId="0">基本設定!#REF!</definedName>
    <definedName name="外部資料_509" localSheetId="4">評比系統!#REF!</definedName>
    <definedName name="外部資料_5091" localSheetId="2">紅綠燈!#REF!</definedName>
    <definedName name="外部資料_5092" localSheetId="2">紅綠燈!#REF!</definedName>
    <definedName name="外部資料_5093" localSheetId="2">紅綠燈!#REF!</definedName>
    <definedName name="外部資料_5095" localSheetId="2">紅綠燈!#REF!</definedName>
    <definedName name="外部資料_5096" localSheetId="2">紅綠燈!#REF!</definedName>
    <definedName name="外部資料_5097" localSheetId="2">紅綠燈!#REF!</definedName>
    <definedName name="外部資料_5099" localSheetId="2">紅綠燈!#REF!</definedName>
    <definedName name="外部資料_51" localSheetId="12">PKA!#REF!</definedName>
    <definedName name="外部資料_51" localSheetId="13">PKB!#REF!</definedName>
    <definedName name="外部資料_51" localSheetId="14">PKC!#REF!</definedName>
    <definedName name="外部資料_51" localSheetId="7">公司債!#REF!</definedName>
    <definedName name="外部資料_51" localSheetId="0">基本設定!#REF!</definedName>
    <definedName name="外部資料_51" localSheetId="4">評比系統!#REF!</definedName>
    <definedName name="外部資料_510" localSheetId="12">PKA!#REF!</definedName>
    <definedName name="外部資料_510" localSheetId="13">PKB!#REF!</definedName>
    <definedName name="外部資料_510" localSheetId="14">PKC!#REF!</definedName>
    <definedName name="外部資料_510" localSheetId="7">公司債!#REF!</definedName>
    <definedName name="外部資料_510" localSheetId="0">基本設定!#REF!</definedName>
    <definedName name="外部資料_510" localSheetId="4">評比系統!#REF!</definedName>
    <definedName name="外部資料_5100" localSheetId="2">紅綠燈!#REF!</definedName>
    <definedName name="外部資料_5101" localSheetId="2">紅綠燈!#REF!</definedName>
    <definedName name="外部資料_5103" localSheetId="2">紅綠燈!#REF!</definedName>
    <definedName name="外部資料_5104" localSheetId="2">紅綠燈!#REF!</definedName>
    <definedName name="外部資料_5105" localSheetId="2">紅綠燈!#REF!</definedName>
    <definedName name="外部資料_5107" localSheetId="2">紅綠燈!#REF!</definedName>
    <definedName name="外部資料_5108" localSheetId="2">紅綠燈!#REF!</definedName>
    <definedName name="外部資料_5109" localSheetId="2">紅綠燈!#REF!</definedName>
    <definedName name="外部資料_511" localSheetId="12">PKA!#REF!</definedName>
    <definedName name="外部資料_511" localSheetId="13">PKB!#REF!</definedName>
    <definedName name="外部資料_511" localSheetId="14">PKC!#REF!</definedName>
    <definedName name="外部資料_511" localSheetId="7">公司債!#REF!</definedName>
    <definedName name="外部資料_511" localSheetId="0">基本設定!#REF!</definedName>
    <definedName name="外部資料_511" localSheetId="4">評比系統!#REF!</definedName>
    <definedName name="外部資料_5111" localSheetId="2">紅綠燈!#REF!</definedName>
    <definedName name="外部資料_5112" localSheetId="2">紅綠燈!#REF!</definedName>
    <definedName name="外部資料_5113" localSheetId="2">紅綠燈!#REF!</definedName>
    <definedName name="外部資料_5115" localSheetId="2">紅綠燈!#REF!</definedName>
    <definedName name="外部資料_5116" localSheetId="2">紅綠燈!#REF!</definedName>
    <definedName name="外部資料_5117" localSheetId="2">紅綠燈!#REF!</definedName>
    <definedName name="外部資料_5119" localSheetId="2">紅綠燈!#REF!</definedName>
    <definedName name="外部資料_512" localSheetId="12">PKA!#REF!</definedName>
    <definedName name="外部資料_512" localSheetId="13">PKB!#REF!</definedName>
    <definedName name="外部資料_512" localSheetId="14">PKC!#REF!</definedName>
    <definedName name="外部資料_512" localSheetId="7">公司債!#REF!</definedName>
    <definedName name="外部資料_512" localSheetId="0">基本設定!#REF!</definedName>
    <definedName name="外部資料_512" localSheetId="4">評比系統!#REF!</definedName>
    <definedName name="外部資料_5120" localSheetId="2">紅綠燈!#REF!</definedName>
    <definedName name="外部資料_5121" localSheetId="2">紅綠燈!#REF!</definedName>
    <definedName name="外部資料_5123" localSheetId="2">紅綠燈!#REF!</definedName>
    <definedName name="外部資料_5124" localSheetId="2">紅綠燈!#REF!</definedName>
    <definedName name="外部資料_5125" localSheetId="2">紅綠燈!#REF!</definedName>
    <definedName name="外部資料_5127" localSheetId="2">紅綠燈!#REF!</definedName>
    <definedName name="外部資料_5128" localSheetId="2">紅綠燈!#REF!</definedName>
    <definedName name="外部資料_5129" localSheetId="2">紅綠燈!#REF!</definedName>
    <definedName name="外部資料_513" localSheetId="12">PKA!#REF!</definedName>
    <definedName name="外部資料_513" localSheetId="13">PKB!#REF!</definedName>
    <definedName name="外部資料_513" localSheetId="14">PKC!#REF!</definedName>
    <definedName name="外部資料_513" localSheetId="7">公司債!#REF!</definedName>
    <definedName name="外部資料_513" localSheetId="0">基本設定!#REF!</definedName>
    <definedName name="外部資料_513" localSheetId="4">評比系統!#REF!</definedName>
    <definedName name="外部資料_5131" localSheetId="2">紅綠燈!#REF!</definedName>
    <definedName name="外部資料_5132" localSheetId="2">紅綠燈!#REF!</definedName>
    <definedName name="外部資料_5133" localSheetId="2">紅綠燈!#REF!</definedName>
    <definedName name="外部資料_5135" localSheetId="2">紅綠燈!#REF!</definedName>
    <definedName name="外部資料_5136" localSheetId="2">紅綠燈!#REF!</definedName>
    <definedName name="外部資料_5137" localSheetId="2">紅綠燈!#REF!</definedName>
    <definedName name="外部資料_5139" localSheetId="2">紅綠燈!#REF!</definedName>
    <definedName name="外部資料_514" localSheetId="12">PKA!#REF!</definedName>
    <definedName name="外部資料_514" localSheetId="13">PKB!#REF!</definedName>
    <definedName name="外部資料_514" localSheetId="14">PKC!#REF!</definedName>
    <definedName name="外部資料_514" localSheetId="7">公司債!#REF!</definedName>
    <definedName name="外部資料_514" localSheetId="0">基本設定!#REF!</definedName>
    <definedName name="外部資料_514" localSheetId="4">評比系統!#REF!</definedName>
    <definedName name="外部資料_5140" localSheetId="2">紅綠燈!#REF!</definedName>
    <definedName name="外部資料_5141" localSheetId="2">紅綠燈!#REF!</definedName>
    <definedName name="外部資料_5143" localSheetId="2">紅綠燈!#REF!</definedName>
    <definedName name="外部資料_5144" localSheetId="2">紅綠燈!#REF!</definedName>
    <definedName name="外部資料_5145" localSheetId="2">紅綠燈!#REF!</definedName>
    <definedName name="外部資料_5147" localSheetId="2">紅綠燈!#REF!</definedName>
    <definedName name="外部資料_5148" localSheetId="2">紅綠燈!#REF!</definedName>
    <definedName name="外部資料_5149" localSheetId="2">紅綠燈!#REF!</definedName>
    <definedName name="外部資料_515" localSheetId="12">PKA!#REF!</definedName>
    <definedName name="外部資料_515" localSheetId="13">PKB!#REF!</definedName>
    <definedName name="外部資料_515" localSheetId="14">PKC!#REF!</definedName>
    <definedName name="外部資料_515" localSheetId="7">公司債!#REF!</definedName>
    <definedName name="外部資料_515" localSheetId="0">基本設定!#REF!</definedName>
    <definedName name="外部資料_515" localSheetId="4">評比系統!#REF!</definedName>
    <definedName name="外部資料_5151" localSheetId="2">紅綠燈!#REF!</definedName>
    <definedName name="外部資料_5152" localSheetId="2">紅綠燈!#REF!</definedName>
    <definedName name="外部資料_5153" localSheetId="2">紅綠燈!#REF!</definedName>
    <definedName name="外部資料_5155" localSheetId="2">紅綠燈!#REF!</definedName>
    <definedName name="外部資料_5156" localSheetId="2">紅綠燈!#REF!</definedName>
    <definedName name="外部資料_5157" localSheetId="2">紅綠燈!#REF!</definedName>
    <definedName name="外部資料_5159" localSheetId="2">紅綠燈!#REF!</definedName>
    <definedName name="外部資料_516" localSheetId="12">PKA!#REF!</definedName>
    <definedName name="外部資料_516" localSheetId="13">PKB!#REF!</definedName>
    <definedName name="外部資料_516" localSheetId="14">PKC!#REF!</definedName>
    <definedName name="外部資料_516" localSheetId="7">公司債!#REF!</definedName>
    <definedName name="外部資料_516" localSheetId="0">基本設定!#REF!</definedName>
    <definedName name="外部資料_516" localSheetId="4">評比系統!#REF!</definedName>
    <definedName name="外部資料_5160" localSheetId="2">紅綠燈!#REF!</definedName>
    <definedName name="外部資料_5161" localSheetId="2">紅綠燈!#REF!</definedName>
    <definedName name="外部資料_5163" localSheetId="2">紅綠燈!#REF!</definedName>
    <definedName name="外部資料_5164" localSheetId="2">紅綠燈!#REF!</definedName>
    <definedName name="外部資料_5165" localSheetId="2">紅綠燈!#REF!</definedName>
    <definedName name="外部資料_5167" localSheetId="2">紅綠燈!#REF!</definedName>
    <definedName name="外部資料_5168" localSheetId="2">紅綠燈!#REF!</definedName>
    <definedName name="外部資料_5169" localSheetId="2">紅綠燈!#REF!</definedName>
    <definedName name="外部資料_517" localSheetId="12">PKA!#REF!</definedName>
    <definedName name="外部資料_517" localSheetId="13">PKB!#REF!</definedName>
    <definedName name="外部資料_517" localSheetId="14">PKC!#REF!</definedName>
    <definedName name="外部資料_517" localSheetId="7">公司債!#REF!</definedName>
    <definedName name="外部資料_517" localSheetId="0">基本設定!#REF!</definedName>
    <definedName name="外部資料_517" localSheetId="4">評比系統!#REF!</definedName>
    <definedName name="外部資料_5171" localSheetId="2">紅綠燈!#REF!</definedName>
    <definedName name="外部資料_5172" localSheetId="2">紅綠燈!#REF!</definedName>
    <definedName name="外部資料_5173" localSheetId="2">紅綠燈!#REF!</definedName>
    <definedName name="外部資料_5175" localSheetId="2">紅綠燈!#REF!</definedName>
    <definedName name="外部資料_5176" localSheetId="2">紅綠燈!#REF!</definedName>
    <definedName name="外部資料_5177" localSheetId="2">紅綠燈!#REF!</definedName>
    <definedName name="外部資料_5179" localSheetId="2">紅綠燈!#REF!</definedName>
    <definedName name="外部資料_518" localSheetId="12">PKA!#REF!</definedName>
    <definedName name="外部資料_518" localSheetId="13">PKB!#REF!</definedName>
    <definedName name="外部資料_518" localSheetId="14">PKC!#REF!</definedName>
    <definedName name="外部資料_518" localSheetId="7">公司債!#REF!</definedName>
    <definedName name="外部資料_518" localSheetId="0">基本設定!#REF!</definedName>
    <definedName name="外部資料_518" localSheetId="4">評比系統!#REF!</definedName>
    <definedName name="外部資料_5180" localSheetId="2">紅綠燈!#REF!</definedName>
    <definedName name="外部資料_5181" localSheetId="2">紅綠燈!#REF!</definedName>
    <definedName name="外部資料_5183" localSheetId="2">紅綠燈!#REF!</definedName>
    <definedName name="外部資料_5184" localSheetId="2">紅綠燈!#REF!</definedName>
    <definedName name="外部資料_5185" localSheetId="2">紅綠燈!#REF!</definedName>
    <definedName name="外部資料_5187" localSheetId="2">紅綠燈!#REF!</definedName>
    <definedName name="外部資料_5188" localSheetId="2">紅綠燈!#REF!</definedName>
    <definedName name="外部資料_5189" localSheetId="2">紅綠燈!#REF!</definedName>
    <definedName name="外部資料_519" localSheetId="12">PKA!#REF!</definedName>
    <definedName name="外部資料_519" localSheetId="13">PKB!#REF!</definedName>
    <definedName name="外部資料_519" localSheetId="14">PKC!#REF!</definedName>
    <definedName name="外部資料_519" localSheetId="7">公司債!#REF!</definedName>
    <definedName name="外部資料_519" localSheetId="0">基本設定!#REF!</definedName>
    <definedName name="外部資料_519" localSheetId="4">評比系統!#REF!</definedName>
    <definedName name="外部資料_5191" localSheetId="2">紅綠燈!#REF!</definedName>
    <definedName name="外部資料_5192" localSheetId="2">紅綠燈!#REF!</definedName>
    <definedName name="外部資料_5193" localSheetId="2">紅綠燈!#REF!</definedName>
    <definedName name="外部資料_5195" localSheetId="2">紅綠燈!#REF!</definedName>
    <definedName name="外部資料_5196" localSheetId="2">紅綠燈!#REF!</definedName>
    <definedName name="外部資料_5197" localSheetId="2">紅綠燈!#REF!</definedName>
    <definedName name="外部資料_5199" localSheetId="2">紅綠燈!#REF!</definedName>
    <definedName name="外部資料_52" localSheetId="12">PKA!#REF!</definedName>
    <definedName name="外部資料_52" localSheetId="13">PKB!#REF!</definedName>
    <definedName name="外部資料_52" localSheetId="14">PKC!#REF!</definedName>
    <definedName name="外部資料_52" localSheetId="7">公司債!#REF!</definedName>
    <definedName name="外部資料_52" localSheetId="0">基本設定!#REF!</definedName>
    <definedName name="外部資料_52" localSheetId="4">評比系統!#REF!</definedName>
    <definedName name="外部資料_520" localSheetId="12">PKA!#REF!</definedName>
    <definedName name="外部資料_520" localSheetId="13">PKB!#REF!</definedName>
    <definedName name="外部資料_520" localSheetId="14">PKC!#REF!</definedName>
    <definedName name="外部資料_520" localSheetId="7">公司債!#REF!</definedName>
    <definedName name="外部資料_520" localSheetId="0">基本設定!#REF!</definedName>
    <definedName name="外部資料_520" localSheetId="4">評比系統!#REF!</definedName>
    <definedName name="外部資料_5200" localSheetId="2">紅綠燈!#REF!</definedName>
    <definedName name="外部資料_5201" localSheetId="2">紅綠燈!#REF!</definedName>
    <definedName name="外部資料_5203" localSheetId="2">紅綠燈!#REF!</definedName>
    <definedName name="外部資料_5204" localSheetId="2">紅綠燈!#REF!</definedName>
    <definedName name="外部資料_5205" localSheetId="2">紅綠燈!#REF!</definedName>
    <definedName name="外部資料_5207" localSheetId="2">紅綠燈!#REF!</definedName>
    <definedName name="外部資料_5208" localSheetId="2">紅綠燈!#REF!</definedName>
    <definedName name="外部資料_5209" localSheetId="2">紅綠燈!#REF!</definedName>
    <definedName name="外部資料_521" localSheetId="12">PKA!#REF!</definedName>
    <definedName name="外部資料_521" localSheetId="13">PKB!#REF!</definedName>
    <definedName name="外部資料_521" localSheetId="14">PKC!#REF!</definedName>
    <definedName name="外部資料_521" localSheetId="7">公司債!#REF!</definedName>
    <definedName name="外部資料_521" localSheetId="0">基本設定!#REF!</definedName>
    <definedName name="外部資料_521" localSheetId="4">評比系統!#REF!</definedName>
    <definedName name="外部資料_5211" localSheetId="2">紅綠燈!#REF!</definedName>
    <definedName name="外部資料_5212" localSheetId="2">紅綠燈!#REF!</definedName>
    <definedName name="外部資料_5213" localSheetId="2">紅綠燈!#REF!</definedName>
    <definedName name="外部資料_5215" localSheetId="2">紅綠燈!#REF!</definedName>
    <definedName name="外部資料_5216" localSheetId="2">紅綠燈!#REF!</definedName>
    <definedName name="外部資料_5217" localSheetId="2">紅綠燈!#REF!</definedName>
    <definedName name="外部資料_5219" localSheetId="2">紅綠燈!#REF!</definedName>
    <definedName name="外部資料_522" localSheetId="12">PKA!#REF!</definedName>
    <definedName name="外部資料_522" localSheetId="13">PKB!#REF!</definedName>
    <definedName name="外部資料_522" localSheetId="14">PKC!#REF!</definedName>
    <definedName name="外部資料_522" localSheetId="7">公司債!#REF!</definedName>
    <definedName name="外部資料_522" localSheetId="0">基本設定!#REF!</definedName>
    <definedName name="外部資料_522" localSheetId="4">評比系統!#REF!</definedName>
    <definedName name="外部資料_5220" localSheetId="2">紅綠燈!#REF!</definedName>
    <definedName name="外部資料_5221" localSheetId="2">紅綠燈!#REF!</definedName>
    <definedName name="外部資料_5223" localSheetId="2">紅綠燈!#REF!</definedName>
    <definedName name="外部資料_5224" localSheetId="2">紅綠燈!#REF!</definedName>
    <definedName name="外部資料_5225" localSheetId="2">紅綠燈!#REF!</definedName>
    <definedName name="外部資料_5227" localSheetId="2">紅綠燈!#REF!</definedName>
    <definedName name="外部資料_5228" localSheetId="2">紅綠燈!#REF!</definedName>
    <definedName name="外部資料_5229" localSheetId="2">紅綠燈!#REF!</definedName>
    <definedName name="外部資料_523" localSheetId="12">PKA!#REF!</definedName>
    <definedName name="外部資料_523" localSheetId="13">PKB!#REF!</definedName>
    <definedName name="外部資料_523" localSheetId="14">PKC!#REF!</definedName>
    <definedName name="外部資料_523" localSheetId="7">公司債!#REF!</definedName>
    <definedName name="外部資料_523" localSheetId="0">基本設定!#REF!</definedName>
    <definedName name="外部資料_523" localSheetId="4">評比系統!#REF!</definedName>
    <definedName name="外部資料_5231" localSheetId="2">紅綠燈!#REF!</definedName>
    <definedName name="外部資料_5232" localSheetId="2">紅綠燈!#REF!</definedName>
    <definedName name="外部資料_5233" localSheetId="2">紅綠燈!#REF!</definedName>
    <definedName name="外部資料_5235" localSheetId="2">紅綠燈!#REF!</definedName>
    <definedName name="外部資料_5236" localSheetId="2">紅綠燈!#REF!</definedName>
    <definedName name="外部資料_5237" localSheetId="2">紅綠燈!#REF!</definedName>
    <definedName name="外部資料_5239" localSheetId="2">紅綠燈!#REF!</definedName>
    <definedName name="外部資料_524" localSheetId="12">PKA!#REF!</definedName>
    <definedName name="外部資料_524" localSheetId="13">PKB!#REF!</definedName>
    <definedName name="外部資料_524" localSheetId="14">PKC!#REF!</definedName>
    <definedName name="外部資料_524" localSheetId="7">公司債!#REF!</definedName>
    <definedName name="外部資料_524" localSheetId="0">基本設定!#REF!</definedName>
    <definedName name="外部資料_524" localSheetId="4">評比系統!#REF!</definedName>
    <definedName name="外部資料_5240" localSheetId="2">紅綠燈!#REF!</definedName>
    <definedName name="外部資料_5241" localSheetId="2">紅綠燈!#REF!</definedName>
    <definedName name="外部資料_5243" localSheetId="2">紅綠燈!#REF!</definedName>
    <definedName name="外部資料_5244" localSheetId="2">紅綠燈!#REF!</definedName>
    <definedName name="外部資料_5246" localSheetId="2">紅綠燈!#REF!</definedName>
    <definedName name="外部資料_5247" localSheetId="2">紅綠燈!#REF!</definedName>
    <definedName name="外部資料_5248" localSheetId="2">紅綠燈!#REF!</definedName>
    <definedName name="外部資料_525" localSheetId="12">PKA!#REF!</definedName>
    <definedName name="外部資料_525" localSheetId="13">PKB!#REF!</definedName>
    <definedName name="外部資料_525" localSheetId="14">PKC!#REF!</definedName>
    <definedName name="外部資料_525" localSheetId="7">公司債!#REF!</definedName>
    <definedName name="外部資料_525" localSheetId="0">基本設定!#REF!</definedName>
    <definedName name="外部資料_525" localSheetId="4">評比系統!#REF!</definedName>
    <definedName name="外部資料_5250" localSheetId="2">紅綠燈!#REF!</definedName>
    <definedName name="外部資料_5251" localSheetId="2">紅綠燈!#REF!</definedName>
    <definedName name="外部資料_5252" localSheetId="2">紅綠燈!#REF!</definedName>
    <definedName name="外部資料_5254" localSheetId="2">紅綠燈!#REF!</definedName>
    <definedName name="外部資料_5255" localSheetId="2">紅綠燈!#REF!</definedName>
    <definedName name="外部資料_5256" localSheetId="2">紅綠燈!#REF!</definedName>
    <definedName name="外部資料_5258" localSheetId="2">紅綠燈!#REF!</definedName>
    <definedName name="外部資料_5259" localSheetId="2">紅綠燈!#REF!</definedName>
    <definedName name="外部資料_526" localSheetId="12">PKA!#REF!</definedName>
    <definedName name="外部資料_526" localSheetId="13">PKB!#REF!</definedName>
    <definedName name="外部資料_526" localSheetId="14">PKC!#REF!</definedName>
    <definedName name="外部資料_526" localSheetId="7">公司債!#REF!</definedName>
    <definedName name="外部資料_526" localSheetId="0">基本設定!#REF!</definedName>
    <definedName name="外部資料_526" localSheetId="4">評比系統!#REF!</definedName>
    <definedName name="外部資料_5260" localSheetId="2">紅綠燈!#REF!</definedName>
    <definedName name="外部資料_5262" localSheetId="2">紅綠燈!#REF!</definedName>
    <definedName name="外部資料_5263" localSheetId="2">紅綠燈!#REF!</definedName>
    <definedName name="外部資料_5264" localSheetId="2">紅綠燈!#REF!</definedName>
    <definedName name="外部資料_5266" localSheetId="2">紅綠燈!#REF!</definedName>
    <definedName name="外部資料_5267" localSheetId="2">紅綠燈!#REF!</definedName>
    <definedName name="外部資料_5268" localSheetId="2">紅綠燈!#REF!</definedName>
    <definedName name="外部資料_527" localSheetId="12">PKA!#REF!</definedName>
    <definedName name="外部資料_527" localSheetId="13">PKB!#REF!</definedName>
    <definedName name="外部資料_527" localSheetId="14">PKC!#REF!</definedName>
    <definedName name="外部資料_527" localSheetId="7">公司債!#REF!</definedName>
    <definedName name="外部資料_527" localSheetId="0">基本設定!#REF!</definedName>
    <definedName name="外部資料_527" localSheetId="4">評比系統!#REF!</definedName>
    <definedName name="外部資料_5270" localSheetId="2">紅綠燈!#REF!</definedName>
    <definedName name="外部資料_5271" localSheetId="2">紅綠燈!#REF!</definedName>
    <definedName name="外部資料_5272" localSheetId="2">紅綠燈!#REF!</definedName>
    <definedName name="外部資料_5274" localSheetId="2">紅綠燈!#REF!</definedName>
    <definedName name="外部資料_5275" localSheetId="2">紅綠燈!#REF!</definedName>
    <definedName name="外部資料_5276" localSheetId="2">紅綠燈!#REF!</definedName>
    <definedName name="外部資料_5278" localSheetId="2">紅綠燈!#REF!</definedName>
    <definedName name="外部資料_5279" localSheetId="2">紅綠燈!#REF!</definedName>
    <definedName name="外部資料_528" localSheetId="12">PKA!#REF!</definedName>
    <definedName name="外部資料_528" localSheetId="13">PKB!#REF!</definedName>
    <definedName name="外部資料_528" localSheetId="14">PKC!#REF!</definedName>
    <definedName name="外部資料_528" localSheetId="7">公司債!#REF!</definedName>
    <definedName name="外部資料_528" localSheetId="0">基本設定!#REF!</definedName>
    <definedName name="外部資料_528" localSheetId="4">評比系統!#REF!</definedName>
    <definedName name="外部資料_5280" localSheetId="2">紅綠燈!#REF!</definedName>
    <definedName name="外部資料_5282" localSheetId="2">紅綠燈!#REF!</definedName>
    <definedName name="外部資料_5283" localSheetId="2">紅綠燈!#REF!</definedName>
    <definedName name="外部資料_5284" localSheetId="2">紅綠燈!#REF!</definedName>
    <definedName name="外部資料_5286" localSheetId="2">紅綠燈!#REF!</definedName>
    <definedName name="外部資料_5287" localSheetId="2">紅綠燈!#REF!</definedName>
    <definedName name="外部資料_5288" localSheetId="2">紅綠燈!#REF!</definedName>
    <definedName name="外部資料_529" localSheetId="12">PKA!#REF!</definedName>
    <definedName name="外部資料_529" localSheetId="13">PKB!#REF!</definedName>
    <definedName name="外部資料_529" localSheetId="14">PKC!#REF!</definedName>
    <definedName name="外部資料_529" localSheetId="7">公司債!#REF!</definedName>
    <definedName name="外部資料_529" localSheetId="0">基本設定!#REF!</definedName>
    <definedName name="外部資料_529" localSheetId="4">評比系統!#REF!</definedName>
    <definedName name="外部資料_5290" localSheetId="2">紅綠燈!#REF!</definedName>
    <definedName name="外部資料_5291" localSheetId="2">紅綠燈!#REF!</definedName>
    <definedName name="外部資料_5292" localSheetId="2">紅綠燈!#REF!</definedName>
    <definedName name="外部資料_5294" localSheetId="2">紅綠燈!#REF!</definedName>
    <definedName name="外部資料_5295" localSheetId="2">紅綠燈!#REF!</definedName>
    <definedName name="外部資料_5296" localSheetId="2">紅綠燈!#REF!</definedName>
    <definedName name="外部資料_5298" localSheetId="2">紅綠燈!#REF!</definedName>
    <definedName name="外部資料_5299" localSheetId="2">紅綠燈!#REF!</definedName>
    <definedName name="外部資料_53" localSheetId="12">PKA!#REF!</definedName>
    <definedName name="外部資料_53" localSheetId="13">PKB!#REF!</definedName>
    <definedName name="外部資料_53" localSheetId="14">PKC!#REF!</definedName>
    <definedName name="外部資料_53" localSheetId="7">公司債!#REF!</definedName>
    <definedName name="外部資料_53" localSheetId="0">基本設定!#REF!</definedName>
    <definedName name="外部資料_53" localSheetId="4">評比系統!#REF!</definedName>
    <definedName name="外部資料_530" localSheetId="12">PKA!#REF!</definedName>
    <definedName name="外部資料_530" localSheetId="13">PKB!#REF!</definedName>
    <definedName name="外部資料_530" localSheetId="14">PKC!#REF!</definedName>
    <definedName name="外部資料_530" localSheetId="7">公司債!#REF!</definedName>
    <definedName name="外部資料_530" localSheetId="0">基本設定!#REF!</definedName>
    <definedName name="外部資料_530" localSheetId="4">評比系統!#REF!</definedName>
    <definedName name="外部資料_5300" localSheetId="2">紅綠燈!#REF!</definedName>
    <definedName name="外部資料_5302" localSheetId="2">紅綠燈!#REF!</definedName>
    <definedName name="外部資料_5303" localSheetId="2">紅綠燈!#REF!</definedName>
    <definedName name="外部資料_5304" localSheetId="2">紅綠燈!#REF!</definedName>
    <definedName name="外部資料_5306" localSheetId="2">紅綠燈!#REF!</definedName>
    <definedName name="外部資料_5307" localSheetId="2">紅綠燈!#REF!</definedName>
    <definedName name="外部資料_5308" localSheetId="2">紅綠燈!#REF!</definedName>
    <definedName name="外部資料_531" localSheetId="12">PKA!#REF!</definedName>
    <definedName name="外部資料_531" localSheetId="13">PKB!#REF!</definedName>
    <definedName name="外部資料_531" localSheetId="14">PKC!#REF!</definedName>
    <definedName name="外部資料_531" localSheetId="7">公司債!#REF!</definedName>
    <definedName name="外部資料_531" localSheetId="0">基本設定!#REF!</definedName>
    <definedName name="外部資料_531" localSheetId="4">評比系統!#REF!</definedName>
    <definedName name="外部資料_5310" localSheetId="2">紅綠燈!#REF!</definedName>
    <definedName name="外部資料_5311" localSheetId="2">紅綠燈!#REF!</definedName>
    <definedName name="外部資料_5312" localSheetId="2">紅綠燈!#REF!</definedName>
    <definedName name="外部資料_5314" localSheetId="2">紅綠燈!#REF!</definedName>
    <definedName name="外部資料_5315" localSheetId="2">紅綠燈!#REF!</definedName>
    <definedName name="外部資料_5316" localSheetId="2">紅綠燈!#REF!</definedName>
    <definedName name="外部資料_5318" localSheetId="2">紅綠燈!#REF!</definedName>
    <definedName name="外部資料_5319" localSheetId="2">紅綠燈!#REF!</definedName>
    <definedName name="外部資料_532" localSheetId="12">PKA!#REF!</definedName>
    <definedName name="外部資料_532" localSheetId="13">PKB!#REF!</definedName>
    <definedName name="外部資料_532" localSheetId="14">PKC!#REF!</definedName>
    <definedName name="外部資料_532" localSheetId="7">公司債!#REF!</definedName>
    <definedName name="外部資料_532" localSheetId="0">基本設定!#REF!</definedName>
    <definedName name="外部資料_532" localSheetId="4">評比系統!#REF!</definedName>
    <definedName name="外部資料_5320" localSheetId="2">紅綠燈!#REF!</definedName>
    <definedName name="外部資料_5322" localSheetId="2">紅綠燈!#REF!</definedName>
    <definedName name="外部資料_5323" localSheetId="2">紅綠燈!#REF!</definedName>
    <definedName name="外部資料_5324" localSheetId="2">紅綠燈!#REF!</definedName>
    <definedName name="外部資料_5326" localSheetId="2">紅綠燈!#REF!</definedName>
    <definedName name="外部資料_5327" localSheetId="2">紅綠燈!#REF!</definedName>
    <definedName name="外部資料_5328" localSheetId="2">紅綠燈!#REF!</definedName>
    <definedName name="外部資料_533" localSheetId="12">PKA!#REF!</definedName>
    <definedName name="外部資料_533" localSheetId="13">PKB!#REF!</definedName>
    <definedName name="外部資料_533" localSheetId="14">PKC!#REF!</definedName>
    <definedName name="外部資料_533" localSheetId="7">公司債!#REF!</definedName>
    <definedName name="外部資料_533" localSheetId="0">基本設定!#REF!</definedName>
    <definedName name="外部資料_533" localSheetId="4">評比系統!#REF!</definedName>
    <definedName name="外部資料_5330" localSheetId="2">紅綠燈!#REF!</definedName>
    <definedName name="外部資料_5331" localSheetId="2">紅綠燈!#REF!</definedName>
    <definedName name="外部資料_5332" localSheetId="2">紅綠燈!#REF!</definedName>
    <definedName name="外部資料_5334" localSheetId="2">紅綠燈!#REF!</definedName>
    <definedName name="外部資料_5335" localSheetId="2">紅綠燈!#REF!</definedName>
    <definedName name="外部資料_5336" localSheetId="2">紅綠燈!#REF!</definedName>
    <definedName name="外部資料_5338" localSheetId="2">紅綠燈!#REF!</definedName>
    <definedName name="外部資料_5339" localSheetId="2">紅綠燈!#REF!</definedName>
    <definedName name="外部資料_534" localSheetId="12">PKA!#REF!</definedName>
    <definedName name="外部資料_534" localSheetId="13">PKB!#REF!</definedName>
    <definedName name="外部資料_534" localSheetId="14">PKC!#REF!</definedName>
    <definedName name="外部資料_534" localSheetId="7">公司債!#REF!</definedName>
    <definedName name="外部資料_534" localSheetId="0">基本設定!#REF!</definedName>
    <definedName name="外部資料_534" localSheetId="4">評比系統!#REF!</definedName>
    <definedName name="外部資料_5340" localSheetId="2">紅綠燈!#REF!</definedName>
    <definedName name="外部資料_5342" localSheetId="2">紅綠燈!#REF!</definedName>
    <definedName name="外部資料_5343" localSheetId="2">紅綠燈!#REF!</definedName>
    <definedName name="外部資料_5344" localSheetId="2">紅綠燈!#REF!</definedName>
    <definedName name="外部資料_5346" localSheetId="2">紅綠燈!#REF!</definedName>
    <definedName name="外部資料_5347" localSheetId="2">紅綠燈!#REF!</definedName>
    <definedName name="外部資料_5348" localSheetId="2">紅綠燈!#REF!</definedName>
    <definedName name="外部資料_535" localSheetId="12">PKA!#REF!</definedName>
    <definedName name="外部資料_535" localSheetId="13">PKB!#REF!</definedName>
    <definedName name="外部資料_535" localSheetId="14">PKC!#REF!</definedName>
    <definedName name="外部資料_535" localSheetId="7">公司債!#REF!</definedName>
    <definedName name="外部資料_535" localSheetId="0">基本設定!#REF!</definedName>
    <definedName name="外部資料_535" localSheetId="4">評比系統!#REF!</definedName>
    <definedName name="外部資料_5350" localSheetId="2">紅綠燈!#REF!</definedName>
    <definedName name="外部資料_5351" localSheetId="2">紅綠燈!#REF!</definedName>
    <definedName name="外部資料_5352" localSheetId="2">紅綠燈!#REF!</definedName>
    <definedName name="外部資料_5354" localSheetId="2">紅綠燈!#REF!</definedName>
    <definedName name="外部資料_5355" localSheetId="2">紅綠燈!#REF!</definedName>
    <definedName name="外部資料_5356" localSheetId="2">紅綠燈!#REF!</definedName>
    <definedName name="外部資料_5358" localSheetId="2">紅綠燈!#REF!</definedName>
    <definedName name="外部資料_5359" localSheetId="2">紅綠燈!#REF!</definedName>
    <definedName name="外部資料_536" localSheetId="12">PKA!#REF!</definedName>
    <definedName name="外部資料_536" localSheetId="13">PKB!#REF!</definedName>
    <definedName name="外部資料_536" localSheetId="14">PKC!#REF!</definedName>
    <definedName name="外部資料_536" localSheetId="7">公司債!#REF!</definedName>
    <definedName name="外部資料_536" localSheetId="0">基本設定!#REF!</definedName>
    <definedName name="外部資料_536" localSheetId="4">評比系統!#REF!</definedName>
    <definedName name="外部資料_5360" localSheetId="2">紅綠燈!#REF!</definedName>
    <definedName name="外部資料_5362" localSheetId="2">紅綠燈!#REF!</definedName>
    <definedName name="外部資料_5363" localSheetId="2">紅綠燈!#REF!</definedName>
    <definedName name="外部資料_5364" localSheetId="2">紅綠燈!#REF!</definedName>
    <definedName name="外部資料_5366" localSheetId="2">紅綠燈!#REF!</definedName>
    <definedName name="外部資料_5367" localSheetId="2">紅綠燈!#REF!</definedName>
    <definedName name="外部資料_5368" localSheetId="2">紅綠燈!#REF!</definedName>
    <definedName name="外部資料_537" localSheetId="12">PKA!#REF!</definedName>
    <definedName name="外部資料_537" localSheetId="13">PKB!#REF!</definedName>
    <definedName name="外部資料_537" localSheetId="14">PKC!#REF!</definedName>
    <definedName name="外部資料_537" localSheetId="7">公司債!#REF!</definedName>
    <definedName name="外部資料_537" localSheetId="0">基本設定!#REF!</definedName>
    <definedName name="外部資料_537" localSheetId="4">評比系統!#REF!</definedName>
    <definedName name="外部資料_5370" localSheetId="2">紅綠燈!#REF!</definedName>
    <definedName name="外部資料_5371" localSheetId="2">紅綠燈!#REF!</definedName>
    <definedName name="外部資料_5372" localSheetId="2">紅綠燈!#REF!</definedName>
    <definedName name="外部資料_5374" localSheetId="2">紅綠燈!#REF!</definedName>
    <definedName name="外部資料_5375" localSheetId="2">紅綠燈!#REF!</definedName>
    <definedName name="外部資料_5376" localSheetId="2">紅綠燈!#REF!</definedName>
    <definedName name="外部資料_5378" localSheetId="2">紅綠燈!#REF!</definedName>
    <definedName name="外部資料_5379" localSheetId="2">紅綠燈!#REF!</definedName>
    <definedName name="外部資料_538" localSheetId="12">PKA!#REF!</definedName>
    <definedName name="外部資料_538" localSheetId="13">PKB!#REF!</definedName>
    <definedName name="外部資料_538" localSheetId="14">PKC!#REF!</definedName>
    <definedName name="外部資料_538" localSheetId="7">公司債!#REF!</definedName>
    <definedName name="外部資料_538" localSheetId="0">基本設定!#REF!</definedName>
    <definedName name="外部資料_538" localSheetId="4">評比系統!#REF!</definedName>
    <definedName name="外部資料_5380" localSheetId="2">紅綠燈!#REF!</definedName>
    <definedName name="外部資料_5382" localSheetId="2">紅綠燈!#REF!</definedName>
    <definedName name="外部資料_5383" localSheetId="2">紅綠燈!#REF!</definedName>
    <definedName name="外部資料_5384" localSheetId="2">紅綠燈!#REF!</definedName>
    <definedName name="外部資料_5386" localSheetId="2">紅綠燈!#REF!</definedName>
    <definedName name="外部資料_5387" localSheetId="2">紅綠燈!#REF!</definedName>
    <definedName name="外部資料_5388" localSheetId="2">紅綠燈!#REF!</definedName>
    <definedName name="外部資料_539" localSheetId="12">PKA!#REF!</definedName>
    <definedName name="外部資料_539" localSheetId="13">PKB!#REF!</definedName>
    <definedName name="外部資料_539" localSheetId="14">PKC!#REF!</definedName>
    <definedName name="外部資料_539" localSheetId="7">公司債!#REF!</definedName>
    <definedName name="外部資料_539" localSheetId="0">基本設定!#REF!</definedName>
    <definedName name="外部資料_539" localSheetId="4">評比系統!#REF!</definedName>
    <definedName name="外部資料_5390" localSheetId="2">紅綠燈!#REF!</definedName>
    <definedName name="外部資料_5391" localSheetId="2">紅綠燈!#REF!</definedName>
    <definedName name="外部資料_5392" localSheetId="2">紅綠燈!#REF!</definedName>
    <definedName name="外部資料_5394" localSheetId="2">紅綠燈!#REF!</definedName>
    <definedName name="外部資料_5395" localSheetId="2">紅綠燈!#REF!</definedName>
    <definedName name="外部資料_5396" localSheetId="2">紅綠燈!#REF!</definedName>
    <definedName name="外部資料_5398" localSheetId="2">紅綠燈!#REF!</definedName>
    <definedName name="外部資料_5399" localSheetId="2">紅綠燈!#REF!</definedName>
    <definedName name="外部資料_54" localSheetId="12">PKA!#REF!</definedName>
    <definedName name="外部資料_54" localSheetId="13">PKB!#REF!</definedName>
    <definedName name="外部資料_54" localSheetId="14">PKC!#REF!</definedName>
    <definedName name="外部資料_54" localSheetId="7">公司債!#REF!</definedName>
    <definedName name="外部資料_54" localSheetId="0">基本設定!#REF!</definedName>
    <definedName name="外部資料_54" localSheetId="4">評比系統!#REF!</definedName>
    <definedName name="外部資料_540" localSheetId="12">PKA!#REF!</definedName>
    <definedName name="外部資料_540" localSheetId="13">PKB!#REF!</definedName>
    <definedName name="外部資料_540" localSheetId="14">PKC!#REF!</definedName>
    <definedName name="外部資料_540" localSheetId="7">公司債!#REF!</definedName>
    <definedName name="外部資料_540" localSheetId="0">基本設定!#REF!</definedName>
    <definedName name="外部資料_540" localSheetId="4">評比系統!#REF!</definedName>
    <definedName name="外部資料_5400" localSheetId="2">紅綠燈!#REF!</definedName>
    <definedName name="外部資料_5402" localSheetId="2">紅綠燈!#REF!</definedName>
    <definedName name="外部資料_5403" localSheetId="2">紅綠燈!#REF!</definedName>
    <definedName name="外部資料_5404" localSheetId="2">紅綠燈!#REF!</definedName>
    <definedName name="外部資料_5406" localSheetId="2">紅綠燈!#REF!</definedName>
    <definedName name="外部資料_5407" localSheetId="2">紅綠燈!#REF!</definedName>
    <definedName name="外部資料_5408" localSheetId="2">紅綠燈!#REF!</definedName>
    <definedName name="外部資料_541" localSheetId="12">PKA!#REF!</definedName>
    <definedName name="外部資料_541" localSheetId="13">PKB!#REF!</definedName>
    <definedName name="外部資料_541" localSheetId="14">PKC!#REF!</definedName>
    <definedName name="外部資料_541" localSheetId="7">公司債!#REF!</definedName>
    <definedName name="外部資料_541" localSheetId="0">基本設定!#REF!</definedName>
    <definedName name="外部資料_541" localSheetId="4">評比系統!#REF!</definedName>
    <definedName name="外部資料_5410" localSheetId="2">紅綠燈!#REF!</definedName>
    <definedName name="外部資料_5411" localSheetId="2">紅綠燈!#REF!</definedName>
    <definedName name="外部資料_5412" localSheetId="2">紅綠燈!#REF!</definedName>
    <definedName name="外部資料_5414" localSheetId="2">紅綠燈!#REF!</definedName>
    <definedName name="外部資料_5415" localSheetId="2">紅綠燈!#REF!</definedName>
    <definedName name="外部資料_5416" localSheetId="2">紅綠燈!#REF!</definedName>
    <definedName name="外部資料_5418" localSheetId="2">紅綠燈!#REF!</definedName>
    <definedName name="外部資料_5419" localSheetId="2">紅綠燈!#REF!</definedName>
    <definedName name="外部資料_542" localSheetId="12">PKA!#REF!</definedName>
    <definedName name="外部資料_542" localSheetId="13">PKB!#REF!</definedName>
    <definedName name="外部資料_542" localSheetId="14">PKC!#REF!</definedName>
    <definedName name="外部資料_542" localSheetId="7">公司債!#REF!</definedName>
    <definedName name="外部資料_542" localSheetId="0">基本設定!#REF!</definedName>
    <definedName name="外部資料_542" localSheetId="4">評比系統!#REF!</definedName>
    <definedName name="外部資料_5420" localSheetId="2">紅綠燈!#REF!</definedName>
    <definedName name="外部資料_5422" localSheetId="2">紅綠燈!#REF!</definedName>
    <definedName name="外部資料_5423" localSheetId="2">紅綠燈!#REF!</definedName>
    <definedName name="外部資料_5425" localSheetId="2">紅綠燈!#REF!</definedName>
    <definedName name="外部資料_5426" localSheetId="2">紅綠燈!#REF!</definedName>
    <definedName name="外部資料_5428" localSheetId="2">紅綠燈!#REF!</definedName>
    <definedName name="外部資料_5429" localSheetId="2">紅綠燈!#REF!</definedName>
    <definedName name="外部資料_543" localSheetId="12">PKA!#REF!</definedName>
    <definedName name="外部資料_543" localSheetId="13">PKB!#REF!</definedName>
    <definedName name="外部資料_543" localSheetId="14">PKC!#REF!</definedName>
    <definedName name="外部資料_543" localSheetId="7">公司債!#REF!</definedName>
    <definedName name="外部資料_543" localSheetId="0">基本設定!#REF!</definedName>
    <definedName name="外部資料_543" localSheetId="4">評比系統!#REF!</definedName>
    <definedName name="外部資料_5430" localSheetId="2">紅綠燈!#REF!</definedName>
    <definedName name="外部資料_5432" localSheetId="2">紅綠燈!#REF!</definedName>
    <definedName name="外部資料_5433" localSheetId="2">紅綠燈!#REF!</definedName>
    <definedName name="外部資料_5434" localSheetId="2">紅綠燈!#REF!</definedName>
    <definedName name="外部資料_5436" localSheetId="2">紅綠燈!#REF!</definedName>
    <definedName name="外部資料_5437" localSheetId="2">紅綠燈!#REF!</definedName>
    <definedName name="外部資料_5438" localSheetId="2">紅綠燈!#REF!</definedName>
    <definedName name="外部資料_544" localSheetId="12">PKA!#REF!</definedName>
    <definedName name="外部資料_544" localSheetId="13">PKB!#REF!</definedName>
    <definedName name="外部資料_544" localSheetId="14">PKC!#REF!</definedName>
    <definedName name="外部資料_544" localSheetId="7">公司債!#REF!</definedName>
    <definedName name="外部資料_544" localSheetId="0">基本設定!#REF!</definedName>
    <definedName name="外部資料_544" localSheetId="4">評比系統!#REF!</definedName>
    <definedName name="外部資料_5440" localSheetId="2">紅綠燈!#REF!</definedName>
    <definedName name="外部資料_5441" localSheetId="2">紅綠燈!#REF!</definedName>
    <definedName name="外部資料_5442" localSheetId="2">紅綠燈!#REF!</definedName>
    <definedName name="外部資料_5444" localSheetId="2">紅綠燈!#REF!</definedName>
    <definedName name="外部資料_5445" localSheetId="2">紅綠燈!#REF!</definedName>
    <definedName name="外部資料_5446" localSheetId="2">紅綠燈!#REF!</definedName>
    <definedName name="外部資料_5448" localSheetId="2">紅綠燈!#REF!</definedName>
    <definedName name="外部資料_5449" localSheetId="2">紅綠燈!#REF!</definedName>
    <definedName name="外部資料_545" localSheetId="12">PKA!#REF!</definedName>
    <definedName name="外部資料_545" localSheetId="13">PKB!#REF!</definedName>
    <definedName name="外部資料_545" localSheetId="14">PKC!#REF!</definedName>
    <definedName name="外部資料_545" localSheetId="7">公司債!#REF!</definedName>
    <definedName name="外部資料_545" localSheetId="0">基本設定!#REF!</definedName>
    <definedName name="外部資料_545" localSheetId="4">評比系統!#REF!</definedName>
    <definedName name="外部資料_5450" localSheetId="2">紅綠燈!#REF!</definedName>
    <definedName name="外部資料_5452" localSheetId="2">紅綠燈!#REF!</definedName>
    <definedName name="外部資料_5453" localSheetId="2">紅綠燈!#REF!</definedName>
    <definedName name="外部資料_5454" localSheetId="2">紅綠燈!#REF!</definedName>
    <definedName name="外部資料_5456" localSheetId="2">紅綠燈!#REF!</definedName>
    <definedName name="外部資料_5457" localSheetId="2">紅綠燈!#REF!</definedName>
    <definedName name="外部資料_5458" localSheetId="2">紅綠燈!#REF!</definedName>
    <definedName name="外部資料_546" localSheetId="12">PKA!#REF!</definedName>
    <definedName name="外部資料_546" localSheetId="13">PKB!#REF!</definedName>
    <definedName name="外部資料_546" localSheetId="14">PKC!#REF!</definedName>
    <definedName name="外部資料_546" localSheetId="7">公司債!#REF!</definedName>
    <definedName name="外部資料_546" localSheetId="0">基本設定!#REF!</definedName>
    <definedName name="外部資料_546" localSheetId="4">評比系統!#REF!</definedName>
    <definedName name="外部資料_5460" localSheetId="2">紅綠燈!#REF!</definedName>
    <definedName name="外部資料_5461" localSheetId="2">紅綠燈!#REF!</definedName>
    <definedName name="外部資料_5462" localSheetId="2">紅綠燈!#REF!</definedName>
    <definedName name="外部資料_5464" localSheetId="2">紅綠燈!#REF!</definedName>
    <definedName name="外部資料_5465" localSheetId="2">紅綠燈!#REF!</definedName>
    <definedName name="外部資料_5466" localSheetId="2">紅綠燈!#REF!</definedName>
    <definedName name="外部資料_5468" localSheetId="2">紅綠燈!#REF!</definedName>
    <definedName name="外部資料_5469" localSheetId="2">紅綠燈!#REF!</definedName>
    <definedName name="外部資料_547" localSheetId="12">PKA!#REF!</definedName>
    <definedName name="外部資料_547" localSheetId="13">PKB!#REF!</definedName>
    <definedName name="外部資料_547" localSheetId="14">PKC!#REF!</definedName>
    <definedName name="外部資料_547" localSheetId="7">公司債!#REF!</definedName>
    <definedName name="外部資料_547" localSheetId="0">基本設定!#REF!</definedName>
    <definedName name="外部資料_547" localSheetId="4">評比系統!#REF!</definedName>
    <definedName name="外部資料_5470" localSheetId="2">紅綠燈!#REF!</definedName>
    <definedName name="外部資料_5472" localSheetId="2">紅綠燈!#REF!</definedName>
    <definedName name="外部資料_5473" localSheetId="2">紅綠燈!#REF!</definedName>
    <definedName name="外部資料_5474" localSheetId="2">紅綠燈!#REF!</definedName>
    <definedName name="外部資料_5476" localSheetId="2">紅綠燈!#REF!</definedName>
    <definedName name="外部資料_5477" localSheetId="2">紅綠燈!#REF!</definedName>
    <definedName name="外部資料_5478" localSheetId="2">紅綠燈!#REF!</definedName>
    <definedName name="外部資料_548" localSheetId="12">PKA!#REF!</definedName>
    <definedName name="外部資料_548" localSheetId="13">PKB!#REF!</definedName>
    <definedName name="外部資料_548" localSheetId="14">PKC!#REF!</definedName>
    <definedName name="外部資料_548" localSheetId="7">公司債!#REF!</definedName>
    <definedName name="外部資料_548" localSheetId="0">基本設定!#REF!</definedName>
    <definedName name="外部資料_548" localSheetId="4">評比系統!#REF!</definedName>
    <definedName name="外部資料_5480" localSheetId="2">紅綠燈!#REF!</definedName>
    <definedName name="外部資料_5481" localSheetId="2">紅綠燈!#REF!</definedName>
    <definedName name="外部資料_5482" localSheetId="2">紅綠燈!#REF!</definedName>
    <definedName name="外部資料_5484" localSheetId="2">紅綠燈!#REF!</definedName>
    <definedName name="外部資料_5485" localSheetId="2">紅綠燈!#REF!</definedName>
    <definedName name="外部資料_5486" localSheetId="2">紅綠燈!#REF!</definedName>
    <definedName name="外部資料_5488" localSheetId="2">紅綠燈!#REF!</definedName>
    <definedName name="外部資料_5489" localSheetId="2">紅綠燈!#REF!</definedName>
    <definedName name="外部資料_549" localSheetId="12">PKA!#REF!</definedName>
    <definedName name="外部資料_549" localSheetId="13">PKB!#REF!</definedName>
    <definedName name="外部資料_549" localSheetId="14">PKC!#REF!</definedName>
    <definedName name="外部資料_549" localSheetId="7">公司債!#REF!</definedName>
    <definedName name="外部資料_549" localSheetId="0">基本設定!#REF!</definedName>
    <definedName name="外部資料_549" localSheetId="4">評比系統!#REF!</definedName>
    <definedName name="外部資料_5491" localSheetId="2">紅綠燈!#REF!</definedName>
    <definedName name="外部資料_5492" localSheetId="2">紅綠燈!#REF!</definedName>
    <definedName name="外部資料_5493" localSheetId="2">紅綠燈!#REF!</definedName>
    <definedName name="外部資料_5495" localSheetId="2">紅綠燈!#REF!</definedName>
    <definedName name="外部資料_5496" localSheetId="2">紅綠燈!#REF!</definedName>
    <definedName name="外部資料_5497" localSheetId="2">紅綠燈!#REF!</definedName>
    <definedName name="外部資料_5499" localSheetId="2">紅綠燈!#REF!</definedName>
    <definedName name="外部資料_55" localSheetId="12">PKA!#REF!</definedName>
    <definedName name="外部資料_55" localSheetId="13">PKB!#REF!</definedName>
    <definedName name="外部資料_55" localSheetId="14">PKC!#REF!</definedName>
    <definedName name="外部資料_55" localSheetId="7">公司債!#REF!</definedName>
    <definedName name="外部資料_55" localSheetId="0">基本設定!#REF!</definedName>
    <definedName name="外部資料_55" localSheetId="4">評比系統!#REF!</definedName>
    <definedName name="外部資料_550" localSheetId="12">PKA!#REF!</definedName>
    <definedName name="外部資料_550" localSheetId="13">PKB!#REF!</definedName>
    <definedName name="外部資料_550" localSheetId="14">PKC!#REF!</definedName>
    <definedName name="外部資料_550" localSheetId="7">公司債!#REF!</definedName>
    <definedName name="外部資料_550" localSheetId="0">基本設定!#REF!</definedName>
    <definedName name="外部資料_550" localSheetId="4">評比系統!#REF!</definedName>
    <definedName name="外部資料_5500" localSheetId="2">紅綠燈!#REF!</definedName>
    <definedName name="外部資料_5501" localSheetId="2">紅綠燈!#REF!</definedName>
    <definedName name="外部資料_5503" localSheetId="2">紅綠燈!#REF!</definedName>
    <definedName name="外部資料_5504" localSheetId="2">紅綠燈!#REF!</definedName>
    <definedName name="外部資料_5505" localSheetId="2">紅綠燈!#REF!</definedName>
    <definedName name="外部資料_5507" localSheetId="2">紅綠燈!#REF!</definedName>
    <definedName name="外部資料_5508" localSheetId="2">紅綠燈!#REF!</definedName>
    <definedName name="外部資料_5509" localSheetId="2">紅綠燈!#REF!</definedName>
    <definedName name="外部資料_551" localSheetId="12">PKA!#REF!</definedName>
    <definedName name="外部資料_551" localSheetId="13">PKB!#REF!</definedName>
    <definedName name="外部資料_551" localSheetId="14">PKC!#REF!</definedName>
    <definedName name="外部資料_551" localSheetId="7">公司債!#REF!</definedName>
    <definedName name="外部資料_551" localSheetId="0">基本設定!#REF!</definedName>
    <definedName name="外部資料_551" localSheetId="4">評比系統!#REF!</definedName>
    <definedName name="外部資料_5511" localSheetId="2">紅綠燈!#REF!</definedName>
    <definedName name="外部資料_5512" localSheetId="2">紅綠燈!#REF!</definedName>
    <definedName name="外部資料_5514" localSheetId="2">紅綠燈!#REF!</definedName>
    <definedName name="外部資料_5515" localSheetId="2">紅綠燈!#REF!</definedName>
    <definedName name="外部資料_5516" localSheetId="2">紅綠燈!#REF!</definedName>
    <definedName name="外部資料_5518" localSheetId="2">紅綠燈!#REF!</definedName>
    <definedName name="外部資料_5519" localSheetId="2">紅綠燈!#REF!</definedName>
    <definedName name="外部資料_552" localSheetId="12">PKA!#REF!</definedName>
    <definedName name="外部資料_552" localSheetId="13">PKB!#REF!</definedName>
    <definedName name="外部資料_552" localSheetId="14">PKC!#REF!</definedName>
    <definedName name="外部資料_552" localSheetId="7">公司債!#REF!</definedName>
    <definedName name="外部資料_552" localSheetId="0">基本設定!#REF!</definedName>
    <definedName name="外部資料_552" localSheetId="4">評比系統!#REF!</definedName>
    <definedName name="外部資料_5520" localSheetId="2">紅綠燈!#REF!</definedName>
    <definedName name="外部資料_5522" localSheetId="2">紅綠燈!#REF!</definedName>
    <definedName name="外部資料_5523" localSheetId="2">紅綠燈!#REF!</definedName>
    <definedName name="外部資料_5524" localSheetId="2">紅綠燈!#REF!</definedName>
    <definedName name="外部資料_5526" localSheetId="2">紅綠燈!#REF!</definedName>
    <definedName name="外部資料_5527" localSheetId="2">紅綠燈!#REF!</definedName>
    <definedName name="外部資料_5528" localSheetId="2">紅綠燈!#REF!</definedName>
    <definedName name="外部資料_553" localSheetId="12">PKA!#REF!</definedName>
    <definedName name="外部資料_553" localSheetId="13">PKB!#REF!</definedName>
    <definedName name="外部資料_553" localSheetId="14">PKC!#REF!</definedName>
    <definedName name="外部資料_553" localSheetId="7">公司債!#REF!</definedName>
    <definedName name="外部資料_553" localSheetId="0">基本設定!#REF!</definedName>
    <definedName name="外部資料_553" localSheetId="4">評比系統!#REF!</definedName>
    <definedName name="外部資料_5530" localSheetId="2">紅綠燈!#REF!</definedName>
    <definedName name="外部資料_5531" localSheetId="2">紅綠燈!#REF!</definedName>
    <definedName name="外部資料_5532" localSheetId="2">紅綠燈!#REF!</definedName>
    <definedName name="外部資料_5534" localSheetId="2">紅綠燈!#REF!</definedName>
    <definedName name="外部資料_5535" localSheetId="2">紅綠燈!#REF!</definedName>
    <definedName name="外部資料_5536" localSheetId="2">紅綠燈!#REF!</definedName>
    <definedName name="外部資料_5538" localSheetId="2">紅綠燈!#REF!</definedName>
    <definedName name="外部資料_5539" localSheetId="2">紅綠燈!#REF!</definedName>
    <definedName name="外部資料_554" localSheetId="12">PKA!#REF!</definedName>
    <definedName name="外部資料_554" localSheetId="13">PKB!#REF!</definedName>
    <definedName name="外部資料_554" localSheetId="14">PKC!#REF!</definedName>
    <definedName name="外部資料_554" localSheetId="7">公司債!#REF!</definedName>
    <definedName name="外部資料_554" localSheetId="0">基本設定!#REF!</definedName>
    <definedName name="外部資料_554" localSheetId="4">評比系統!#REF!</definedName>
    <definedName name="外部資料_5540" localSheetId="2">紅綠燈!#REF!</definedName>
    <definedName name="外部資料_5542" localSheetId="2">紅綠燈!#REF!</definedName>
    <definedName name="外部資料_5543" localSheetId="2">紅綠燈!#REF!</definedName>
    <definedName name="外部資料_5544" localSheetId="2">紅綠燈!#REF!</definedName>
    <definedName name="外部資料_5546" localSheetId="2">紅綠燈!#REF!</definedName>
    <definedName name="外部資料_5547" localSheetId="2">紅綠燈!#REF!</definedName>
    <definedName name="外部資料_5548" localSheetId="2">紅綠燈!#REF!</definedName>
    <definedName name="外部資料_555" localSheetId="12">PKA!#REF!</definedName>
    <definedName name="外部資料_555" localSheetId="13">PKB!#REF!</definedName>
    <definedName name="外部資料_555" localSheetId="14">PKC!#REF!</definedName>
    <definedName name="外部資料_555" localSheetId="7">公司債!#REF!</definedName>
    <definedName name="外部資料_555" localSheetId="0">基本設定!#REF!</definedName>
    <definedName name="外部資料_555" localSheetId="4">評比系統!#REF!</definedName>
    <definedName name="外部資料_5550" localSheetId="2">紅綠燈!#REF!</definedName>
    <definedName name="外部資料_5551" localSheetId="2">紅綠燈!#REF!</definedName>
    <definedName name="外部資料_5552" localSheetId="2">紅綠燈!#REF!</definedName>
    <definedName name="外部資料_5554" localSheetId="2">紅綠燈!#REF!</definedName>
    <definedName name="外部資料_5555" localSheetId="2">紅綠燈!#REF!</definedName>
    <definedName name="外部資料_5556" localSheetId="2">紅綠燈!#REF!</definedName>
    <definedName name="外部資料_5558" localSheetId="2">紅綠燈!#REF!</definedName>
    <definedName name="外部資料_5559" localSheetId="2">紅綠燈!#REF!</definedName>
    <definedName name="外部資料_556" localSheetId="12">PKA!#REF!</definedName>
    <definedName name="外部資料_556" localSheetId="13">PKB!#REF!</definedName>
    <definedName name="外部資料_556" localSheetId="14">PKC!#REF!</definedName>
    <definedName name="外部資料_556" localSheetId="7">公司債!#REF!</definedName>
    <definedName name="外部資料_556" localSheetId="0">基本設定!#REF!</definedName>
    <definedName name="外部資料_556" localSheetId="4">評比系統!#REF!</definedName>
    <definedName name="外部資料_5560" localSheetId="2">紅綠燈!#REF!</definedName>
    <definedName name="外部資料_5562" localSheetId="2">紅綠燈!#REF!</definedName>
    <definedName name="外部資料_5563" localSheetId="2">紅綠燈!#REF!</definedName>
    <definedName name="外部資料_5564" localSheetId="2">紅綠燈!#REF!</definedName>
    <definedName name="外部資料_5566" localSheetId="2">紅綠燈!#REF!</definedName>
    <definedName name="外部資料_5567" localSheetId="2">紅綠燈!#REF!</definedName>
    <definedName name="外部資料_5568" localSheetId="2">紅綠燈!#REF!</definedName>
    <definedName name="外部資料_557" localSheetId="12">PKA!#REF!</definedName>
    <definedName name="外部資料_557" localSheetId="13">PKB!#REF!</definedName>
    <definedName name="外部資料_557" localSheetId="14">PKC!#REF!</definedName>
    <definedName name="外部資料_557" localSheetId="7">公司債!#REF!</definedName>
    <definedName name="外部資料_557" localSheetId="0">基本設定!#REF!</definedName>
    <definedName name="外部資料_557" localSheetId="4">評比系統!#REF!</definedName>
    <definedName name="外部資料_5570" localSheetId="2">紅綠燈!#REF!</definedName>
    <definedName name="外部資料_5571" localSheetId="2">紅綠燈!#REF!</definedName>
    <definedName name="外部資料_5572" localSheetId="2">紅綠燈!#REF!</definedName>
    <definedName name="外部資料_5574" localSheetId="2">紅綠燈!#REF!</definedName>
    <definedName name="外部資料_5575" localSheetId="2">紅綠燈!#REF!</definedName>
    <definedName name="外部資料_5576" localSheetId="2">紅綠燈!#REF!</definedName>
    <definedName name="外部資料_5578" localSheetId="2">紅綠燈!#REF!</definedName>
    <definedName name="外部資料_5579" localSheetId="2">紅綠燈!#REF!</definedName>
    <definedName name="外部資料_558" localSheetId="12">PKA!#REF!</definedName>
    <definedName name="外部資料_558" localSheetId="13">PKB!#REF!</definedName>
    <definedName name="外部資料_558" localSheetId="14">PKC!#REF!</definedName>
    <definedName name="外部資料_558" localSheetId="7">公司債!#REF!</definedName>
    <definedName name="外部資料_558" localSheetId="0">基本設定!#REF!</definedName>
    <definedName name="外部資料_558" localSheetId="4">評比系統!#REF!</definedName>
    <definedName name="外部資料_5580" localSheetId="2">紅綠燈!#REF!</definedName>
    <definedName name="外部資料_5582" localSheetId="2">紅綠燈!#REF!</definedName>
    <definedName name="外部資料_5583" localSheetId="2">紅綠燈!#REF!</definedName>
    <definedName name="外部資料_5584" localSheetId="2">紅綠燈!#REF!</definedName>
    <definedName name="外部資料_5586" localSheetId="2">紅綠燈!#REF!</definedName>
    <definedName name="外部資料_5587" localSheetId="2">紅綠燈!#REF!</definedName>
    <definedName name="外部資料_5588" localSheetId="2">紅綠燈!#REF!</definedName>
    <definedName name="外部資料_559" localSheetId="12">PKA!#REF!</definedName>
    <definedName name="外部資料_559" localSheetId="13">PKB!#REF!</definedName>
    <definedName name="外部資料_559" localSheetId="14">PKC!#REF!</definedName>
    <definedName name="外部資料_559" localSheetId="7">公司債!#REF!</definedName>
    <definedName name="外部資料_559" localSheetId="0">基本設定!#REF!</definedName>
    <definedName name="外部資料_559" localSheetId="4">評比系統!#REF!</definedName>
    <definedName name="外部資料_5590" localSheetId="2">紅綠燈!#REF!</definedName>
    <definedName name="外部資料_5591" localSheetId="2">紅綠燈!#REF!</definedName>
    <definedName name="外部資料_5592" localSheetId="2">紅綠燈!#REF!</definedName>
    <definedName name="外部資料_5594" localSheetId="2">紅綠燈!#REF!</definedName>
    <definedName name="外部資料_5595" localSheetId="2">紅綠燈!#REF!</definedName>
    <definedName name="外部資料_5596" localSheetId="2">紅綠燈!#REF!</definedName>
    <definedName name="外部資料_5598" localSheetId="2">紅綠燈!#REF!</definedName>
    <definedName name="外部資料_5599" localSheetId="2">紅綠燈!#REF!</definedName>
    <definedName name="外部資料_56" localSheetId="12">PKA!#REF!</definedName>
    <definedName name="外部資料_56" localSheetId="13">PKB!#REF!</definedName>
    <definedName name="外部資料_56" localSheetId="14">PKC!#REF!</definedName>
    <definedName name="外部資料_56" localSheetId="7">公司債!#REF!</definedName>
    <definedName name="外部資料_56" localSheetId="0">基本設定!#REF!</definedName>
    <definedName name="外部資料_56" localSheetId="4">評比系統!#REF!</definedName>
    <definedName name="外部資料_560" localSheetId="12">PKA!#REF!</definedName>
    <definedName name="外部資料_560" localSheetId="13">PKB!#REF!</definedName>
    <definedName name="外部資料_560" localSheetId="14">PKC!#REF!</definedName>
    <definedName name="外部資料_560" localSheetId="7">公司債!#REF!</definedName>
    <definedName name="外部資料_560" localSheetId="0">基本設定!#REF!</definedName>
    <definedName name="外部資料_560" localSheetId="4">評比系統!#REF!</definedName>
    <definedName name="外部資料_5600" localSheetId="2">紅綠燈!#REF!</definedName>
    <definedName name="外部資料_5602" localSheetId="2">紅綠燈!#REF!</definedName>
    <definedName name="外部資料_5603" localSheetId="2">紅綠燈!#REF!</definedName>
    <definedName name="外部資料_5604" localSheetId="2">紅綠燈!#REF!</definedName>
    <definedName name="外部資料_5606" localSheetId="2">紅綠燈!#REF!</definedName>
    <definedName name="外部資料_5607" localSheetId="2">紅綠燈!#REF!</definedName>
    <definedName name="外部資料_5608" localSheetId="2">紅綠燈!#REF!</definedName>
    <definedName name="外部資料_561" localSheetId="12">PKA!#REF!</definedName>
    <definedName name="外部資料_561" localSheetId="13">PKB!#REF!</definedName>
    <definedName name="外部資料_561" localSheetId="14">PKC!#REF!</definedName>
    <definedName name="外部資料_561" localSheetId="7">公司債!#REF!</definedName>
    <definedName name="外部資料_561" localSheetId="0">基本設定!#REF!</definedName>
    <definedName name="外部資料_561" localSheetId="4">評比系統!#REF!</definedName>
    <definedName name="外部資料_5610" localSheetId="2">紅綠燈!#REF!</definedName>
    <definedName name="外部資料_5611" localSheetId="2">紅綠燈!#REF!</definedName>
    <definedName name="外部資料_5612" localSheetId="2">紅綠燈!#REF!</definedName>
    <definedName name="外部資料_5614" localSheetId="2">紅綠燈!#REF!</definedName>
    <definedName name="外部資料_5615" localSheetId="2">紅綠燈!#REF!</definedName>
    <definedName name="外部資料_5616" localSheetId="2">紅綠燈!#REF!</definedName>
    <definedName name="外部資料_5618" localSheetId="2">紅綠燈!#REF!</definedName>
    <definedName name="外部資料_5619" localSheetId="2">紅綠燈!#REF!</definedName>
    <definedName name="外部資料_562" localSheetId="12">PKA!#REF!</definedName>
    <definedName name="外部資料_562" localSheetId="13">PKB!#REF!</definedName>
    <definedName name="外部資料_562" localSheetId="14">PKC!#REF!</definedName>
    <definedName name="外部資料_562" localSheetId="7">公司債!#REF!</definedName>
    <definedName name="外部資料_562" localSheetId="0">基本設定!#REF!</definedName>
    <definedName name="外部資料_562" localSheetId="4">評比系統!#REF!</definedName>
    <definedName name="外部資料_5621" localSheetId="2">紅綠燈!#REF!</definedName>
    <definedName name="外部資料_5622" localSheetId="2">紅綠燈!#REF!</definedName>
    <definedName name="外部資料_5623" localSheetId="2">紅綠燈!#REF!</definedName>
    <definedName name="外部資料_5625" localSheetId="2">紅綠燈!#REF!</definedName>
    <definedName name="外部資料_5626" localSheetId="2">紅綠燈!#REF!</definedName>
    <definedName name="外部資料_5627" localSheetId="2">紅綠燈!#REF!</definedName>
    <definedName name="外部資料_5629" localSheetId="2">紅綠燈!#REF!</definedName>
    <definedName name="外部資料_563" localSheetId="12">PKA!#REF!</definedName>
    <definedName name="外部資料_563" localSheetId="13">PKB!#REF!</definedName>
    <definedName name="外部資料_563" localSheetId="14">PKC!#REF!</definedName>
    <definedName name="外部資料_563" localSheetId="7">公司債!#REF!</definedName>
    <definedName name="外部資料_563" localSheetId="0">基本設定!#REF!</definedName>
    <definedName name="外部資料_563" localSheetId="4">評比系統!#REF!</definedName>
    <definedName name="外部資料_5630" localSheetId="2">紅綠燈!#REF!</definedName>
    <definedName name="外部資料_5631" localSheetId="2">紅綠燈!#REF!</definedName>
    <definedName name="外部資料_5633" localSheetId="2">紅綠燈!#REF!</definedName>
    <definedName name="外部資料_5634" localSheetId="2">紅綠燈!#REF!</definedName>
    <definedName name="外部資料_5635" localSheetId="2">紅綠燈!#REF!</definedName>
    <definedName name="外部資料_5637" localSheetId="2">紅綠燈!#REF!</definedName>
    <definedName name="外部資料_5638" localSheetId="2">紅綠燈!#REF!</definedName>
    <definedName name="外部資料_5639" localSheetId="2">紅綠燈!#REF!</definedName>
    <definedName name="外部資料_564" localSheetId="12">PKA!#REF!</definedName>
    <definedName name="外部資料_564" localSheetId="13">PKB!#REF!</definedName>
    <definedName name="外部資料_564" localSheetId="14">PKC!#REF!</definedName>
    <definedName name="外部資料_564" localSheetId="7">公司債!#REF!</definedName>
    <definedName name="外部資料_564" localSheetId="0">基本設定!#REF!</definedName>
    <definedName name="外部資料_564" localSheetId="4">評比系統!#REF!</definedName>
    <definedName name="外部資料_5641" localSheetId="2">紅綠燈!#REF!</definedName>
    <definedName name="外部資料_5642" localSheetId="2">紅綠燈!#REF!</definedName>
    <definedName name="外部資料_5643" localSheetId="2">紅綠燈!#REF!</definedName>
    <definedName name="外部資料_5645" localSheetId="2">紅綠燈!#REF!</definedName>
    <definedName name="外部資料_5646" localSheetId="2">紅綠燈!#REF!</definedName>
    <definedName name="外部資料_5647" localSheetId="2">紅綠燈!#REF!</definedName>
    <definedName name="外部資料_5649" localSheetId="2">紅綠燈!#REF!</definedName>
    <definedName name="外部資料_565" localSheetId="12">PKA!#REF!</definedName>
    <definedName name="外部資料_565" localSheetId="13">PKB!#REF!</definedName>
    <definedName name="外部資料_565" localSheetId="14">PKC!#REF!</definedName>
    <definedName name="外部資料_565" localSheetId="7">公司債!#REF!</definedName>
    <definedName name="外部資料_565" localSheetId="0">基本設定!#REF!</definedName>
    <definedName name="外部資料_565" localSheetId="4">評比系統!#REF!</definedName>
    <definedName name="外部資料_5650" localSheetId="2">紅綠燈!#REF!</definedName>
    <definedName name="外部資料_5651" localSheetId="2">紅綠燈!#REF!</definedName>
    <definedName name="外部資料_5653" localSheetId="2">紅綠燈!#REF!</definedName>
    <definedName name="外部資料_5654" localSheetId="2">紅綠燈!#REF!</definedName>
    <definedName name="外部資料_5655" localSheetId="2">紅綠燈!#REF!</definedName>
    <definedName name="外部資料_5657" localSheetId="2">紅綠燈!#REF!</definedName>
    <definedName name="外部資料_5658" localSheetId="2">紅綠燈!#REF!</definedName>
    <definedName name="外部資料_5659" localSheetId="2">紅綠燈!#REF!</definedName>
    <definedName name="外部資料_566" localSheetId="12">PKA!#REF!</definedName>
    <definedName name="外部資料_566" localSheetId="13">PKB!#REF!</definedName>
    <definedName name="外部資料_566" localSheetId="14">PKC!#REF!</definedName>
    <definedName name="外部資料_566" localSheetId="7">公司債!#REF!</definedName>
    <definedName name="外部資料_566" localSheetId="0">基本設定!#REF!</definedName>
    <definedName name="外部資料_566" localSheetId="4">評比系統!#REF!</definedName>
    <definedName name="外部資料_5661" localSheetId="2">紅綠燈!#REF!</definedName>
    <definedName name="外部資料_5662" localSheetId="2">紅綠燈!#REF!</definedName>
    <definedName name="外部資料_5663" localSheetId="2">紅綠燈!#REF!</definedName>
    <definedName name="外部資料_5665" localSheetId="2">紅綠燈!#REF!</definedName>
    <definedName name="外部資料_5666" localSheetId="2">紅綠燈!#REF!</definedName>
    <definedName name="外部資料_5667" localSheetId="2">紅綠燈!#REF!</definedName>
    <definedName name="外部資料_5669" localSheetId="2">紅綠燈!#REF!</definedName>
    <definedName name="外部資料_567" localSheetId="12">PKA!#REF!</definedName>
    <definedName name="外部資料_567" localSheetId="13">PKB!#REF!</definedName>
    <definedName name="外部資料_567" localSheetId="14">PKC!#REF!</definedName>
    <definedName name="外部資料_567" localSheetId="7">公司債!#REF!</definedName>
    <definedName name="外部資料_567" localSheetId="0">基本設定!#REF!</definedName>
    <definedName name="外部資料_567" localSheetId="4">評比系統!#REF!</definedName>
    <definedName name="外部資料_5670" localSheetId="2">紅綠燈!#REF!</definedName>
    <definedName name="外部資料_5671" localSheetId="2">紅綠燈!#REF!</definedName>
    <definedName name="外部資料_5673" localSheetId="2">紅綠燈!#REF!</definedName>
    <definedName name="外部資料_5674" localSheetId="2">紅綠燈!#REF!</definedName>
    <definedName name="外部資料_5675" localSheetId="2">紅綠燈!#REF!</definedName>
    <definedName name="外部資料_5677" localSheetId="2">紅綠燈!#REF!</definedName>
    <definedName name="外部資料_5678" localSheetId="2">紅綠燈!#REF!</definedName>
    <definedName name="外部資料_5679" localSheetId="2">紅綠燈!#REF!</definedName>
    <definedName name="外部資料_568" localSheetId="12">PKA!#REF!</definedName>
    <definedName name="外部資料_568" localSheetId="13">PKB!#REF!</definedName>
    <definedName name="外部資料_568" localSheetId="14">PKC!#REF!</definedName>
    <definedName name="外部資料_568" localSheetId="7">公司債!#REF!</definedName>
    <definedName name="外部資料_568" localSheetId="0">基本設定!#REF!</definedName>
    <definedName name="外部資料_568" localSheetId="4">評比系統!#REF!</definedName>
    <definedName name="外部資料_5681" localSheetId="2">紅綠燈!#REF!</definedName>
    <definedName name="外部資料_5682" localSheetId="2">紅綠燈!#REF!</definedName>
    <definedName name="外部資料_5683" localSheetId="2">紅綠燈!#REF!</definedName>
    <definedName name="外部資料_5685" localSheetId="2">紅綠燈!#REF!</definedName>
    <definedName name="外部資料_5686" localSheetId="2">紅綠燈!#REF!</definedName>
    <definedName name="外部資料_5687" localSheetId="2">紅綠燈!#REF!</definedName>
    <definedName name="外部資料_5689" localSheetId="2">紅綠燈!#REF!</definedName>
    <definedName name="外部資料_569" localSheetId="12">PKA!#REF!</definedName>
    <definedName name="外部資料_569" localSheetId="13">PKB!#REF!</definedName>
    <definedName name="外部資料_569" localSheetId="14">PKC!#REF!</definedName>
    <definedName name="外部資料_569" localSheetId="7">公司債!#REF!</definedName>
    <definedName name="外部資料_569" localSheetId="0">基本設定!#REF!</definedName>
    <definedName name="外部資料_569" localSheetId="4">評比系統!#REF!</definedName>
    <definedName name="外部資料_5690" localSheetId="2">紅綠燈!#REF!</definedName>
    <definedName name="外部資料_5691" localSheetId="2">紅綠燈!#REF!</definedName>
    <definedName name="外部資料_5693" localSheetId="2">紅綠燈!#REF!</definedName>
    <definedName name="外部資料_5694" localSheetId="2">紅綠燈!#REF!</definedName>
    <definedName name="外部資料_5695" localSheetId="2">紅綠燈!#REF!</definedName>
    <definedName name="外部資料_5697" localSheetId="2">紅綠燈!#REF!</definedName>
    <definedName name="外部資料_5698" localSheetId="2">紅綠燈!#REF!</definedName>
    <definedName name="外部資料_5699" localSheetId="2">紅綠燈!#REF!</definedName>
    <definedName name="外部資料_57" localSheetId="12">PKA!#REF!</definedName>
    <definedName name="外部資料_57" localSheetId="13">PKB!#REF!</definedName>
    <definedName name="外部資料_57" localSheetId="14">PKC!#REF!</definedName>
    <definedName name="外部資料_57" localSheetId="7">公司債!#REF!</definedName>
    <definedName name="外部資料_57" localSheetId="0">基本設定!#REF!</definedName>
    <definedName name="外部資料_57" localSheetId="4">評比系統!#REF!</definedName>
    <definedName name="外部資料_570" localSheetId="12">PKA!#REF!</definedName>
    <definedName name="外部資料_570" localSheetId="13">PKB!#REF!</definedName>
    <definedName name="外部資料_570" localSheetId="14">PKC!#REF!</definedName>
    <definedName name="外部資料_570" localSheetId="7">公司債!#REF!</definedName>
    <definedName name="外部資料_570" localSheetId="0">基本設定!#REF!</definedName>
    <definedName name="外部資料_570" localSheetId="4">評比系統!#REF!</definedName>
    <definedName name="外部資料_5701" localSheetId="2">紅綠燈!#REF!</definedName>
    <definedName name="外部資料_5702" localSheetId="2">紅綠燈!#REF!</definedName>
    <definedName name="外部資料_5703" localSheetId="2">紅綠燈!#REF!</definedName>
    <definedName name="外部資料_5705" localSheetId="2">紅綠燈!#REF!</definedName>
    <definedName name="外部資料_5706" localSheetId="2">紅綠燈!#REF!</definedName>
    <definedName name="外部資料_5707" localSheetId="2">紅綠燈!#REF!</definedName>
    <definedName name="外部資料_5709" localSheetId="2">紅綠燈!#REF!</definedName>
    <definedName name="外部資料_571" localSheetId="12">PKA!#REF!</definedName>
    <definedName name="外部資料_571" localSheetId="13">PKB!#REF!</definedName>
    <definedName name="外部資料_571" localSheetId="14">PKC!#REF!</definedName>
    <definedName name="外部資料_571" localSheetId="7">公司債!#REF!</definedName>
    <definedName name="外部資料_571" localSheetId="0">基本設定!#REF!</definedName>
    <definedName name="外部資料_571" localSheetId="4">評比系統!#REF!</definedName>
    <definedName name="外部資料_5710" localSheetId="2">紅綠燈!#REF!</definedName>
    <definedName name="外部資料_5711" localSheetId="2">紅綠燈!#REF!</definedName>
    <definedName name="外部資料_5713" localSheetId="2">紅綠燈!#REF!</definedName>
    <definedName name="外部資料_5714" localSheetId="2">紅綠燈!#REF!</definedName>
    <definedName name="外部資料_5715" localSheetId="2">紅綠燈!#REF!</definedName>
    <definedName name="外部資料_5717" localSheetId="2">紅綠燈!#REF!</definedName>
    <definedName name="外部資料_5718" localSheetId="2">紅綠燈!#REF!</definedName>
    <definedName name="外部資料_5719" localSheetId="2">紅綠燈!#REF!</definedName>
    <definedName name="外部資料_572" localSheetId="12">PKA!#REF!</definedName>
    <definedName name="外部資料_572" localSheetId="13">PKB!#REF!</definedName>
    <definedName name="外部資料_572" localSheetId="14">PKC!#REF!</definedName>
    <definedName name="外部資料_572" localSheetId="7">公司債!#REF!</definedName>
    <definedName name="外部資料_572" localSheetId="0">基本設定!#REF!</definedName>
    <definedName name="外部資料_572" localSheetId="4">評比系統!#REF!</definedName>
    <definedName name="外部資料_5721" localSheetId="2">紅綠燈!#REF!</definedName>
    <definedName name="外部資料_5722" localSheetId="2">紅綠燈!#REF!</definedName>
    <definedName name="外部資料_5723" localSheetId="2">紅綠燈!#REF!</definedName>
    <definedName name="外部資料_5725" localSheetId="2">紅綠燈!#REF!</definedName>
    <definedName name="外部資料_5726" localSheetId="2">紅綠燈!#REF!</definedName>
    <definedName name="外部資料_5727" localSheetId="2">紅綠燈!#REF!</definedName>
    <definedName name="外部資料_5729" localSheetId="2">紅綠燈!#REF!</definedName>
    <definedName name="外部資料_573" localSheetId="12">PKA!#REF!</definedName>
    <definedName name="外部資料_573" localSheetId="13">PKB!#REF!</definedName>
    <definedName name="外部資料_573" localSheetId="14">PKC!#REF!</definedName>
    <definedName name="外部資料_573" localSheetId="7">公司債!#REF!</definedName>
    <definedName name="外部資料_573" localSheetId="0">基本設定!#REF!</definedName>
    <definedName name="外部資料_573" localSheetId="4">評比系統!#REF!</definedName>
    <definedName name="外部資料_5730" localSheetId="2">紅綠燈!#REF!</definedName>
    <definedName name="外部資料_5731" localSheetId="2">紅綠燈!#REF!</definedName>
    <definedName name="外部資料_5733" localSheetId="2">紅綠燈!#REF!</definedName>
    <definedName name="外部資料_5734" localSheetId="2">紅綠燈!#REF!</definedName>
    <definedName name="外部資料_5735" localSheetId="2">紅綠燈!#REF!</definedName>
    <definedName name="外部資料_5737" localSheetId="2">紅綠燈!#REF!</definedName>
    <definedName name="外部資料_5738" localSheetId="2">紅綠燈!#REF!</definedName>
    <definedName name="外部資料_5739" localSheetId="2">紅綠燈!#REF!</definedName>
    <definedName name="外部資料_574" localSheetId="12">PKA!#REF!</definedName>
    <definedName name="外部資料_574" localSheetId="13">PKB!#REF!</definedName>
    <definedName name="外部資料_574" localSheetId="14">PKC!#REF!</definedName>
    <definedName name="外部資料_574" localSheetId="7">公司債!#REF!</definedName>
    <definedName name="外部資料_574" localSheetId="0">基本設定!#REF!</definedName>
    <definedName name="外部資料_574" localSheetId="4">評比系統!#REF!</definedName>
    <definedName name="外部資料_5741" localSheetId="2">紅綠燈!#REF!</definedName>
    <definedName name="外部資料_5742" localSheetId="2">紅綠燈!#REF!</definedName>
    <definedName name="外部資料_5743" localSheetId="2">紅綠燈!#REF!</definedName>
    <definedName name="外部資料_5745" localSheetId="2">紅綠燈!#REF!</definedName>
    <definedName name="外部資料_5746" localSheetId="2">紅綠燈!#REF!</definedName>
    <definedName name="外部資料_5747" localSheetId="2">紅綠燈!#REF!</definedName>
    <definedName name="外部資料_5749" localSheetId="2">紅綠燈!#REF!</definedName>
    <definedName name="外部資料_575" localSheetId="12">PKA!#REF!</definedName>
    <definedName name="外部資料_575" localSheetId="13">PKB!#REF!</definedName>
    <definedName name="外部資料_575" localSheetId="14">PKC!#REF!</definedName>
    <definedName name="外部資料_575" localSheetId="7">公司債!#REF!</definedName>
    <definedName name="外部資料_575" localSheetId="0">基本設定!#REF!</definedName>
    <definedName name="外部資料_575" localSheetId="4">評比系統!#REF!</definedName>
    <definedName name="外部資料_5750" localSheetId="2">紅綠燈!#REF!</definedName>
    <definedName name="外部資料_5751" localSheetId="2">紅綠燈!#REF!</definedName>
    <definedName name="外部資料_5753" localSheetId="2">紅綠燈!#REF!</definedName>
    <definedName name="外部資料_5754" localSheetId="2">紅綠燈!#REF!</definedName>
    <definedName name="外部資料_5755" localSheetId="2">紅綠燈!#REF!</definedName>
    <definedName name="外部資料_5757" localSheetId="2">紅綠燈!#REF!</definedName>
    <definedName name="外部資料_5758" localSheetId="2">紅綠燈!#REF!</definedName>
    <definedName name="外部資料_5759" localSheetId="2">紅綠燈!#REF!</definedName>
    <definedName name="外部資料_576" localSheetId="12">PKA!#REF!</definedName>
    <definedName name="外部資料_576" localSheetId="13">PKB!#REF!</definedName>
    <definedName name="外部資料_576" localSheetId="14">PKC!#REF!</definedName>
    <definedName name="外部資料_576" localSheetId="7">公司債!#REF!</definedName>
    <definedName name="外部資料_576" localSheetId="0">基本設定!#REF!</definedName>
    <definedName name="外部資料_576" localSheetId="4">評比系統!#REF!</definedName>
    <definedName name="外部資料_5761" localSheetId="2">紅綠燈!#REF!</definedName>
    <definedName name="外部資料_5762" localSheetId="2">紅綠燈!#REF!</definedName>
    <definedName name="外部資料_5763" localSheetId="2">紅綠燈!#REF!</definedName>
    <definedName name="外部資料_5765" localSheetId="2">紅綠燈!#REF!</definedName>
    <definedName name="外部資料_5766" localSheetId="2">紅綠燈!#REF!</definedName>
    <definedName name="外部資料_5767" localSheetId="2">紅綠燈!#REF!</definedName>
    <definedName name="外部資料_5769" localSheetId="2">紅綠燈!#REF!</definedName>
    <definedName name="外部資料_577" localSheetId="12">PKA!#REF!</definedName>
    <definedName name="外部資料_577" localSheetId="13">PKB!#REF!</definedName>
    <definedName name="外部資料_577" localSheetId="14">PKC!#REF!</definedName>
    <definedName name="外部資料_577" localSheetId="7">公司債!#REF!</definedName>
    <definedName name="外部資料_577" localSheetId="0">基本設定!#REF!</definedName>
    <definedName name="外部資料_577" localSheetId="4">評比系統!#REF!</definedName>
    <definedName name="外部資料_5770" localSheetId="2">紅綠燈!#REF!</definedName>
    <definedName name="外部資料_5771" localSheetId="2">紅綠燈!#REF!</definedName>
    <definedName name="外部資料_5773" localSheetId="2">紅綠燈!#REF!</definedName>
    <definedName name="外部資料_5774" localSheetId="2">紅綠燈!#REF!</definedName>
    <definedName name="外部資料_5775" localSheetId="2">紅綠燈!#REF!</definedName>
    <definedName name="外部資料_5777" localSheetId="2">紅綠燈!#REF!</definedName>
    <definedName name="外部資料_5778" localSheetId="2">紅綠燈!#REF!</definedName>
    <definedName name="外部資料_5779" localSheetId="2">紅綠燈!#REF!</definedName>
    <definedName name="外部資料_578" localSheetId="12">PKA!#REF!</definedName>
    <definedName name="外部資料_578" localSheetId="13">PKB!#REF!</definedName>
    <definedName name="外部資料_578" localSheetId="14">PKC!#REF!</definedName>
    <definedName name="外部資料_578" localSheetId="7">公司債!#REF!</definedName>
    <definedName name="外部資料_578" localSheetId="0">基本設定!#REF!</definedName>
    <definedName name="外部資料_578" localSheetId="4">評比系統!#REF!</definedName>
    <definedName name="外部資料_5781" localSheetId="2">紅綠燈!#REF!</definedName>
    <definedName name="外部資料_5782" localSheetId="2">紅綠燈!#REF!</definedName>
    <definedName name="外部資料_5783" localSheetId="2">紅綠燈!#REF!</definedName>
    <definedName name="外部資料_5785" localSheetId="2">紅綠燈!#REF!</definedName>
    <definedName name="外部資料_5786" localSheetId="2">紅綠燈!#REF!</definedName>
    <definedName name="外部資料_5787" localSheetId="2">紅綠燈!#REF!</definedName>
    <definedName name="外部資料_5789" localSheetId="2">紅綠燈!#REF!</definedName>
    <definedName name="外部資料_579" localSheetId="12">PKA!#REF!</definedName>
    <definedName name="外部資料_579" localSheetId="13">PKB!#REF!</definedName>
    <definedName name="外部資料_579" localSheetId="14">PKC!#REF!</definedName>
    <definedName name="外部資料_579" localSheetId="7">公司債!#REF!</definedName>
    <definedName name="外部資料_579" localSheetId="0">基本設定!#REF!</definedName>
    <definedName name="外部資料_579" localSheetId="4">評比系統!#REF!</definedName>
    <definedName name="外部資料_5790" localSheetId="2">紅綠燈!#REF!</definedName>
    <definedName name="外部資料_5791" localSheetId="2">紅綠燈!#REF!</definedName>
    <definedName name="外部資料_5793" localSheetId="2">紅綠燈!#REF!</definedName>
    <definedName name="外部資料_5794" localSheetId="2">紅綠燈!#REF!</definedName>
    <definedName name="外部資料_5795" localSheetId="2">紅綠燈!#REF!</definedName>
    <definedName name="外部資料_5797" localSheetId="2">紅綠燈!#REF!</definedName>
    <definedName name="外部資料_5798" localSheetId="2">紅綠燈!#REF!</definedName>
    <definedName name="外部資料_5799" localSheetId="2">紅綠燈!#REF!</definedName>
    <definedName name="外部資料_58" localSheetId="12">PKA!#REF!</definedName>
    <definedName name="外部資料_58" localSheetId="13">PKB!#REF!</definedName>
    <definedName name="外部資料_58" localSheetId="14">PKC!#REF!</definedName>
    <definedName name="外部資料_58" localSheetId="7">公司債!#REF!</definedName>
    <definedName name="外部資料_58" localSheetId="0">基本設定!#REF!</definedName>
    <definedName name="外部資料_58" localSheetId="4">評比系統!#REF!</definedName>
    <definedName name="外部資料_580" localSheetId="12">PKA!#REF!</definedName>
    <definedName name="外部資料_580" localSheetId="13">PKB!#REF!</definedName>
    <definedName name="外部資料_580" localSheetId="14">PKC!#REF!</definedName>
    <definedName name="外部資料_580" localSheetId="7">公司債!#REF!</definedName>
    <definedName name="外部資料_580" localSheetId="0">基本設定!#REF!</definedName>
    <definedName name="外部資料_580" localSheetId="4">評比系統!#REF!</definedName>
    <definedName name="外部資料_5801" localSheetId="2">紅綠燈!#REF!</definedName>
    <definedName name="外部資料_5802" localSheetId="2">紅綠燈!#REF!</definedName>
    <definedName name="外部資料_5803" localSheetId="2">紅綠燈!#REF!</definedName>
    <definedName name="外部資料_5805" localSheetId="2">紅綠燈!#REF!</definedName>
    <definedName name="外部資料_5806" localSheetId="2">紅綠燈!#REF!</definedName>
    <definedName name="外部資料_5807" localSheetId="2">紅綠燈!#REF!</definedName>
    <definedName name="外部資料_5809" localSheetId="2">紅綠燈!#REF!</definedName>
    <definedName name="外部資料_581" localSheetId="12">PKA!#REF!</definedName>
    <definedName name="外部資料_581" localSheetId="13">PKB!#REF!</definedName>
    <definedName name="外部資料_581" localSheetId="14">PKC!#REF!</definedName>
    <definedName name="外部資料_581" localSheetId="7">公司債!#REF!</definedName>
    <definedName name="外部資料_581" localSheetId="0">基本設定!#REF!</definedName>
    <definedName name="外部資料_581" localSheetId="4">評比系統!#REF!</definedName>
    <definedName name="外部資料_5810" localSheetId="2">紅綠燈!#REF!</definedName>
    <definedName name="外部資料_5811" localSheetId="2">紅綠燈!#REF!</definedName>
    <definedName name="外部資料_5813" localSheetId="2">紅綠燈!#REF!</definedName>
    <definedName name="外部資料_5814" localSheetId="2">紅綠燈!#REF!</definedName>
    <definedName name="外部資料_5815" localSheetId="2">紅綠燈!#REF!</definedName>
    <definedName name="外部資料_5817" localSheetId="2">紅綠燈!#REF!</definedName>
    <definedName name="外部資料_5818" localSheetId="2">紅綠燈!#REF!</definedName>
    <definedName name="外部資料_5819" localSheetId="2">紅綠燈!#REF!</definedName>
    <definedName name="外部資料_582" localSheetId="12">PKA!#REF!</definedName>
    <definedName name="外部資料_582" localSheetId="13">PKB!#REF!</definedName>
    <definedName name="外部資料_582" localSheetId="14">PKC!#REF!</definedName>
    <definedName name="外部資料_582" localSheetId="7">公司債!#REF!</definedName>
    <definedName name="外部資料_582" localSheetId="0">基本設定!#REF!</definedName>
    <definedName name="外部資料_582" localSheetId="4">評比系統!#REF!</definedName>
    <definedName name="外部資料_5821" localSheetId="2">紅綠燈!#REF!</definedName>
    <definedName name="外部資料_5822" localSheetId="2">紅綠燈!#REF!</definedName>
    <definedName name="外部資料_5823" localSheetId="2">紅綠燈!#REF!</definedName>
    <definedName name="外部資料_5825" localSheetId="2">紅綠燈!#REF!</definedName>
    <definedName name="外部資料_5826" localSheetId="2">紅綠燈!#REF!</definedName>
    <definedName name="外部資料_5827" localSheetId="2">紅綠燈!#REF!</definedName>
    <definedName name="外部資料_5829" localSheetId="2">紅綠燈!#REF!</definedName>
    <definedName name="外部資料_583" localSheetId="12">PKA!#REF!</definedName>
    <definedName name="外部資料_583" localSheetId="13">PKB!#REF!</definedName>
    <definedName name="外部資料_583" localSheetId="14">PKC!#REF!</definedName>
    <definedName name="外部資料_583" localSheetId="7">公司債!#REF!</definedName>
    <definedName name="外部資料_583" localSheetId="0">基本設定!#REF!</definedName>
    <definedName name="外部資料_583" localSheetId="4">評比系統!#REF!</definedName>
    <definedName name="外部資料_5830" localSheetId="2">紅綠燈!#REF!</definedName>
    <definedName name="外部資料_5831" localSheetId="2">紅綠燈!#REF!</definedName>
    <definedName name="外部資料_5833" localSheetId="2">紅綠燈!#REF!</definedName>
    <definedName name="外部資料_5834" localSheetId="2">紅綠燈!#REF!</definedName>
    <definedName name="外部資料_5835" localSheetId="2">紅綠燈!#REF!</definedName>
    <definedName name="外部資料_5837" localSheetId="2">紅綠燈!#REF!</definedName>
    <definedName name="外部資料_5838" localSheetId="2">紅綠燈!#REF!</definedName>
    <definedName name="外部資料_5839" localSheetId="2">紅綠燈!#REF!</definedName>
    <definedName name="外部資料_584" localSheetId="12">PKA!#REF!</definedName>
    <definedName name="外部資料_584" localSheetId="13">PKB!#REF!</definedName>
    <definedName name="外部資料_584" localSheetId="14">PKC!#REF!</definedName>
    <definedName name="外部資料_584" localSheetId="7">公司債!#REF!</definedName>
    <definedName name="外部資料_584" localSheetId="0">基本設定!#REF!</definedName>
    <definedName name="外部資料_584" localSheetId="4">評比系統!#REF!</definedName>
    <definedName name="外部資料_5841" localSheetId="2">紅綠燈!#REF!</definedName>
    <definedName name="外部資料_5842" localSheetId="2">紅綠燈!#REF!</definedName>
    <definedName name="外部資料_5843" localSheetId="2">紅綠燈!#REF!</definedName>
    <definedName name="外部資料_5845" localSheetId="2">紅綠燈!#REF!</definedName>
    <definedName name="外部資料_5846" localSheetId="2">紅綠燈!#REF!</definedName>
    <definedName name="外部資料_5847" localSheetId="2">紅綠燈!#REF!</definedName>
    <definedName name="外部資料_5849" localSheetId="2">紅綠燈!#REF!</definedName>
    <definedName name="外部資料_585" localSheetId="12">PKA!#REF!</definedName>
    <definedName name="外部資料_585" localSheetId="13">PKB!#REF!</definedName>
    <definedName name="外部資料_585" localSheetId="14">PKC!#REF!</definedName>
    <definedName name="外部資料_585" localSheetId="7">公司債!#REF!</definedName>
    <definedName name="外部資料_585" localSheetId="0">基本設定!#REF!</definedName>
    <definedName name="外部資料_585" localSheetId="4">評比系統!#REF!</definedName>
    <definedName name="外部資料_5850" localSheetId="2">紅綠燈!#REF!</definedName>
    <definedName name="外部資料_5851" localSheetId="2">紅綠燈!#REF!</definedName>
    <definedName name="外部資料_5853" localSheetId="2">紅綠燈!#REF!</definedName>
    <definedName name="外部資料_5854" localSheetId="2">紅綠燈!#REF!</definedName>
    <definedName name="外部資料_5855" localSheetId="2">紅綠燈!#REF!</definedName>
    <definedName name="外部資料_5857" localSheetId="2">紅綠燈!#REF!</definedName>
    <definedName name="外部資料_5858" localSheetId="2">紅綠燈!#REF!</definedName>
    <definedName name="外部資料_5859" localSheetId="2">紅綠燈!#REF!</definedName>
    <definedName name="外部資料_586" localSheetId="12">PKA!#REF!</definedName>
    <definedName name="外部資料_586" localSheetId="13">PKB!#REF!</definedName>
    <definedName name="外部資料_586" localSheetId="14">PKC!#REF!</definedName>
    <definedName name="外部資料_586" localSheetId="7">公司債!#REF!</definedName>
    <definedName name="外部資料_586" localSheetId="0">基本設定!#REF!</definedName>
    <definedName name="外部資料_586" localSheetId="4">評比系統!#REF!</definedName>
    <definedName name="外部資料_5861" localSheetId="2">紅綠燈!#REF!</definedName>
    <definedName name="外部資料_5862" localSheetId="2">紅綠燈!#REF!</definedName>
    <definedName name="外部資料_5863" localSheetId="2">紅綠燈!#REF!</definedName>
    <definedName name="外部資料_5865" localSheetId="2">紅綠燈!#REF!</definedName>
    <definedName name="外部資料_5866" localSheetId="2">紅綠燈!#REF!</definedName>
    <definedName name="外部資料_5867" localSheetId="2">紅綠燈!#REF!</definedName>
    <definedName name="外部資料_5869" localSheetId="2">紅綠燈!#REF!</definedName>
    <definedName name="外部資料_587" localSheetId="12">PKA!#REF!</definedName>
    <definedName name="外部資料_587" localSheetId="13">PKB!#REF!</definedName>
    <definedName name="外部資料_587" localSheetId="14">PKC!#REF!</definedName>
    <definedName name="外部資料_587" localSheetId="7">公司債!#REF!</definedName>
    <definedName name="外部資料_587" localSheetId="0">基本設定!#REF!</definedName>
    <definedName name="外部資料_587" localSheetId="4">評比系統!#REF!</definedName>
    <definedName name="外部資料_5870" localSheetId="2">紅綠燈!#REF!</definedName>
    <definedName name="外部資料_5871" localSheetId="2">紅綠燈!#REF!</definedName>
    <definedName name="外部資料_5873" localSheetId="2">紅綠燈!#REF!</definedName>
    <definedName name="外部資料_5874" localSheetId="2">紅綠燈!#REF!</definedName>
    <definedName name="外部資料_5875" localSheetId="2">紅綠燈!#REF!</definedName>
    <definedName name="外部資料_5877" localSheetId="2">紅綠燈!#REF!</definedName>
    <definedName name="外部資料_5878" localSheetId="2">紅綠燈!#REF!</definedName>
    <definedName name="外部資料_5879" localSheetId="2">紅綠燈!#REF!</definedName>
    <definedName name="外部資料_588" localSheetId="12">PKA!#REF!</definedName>
    <definedName name="外部資料_588" localSheetId="13">PKB!#REF!</definedName>
    <definedName name="外部資料_588" localSheetId="14">PKC!#REF!</definedName>
    <definedName name="外部資料_588" localSheetId="7">公司債!#REF!</definedName>
    <definedName name="外部資料_588" localSheetId="0">基本設定!#REF!</definedName>
    <definedName name="外部資料_588" localSheetId="4">評比系統!#REF!</definedName>
    <definedName name="外部資料_5881" localSheetId="2">紅綠燈!#REF!</definedName>
    <definedName name="外部資料_5882" localSheetId="2">紅綠燈!#REF!</definedName>
    <definedName name="外部資料_5884" localSheetId="2">紅綠燈!#REF!</definedName>
    <definedName name="外部資料_5885" localSheetId="2">紅綠燈!#REF!</definedName>
    <definedName name="外部資料_5886" localSheetId="2">紅綠燈!#REF!</definedName>
    <definedName name="外部資料_5888" localSheetId="2">紅綠燈!#REF!</definedName>
    <definedName name="外部資料_5889" localSheetId="2">紅綠燈!#REF!</definedName>
    <definedName name="外部資料_589" localSheetId="12">PKA!#REF!</definedName>
    <definedName name="外部資料_589" localSheetId="13">PKB!#REF!</definedName>
    <definedName name="外部資料_589" localSheetId="14">PKC!#REF!</definedName>
    <definedName name="外部資料_589" localSheetId="7">公司債!#REF!</definedName>
    <definedName name="外部資料_589" localSheetId="0">基本設定!#REF!</definedName>
    <definedName name="外部資料_589" localSheetId="4">評比系統!#REF!</definedName>
    <definedName name="外部資料_5890" localSheetId="2">紅綠燈!#REF!</definedName>
    <definedName name="外部資料_5892" localSheetId="2">紅綠燈!#REF!</definedName>
    <definedName name="外部資料_5893" localSheetId="2">紅綠燈!#REF!</definedName>
    <definedName name="外部資料_5894" localSheetId="2">紅綠燈!#REF!</definedName>
    <definedName name="外部資料_5896" localSheetId="2">紅綠燈!#REF!</definedName>
    <definedName name="外部資料_5897" localSheetId="2">紅綠燈!#REF!</definedName>
    <definedName name="外部資料_5898" localSheetId="2">紅綠燈!#REF!</definedName>
    <definedName name="外部資料_59" localSheetId="12">PKA!#REF!</definedName>
    <definedName name="外部資料_59" localSheetId="13">PKB!#REF!</definedName>
    <definedName name="外部資料_59" localSheetId="14">PKC!#REF!</definedName>
    <definedName name="外部資料_59" localSheetId="7">公司債!#REF!</definedName>
    <definedName name="外部資料_59" localSheetId="0">基本設定!#REF!</definedName>
    <definedName name="外部資料_59" localSheetId="4">評比系統!#REF!</definedName>
    <definedName name="外部資料_590" localSheetId="12">PKA!#REF!</definedName>
    <definedName name="外部資料_590" localSheetId="13">PKB!#REF!</definedName>
    <definedName name="外部資料_590" localSheetId="14">PKC!#REF!</definedName>
    <definedName name="外部資料_590" localSheetId="7">公司債!#REF!</definedName>
    <definedName name="外部資料_590" localSheetId="0">基本設定!#REF!</definedName>
    <definedName name="外部資料_590" localSheetId="4">評比系統!#REF!</definedName>
    <definedName name="外部資料_5900" localSheetId="2">紅綠燈!#REF!</definedName>
    <definedName name="外部資料_5901" localSheetId="2">紅綠燈!#REF!</definedName>
    <definedName name="外部資料_5902" localSheetId="2">紅綠燈!#REF!</definedName>
    <definedName name="外部資料_5904" localSheetId="2">紅綠燈!#REF!</definedName>
    <definedName name="外部資料_5905" localSheetId="2">紅綠燈!#REF!</definedName>
    <definedName name="外部資料_5906" localSheetId="2">紅綠燈!#REF!</definedName>
    <definedName name="外部資料_5908" localSheetId="2">紅綠燈!#REF!</definedName>
    <definedName name="外部資料_5909" localSheetId="2">紅綠燈!#REF!</definedName>
    <definedName name="外部資料_591" localSheetId="12">PKA!#REF!</definedName>
    <definedName name="外部資料_591" localSheetId="13">PKB!#REF!</definedName>
    <definedName name="外部資料_591" localSheetId="14">PKC!#REF!</definedName>
    <definedName name="外部資料_591" localSheetId="7">公司債!#REF!</definedName>
    <definedName name="外部資料_591" localSheetId="0">基本設定!#REF!</definedName>
    <definedName name="外部資料_591" localSheetId="4">評比系統!#REF!</definedName>
    <definedName name="外部資料_5910" localSheetId="2">紅綠燈!#REF!</definedName>
    <definedName name="外部資料_5912" localSheetId="2">紅綠燈!#REF!</definedName>
    <definedName name="外部資料_5913" localSheetId="2">紅綠燈!#REF!</definedName>
    <definedName name="外部資料_5914" localSheetId="2">紅綠燈!#REF!</definedName>
    <definedName name="外部資料_5916" localSheetId="2">紅綠燈!#REF!</definedName>
    <definedName name="外部資料_5917" localSheetId="2">紅綠燈!#REF!</definedName>
    <definedName name="外部資料_5918" localSheetId="2">紅綠燈!#REF!</definedName>
    <definedName name="外部資料_592" localSheetId="12">PKA!#REF!</definedName>
    <definedName name="外部資料_592" localSheetId="13">PKB!#REF!</definedName>
    <definedName name="外部資料_592" localSheetId="14">PKC!#REF!</definedName>
    <definedName name="外部資料_592" localSheetId="7">公司債!#REF!</definedName>
    <definedName name="外部資料_592" localSheetId="0">基本設定!#REF!</definedName>
    <definedName name="外部資料_592" localSheetId="4">評比系統!#REF!</definedName>
    <definedName name="外部資料_5920" localSheetId="2">紅綠燈!#REF!</definedName>
    <definedName name="外部資料_5921" localSheetId="2">紅綠燈!#REF!</definedName>
    <definedName name="外部資料_5922" localSheetId="2">紅綠燈!#REF!</definedName>
    <definedName name="外部資料_5924" localSheetId="2">紅綠燈!#REF!</definedName>
    <definedName name="外部資料_5925" localSheetId="2">紅綠燈!#REF!</definedName>
    <definedName name="外部資料_5926" localSheetId="2">紅綠燈!#REF!</definedName>
    <definedName name="外部資料_5928" localSheetId="2">紅綠燈!#REF!</definedName>
    <definedName name="外部資料_5929" localSheetId="2">紅綠燈!#REF!</definedName>
    <definedName name="外部資料_593" localSheetId="12">PKA!#REF!</definedName>
    <definedName name="外部資料_593" localSheetId="13">PKB!#REF!</definedName>
    <definedName name="外部資料_593" localSheetId="14">PKC!#REF!</definedName>
    <definedName name="外部資料_593" localSheetId="7">公司債!#REF!</definedName>
    <definedName name="外部資料_593" localSheetId="0">基本設定!#REF!</definedName>
    <definedName name="外部資料_593" localSheetId="4">評比系統!#REF!</definedName>
    <definedName name="外部資料_5930" localSheetId="2">紅綠燈!#REF!</definedName>
    <definedName name="外部資料_5932" localSheetId="2">紅綠燈!#REF!</definedName>
    <definedName name="外部資料_5933" localSheetId="2">紅綠燈!#REF!</definedName>
    <definedName name="外部資料_5934" localSheetId="2">紅綠燈!#REF!</definedName>
    <definedName name="外部資料_5936" localSheetId="2">紅綠燈!#REF!</definedName>
    <definedName name="外部資料_5937" localSheetId="2">紅綠燈!#REF!</definedName>
    <definedName name="外部資料_5939" localSheetId="2">紅綠燈!#REF!</definedName>
    <definedName name="外部資料_594" localSheetId="12">PKA!#REF!</definedName>
    <definedName name="外部資料_594" localSheetId="13">PKB!#REF!</definedName>
    <definedName name="外部資料_594" localSheetId="14">PKC!#REF!</definedName>
    <definedName name="外部資料_594" localSheetId="7">公司債!#REF!</definedName>
    <definedName name="外部資料_594" localSheetId="0">基本設定!#REF!</definedName>
    <definedName name="外部資料_594" localSheetId="4">評比系統!#REF!</definedName>
    <definedName name="外部資料_5940" localSheetId="2">紅綠燈!#REF!</definedName>
    <definedName name="外部資料_5941" localSheetId="2">紅綠燈!#REF!</definedName>
    <definedName name="外部資料_5943" localSheetId="2">紅綠燈!#REF!</definedName>
    <definedName name="外部資料_5944" localSheetId="2">紅綠燈!#REF!</definedName>
    <definedName name="外部資料_5945" localSheetId="2">紅綠燈!#REF!</definedName>
    <definedName name="外部資料_5947" localSheetId="2">紅綠燈!#REF!</definedName>
    <definedName name="外部資料_5948" localSheetId="2">紅綠燈!#REF!</definedName>
    <definedName name="外部資料_5949" localSheetId="2">紅綠燈!#REF!</definedName>
    <definedName name="外部資料_595" localSheetId="12">PKA!#REF!</definedName>
    <definedName name="外部資料_595" localSheetId="13">PKB!#REF!</definedName>
    <definedName name="外部資料_595" localSheetId="14">PKC!#REF!</definedName>
    <definedName name="外部資料_595" localSheetId="7">公司債!#REF!</definedName>
    <definedName name="外部資料_595" localSheetId="0">基本設定!#REF!</definedName>
    <definedName name="外部資料_595" localSheetId="4">評比系統!#REF!</definedName>
    <definedName name="外部資料_5951" localSheetId="2">紅綠燈!#REF!</definedName>
    <definedName name="外部資料_5952" localSheetId="2">紅綠燈!#REF!</definedName>
    <definedName name="外部資料_5953" localSheetId="2">紅綠燈!#REF!</definedName>
    <definedName name="外部資料_5955" localSheetId="2">紅綠燈!#REF!</definedName>
    <definedName name="外部資料_5956" localSheetId="2">紅綠燈!#REF!</definedName>
    <definedName name="外部資料_5957" localSheetId="2">紅綠燈!#REF!</definedName>
    <definedName name="外部資料_5959" localSheetId="2">紅綠燈!#REF!</definedName>
    <definedName name="外部資料_596" localSheetId="12">PKA!#REF!</definedName>
    <definedName name="外部資料_596" localSheetId="13">PKB!#REF!</definedName>
    <definedName name="外部資料_596" localSheetId="14">PKC!#REF!</definedName>
    <definedName name="外部資料_596" localSheetId="7">公司債!#REF!</definedName>
    <definedName name="外部資料_596" localSheetId="0">基本設定!#REF!</definedName>
    <definedName name="外部資料_596" localSheetId="4">評比系統!#REF!</definedName>
    <definedName name="外部資料_5960" localSheetId="2">紅綠燈!#REF!</definedName>
    <definedName name="外部資料_5961" localSheetId="2">紅綠燈!#REF!</definedName>
    <definedName name="外部資料_5963" localSheetId="2">紅綠燈!#REF!</definedName>
    <definedName name="外部資料_5964" localSheetId="2">紅綠燈!#REF!</definedName>
    <definedName name="外部資料_5965" localSheetId="2">紅綠燈!#REF!</definedName>
    <definedName name="外部資料_5967" localSheetId="2">紅綠燈!#REF!</definedName>
    <definedName name="外部資料_5968" localSheetId="2">紅綠燈!#REF!</definedName>
    <definedName name="外部資料_5969" localSheetId="2">紅綠燈!#REF!</definedName>
    <definedName name="外部資料_597" localSheetId="12">PKA!#REF!</definedName>
    <definedName name="外部資料_597" localSheetId="13">PKB!#REF!</definedName>
    <definedName name="外部資料_597" localSheetId="14">PKC!#REF!</definedName>
    <definedName name="外部資料_597" localSheetId="7">公司債!#REF!</definedName>
    <definedName name="外部資料_597" localSheetId="0">基本設定!#REF!</definedName>
    <definedName name="外部資料_597" localSheetId="4">評比系統!#REF!</definedName>
    <definedName name="外部資料_5971" localSheetId="2">紅綠燈!#REF!</definedName>
    <definedName name="外部資料_5972" localSheetId="2">紅綠燈!#REF!</definedName>
    <definedName name="外部資料_5973" localSheetId="2">紅綠燈!#REF!</definedName>
    <definedName name="外部資料_5975" localSheetId="2">紅綠燈!#REF!</definedName>
    <definedName name="外部資料_5976" localSheetId="2">紅綠燈!#REF!</definedName>
    <definedName name="外部資料_5977" localSheetId="2">紅綠燈!#REF!</definedName>
    <definedName name="外部資料_5979" localSheetId="2">紅綠燈!#REF!</definedName>
    <definedName name="外部資料_598" localSheetId="12">PKA!#REF!</definedName>
    <definedName name="外部資料_598" localSheetId="13">PKB!#REF!</definedName>
    <definedName name="外部資料_598" localSheetId="14">PKC!#REF!</definedName>
    <definedName name="外部資料_598" localSheetId="7">公司債!#REF!</definedName>
    <definedName name="外部資料_598" localSheetId="0">基本設定!#REF!</definedName>
    <definedName name="外部資料_598" localSheetId="4">評比系統!#REF!</definedName>
    <definedName name="外部資料_5980" localSheetId="2">紅綠燈!#REF!</definedName>
    <definedName name="外部資料_5981" localSheetId="2">紅綠燈!#REF!</definedName>
    <definedName name="外部資料_5983" localSheetId="2">紅綠燈!#REF!</definedName>
    <definedName name="外部資料_5984" localSheetId="2">紅綠燈!#REF!</definedName>
    <definedName name="外部資料_5985" localSheetId="2">紅綠燈!#REF!</definedName>
    <definedName name="外部資料_5987" localSheetId="2">紅綠燈!#REF!</definedName>
    <definedName name="外部資料_5988" localSheetId="2">紅綠燈!#REF!</definedName>
    <definedName name="外部資料_5989" localSheetId="2">紅綠燈!#REF!</definedName>
    <definedName name="外部資料_599" localSheetId="12">PKA!#REF!</definedName>
    <definedName name="外部資料_599" localSheetId="13">PKB!#REF!</definedName>
    <definedName name="外部資料_599" localSheetId="14">PKC!#REF!</definedName>
    <definedName name="外部資料_599" localSheetId="7">公司債!#REF!</definedName>
    <definedName name="外部資料_599" localSheetId="0">基本設定!#REF!</definedName>
    <definedName name="外部資料_599" localSheetId="4">評比系統!#REF!</definedName>
    <definedName name="外部資料_5991" localSheetId="2">紅綠燈!#REF!</definedName>
    <definedName name="外部資料_5992" localSheetId="2">紅綠燈!#REF!</definedName>
    <definedName name="外部資料_5993" localSheetId="2">紅綠燈!#REF!</definedName>
    <definedName name="外部資料_6" localSheetId="12">PKA!#REF!</definedName>
    <definedName name="外部資料_6" localSheetId="13">PKB!#REF!</definedName>
    <definedName name="外部資料_6" localSheetId="14">PKC!#REF!</definedName>
    <definedName name="外部資料_6" localSheetId="2">紅綠燈!#REF!</definedName>
    <definedName name="外部資料_6" localSheetId="0">基本設定!#REF!</definedName>
    <definedName name="外部資料_6" localSheetId="4">評比系統!#REF!</definedName>
    <definedName name="外部資料_6" localSheetId="5">搶先報!#REF!</definedName>
    <definedName name="外部資料_60" localSheetId="12">PKA!#REF!</definedName>
    <definedName name="外部資料_60" localSheetId="13">PKB!#REF!</definedName>
    <definedName name="外部資料_60" localSheetId="14">PKC!#REF!</definedName>
    <definedName name="外部資料_60" localSheetId="7">公司債!#REF!</definedName>
    <definedName name="外部資料_60" localSheetId="0">基本設定!#REF!</definedName>
    <definedName name="外部資料_60" localSheetId="4">評比系統!#REF!</definedName>
    <definedName name="外部資料_600" localSheetId="12">PKA!#REF!</definedName>
    <definedName name="外部資料_600" localSheetId="13">PKB!#REF!</definedName>
    <definedName name="外部資料_600" localSheetId="14">PKC!#REF!</definedName>
    <definedName name="外部資料_600" localSheetId="7">公司債!#REF!</definedName>
    <definedName name="外部資料_600" localSheetId="0">基本設定!#REF!</definedName>
    <definedName name="外部資料_600" localSheetId="4">評比系統!#REF!</definedName>
    <definedName name="外部資料_601" localSheetId="12">PKA!#REF!</definedName>
    <definedName name="外部資料_601" localSheetId="13">PKB!#REF!</definedName>
    <definedName name="外部資料_601" localSheetId="14">PKC!#REF!</definedName>
    <definedName name="外部資料_601" localSheetId="7">公司債!#REF!</definedName>
    <definedName name="外部資料_601" localSheetId="0">基本設定!#REF!</definedName>
    <definedName name="外部資料_601" localSheetId="4">評比系統!#REF!</definedName>
    <definedName name="外部資料_602" localSheetId="12">PKA!#REF!</definedName>
    <definedName name="外部資料_602" localSheetId="13">PKB!#REF!</definedName>
    <definedName name="外部資料_602" localSheetId="14">PKC!#REF!</definedName>
    <definedName name="外部資料_602" localSheetId="7">公司債!#REF!</definedName>
    <definedName name="外部資料_602" localSheetId="0">基本設定!#REF!</definedName>
    <definedName name="外部資料_602" localSheetId="4">評比系統!#REF!</definedName>
    <definedName name="外部資料_603" localSheetId="12">PKA!#REF!</definedName>
    <definedName name="外部資料_603" localSheetId="13">PKB!#REF!</definedName>
    <definedName name="外部資料_603" localSheetId="14">PKC!#REF!</definedName>
    <definedName name="外部資料_603" localSheetId="7">公司債!#REF!</definedName>
    <definedName name="外部資料_603" localSheetId="0">基本設定!#REF!</definedName>
    <definedName name="外部資料_603" localSheetId="4">評比系統!#REF!</definedName>
    <definedName name="外部資料_604" localSheetId="12">PKA!#REF!</definedName>
    <definedName name="外部資料_604" localSheetId="13">PKB!#REF!</definedName>
    <definedName name="外部資料_604" localSheetId="14">PKC!#REF!</definedName>
    <definedName name="外部資料_604" localSheetId="7">公司債!#REF!</definedName>
    <definedName name="外部資料_604" localSheetId="0">基本設定!#REF!</definedName>
    <definedName name="外部資料_604" localSheetId="4">評比系統!#REF!</definedName>
    <definedName name="外部資料_605" localSheetId="12">PKA!#REF!</definedName>
    <definedName name="外部資料_605" localSheetId="13">PKB!#REF!</definedName>
    <definedName name="外部資料_605" localSheetId="14">PKC!#REF!</definedName>
    <definedName name="外部資料_605" localSheetId="7">公司債!#REF!</definedName>
    <definedName name="外部資料_605" localSheetId="0">基本設定!#REF!</definedName>
    <definedName name="外部資料_605" localSheetId="4">評比系統!#REF!</definedName>
    <definedName name="外部資料_606" localSheetId="12">PKA!#REF!</definedName>
    <definedName name="外部資料_606" localSheetId="13">PKB!#REF!</definedName>
    <definedName name="外部資料_606" localSheetId="14">PKC!#REF!</definedName>
    <definedName name="外部資料_606" localSheetId="7">公司債!#REF!</definedName>
    <definedName name="外部資料_606" localSheetId="0">基本設定!#REF!</definedName>
    <definedName name="外部資料_606" localSheetId="4">評比系統!#REF!</definedName>
    <definedName name="外部資料_607" localSheetId="12">PKA!#REF!</definedName>
    <definedName name="外部資料_607" localSheetId="13">PKB!#REF!</definedName>
    <definedName name="外部資料_607" localSheetId="14">PKC!#REF!</definedName>
    <definedName name="外部資料_607" localSheetId="7">公司債!#REF!</definedName>
    <definedName name="外部資料_607" localSheetId="0">基本設定!#REF!</definedName>
    <definedName name="外部資料_607" localSheetId="4">評比系統!#REF!</definedName>
    <definedName name="外部資料_608" localSheetId="12">PKA!#REF!</definedName>
    <definedName name="外部資料_608" localSheetId="13">PKB!#REF!</definedName>
    <definedName name="外部資料_608" localSheetId="14">PKC!#REF!</definedName>
    <definedName name="外部資料_608" localSheetId="7">公司債!#REF!</definedName>
    <definedName name="外部資料_608" localSheetId="0">基本設定!#REF!</definedName>
    <definedName name="外部資料_608" localSheetId="4">評比系統!#REF!</definedName>
    <definedName name="外部資料_609" localSheetId="12">PKA!#REF!</definedName>
    <definedName name="外部資料_609" localSheetId="13">PKB!#REF!</definedName>
    <definedName name="外部資料_609" localSheetId="14">PKC!#REF!</definedName>
    <definedName name="外部資料_609" localSheetId="7">公司債!#REF!</definedName>
    <definedName name="外部資料_609" localSheetId="0">基本設定!#REF!</definedName>
    <definedName name="外部資料_609" localSheetId="4">評比系統!#REF!</definedName>
    <definedName name="外部資料_61" localSheetId="12">PKA!#REF!</definedName>
    <definedName name="外部資料_61" localSheetId="13">PKB!#REF!</definedName>
    <definedName name="外部資料_61" localSheetId="14">PKC!#REF!</definedName>
    <definedName name="外部資料_61" localSheetId="7">公司債!#REF!</definedName>
    <definedName name="外部資料_61" localSheetId="0">基本設定!#REF!</definedName>
    <definedName name="外部資料_61" localSheetId="4">評比系統!#REF!</definedName>
    <definedName name="外部資料_610" localSheetId="12">PKA!#REF!</definedName>
    <definedName name="外部資料_610" localSheetId="13">PKB!#REF!</definedName>
    <definedName name="外部資料_610" localSheetId="14">PKC!#REF!</definedName>
    <definedName name="外部資料_610" localSheetId="7">公司債!#REF!</definedName>
    <definedName name="外部資料_610" localSheetId="0">基本設定!#REF!</definedName>
    <definedName name="外部資料_610" localSheetId="4">評比系統!#REF!</definedName>
    <definedName name="外部資料_611" localSheetId="12">PKA!#REF!</definedName>
    <definedName name="外部資料_611" localSheetId="13">PKB!#REF!</definedName>
    <definedName name="外部資料_611" localSheetId="14">PKC!#REF!</definedName>
    <definedName name="外部資料_611" localSheetId="7">公司債!#REF!</definedName>
    <definedName name="外部資料_611" localSheetId="0">基本設定!#REF!</definedName>
    <definedName name="外部資料_611" localSheetId="4">評比系統!#REF!</definedName>
    <definedName name="外部資料_612" localSheetId="12">PKA!#REF!</definedName>
    <definedName name="外部資料_612" localSheetId="13">PKB!#REF!</definedName>
    <definedName name="外部資料_612" localSheetId="14">PKC!#REF!</definedName>
    <definedName name="外部資料_612" localSheetId="7">公司債!#REF!</definedName>
    <definedName name="外部資料_612" localSheetId="0">基本設定!#REF!</definedName>
    <definedName name="外部資料_612" localSheetId="4">評比系統!#REF!</definedName>
    <definedName name="外部資料_613" localSheetId="12">PKA!#REF!</definedName>
    <definedName name="外部資料_613" localSheetId="13">PKB!#REF!</definedName>
    <definedName name="外部資料_613" localSheetId="14">PKC!#REF!</definedName>
    <definedName name="外部資料_613" localSheetId="7">公司債!#REF!</definedName>
    <definedName name="外部資料_613" localSheetId="0">基本設定!#REF!</definedName>
    <definedName name="外部資料_613" localSheetId="4">評比系統!#REF!</definedName>
    <definedName name="外部資料_614" localSheetId="12">PKA!#REF!</definedName>
    <definedName name="外部資料_614" localSheetId="13">PKB!#REF!</definedName>
    <definedName name="外部資料_614" localSheetId="14">PKC!#REF!</definedName>
    <definedName name="外部資料_614" localSheetId="7">公司債!#REF!</definedName>
    <definedName name="外部資料_614" localSheetId="0">基本設定!#REF!</definedName>
    <definedName name="外部資料_614" localSheetId="4">評比系統!#REF!</definedName>
    <definedName name="外部資料_615" localSheetId="12">PKA!#REF!</definedName>
    <definedName name="外部資料_615" localSheetId="13">PKB!#REF!</definedName>
    <definedName name="外部資料_615" localSheetId="14">PKC!#REF!</definedName>
    <definedName name="外部資料_615" localSheetId="7">公司債!#REF!</definedName>
    <definedName name="外部資料_615" localSheetId="0">基本設定!#REF!</definedName>
    <definedName name="外部資料_615" localSheetId="4">評比系統!#REF!</definedName>
    <definedName name="外部資料_616" localSheetId="12">PKA!#REF!</definedName>
    <definedName name="外部資料_616" localSheetId="13">PKB!#REF!</definedName>
    <definedName name="外部資料_616" localSheetId="14">PKC!#REF!</definedName>
    <definedName name="外部資料_616" localSheetId="7">公司債!#REF!</definedName>
    <definedName name="外部資料_616" localSheetId="0">基本設定!#REF!</definedName>
    <definedName name="外部資料_616" localSheetId="4">評比系統!#REF!</definedName>
    <definedName name="外部資料_617" localSheetId="12">PKA!#REF!</definedName>
    <definedName name="外部資料_617" localSheetId="13">PKB!#REF!</definedName>
    <definedName name="外部資料_617" localSheetId="14">PKC!#REF!</definedName>
    <definedName name="外部資料_617" localSheetId="7">公司債!#REF!</definedName>
    <definedName name="外部資料_617" localSheetId="0">基本設定!#REF!</definedName>
    <definedName name="外部資料_617" localSheetId="4">評比系統!#REF!</definedName>
    <definedName name="外部資料_618" localSheetId="12">PKA!#REF!</definedName>
    <definedName name="外部資料_618" localSheetId="13">PKB!#REF!</definedName>
    <definedName name="外部資料_618" localSheetId="14">PKC!#REF!</definedName>
    <definedName name="外部資料_618" localSheetId="7">公司債!#REF!</definedName>
    <definedName name="外部資料_618" localSheetId="0">基本設定!#REF!</definedName>
    <definedName name="外部資料_618" localSheetId="4">評比系統!#REF!</definedName>
    <definedName name="外部資料_619" localSheetId="12">PKA!#REF!</definedName>
    <definedName name="外部資料_619" localSheetId="13">PKB!#REF!</definedName>
    <definedName name="外部資料_619" localSheetId="14">PKC!#REF!</definedName>
    <definedName name="外部資料_619" localSheetId="7">公司債!#REF!</definedName>
    <definedName name="外部資料_619" localSheetId="0">基本設定!#REF!</definedName>
    <definedName name="外部資料_619" localSheetId="4">評比系統!#REF!</definedName>
    <definedName name="外部資料_62" localSheetId="12">PKA!#REF!</definedName>
    <definedName name="外部資料_62" localSheetId="13">PKB!#REF!</definedName>
    <definedName name="外部資料_62" localSheetId="14">PKC!#REF!</definedName>
    <definedName name="外部資料_62" localSheetId="7">公司債!#REF!</definedName>
    <definedName name="外部資料_62" localSheetId="0">基本設定!#REF!</definedName>
    <definedName name="外部資料_62" localSheetId="4">評比系統!#REF!</definedName>
    <definedName name="外部資料_620" localSheetId="12">PKA!#REF!</definedName>
    <definedName name="外部資料_620" localSheetId="13">PKB!#REF!</definedName>
    <definedName name="外部資料_620" localSheetId="14">PKC!#REF!</definedName>
    <definedName name="外部資料_620" localSheetId="7">公司債!#REF!</definedName>
    <definedName name="外部資料_620" localSheetId="0">基本設定!#REF!</definedName>
    <definedName name="外部資料_620" localSheetId="4">評比系統!#REF!</definedName>
    <definedName name="外部資料_621" localSheetId="12">PKA!#REF!</definedName>
    <definedName name="外部資料_621" localSheetId="13">PKB!#REF!</definedName>
    <definedName name="外部資料_621" localSheetId="14">PKC!#REF!</definedName>
    <definedName name="外部資料_621" localSheetId="7">公司債!#REF!</definedName>
    <definedName name="外部資料_621" localSheetId="0">基本設定!#REF!</definedName>
    <definedName name="外部資料_621" localSheetId="4">評比系統!#REF!</definedName>
    <definedName name="外部資料_622" localSheetId="12">PKA!#REF!</definedName>
    <definedName name="外部資料_622" localSheetId="13">PKB!#REF!</definedName>
    <definedName name="外部資料_622" localSheetId="14">PKC!#REF!</definedName>
    <definedName name="外部資料_622" localSheetId="7">公司債!#REF!</definedName>
    <definedName name="外部資料_622" localSheetId="0">基本設定!#REF!</definedName>
    <definedName name="外部資料_622" localSheetId="4">評比系統!#REF!</definedName>
    <definedName name="外部資料_623" localSheetId="12">PKA!#REF!</definedName>
    <definedName name="外部資料_623" localSheetId="13">PKB!#REF!</definedName>
    <definedName name="外部資料_623" localSheetId="14">PKC!#REF!</definedName>
    <definedName name="外部資料_623" localSheetId="7">公司債!#REF!</definedName>
    <definedName name="外部資料_623" localSheetId="0">基本設定!#REF!</definedName>
    <definedName name="外部資料_623" localSheetId="4">評比系統!#REF!</definedName>
    <definedName name="外部資料_624" localSheetId="12">PKA!#REF!</definedName>
    <definedName name="外部資料_624" localSheetId="13">PKB!#REF!</definedName>
    <definedName name="外部資料_624" localSheetId="14">PKC!#REF!</definedName>
    <definedName name="外部資料_624" localSheetId="7">公司債!#REF!</definedName>
    <definedName name="外部資料_624" localSheetId="0">基本設定!#REF!</definedName>
    <definedName name="外部資料_624" localSheetId="4">評比系統!#REF!</definedName>
    <definedName name="外部資料_625" localSheetId="12">PKA!#REF!</definedName>
    <definedName name="外部資料_625" localSheetId="13">PKB!#REF!</definedName>
    <definedName name="外部資料_625" localSheetId="14">PKC!#REF!</definedName>
    <definedName name="外部資料_625" localSheetId="7">公司債!#REF!</definedName>
    <definedName name="外部資料_625" localSheetId="0">基本設定!#REF!</definedName>
    <definedName name="外部資料_625" localSheetId="4">評比系統!#REF!</definedName>
    <definedName name="外部資料_626" localSheetId="12">PKA!#REF!</definedName>
    <definedName name="外部資料_626" localSheetId="13">PKB!#REF!</definedName>
    <definedName name="外部資料_626" localSheetId="14">PKC!#REF!</definedName>
    <definedName name="外部資料_626" localSheetId="7">公司債!#REF!</definedName>
    <definedName name="外部資料_626" localSheetId="0">基本設定!#REF!</definedName>
    <definedName name="外部資料_626" localSheetId="4">評比系統!#REF!</definedName>
    <definedName name="外部資料_627" localSheetId="12">PKA!#REF!</definedName>
    <definedName name="外部資料_627" localSheetId="13">PKB!#REF!</definedName>
    <definedName name="外部資料_627" localSheetId="14">PKC!#REF!</definedName>
    <definedName name="外部資料_627" localSheetId="7">公司債!#REF!</definedName>
    <definedName name="外部資料_627" localSheetId="0">基本設定!#REF!</definedName>
    <definedName name="外部資料_627" localSheetId="4">評比系統!#REF!</definedName>
    <definedName name="外部資料_628" localSheetId="12">PKA!#REF!</definedName>
    <definedName name="外部資料_628" localSheetId="13">PKB!#REF!</definedName>
    <definedName name="外部資料_628" localSheetId="14">PKC!#REF!</definedName>
    <definedName name="外部資料_628" localSheetId="7">公司債!#REF!</definedName>
    <definedName name="外部資料_628" localSheetId="0">基本設定!#REF!</definedName>
    <definedName name="外部資料_628" localSheetId="4">評比系統!#REF!</definedName>
    <definedName name="外部資料_629" localSheetId="12">PKA!#REF!</definedName>
    <definedName name="外部資料_629" localSheetId="13">PKB!#REF!</definedName>
    <definedName name="外部資料_629" localSheetId="14">PKC!#REF!</definedName>
    <definedName name="外部資料_629" localSheetId="7">公司債!#REF!</definedName>
    <definedName name="外部資料_629" localSheetId="0">基本設定!#REF!</definedName>
    <definedName name="外部資料_629" localSheetId="4">評比系統!#REF!</definedName>
    <definedName name="外部資料_63" localSheetId="12">PKA!#REF!</definedName>
    <definedName name="外部資料_63" localSheetId="13">PKB!#REF!</definedName>
    <definedName name="外部資料_63" localSheetId="14">PKC!#REF!</definedName>
    <definedName name="外部資料_63" localSheetId="7">公司債!#REF!</definedName>
    <definedName name="外部資料_63" localSheetId="0">基本設定!#REF!</definedName>
    <definedName name="外部資料_63" localSheetId="4">評比系統!#REF!</definedName>
    <definedName name="外部資料_630" localSheetId="12">PKA!#REF!</definedName>
    <definedName name="外部資料_630" localSheetId="13">PKB!#REF!</definedName>
    <definedName name="外部資料_630" localSheetId="14">PKC!#REF!</definedName>
    <definedName name="外部資料_630" localSheetId="7">公司債!#REF!</definedName>
    <definedName name="外部資料_630" localSheetId="0">基本設定!#REF!</definedName>
    <definedName name="外部資料_630" localSheetId="4">評比系統!#REF!</definedName>
    <definedName name="外部資料_631" localSheetId="12">PKA!#REF!</definedName>
    <definedName name="外部資料_631" localSheetId="13">PKB!#REF!</definedName>
    <definedName name="外部資料_631" localSheetId="14">PKC!#REF!</definedName>
    <definedName name="外部資料_631" localSheetId="7">公司債!#REF!</definedName>
    <definedName name="外部資料_631" localSheetId="0">基本設定!#REF!</definedName>
    <definedName name="外部資料_631" localSheetId="4">評比系統!#REF!</definedName>
    <definedName name="外部資料_632" localSheetId="12">PKA!#REF!</definedName>
    <definedName name="外部資料_632" localSheetId="13">PKB!#REF!</definedName>
    <definedName name="外部資料_632" localSheetId="14">PKC!#REF!</definedName>
    <definedName name="外部資料_632" localSheetId="7">公司債!#REF!</definedName>
    <definedName name="外部資料_632" localSheetId="0">基本設定!#REF!</definedName>
    <definedName name="外部資料_632" localSheetId="4">評比系統!#REF!</definedName>
    <definedName name="外部資料_633" localSheetId="12">PKA!#REF!</definedName>
    <definedName name="外部資料_633" localSheetId="13">PKB!#REF!</definedName>
    <definedName name="外部資料_633" localSheetId="14">PKC!#REF!</definedName>
    <definedName name="外部資料_633" localSheetId="7">公司債!#REF!</definedName>
    <definedName name="外部資料_633" localSheetId="0">基本設定!#REF!</definedName>
    <definedName name="外部資料_633" localSheetId="4">評比系統!#REF!</definedName>
    <definedName name="外部資料_634" localSheetId="12">PKA!#REF!</definedName>
    <definedName name="外部資料_634" localSheetId="13">PKB!#REF!</definedName>
    <definedName name="外部資料_634" localSheetId="14">PKC!#REF!</definedName>
    <definedName name="外部資料_634" localSheetId="7">公司債!#REF!</definedName>
    <definedName name="外部資料_634" localSheetId="0">基本設定!#REF!</definedName>
    <definedName name="外部資料_634" localSheetId="4">評比系統!#REF!</definedName>
    <definedName name="外部資料_635" localSheetId="12">PKA!#REF!</definedName>
    <definedName name="外部資料_635" localSheetId="13">PKB!#REF!</definedName>
    <definedName name="外部資料_635" localSheetId="14">PKC!#REF!</definedName>
    <definedName name="外部資料_635" localSheetId="7">公司債!#REF!</definedName>
    <definedName name="外部資料_635" localSheetId="0">基本設定!#REF!</definedName>
    <definedName name="外部資料_635" localSheetId="4">評比系統!#REF!</definedName>
    <definedName name="外部資料_636" localSheetId="12">PKA!#REF!</definedName>
    <definedName name="外部資料_636" localSheetId="13">PKB!#REF!</definedName>
    <definedName name="外部資料_636" localSheetId="14">PKC!#REF!</definedName>
    <definedName name="外部資料_636" localSheetId="7">公司債!#REF!</definedName>
    <definedName name="外部資料_636" localSheetId="0">基本設定!#REF!</definedName>
    <definedName name="外部資料_636" localSheetId="4">評比系統!#REF!</definedName>
    <definedName name="外部資料_637" localSheetId="12">PKA!#REF!</definedName>
    <definedName name="外部資料_637" localSheetId="13">PKB!#REF!</definedName>
    <definedName name="外部資料_637" localSheetId="14">PKC!#REF!</definedName>
    <definedName name="外部資料_637" localSheetId="7">公司債!#REF!</definedName>
    <definedName name="外部資料_637" localSheetId="0">基本設定!#REF!</definedName>
    <definedName name="外部資料_637" localSheetId="4">評比系統!#REF!</definedName>
    <definedName name="外部資料_638" localSheetId="12">PKA!#REF!</definedName>
    <definedName name="外部資料_638" localSheetId="13">PKB!#REF!</definedName>
    <definedName name="外部資料_638" localSheetId="14">PKC!#REF!</definedName>
    <definedName name="外部資料_638" localSheetId="7">公司債!#REF!</definedName>
    <definedName name="外部資料_638" localSheetId="0">基本設定!#REF!</definedName>
    <definedName name="外部資料_638" localSheetId="4">評比系統!#REF!</definedName>
    <definedName name="外部資料_639" localSheetId="12">PKA!#REF!</definedName>
    <definedName name="外部資料_639" localSheetId="13">PKB!#REF!</definedName>
    <definedName name="外部資料_639" localSheetId="14">PKC!#REF!</definedName>
    <definedName name="外部資料_639" localSheetId="7">公司債!#REF!</definedName>
    <definedName name="外部資料_639" localSheetId="0">基本設定!#REF!</definedName>
    <definedName name="外部資料_639" localSheetId="4">評比系統!#REF!</definedName>
    <definedName name="外部資料_64" localSheetId="12">PKA!#REF!</definedName>
    <definedName name="外部資料_64" localSheetId="13">PKB!#REF!</definedName>
    <definedName name="外部資料_64" localSheetId="14">PKC!#REF!</definedName>
    <definedName name="外部資料_64" localSheetId="7">公司債!#REF!</definedName>
    <definedName name="外部資料_64" localSheetId="0">基本設定!#REF!</definedName>
    <definedName name="外部資料_64" localSheetId="4">評比系統!#REF!</definedName>
    <definedName name="外部資料_640" localSheetId="12">PKA!#REF!</definedName>
    <definedName name="外部資料_640" localSheetId="13">PKB!#REF!</definedName>
    <definedName name="外部資料_640" localSheetId="14">PKC!#REF!</definedName>
    <definedName name="外部資料_640" localSheetId="7">公司債!#REF!</definedName>
    <definedName name="外部資料_640" localSheetId="0">基本設定!#REF!</definedName>
    <definedName name="外部資料_640" localSheetId="4">評比系統!#REF!</definedName>
    <definedName name="外部資料_641" localSheetId="12">PKA!#REF!</definedName>
    <definedName name="外部資料_641" localSheetId="13">PKB!#REF!</definedName>
    <definedName name="外部資料_641" localSheetId="14">PKC!#REF!</definedName>
    <definedName name="外部資料_641" localSheetId="7">公司債!#REF!</definedName>
    <definedName name="外部資料_641" localSheetId="0">基本設定!#REF!</definedName>
    <definedName name="外部資料_641" localSheetId="4">評比系統!#REF!</definedName>
    <definedName name="外部資料_642" localSheetId="12">PKA!#REF!</definedName>
    <definedName name="外部資料_642" localSheetId="13">PKB!#REF!</definedName>
    <definedName name="外部資料_642" localSheetId="14">PKC!#REF!</definedName>
    <definedName name="外部資料_642" localSheetId="7">公司債!#REF!</definedName>
    <definedName name="外部資料_642" localSheetId="0">基本設定!#REF!</definedName>
    <definedName name="外部資料_642" localSheetId="4">評比系統!#REF!</definedName>
    <definedName name="外部資料_643" localSheetId="12">PKA!#REF!</definedName>
    <definedName name="外部資料_643" localSheetId="13">PKB!#REF!</definedName>
    <definedName name="外部資料_643" localSheetId="14">PKC!#REF!</definedName>
    <definedName name="外部資料_643" localSheetId="7">公司債!#REF!</definedName>
    <definedName name="外部資料_643" localSheetId="0">基本設定!#REF!</definedName>
    <definedName name="外部資料_643" localSheetId="4">評比系統!#REF!</definedName>
    <definedName name="外部資料_644" localSheetId="12">PKA!#REF!</definedName>
    <definedName name="外部資料_644" localSheetId="13">PKB!#REF!</definedName>
    <definedName name="外部資料_644" localSheetId="14">PKC!#REF!</definedName>
    <definedName name="外部資料_644" localSheetId="7">公司債!#REF!</definedName>
    <definedName name="外部資料_644" localSheetId="0">基本設定!#REF!</definedName>
    <definedName name="外部資料_644" localSheetId="4">評比系統!#REF!</definedName>
    <definedName name="外部資料_645" localSheetId="12">PKA!#REF!</definedName>
    <definedName name="外部資料_645" localSheetId="13">PKB!#REF!</definedName>
    <definedName name="外部資料_645" localSheetId="14">PKC!#REF!</definedName>
    <definedName name="外部資料_645" localSheetId="7">公司債!#REF!</definedName>
    <definedName name="外部資料_645" localSheetId="0">基本設定!#REF!</definedName>
    <definedName name="外部資料_645" localSheetId="4">評比系統!#REF!</definedName>
    <definedName name="外部資料_646" localSheetId="12">PKA!#REF!</definedName>
    <definedName name="外部資料_646" localSheetId="13">PKB!#REF!</definedName>
    <definedName name="外部資料_646" localSheetId="14">PKC!#REF!</definedName>
    <definedName name="外部資料_646" localSheetId="0">基本設定!#REF!</definedName>
    <definedName name="外部資料_646" localSheetId="4">評比系統!#REF!</definedName>
    <definedName name="外部資料_647" localSheetId="12">PKA!#REF!</definedName>
    <definedName name="外部資料_647" localSheetId="13">PKB!#REF!</definedName>
    <definedName name="外部資料_647" localSheetId="14">PKC!#REF!</definedName>
    <definedName name="外部資料_647" localSheetId="7">公司債!#REF!</definedName>
    <definedName name="外部資料_647" localSheetId="0">基本設定!#REF!</definedName>
    <definedName name="外部資料_647" localSheetId="4">評比系統!#REF!</definedName>
    <definedName name="外部資料_648" localSheetId="12">PKA!#REF!</definedName>
    <definedName name="外部資料_648" localSheetId="13">PKB!#REF!</definedName>
    <definedName name="外部資料_648" localSheetId="14">PKC!#REF!</definedName>
    <definedName name="外部資料_648" localSheetId="7">公司債!#REF!</definedName>
    <definedName name="外部資料_648" localSheetId="0">基本設定!#REF!</definedName>
    <definedName name="外部資料_648" localSheetId="4">評比系統!#REF!</definedName>
    <definedName name="外部資料_649" localSheetId="12">PKA!#REF!</definedName>
    <definedName name="外部資料_649" localSheetId="13">PKB!#REF!</definedName>
    <definedName name="外部資料_649" localSheetId="7">公司債!#REF!</definedName>
    <definedName name="外部資料_649" localSheetId="0">基本設定!#REF!</definedName>
    <definedName name="外部資料_649" localSheetId="4">評比系統!#REF!</definedName>
    <definedName name="外部資料_65" localSheetId="12">PKA!#REF!</definedName>
    <definedName name="外部資料_65" localSheetId="13">PKB!#REF!</definedName>
    <definedName name="外部資料_65" localSheetId="14">PKC!#REF!</definedName>
    <definedName name="外部資料_65" localSheetId="7">公司債!#REF!</definedName>
    <definedName name="外部資料_65" localSheetId="0">基本設定!#REF!</definedName>
    <definedName name="外部資料_65" localSheetId="4">評比系統!#REF!</definedName>
    <definedName name="外部資料_650" localSheetId="12">PKA!#REF!</definedName>
    <definedName name="外部資料_650" localSheetId="13">PKB!#REF!</definedName>
    <definedName name="外部資料_650" localSheetId="7">公司債!#REF!</definedName>
    <definedName name="外部資料_650" localSheetId="0">基本設定!#REF!</definedName>
    <definedName name="外部資料_650" localSheetId="4">評比系統!#REF!</definedName>
    <definedName name="外部資料_651" localSheetId="12">PKA!#REF!</definedName>
    <definedName name="外部資料_651" localSheetId="13">PKB!#REF!</definedName>
    <definedName name="外部資料_651" localSheetId="7">公司債!#REF!</definedName>
    <definedName name="外部資料_651" localSheetId="0">基本設定!#REF!</definedName>
    <definedName name="外部資料_651" localSheetId="4">評比系統!#REF!</definedName>
    <definedName name="外部資料_652" localSheetId="12">PKA!#REF!</definedName>
    <definedName name="外部資料_652" localSheetId="13">PKB!#REF!</definedName>
    <definedName name="外部資料_652" localSheetId="7">公司債!#REF!</definedName>
    <definedName name="外部資料_652" localSheetId="0">基本設定!#REF!</definedName>
    <definedName name="外部資料_652" localSheetId="4">評比系統!#REF!</definedName>
    <definedName name="外部資料_653" localSheetId="12">PKA!#REF!</definedName>
    <definedName name="外部資料_653" localSheetId="13">PKB!#REF!</definedName>
    <definedName name="外部資料_653" localSheetId="7">公司債!#REF!</definedName>
    <definedName name="外部資料_653" localSheetId="0">基本設定!#REF!</definedName>
    <definedName name="外部資料_653" localSheetId="4">評比系統!#REF!</definedName>
    <definedName name="外部資料_654" localSheetId="12">PKA!#REF!</definedName>
    <definedName name="外部資料_654" localSheetId="13">PKB!#REF!</definedName>
    <definedName name="外部資料_654" localSheetId="7">公司債!#REF!</definedName>
    <definedName name="外部資料_654" localSheetId="0">基本設定!#REF!</definedName>
    <definedName name="外部資料_654" localSheetId="4">評比系統!#REF!</definedName>
    <definedName name="外部資料_655" localSheetId="12">PKA!#REF!</definedName>
    <definedName name="外部資料_655" localSheetId="13">PKB!#REF!</definedName>
    <definedName name="外部資料_655" localSheetId="7">公司債!#REF!</definedName>
    <definedName name="外部資料_655" localSheetId="0">基本設定!#REF!</definedName>
    <definedName name="外部資料_655" localSheetId="4">評比系統!#REF!</definedName>
    <definedName name="外部資料_656" localSheetId="12">PKA!#REF!</definedName>
    <definedName name="外部資料_656" localSheetId="13">PKB!#REF!</definedName>
    <definedName name="外部資料_656" localSheetId="7">公司債!#REF!</definedName>
    <definedName name="外部資料_656" localSheetId="0">基本設定!#REF!</definedName>
    <definedName name="外部資料_656" localSheetId="4">評比系統!#REF!</definedName>
    <definedName name="外部資料_657" localSheetId="12">PKA!#REF!</definedName>
    <definedName name="外部資料_657" localSheetId="13">PKB!#REF!</definedName>
    <definedName name="外部資料_657" localSheetId="7">公司債!#REF!</definedName>
    <definedName name="外部資料_657" localSheetId="0">基本設定!#REF!</definedName>
    <definedName name="外部資料_657" localSheetId="4">評比系統!#REF!</definedName>
    <definedName name="外部資料_658" localSheetId="12">PKA!#REF!</definedName>
    <definedName name="外部資料_658" localSheetId="13">PKB!#REF!</definedName>
    <definedName name="外部資料_658" localSheetId="7">公司債!#REF!</definedName>
    <definedName name="外部資料_658" localSheetId="0">基本設定!#REF!</definedName>
    <definedName name="外部資料_658" localSheetId="4">評比系統!#REF!</definedName>
    <definedName name="外部資料_659" localSheetId="12">PKA!#REF!</definedName>
    <definedName name="外部資料_659" localSheetId="13">PKB!#REF!</definedName>
    <definedName name="外部資料_659" localSheetId="7">公司債!#REF!</definedName>
    <definedName name="外部資料_659" localSheetId="0">基本設定!#REF!</definedName>
    <definedName name="外部資料_659" localSheetId="4">評比系統!#REF!</definedName>
    <definedName name="外部資料_66" localSheetId="12">PKA!#REF!</definedName>
    <definedName name="外部資料_66" localSheetId="13">PKB!#REF!</definedName>
    <definedName name="外部資料_66" localSheetId="14">PKC!#REF!</definedName>
    <definedName name="外部資料_66" localSheetId="7">公司債!#REF!</definedName>
    <definedName name="外部資料_66" localSheetId="0">基本設定!#REF!</definedName>
    <definedName name="外部資料_66" localSheetId="4">評比系統!#REF!</definedName>
    <definedName name="外部資料_660" localSheetId="12">PKA!#REF!</definedName>
    <definedName name="外部資料_660" localSheetId="13">PKB!#REF!</definedName>
    <definedName name="外部資料_660" localSheetId="7">公司債!#REF!</definedName>
    <definedName name="外部資料_660" localSheetId="0">基本設定!#REF!</definedName>
    <definedName name="外部資料_660" localSheetId="4">評比系統!#REF!</definedName>
    <definedName name="外部資料_661" localSheetId="12">PKA!#REF!</definedName>
    <definedName name="外部資料_661" localSheetId="13">PKB!#REF!</definedName>
    <definedName name="外部資料_661" localSheetId="7">公司債!#REF!</definedName>
    <definedName name="外部資料_661" localSheetId="0">基本設定!#REF!</definedName>
    <definedName name="外部資料_661" localSheetId="4">評比系統!#REF!</definedName>
    <definedName name="外部資料_662" localSheetId="12">PKA!#REF!</definedName>
    <definedName name="外部資料_662" localSheetId="13">PKB!#REF!</definedName>
    <definedName name="外部資料_662" localSheetId="7">公司債!#REF!</definedName>
    <definedName name="外部資料_662" localSheetId="0">基本設定!#REF!</definedName>
    <definedName name="外部資料_662" localSheetId="4">評比系統!#REF!</definedName>
    <definedName name="外部資料_663" localSheetId="12">PKA!#REF!</definedName>
    <definedName name="外部資料_663" localSheetId="13">PKB!#REF!</definedName>
    <definedName name="外部資料_663" localSheetId="7">公司債!#REF!</definedName>
    <definedName name="外部資料_663" localSheetId="0">基本設定!#REF!</definedName>
    <definedName name="外部資料_663" localSheetId="4">評比系統!#REF!</definedName>
    <definedName name="外部資料_664" localSheetId="12">PKA!#REF!</definedName>
    <definedName name="外部資料_664" localSheetId="13">PKB!#REF!</definedName>
    <definedName name="外部資料_664" localSheetId="7">公司債!#REF!</definedName>
    <definedName name="外部資料_664" localSheetId="0">基本設定!#REF!</definedName>
    <definedName name="外部資料_664" localSheetId="4">評比系統!#REF!</definedName>
    <definedName name="外部資料_665" localSheetId="12">PKA!#REF!</definedName>
    <definedName name="外部資料_665" localSheetId="13">PKB!#REF!</definedName>
    <definedName name="外部資料_665" localSheetId="7">公司債!#REF!</definedName>
    <definedName name="外部資料_665" localSheetId="0">基本設定!#REF!</definedName>
    <definedName name="外部資料_665" localSheetId="4">評比系統!#REF!</definedName>
    <definedName name="外部資料_666" localSheetId="12">PKA!#REF!</definedName>
    <definedName name="外部資料_666" localSheetId="13">PKB!#REF!</definedName>
    <definedName name="外部資料_666" localSheetId="7">公司債!#REF!</definedName>
    <definedName name="外部資料_666" localSheetId="0">基本設定!#REF!</definedName>
    <definedName name="外部資料_666" localSheetId="4">評比系統!#REF!</definedName>
    <definedName name="外部資料_667" localSheetId="12">PKA!#REF!</definedName>
    <definedName name="外部資料_667" localSheetId="13">PKB!#REF!</definedName>
    <definedName name="外部資料_667" localSheetId="7">公司債!#REF!</definedName>
    <definedName name="外部資料_667" localSheetId="0">基本設定!#REF!</definedName>
    <definedName name="外部資料_667" localSheetId="4">評比系統!#REF!</definedName>
    <definedName name="外部資料_668" localSheetId="12">PKA!#REF!</definedName>
    <definedName name="外部資料_668" localSheetId="13">PKB!#REF!</definedName>
    <definedName name="外部資料_668" localSheetId="7">公司債!#REF!</definedName>
    <definedName name="外部資料_668" localSheetId="0">基本設定!#REF!</definedName>
    <definedName name="外部資料_668" localSheetId="4">評比系統!#REF!</definedName>
    <definedName name="外部資料_669" localSheetId="12">PKA!#REF!</definedName>
    <definedName name="外部資料_669" localSheetId="13">PKB!#REF!</definedName>
    <definedName name="外部資料_669" localSheetId="7">公司債!#REF!</definedName>
    <definedName name="外部資料_669" localSheetId="0">基本設定!#REF!</definedName>
    <definedName name="外部資料_669" localSheetId="4">評比系統!#REF!</definedName>
    <definedName name="外部資料_67" localSheetId="12">PKA!#REF!</definedName>
    <definedName name="外部資料_67" localSheetId="13">PKB!#REF!</definedName>
    <definedName name="外部資料_67" localSheetId="14">PKC!#REF!</definedName>
    <definedName name="外部資料_67" localSheetId="7">公司債!#REF!</definedName>
    <definedName name="外部資料_67" localSheetId="0">基本設定!#REF!</definedName>
    <definedName name="外部資料_67" localSheetId="4">評比系統!#REF!</definedName>
    <definedName name="外部資料_670" localSheetId="12">PKA!#REF!</definedName>
    <definedName name="外部資料_670" localSheetId="13">PKB!#REF!</definedName>
    <definedName name="外部資料_670" localSheetId="7">公司債!#REF!</definedName>
    <definedName name="外部資料_670" localSheetId="0">基本設定!#REF!</definedName>
    <definedName name="外部資料_670" localSheetId="4">評比系統!#REF!</definedName>
    <definedName name="外部資料_671" localSheetId="12">PKA!#REF!</definedName>
    <definedName name="外部資料_671" localSheetId="13">PKB!#REF!</definedName>
    <definedName name="外部資料_671" localSheetId="7">公司債!#REF!</definedName>
    <definedName name="外部資料_671" localSheetId="0">基本設定!#REF!</definedName>
    <definedName name="外部資料_671" localSheetId="4">評比系統!#REF!</definedName>
    <definedName name="外部資料_672" localSheetId="12">PKA!#REF!</definedName>
    <definedName name="外部資料_672" localSheetId="13">PKB!#REF!</definedName>
    <definedName name="外部資料_672" localSheetId="7">公司債!#REF!</definedName>
    <definedName name="外部資料_672" localSheetId="0">基本設定!#REF!</definedName>
    <definedName name="外部資料_672" localSheetId="4">評比系統!#REF!</definedName>
    <definedName name="外部資料_673" localSheetId="12">PKA!#REF!</definedName>
    <definedName name="外部資料_673" localSheetId="13">PKB!#REF!</definedName>
    <definedName name="外部資料_673" localSheetId="7">公司債!#REF!</definedName>
    <definedName name="外部資料_673" localSheetId="0">基本設定!#REF!</definedName>
    <definedName name="外部資料_673" localSheetId="4">評比系統!#REF!</definedName>
    <definedName name="外部資料_674" localSheetId="12">PKA!#REF!</definedName>
    <definedName name="外部資料_674" localSheetId="13">PKB!#REF!</definedName>
    <definedName name="外部資料_674" localSheetId="7">公司債!#REF!</definedName>
    <definedName name="外部資料_674" localSheetId="0">基本設定!#REF!</definedName>
    <definedName name="外部資料_674" localSheetId="4">評比系統!#REF!</definedName>
    <definedName name="外部資料_675" localSheetId="12">PKA!#REF!</definedName>
    <definedName name="外部資料_675" localSheetId="13">PKB!#REF!</definedName>
    <definedName name="外部資料_675" localSheetId="7">公司債!#REF!</definedName>
    <definedName name="外部資料_675" localSheetId="0">基本設定!#REF!</definedName>
    <definedName name="外部資料_675" localSheetId="4">評比系統!#REF!</definedName>
    <definedName name="外部資料_676" localSheetId="12">PKA!#REF!</definedName>
    <definedName name="外部資料_676" localSheetId="13">PKB!#REF!</definedName>
    <definedName name="外部資料_676" localSheetId="0">基本設定!#REF!</definedName>
    <definedName name="外部資料_676" localSheetId="4">評比系統!#REF!</definedName>
    <definedName name="外部資料_677" localSheetId="12">PKA!#REF!</definedName>
    <definedName name="外部資料_677" localSheetId="13">PKB!#REF!</definedName>
    <definedName name="外部資料_677" localSheetId="0">基本設定!#REF!</definedName>
    <definedName name="外部資料_677" localSheetId="4">評比系統!#REF!</definedName>
    <definedName name="外部資料_678" localSheetId="12">PKA!#REF!</definedName>
    <definedName name="外部資料_678" localSheetId="13">PKB!#REF!</definedName>
    <definedName name="外部資料_678" localSheetId="0">基本設定!#REF!</definedName>
    <definedName name="外部資料_678" localSheetId="4">評比系統!#REF!</definedName>
    <definedName name="外部資料_679" localSheetId="12">PKA!#REF!</definedName>
    <definedName name="外部資料_679" localSheetId="13">PKB!#REF!</definedName>
    <definedName name="外部資料_679" localSheetId="0">基本設定!#REF!</definedName>
    <definedName name="外部資料_679" localSheetId="4">評比系統!#REF!</definedName>
    <definedName name="外部資料_68" localSheetId="12">PKA!#REF!</definedName>
    <definedName name="外部資料_68" localSheetId="13">PKB!#REF!</definedName>
    <definedName name="外部資料_68" localSheetId="14">PKC!#REF!</definedName>
    <definedName name="外部資料_68" localSheetId="7">公司債!#REF!</definedName>
    <definedName name="外部資料_68" localSheetId="0">基本設定!#REF!</definedName>
    <definedName name="外部資料_68" localSheetId="4">評比系統!#REF!</definedName>
    <definedName name="外部資料_680" localSheetId="12">PKA!#REF!</definedName>
    <definedName name="外部資料_680" localSheetId="13">PKB!#REF!</definedName>
    <definedName name="外部資料_680" localSheetId="0">基本設定!#REF!</definedName>
    <definedName name="外部資料_680" localSheetId="4">評比系統!#REF!</definedName>
    <definedName name="外部資料_681" localSheetId="12">PKA!#REF!</definedName>
    <definedName name="外部資料_681" localSheetId="13">PKB!#REF!</definedName>
    <definedName name="外部資料_681" localSheetId="0">基本設定!#REF!</definedName>
    <definedName name="外部資料_681" localSheetId="4">評比系統!#REF!</definedName>
    <definedName name="外部資料_682" localSheetId="12">PKA!#REF!</definedName>
    <definedName name="外部資料_682" localSheetId="13">PKB!#REF!</definedName>
    <definedName name="外部資料_682" localSheetId="0">基本設定!#REF!</definedName>
    <definedName name="外部資料_682" localSheetId="4">評比系統!#REF!</definedName>
    <definedName name="外部資料_683" localSheetId="12">PKA!#REF!</definedName>
    <definedName name="外部資料_683" localSheetId="13">PKB!#REF!</definedName>
    <definedName name="外部資料_683" localSheetId="0">基本設定!#REF!</definedName>
    <definedName name="外部資料_683" localSheetId="4">評比系統!#REF!</definedName>
    <definedName name="外部資料_684" localSheetId="12">PKA!#REF!</definedName>
    <definedName name="外部資料_684" localSheetId="13">PKB!#REF!</definedName>
    <definedName name="外部資料_684" localSheetId="0">基本設定!#REF!</definedName>
    <definedName name="外部資料_684" localSheetId="4">評比系統!#REF!</definedName>
    <definedName name="外部資料_685" localSheetId="12">PKA!#REF!</definedName>
    <definedName name="外部資料_685" localSheetId="13">PKB!#REF!</definedName>
    <definedName name="外部資料_685" localSheetId="0">基本設定!#REF!</definedName>
    <definedName name="外部資料_685" localSheetId="4">評比系統!#REF!</definedName>
    <definedName name="外部資料_686" localSheetId="12">PKA!#REF!</definedName>
    <definedName name="外部資料_686" localSheetId="13">PKB!#REF!</definedName>
    <definedName name="外部資料_686" localSheetId="0">基本設定!#REF!</definedName>
    <definedName name="外部資料_686" localSheetId="4">評比系統!#REF!</definedName>
    <definedName name="外部資料_687" localSheetId="12">PKA!#REF!</definedName>
    <definedName name="外部資料_687" localSheetId="13">PKB!#REF!</definedName>
    <definedName name="外部資料_687" localSheetId="0">基本設定!#REF!</definedName>
    <definedName name="外部資料_687" localSheetId="4">評比系統!#REF!</definedName>
    <definedName name="外部資料_688" localSheetId="12">PKA!#REF!</definedName>
    <definedName name="外部資料_688" localSheetId="13">PKB!#REF!</definedName>
    <definedName name="外部資料_688" localSheetId="0">基本設定!#REF!</definedName>
    <definedName name="外部資料_688" localSheetId="4">評比系統!#REF!</definedName>
    <definedName name="外部資料_689" localSheetId="12">PKA!#REF!</definedName>
    <definedName name="外部資料_689" localSheetId="13">PKB!#REF!</definedName>
    <definedName name="外部資料_689" localSheetId="0">基本設定!#REF!</definedName>
    <definedName name="外部資料_689" localSheetId="4">評比系統!#REF!</definedName>
    <definedName name="外部資料_69" localSheetId="12">PKA!#REF!</definedName>
    <definedName name="外部資料_69" localSheetId="13">PKB!#REF!</definedName>
    <definedName name="外部資料_69" localSheetId="14">PKC!#REF!</definedName>
    <definedName name="外部資料_69" localSheetId="7">公司債!#REF!</definedName>
    <definedName name="外部資料_69" localSheetId="0">基本設定!#REF!</definedName>
    <definedName name="外部資料_69" localSheetId="4">評比系統!#REF!</definedName>
    <definedName name="外部資料_690" localSheetId="12">PKA!#REF!</definedName>
    <definedName name="外部資料_690" localSheetId="13">PKB!#REF!</definedName>
    <definedName name="外部資料_690" localSheetId="0">基本設定!#REF!</definedName>
    <definedName name="外部資料_690" localSheetId="4">評比系統!#REF!</definedName>
    <definedName name="外部資料_691" localSheetId="12">PKA!#REF!</definedName>
    <definedName name="外部資料_691" localSheetId="13">PKB!#REF!</definedName>
    <definedName name="外部資料_691" localSheetId="0">基本設定!#REF!</definedName>
    <definedName name="外部資料_691" localSheetId="4">評比系統!#REF!</definedName>
    <definedName name="外部資料_692" localSheetId="12">PKA!#REF!</definedName>
    <definedName name="外部資料_692" localSheetId="13">PKB!#REF!</definedName>
    <definedName name="外部資料_692" localSheetId="0">基本設定!#REF!</definedName>
    <definedName name="外部資料_692" localSheetId="4">評比系統!#REF!</definedName>
    <definedName name="外部資料_693" localSheetId="12">PKA!#REF!</definedName>
    <definedName name="外部資料_693" localSheetId="13">PKB!#REF!</definedName>
    <definedName name="外部資料_693" localSheetId="0">基本設定!#REF!</definedName>
    <definedName name="外部資料_693" localSheetId="4">評比系統!#REF!</definedName>
    <definedName name="外部資料_694" localSheetId="12">PKA!#REF!</definedName>
    <definedName name="外部資料_694" localSheetId="13">PKB!#REF!</definedName>
    <definedName name="外部資料_694" localSheetId="0">基本設定!#REF!</definedName>
    <definedName name="外部資料_694" localSheetId="4">評比系統!#REF!</definedName>
    <definedName name="外部資料_695" localSheetId="12">PKA!#REF!</definedName>
    <definedName name="外部資料_695" localSheetId="13">PKB!#REF!</definedName>
    <definedName name="外部資料_695" localSheetId="0">基本設定!#REF!</definedName>
    <definedName name="外部資料_695" localSheetId="4">評比系統!#REF!</definedName>
    <definedName name="外部資料_696" localSheetId="12">PKA!#REF!</definedName>
    <definedName name="外部資料_696" localSheetId="13">PKB!#REF!</definedName>
    <definedName name="外部資料_696" localSheetId="0">基本設定!#REF!</definedName>
    <definedName name="外部資料_696" localSheetId="4">評比系統!#REF!</definedName>
    <definedName name="外部資料_697" localSheetId="12">PKA!#REF!</definedName>
    <definedName name="外部資料_697" localSheetId="13">PKB!#REF!</definedName>
    <definedName name="外部資料_697" localSheetId="0">基本設定!#REF!</definedName>
    <definedName name="外部資料_697" localSheetId="4">評比系統!#REF!</definedName>
    <definedName name="外部資料_698" localSheetId="12">PKA!#REF!</definedName>
    <definedName name="外部資料_698" localSheetId="13">PKB!#REF!</definedName>
    <definedName name="外部資料_698" localSheetId="0">基本設定!#REF!</definedName>
    <definedName name="外部資料_698" localSheetId="4">評比系統!#REF!</definedName>
    <definedName name="外部資料_699" localSheetId="12">PKA!#REF!</definedName>
    <definedName name="外部資料_699" localSheetId="13">PKB!#REF!</definedName>
    <definedName name="外部資料_699" localSheetId="0">基本設定!#REF!</definedName>
    <definedName name="外部資料_699" localSheetId="4">評比系統!#REF!</definedName>
    <definedName name="外部資料_7" localSheetId="12">PKA!#REF!</definedName>
    <definedName name="外部資料_7" localSheetId="13">PKB!#REF!</definedName>
    <definedName name="外部資料_7" localSheetId="14">PKC!#REF!</definedName>
    <definedName name="外部資料_7" localSheetId="7">公司債!#REF!</definedName>
    <definedName name="外部資料_7" localSheetId="2">紅綠燈!#REF!</definedName>
    <definedName name="外部資料_7" localSheetId="0">基本設定!#REF!</definedName>
    <definedName name="外部資料_7" localSheetId="4">評比系統!#REF!</definedName>
    <definedName name="外部資料_7" localSheetId="5">搶先報!#REF!</definedName>
    <definedName name="外部資料_70" localSheetId="12">PKA!#REF!</definedName>
    <definedName name="外部資料_70" localSheetId="13">PKB!#REF!</definedName>
    <definedName name="外部資料_70" localSheetId="14">PKC!#REF!</definedName>
    <definedName name="外部資料_70" localSheetId="7">公司債!#REF!</definedName>
    <definedName name="外部資料_70" localSheetId="0">基本設定!#REF!</definedName>
    <definedName name="外部資料_70" localSheetId="4">評比系統!#REF!</definedName>
    <definedName name="外部資料_700" localSheetId="12">PKA!#REF!</definedName>
    <definedName name="外部資料_700" localSheetId="13">PKB!#REF!</definedName>
    <definedName name="外部資料_700" localSheetId="0">基本設定!#REF!</definedName>
    <definedName name="外部資料_700" localSheetId="4">評比系統!#REF!</definedName>
    <definedName name="外部資料_701" localSheetId="12">PKA!#REF!</definedName>
    <definedName name="外部資料_701" localSheetId="13">PKB!#REF!</definedName>
    <definedName name="外部資料_701" localSheetId="0">基本設定!#REF!</definedName>
    <definedName name="外部資料_701" localSheetId="4">評比系統!#REF!</definedName>
    <definedName name="外部資料_702" localSheetId="12">PKA!#REF!</definedName>
    <definedName name="外部資料_702" localSheetId="13">PKB!#REF!</definedName>
    <definedName name="外部資料_702" localSheetId="0">基本設定!#REF!</definedName>
    <definedName name="外部資料_702" localSheetId="4">評比系統!#REF!</definedName>
    <definedName name="外部資料_703" localSheetId="12">PKA!#REF!</definedName>
    <definedName name="外部資料_703" localSheetId="13">PKB!#REF!</definedName>
    <definedName name="外部資料_703" localSheetId="0">基本設定!#REF!</definedName>
    <definedName name="外部資料_703" localSheetId="4">評比系統!#REF!</definedName>
    <definedName name="外部資料_704" localSheetId="12">PKA!#REF!</definedName>
    <definedName name="外部資料_704" localSheetId="13">PKB!#REF!</definedName>
    <definedName name="外部資料_704" localSheetId="0">基本設定!#REF!</definedName>
    <definedName name="外部資料_704" localSheetId="4">評比系統!#REF!</definedName>
    <definedName name="外部資料_705" localSheetId="12">PKA!#REF!</definedName>
    <definedName name="外部資料_705" localSheetId="13">PKB!#REF!</definedName>
    <definedName name="外部資料_705" localSheetId="0">基本設定!#REF!</definedName>
    <definedName name="外部資料_705" localSheetId="4">評比系統!#REF!</definedName>
    <definedName name="外部資料_706" localSheetId="12">PKA!#REF!</definedName>
    <definedName name="外部資料_706" localSheetId="13">PKB!#REF!</definedName>
    <definedName name="外部資料_706" localSheetId="0">基本設定!#REF!</definedName>
    <definedName name="外部資料_706" localSheetId="4">評比系統!#REF!</definedName>
    <definedName name="外部資料_707" localSheetId="12">PKA!#REF!</definedName>
    <definedName name="外部資料_707" localSheetId="13">PKB!#REF!</definedName>
    <definedName name="外部資料_707" localSheetId="0">基本設定!#REF!</definedName>
    <definedName name="外部資料_707" localSheetId="4">評比系統!#REF!</definedName>
    <definedName name="外部資料_708" localSheetId="12">PKA!#REF!</definedName>
    <definedName name="外部資料_708" localSheetId="13">PKB!#REF!</definedName>
    <definedName name="外部資料_708" localSheetId="0">基本設定!#REF!</definedName>
    <definedName name="外部資料_708" localSheetId="4">評比系統!#REF!</definedName>
    <definedName name="外部資料_709" localSheetId="12">PKA!#REF!</definedName>
    <definedName name="外部資料_709" localSheetId="13">PKB!#REF!</definedName>
    <definedName name="外部資料_709" localSheetId="0">基本設定!#REF!</definedName>
    <definedName name="外部資料_709" localSheetId="4">評比系統!#REF!</definedName>
    <definedName name="外部資料_71" localSheetId="12">PKA!#REF!</definedName>
    <definedName name="外部資料_71" localSheetId="13">PKB!#REF!</definedName>
    <definedName name="外部資料_71" localSheetId="14">PKC!#REF!</definedName>
    <definedName name="外部資料_71" localSheetId="7">公司債!#REF!</definedName>
    <definedName name="外部資料_71" localSheetId="0">基本設定!#REF!</definedName>
    <definedName name="外部資料_71" localSheetId="4">評比系統!#REF!</definedName>
    <definedName name="外部資料_710" localSheetId="12">PKA!#REF!</definedName>
    <definedName name="外部資料_710" localSheetId="13">PKB!#REF!</definedName>
    <definedName name="外部資料_710" localSheetId="0">基本設定!#REF!</definedName>
    <definedName name="外部資料_710" localSheetId="4">評比系統!#REF!</definedName>
    <definedName name="外部資料_711" localSheetId="12">PKA!#REF!</definedName>
    <definedName name="外部資料_711" localSheetId="13">PKB!#REF!</definedName>
    <definedName name="外部資料_711" localSheetId="0">基本設定!#REF!</definedName>
    <definedName name="外部資料_711" localSheetId="4">評比系統!#REF!</definedName>
    <definedName name="外部資料_712" localSheetId="12">PKA!#REF!</definedName>
    <definedName name="外部資料_712" localSheetId="13">PKB!#REF!</definedName>
    <definedName name="外部資料_712" localSheetId="0">基本設定!#REF!</definedName>
    <definedName name="外部資料_712" localSheetId="4">評比系統!#REF!</definedName>
    <definedName name="外部資料_713" localSheetId="12">PKA!#REF!</definedName>
    <definedName name="外部資料_713" localSheetId="13">PKB!#REF!</definedName>
    <definedName name="外部資料_713" localSheetId="0">基本設定!#REF!</definedName>
    <definedName name="外部資料_713" localSheetId="4">評比系統!#REF!</definedName>
    <definedName name="外部資料_714" localSheetId="12">PKA!#REF!</definedName>
    <definedName name="外部資料_714" localSheetId="13">PKB!#REF!</definedName>
    <definedName name="外部資料_714" localSheetId="0">基本設定!#REF!</definedName>
    <definedName name="外部資料_714" localSheetId="4">評比系統!#REF!</definedName>
    <definedName name="外部資料_715" localSheetId="12">PKA!#REF!</definedName>
    <definedName name="外部資料_715" localSheetId="13">PKB!#REF!</definedName>
    <definedName name="外部資料_715" localSheetId="0">基本設定!#REF!</definedName>
    <definedName name="外部資料_715" localSheetId="4">評比系統!#REF!</definedName>
    <definedName name="外部資料_716" localSheetId="12">PKA!#REF!</definedName>
    <definedName name="外部資料_716" localSheetId="13">PKB!#REF!</definedName>
    <definedName name="外部資料_716" localSheetId="0">基本設定!#REF!</definedName>
    <definedName name="外部資料_716" localSheetId="4">評比系統!#REF!</definedName>
    <definedName name="外部資料_717" localSheetId="12">PKA!#REF!</definedName>
    <definedName name="外部資料_717" localSheetId="13">PKB!#REF!</definedName>
    <definedName name="外部資料_717" localSheetId="0">基本設定!#REF!</definedName>
    <definedName name="外部資料_717" localSheetId="4">評比系統!#REF!</definedName>
    <definedName name="外部資料_718" localSheetId="12">PKA!#REF!</definedName>
    <definedName name="外部資料_718" localSheetId="13">PKB!#REF!</definedName>
    <definedName name="外部資料_718" localSheetId="0">基本設定!#REF!</definedName>
    <definedName name="外部資料_718" localSheetId="4">評比系統!#REF!</definedName>
    <definedName name="外部資料_719" localSheetId="12">PKA!#REF!</definedName>
    <definedName name="外部資料_719" localSheetId="13">PKB!#REF!</definedName>
    <definedName name="外部資料_719" localSheetId="0">基本設定!#REF!</definedName>
    <definedName name="外部資料_719" localSheetId="4">評比系統!#REF!</definedName>
    <definedName name="外部資料_72" localSheetId="12">PKA!#REF!</definedName>
    <definedName name="外部資料_72" localSheetId="13">PKB!#REF!</definedName>
    <definedName name="外部資料_72" localSheetId="14">PKC!#REF!</definedName>
    <definedName name="外部資料_72" localSheetId="0">基本設定!#REF!</definedName>
    <definedName name="外部資料_72" localSheetId="4">評比系統!#REF!</definedName>
    <definedName name="外部資料_720" localSheetId="12">PKA!#REF!</definedName>
    <definedName name="外部資料_720" localSheetId="13">PKB!#REF!</definedName>
    <definedName name="外部資料_720" localSheetId="0">基本設定!#REF!</definedName>
    <definedName name="外部資料_720" localSheetId="4">評比系統!#REF!</definedName>
    <definedName name="外部資料_721" localSheetId="12">PKA!#REF!</definedName>
    <definedName name="外部資料_721" localSheetId="13">PKB!#REF!</definedName>
    <definedName name="外部資料_721" localSheetId="0">基本設定!#REF!</definedName>
    <definedName name="外部資料_721" localSheetId="4">評比系統!#REF!</definedName>
    <definedName name="外部資料_722" localSheetId="12">PKA!#REF!</definedName>
    <definedName name="外部資料_722" localSheetId="13">PKB!#REF!</definedName>
    <definedName name="外部資料_722" localSheetId="0">基本設定!#REF!</definedName>
    <definedName name="外部資料_722" localSheetId="4">評比系統!#REF!</definedName>
    <definedName name="外部資料_723" localSheetId="12">PKA!#REF!</definedName>
    <definedName name="外部資料_723" localSheetId="13">PKB!#REF!</definedName>
    <definedName name="外部資料_723" localSheetId="0">基本設定!#REF!</definedName>
    <definedName name="外部資料_723" localSheetId="4">評比系統!#REF!</definedName>
    <definedName name="外部資料_724" localSheetId="12">PKA!#REF!</definedName>
    <definedName name="外部資料_724" localSheetId="13">PKB!#REF!</definedName>
    <definedName name="外部資料_724" localSheetId="0">基本設定!#REF!</definedName>
    <definedName name="外部資料_724" localSheetId="4">評比系統!#REF!</definedName>
    <definedName name="外部資料_725" localSheetId="12">PKA!#REF!</definedName>
    <definedName name="外部資料_725" localSheetId="13">PKB!#REF!</definedName>
    <definedName name="外部資料_725" localSheetId="0">基本設定!#REF!</definedName>
    <definedName name="外部資料_725" localSheetId="4">評比系統!#REF!</definedName>
    <definedName name="外部資料_726" localSheetId="12">PKA!#REF!</definedName>
    <definedName name="外部資料_726" localSheetId="13">PKB!#REF!</definedName>
    <definedName name="外部資料_726" localSheetId="0">基本設定!#REF!</definedName>
    <definedName name="外部資料_726" localSheetId="4">評比系統!#REF!</definedName>
    <definedName name="外部資料_727" localSheetId="12">PKA!#REF!</definedName>
    <definedName name="外部資料_727" localSheetId="13">PKB!#REF!</definedName>
    <definedName name="外部資料_727" localSheetId="0">基本設定!#REF!</definedName>
    <definedName name="外部資料_727" localSheetId="4">評比系統!#REF!</definedName>
    <definedName name="外部資料_728" localSheetId="12">PKA!#REF!</definedName>
    <definedName name="外部資料_728" localSheetId="13">PKB!#REF!</definedName>
    <definedName name="外部資料_728" localSheetId="0">基本設定!#REF!</definedName>
    <definedName name="外部資料_728" localSheetId="4">評比系統!#REF!</definedName>
    <definedName name="外部資料_729" localSheetId="12">PKA!#REF!</definedName>
    <definedName name="外部資料_729" localSheetId="13">PKB!#REF!</definedName>
    <definedName name="外部資料_729" localSheetId="0">基本設定!#REF!</definedName>
    <definedName name="外部資料_729" localSheetId="4">評比系統!#REF!</definedName>
    <definedName name="外部資料_73" localSheetId="12">PKA!#REF!</definedName>
    <definedName name="外部資料_73" localSheetId="13">PKB!#REF!</definedName>
    <definedName name="外部資料_73" localSheetId="14">PKC!#REF!</definedName>
    <definedName name="外部資料_73" localSheetId="7">公司債!#REF!</definedName>
    <definedName name="外部資料_73" localSheetId="0">基本設定!#REF!</definedName>
    <definedName name="外部資料_73" localSheetId="4">評比系統!#REF!</definedName>
    <definedName name="外部資料_730" localSheetId="12">PKA!#REF!</definedName>
    <definedName name="外部資料_730" localSheetId="13">PKB!#REF!</definedName>
    <definedName name="外部資料_730" localSheetId="0">基本設定!#REF!</definedName>
    <definedName name="外部資料_730" localSheetId="4">評比系統!#REF!</definedName>
    <definedName name="外部資料_731" localSheetId="12">PKA!#REF!</definedName>
    <definedName name="外部資料_731" localSheetId="13">PKB!#REF!</definedName>
    <definedName name="外部資料_731" localSheetId="0">基本設定!#REF!</definedName>
    <definedName name="外部資料_731" localSheetId="4">評比系統!#REF!</definedName>
    <definedName name="外部資料_732" localSheetId="12">PKA!#REF!</definedName>
    <definedName name="外部資料_732" localSheetId="13">PKB!#REF!</definedName>
    <definedName name="外部資料_732" localSheetId="0">基本設定!#REF!</definedName>
    <definedName name="外部資料_732" localSheetId="4">評比系統!#REF!</definedName>
    <definedName name="外部資料_733" localSheetId="12">PKA!#REF!</definedName>
    <definedName name="外部資料_733" localSheetId="13">PKB!#REF!</definedName>
    <definedName name="外部資料_733" localSheetId="0">基本設定!#REF!</definedName>
    <definedName name="外部資料_733" localSheetId="4">評比系統!#REF!</definedName>
    <definedName name="外部資料_734" localSheetId="12">PKA!#REF!</definedName>
    <definedName name="外部資料_734" localSheetId="13">PKB!#REF!</definedName>
    <definedName name="外部資料_734" localSheetId="0">基本設定!#REF!</definedName>
    <definedName name="外部資料_734" localSheetId="4">評比系統!#REF!</definedName>
    <definedName name="外部資料_735" localSheetId="12">PKA!#REF!</definedName>
    <definedName name="外部資料_735" localSheetId="13">PKB!#REF!</definedName>
    <definedName name="外部資料_735" localSheetId="0">基本設定!#REF!</definedName>
    <definedName name="外部資料_735" localSheetId="4">評比系統!#REF!</definedName>
    <definedName name="外部資料_736" localSheetId="12">PKA!#REF!</definedName>
    <definedName name="外部資料_736" localSheetId="13">PKB!#REF!</definedName>
    <definedName name="外部資料_736" localSheetId="0">基本設定!#REF!</definedName>
    <definedName name="外部資料_736" localSheetId="4">評比系統!#REF!</definedName>
    <definedName name="外部資料_737" localSheetId="12">PKA!#REF!</definedName>
    <definedName name="外部資料_737" localSheetId="13">PKB!#REF!</definedName>
    <definedName name="外部資料_737" localSheetId="0">基本設定!#REF!</definedName>
    <definedName name="外部資料_737" localSheetId="4">評比系統!#REF!</definedName>
    <definedName name="外部資料_738" localSheetId="12">PKA!#REF!</definedName>
    <definedName name="外部資料_738" localSheetId="13">PKB!#REF!</definedName>
    <definedName name="外部資料_738" localSheetId="0">基本設定!#REF!</definedName>
    <definedName name="外部資料_738" localSheetId="4">評比系統!#REF!</definedName>
    <definedName name="外部資料_739" localSheetId="12">PKA!#REF!</definedName>
    <definedName name="外部資料_739" localSheetId="13">PKB!#REF!</definedName>
    <definedName name="外部資料_739" localSheetId="0">基本設定!#REF!</definedName>
    <definedName name="外部資料_739" localSheetId="4">評比系統!#REF!</definedName>
    <definedName name="外部資料_74" localSheetId="12">PKA!#REF!</definedName>
    <definedName name="外部資料_74" localSheetId="13">PKB!#REF!</definedName>
    <definedName name="外部資料_74" localSheetId="14">PKC!#REF!</definedName>
    <definedName name="外部資料_74" localSheetId="7">公司債!#REF!</definedName>
    <definedName name="外部資料_74" localSheetId="0">基本設定!#REF!</definedName>
    <definedName name="外部資料_74" localSheetId="4">評比系統!#REF!</definedName>
    <definedName name="外部資料_740" localSheetId="12">PKA!#REF!</definedName>
    <definedName name="外部資料_740" localSheetId="13">PKB!#REF!</definedName>
    <definedName name="外部資料_740" localSheetId="0">基本設定!#REF!</definedName>
    <definedName name="外部資料_740" localSheetId="4">評比系統!#REF!</definedName>
    <definedName name="外部資料_741" localSheetId="12">PKA!#REF!</definedName>
    <definedName name="外部資料_741" localSheetId="13">PKB!#REF!</definedName>
    <definedName name="外部資料_741" localSheetId="0">基本設定!#REF!</definedName>
    <definedName name="外部資料_741" localSheetId="4">評比系統!#REF!</definedName>
    <definedName name="外部資料_742" localSheetId="12">PKA!#REF!</definedName>
    <definedName name="外部資料_742" localSheetId="13">PKB!#REF!</definedName>
    <definedName name="外部資料_742" localSheetId="0">基本設定!#REF!</definedName>
    <definedName name="外部資料_742" localSheetId="4">評比系統!#REF!</definedName>
    <definedName name="外部資料_743" localSheetId="12">PKA!#REF!</definedName>
    <definedName name="外部資料_743" localSheetId="13">PKB!#REF!</definedName>
    <definedName name="外部資料_743" localSheetId="0">基本設定!#REF!</definedName>
    <definedName name="外部資料_743" localSheetId="4">評比系統!#REF!</definedName>
    <definedName name="外部資料_744" localSheetId="12">PKA!#REF!</definedName>
    <definedName name="外部資料_744" localSheetId="13">PKB!#REF!</definedName>
    <definedName name="外部資料_744" localSheetId="0">基本設定!#REF!</definedName>
    <definedName name="外部資料_744" localSheetId="4">評比系統!#REF!</definedName>
    <definedName name="外部資料_745" localSheetId="12">PKA!#REF!</definedName>
    <definedName name="外部資料_745" localSheetId="13">PKB!#REF!</definedName>
    <definedName name="外部資料_745" localSheetId="0">基本設定!#REF!</definedName>
    <definedName name="外部資料_745" localSheetId="4">評比系統!#REF!</definedName>
    <definedName name="外部資料_746" localSheetId="12">PKA!#REF!</definedName>
    <definedName name="外部資料_746" localSheetId="13">PKB!#REF!</definedName>
    <definedName name="外部資料_746" localSheetId="0">基本設定!#REF!</definedName>
    <definedName name="外部資料_746" localSheetId="4">評比系統!#REF!</definedName>
    <definedName name="外部資料_747" localSheetId="12">PKA!#REF!</definedName>
    <definedName name="外部資料_747" localSheetId="13">PKB!#REF!</definedName>
    <definedName name="外部資料_747" localSheetId="0">基本設定!#REF!</definedName>
    <definedName name="外部資料_747" localSheetId="4">評比系統!#REF!</definedName>
    <definedName name="外部資料_748" localSheetId="12">PKA!#REF!</definedName>
    <definedName name="外部資料_748" localSheetId="13">PKB!#REF!</definedName>
    <definedName name="外部資料_748" localSheetId="0">基本設定!$Q$1:$Q$1</definedName>
    <definedName name="外部資料_748" localSheetId="4">評比系統!#REF!</definedName>
    <definedName name="外部資料_749" localSheetId="12">PKA!#REF!</definedName>
    <definedName name="外部資料_749" localSheetId="13">PKB!#REF!</definedName>
    <definedName name="外部資料_749" localSheetId="0">基本設定!#REF!</definedName>
    <definedName name="外部資料_749" localSheetId="4">評比系統!#REF!</definedName>
    <definedName name="外部資料_75" localSheetId="12">PKA!#REF!</definedName>
    <definedName name="外部資料_75" localSheetId="13">PKB!#REF!</definedName>
    <definedName name="外部資料_75" localSheetId="14">PKC!#REF!</definedName>
    <definedName name="外部資料_75" localSheetId="7">公司債!#REF!</definedName>
    <definedName name="外部資料_75" localSheetId="0">基本設定!#REF!</definedName>
    <definedName name="外部資料_75" localSheetId="4">評比系統!#REF!</definedName>
    <definedName name="外部資料_750" localSheetId="12">PKA!#REF!</definedName>
    <definedName name="外部資料_750" localSheetId="13">PKB!#REF!</definedName>
    <definedName name="外部資料_750" localSheetId="0">基本設定!#REF!</definedName>
    <definedName name="外部資料_750" localSheetId="4">評比系統!#REF!</definedName>
    <definedName name="外部資料_751" localSheetId="12">PKA!#REF!</definedName>
    <definedName name="外部資料_751" localSheetId="13">PKB!#REF!</definedName>
    <definedName name="外部資料_751" localSheetId="0">基本設定!#REF!</definedName>
    <definedName name="外部資料_751" localSheetId="4">評比系統!#REF!</definedName>
    <definedName name="外部資料_752" localSheetId="12">PKA!#REF!</definedName>
    <definedName name="外部資料_752" localSheetId="13">PKB!#REF!</definedName>
    <definedName name="外部資料_752" localSheetId="0">基本設定!#REF!</definedName>
    <definedName name="外部資料_752" localSheetId="4">評比系統!#REF!</definedName>
    <definedName name="外部資料_753" localSheetId="12">PKA!#REF!</definedName>
    <definedName name="外部資料_753" localSheetId="13">PKB!#REF!</definedName>
    <definedName name="外部資料_753" localSheetId="0">基本設定!#REF!</definedName>
    <definedName name="外部資料_753" localSheetId="4">評比系統!#REF!</definedName>
    <definedName name="外部資料_754" localSheetId="12">PKA!#REF!</definedName>
    <definedName name="外部資料_754" localSheetId="13">PKB!#REF!</definedName>
    <definedName name="外部資料_754" localSheetId="0">基本設定!#REF!</definedName>
    <definedName name="外部資料_754" localSheetId="4">評比系統!#REF!</definedName>
    <definedName name="外部資料_755" localSheetId="12">PKA!#REF!</definedName>
    <definedName name="外部資料_755" localSheetId="13">PKB!#REF!</definedName>
    <definedName name="外部資料_755" localSheetId="0">基本設定!#REF!</definedName>
    <definedName name="外部資料_755" localSheetId="4">評比系統!#REF!</definedName>
    <definedName name="外部資料_7550" localSheetId="2">紅綠燈!#REF!</definedName>
    <definedName name="外部資料_7551" localSheetId="2">紅綠燈!#REF!</definedName>
    <definedName name="外部資料_7552" localSheetId="2">紅綠燈!#REF!</definedName>
    <definedName name="外部資料_7554" localSheetId="2">紅綠燈!#REF!</definedName>
    <definedName name="外部資料_7555" localSheetId="2">紅綠燈!#REF!</definedName>
    <definedName name="外部資料_7556" localSheetId="2">紅綠燈!#REF!</definedName>
    <definedName name="外部資料_7559" localSheetId="2">紅綠燈!#REF!</definedName>
    <definedName name="外部資料_756" localSheetId="12">PKA!#REF!</definedName>
    <definedName name="外部資料_756" localSheetId="13">PKB!#REF!</definedName>
    <definedName name="外部資料_756" localSheetId="0">基本設定!#REF!</definedName>
    <definedName name="外部資料_756" localSheetId="4">評比系統!#REF!</definedName>
    <definedName name="外部資料_7560" localSheetId="2">紅綠燈!#REF!</definedName>
    <definedName name="外部資料_7562" localSheetId="2">紅綠燈!#REF!</definedName>
    <definedName name="外部資料_7563" localSheetId="2">紅綠燈!#REF!</definedName>
    <definedName name="外部資料_7564" localSheetId="2">紅綠燈!#REF!</definedName>
    <definedName name="外部資料_7566" localSheetId="2">紅綠燈!#REF!</definedName>
    <definedName name="外部資料_7567" localSheetId="2">紅綠燈!#REF!</definedName>
    <definedName name="外部資料_7568" localSheetId="2">紅綠燈!#REF!</definedName>
    <definedName name="外部資料_757" localSheetId="12">PKA!#REF!</definedName>
    <definedName name="外部資料_757" localSheetId="13">PKB!#REF!</definedName>
    <definedName name="外部資料_757" localSheetId="0">基本設定!#REF!</definedName>
    <definedName name="外部資料_757" localSheetId="4">評比系統!#REF!</definedName>
    <definedName name="外部資料_7570" localSheetId="2">紅綠燈!#REF!</definedName>
    <definedName name="外部資料_7571" localSheetId="2">紅綠燈!#REF!</definedName>
    <definedName name="外部資料_7572" localSheetId="2">紅綠燈!#REF!</definedName>
    <definedName name="外部資料_7574" localSheetId="2">紅綠燈!#REF!</definedName>
    <definedName name="外部資料_7575" localSheetId="2">紅綠燈!#REF!</definedName>
    <definedName name="外部資料_7576" localSheetId="2">紅綠燈!#REF!</definedName>
    <definedName name="外部資料_7578" localSheetId="2">紅綠燈!#REF!</definedName>
    <definedName name="外部資料_7579" localSheetId="2">紅綠燈!#REF!</definedName>
    <definedName name="外部資料_758" localSheetId="12">PKA!#REF!</definedName>
    <definedName name="外部資料_758" localSheetId="13">PKB!#REF!</definedName>
    <definedName name="外部資料_758" localSheetId="0">基本設定!#REF!</definedName>
    <definedName name="外部資料_758" localSheetId="4">評比系統!#REF!</definedName>
    <definedName name="外部資料_7580" localSheetId="2">紅綠燈!#REF!</definedName>
    <definedName name="外部資料_7582" localSheetId="2">紅綠燈!#REF!</definedName>
    <definedName name="外部資料_7583" localSheetId="2">紅綠燈!#REF!</definedName>
    <definedName name="外部資料_7585" localSheetId="2">紅綠燈!#REF!</definedName>
    <definedName name="外部資料_7586" localSheetId="2">紅綠燈!#REF!</definedName>
    <definedName name="外部資料_7587" localSheetId="2">紅綠燈!#REF!</definedName>
    <definedName name="外部資料_7589" localSheetId="2">紅綠燈!#REF!</definedName>
    <definedName name="外部資料_759" localSheetId="12">PKA!#REF!</definedName>
    <definedName name="外部資料_759" localSheetId="13">PKB!#REF!</definedName>
    <definedName name="外部資料_759" localSheetId="0">基本設定!#REF!</definedName>
    <definedName name="外部資料_759" localSheetId="4">評比系統!#REF!</definedName>
    <definedName name="外部資料_7590" localSheetId="2">紅綠燈!#REF!</definedName>
    <definedName name="外部資料_7591" localSheetId="2">紅綠燈!#REF!</definedName>
    <definedName name="外部資料_7593" localSheetId="2">紅綠燈!#REF!</definedName>
    <definedName name="外部資料_7594" localSheetId="2">紅綠燈!#REF!</definedName>
    <definedName name="外部資料_7596" localSheetId="2">紅綠燈!#REF!</definedName>
    <definedName name="外部資料_7597" localSheetId="2">紅綠燈!#REF!</definedName>
    <definedName name="外部資料_7598" localSheetId="2">紅綠燈!#REF!</definedName>
    <definedName name="外部資料_76" localSheetId="12">PKA!#REF!</definedName>
    <definedName name="外部資料_76" localSheetId="13">PKB!#REF!</definedName>
    <definedName name="外部資料_76" localSheetId="14">PKC!#REF!</definedName>
    <definedName name="外部資料_76" localSheetId="7">公司債!#REF!</definedName>
    <definedName name="外部資料_76" localSheetId="0">基本設定!#REF!</definedName>
    <definedName name="外部資料_76" localSheetId="4">評比系統!#REF!</definedName>
    <definedName name="外部資料_760" localSheetId="12">PKA!#REF!</definedName>
    <definedName name="外部資料_760" localSheetId="13">PKB!#REF!</definedName>
    <definedName name="外部資料_760" localSheetId="0">基本設定!#REF!</definedName>
    <definedName name="外部資料_760" localSheetId="4">評比系統!#REF!</definedName>
    <definedName name="外部資料_7600" localSheetId="2">紅綠燈!#REF!</definedName>
    <definedName name="外部資料_7601" localSheetId="2">紅綠燈!#REF!</definedName>
    <definedName name="外部資料_7602" localSheetId="2">紅綠燈!#REF!</definedName>
    <definedName name="外部資料_7604" localSheetId="2">紅綠燈!#REF!</definedName>
    <definedName name="外部資料_7605" localSheetId="2">紅綠燈!#REF!</definedName>
    <definedName name="外部資料_7606" localSheetId="2">紅綠燈!#REF!</definedName>
    <definedName name="外部資料_7608" localSheetId="2">紅綠燈!#REF!</definedName>
    <definedName name="外部資料_7609" localSheetId="2">紅綠燈!#REF!</definedName>
    <definedName name="外部資料_761" localSheetId="12">PKA!#REF!</definedName>
    <definedName name="外部資料_761" localSheetId="13">PKB!#REF!</definedName>
    <definedName name="外部資料_761" localSheetId="0">基本設定!#REF!</definedName>
    <definedName name="外部資料_761" localSheetId="4">評比系統!#REF!</definedName>
    <definedName name="外部資料_7610" localSheetId="2">紅綠燈!#REF!</definedName>
    <definedName name="外部資料_7612" localSheetId="2">紅綠燈!#REF!</definedName>
    <definedName name="外部資料_7613" localSheetId="2">紅綠燈!#REF!</definedName>
    <definedName name="外部資料_7614" localSheetId="2">紅綠燈!#REF!</definedName>
    <definedName name="外部資料_7616" localSheetId="2">紅綠燈!#REF!</definedName>
    <definedName name="外部資料_7617" localSheetId="2">紅綠燈!#REF!</definedName>
    <definedName name="外部資料_7618" localSheetId="2">紅綠燈!#REF!</definedName>
    <definedName name="外部資料_762" localSheetId="12">PKA!#REF!</definedName>
    <definedName name="外部資料_762" localSheetId="13">PKB!#REF!</definedName>
    <definedName name="外部資料_762" localSheetId="0">基本設定!#REF!</definedName>
    <definedName name="外部資料_762" localSheetId="4">評比系統!#REF!</definedName>
    <definedName name="外部資料_7620" localSheetId="2">紅綠燈!#REF!</definedName>
    <definedName name="外部資料_7621" localSheetId="2">紅綠燈!#REF!</definedName>
    <definedName name="外部資料_7622" localSheetId="2">紅綠燈!#REF!</definedName>
    <definedName name="外部資料_7624" localSheetId="2">紅綠燈!#REF!</definedName>
    <definedName name="外部資料_7625" localSheetId="2">紅綠燈!#REF!</definedName>
    <definedName name="外部資料_7626" localSheetId="2">紅綠燈!#REF!</definedName>
    <definedName name="外部資料_7628" localSheetId="2">紅綠燈!#REF!</definedName>
    <definedName name="外部資料_7629" localSheetId="2">紅綠燈!#REF!</definedName>
    <definedName name="外部資料_763" localSheetId="12">PKA!#REF!</definedName>
    <definedName name="外部資料_763" localSheetId="13">PKB!#REF!</definedName>
    <definedName name="外部資料_763" localSheetId="0">基本設定!#REF!</definedName>
    <definedName name="外部資料_763" localSheetId="4">評比系統!#REF!</definedName>
    <definedName name="外部資料_7630" localSheetId="2">紅綠燈!#REF!</definedName>
    <definedName name="外部資料_7632" localSheetId="2">紅綠燈!#REF!</definedName>
    <definedName name="外部資料_7633" localSheetId="2">紅綠燈!#REF!</definedName>
    <definedName name="外部資料_7634" localSheetId="2">紅綠燈!#REF!</definedName>
    <definedName name="外部資料_7636" localSheetId="2">紅綠燈!#REF!</definedName>
    <definedName name="外部資料_7637" localSheetId="2">紅綠燈!#REF!</definedName>
    <definedName name="外部資料_7638" localSheetId="2">紅綠燈!#REF!</definedName>
    <definedName name="外部資料_764" localSheetId="12">PKA!#REF!</definedName>
    <definedName name="外部資料_764" localSheetId="13">PKB!#REF!</definedName>
    <definedName name="外部資料_764" localSheetId="0">基本設定!#REF!</definedName>
    <definedName name="外部資料_764" localSheetId="4">評比系統!#REF!</definedName>
    <definedName name="外部資料_7640" localSheetId="2">紅綠燈!#REF!</definedName>
    <definedName name="外部資料_7641" localSheetId="2">紅綠燈!#REF!</definedName>
    <definedName name="外部資料_7642" localSheetId="2">紅綠燈!#REF!</definedName>
    <definedName name="外部資料_7644" localSheetId="2">紅綠燈!#REF!</definedName>
    <definedName name="外部資料_7645" localSheetId="2">紅綠燈!#REF!</definedName>
    <definedName name="外部資料_7646" localSheetId="2">紅綠燈!#REF!</definedName>
    <definedName name="外部資料_7648" localSheetId="2">紅綠燈!#REF!</definedName>
    <definedName name="外部資料_7649" localSheetId="2">紅綠燈!#REF!</definedName>
    <definedName name="外部資料_765" localSheetId="12">PKA!#REF!</definedName>
    <definedName name="外部資料_765" localSheetId="13">PKB!#REF!</definedName>
    <definedName name="外部資料_765" localSheetId="0">基本設定!#REF!</definedName>
    <definedName name="外部資料_765" localSheetId="4">評比系統!#REF!</definedName>
    <definedName name="外部資料_7650" localSheetId="2">紅綠燈!#REF!</definedName>
    <definedName name="外部資料_7652" localSheetId="2">紅綠燈!#REF!</definedName>
    <definedName name="外部資料_7653" localSheetId="2">紅綠燈!#REF!</definedName>
    <definedName name="外部資料_7654" localSheetId="2">紅綠燈!#REF!</definedName>
    <definedName name="外部資料_7656" localSheetId="2">紅綠燈!#REF!</definedName>
    <definedName name="外部資料_7657" localSheetId="2">紅綠燈!#REF!</definedName>
    <definedName name="外部資料_7658" localSheetId="2">紅綠燈!#REF!</definedName>
    <definedName name="外部資料_766" localSheetId="12">PKA!#REF!</definedName>
    <definedName name="外部資料_766" localSheetId="13">PKB!#REF!</definedName>
    <definedName name="外部資料_766" localSheetId="0">基本設定!#REF!</definedName>
    <definedName name="外部資料_766" localSheetId="4">評比系統!#REF!</definedName>
    <definedName name="外部資料_7660" localSheetId="2">紅綠燈!#REF!</definedName>
    <definedName name="外部資料_7661" localSheetId="2">紅綠燈!#REF!</definedName>
    <definedName name="外部資料_7662" localSheetId="2">紅綠燈!#REF!</definedName>
    <definedName name="外部資料_7664" localSheetId="2">紅綠燈!#REF!</definedName>
    <definedName name="外部資料_7665" localSheetId="2">紅綠燈!#REF!</definedName>
    <definedName name="外部資料_7666" localSheetId="2">紅綠燈!#REF!</definedName>
    <definedName name="外部資料_7668" localSheetId="2">紅綠燈!#REF!</definedName>
    <definedName name="外部資料_7669" localSheetId="2">紅綠燈!#REF!</definedName>
    <definedName name="外部資料_767" localSheetId="12">PKA!#REF!</definedName>
    <definedName name="外部資料_767" localSheetId="13">PKB!#REF!</definedName>
    <definedName name="外部資料_767" localSheetId="0">基本設定!#REF!</definedName>
    <definedName name="外部資料_767" localSheetId="4">評比系統!#REF!</definedName>
    <definedName name="外部資料_7670" localSheetId="2">紅綠燈!#REF!</definedName>
    <definedName name="外部資料_7672" localSheetId="2">紅綠燈!#REF!</definedName>
    <definedName name="外部資料_7673" localSheetId="2">紅綠燈!#REF!</definedName>
    <definedName name="外部資料_7674" localSheetId="2">紅綠燈!#REF!</definedName>
    <definedName name="外部資料_7676" localSheetId="2">紅綠燈!#REF!</definedName>
    <definedName name="外部資料_7677" localSheetId="2">紅綠燈!#REF!</definedName>
    <definedName name="外部資料_7678" localSheetId="2">紅綠燈!#REF!</definedName>
    <definedName name="外部資料_768" localSheetId="12">PKA!#REF!</definedName>
    <definedName name="外部資料_768" localSheetId="13">PKB!#REF!</definedName>
    <definedName name="外部資料_768" localSheetId="0">基本設定!#REF!</definedName>
    <definedName name="外部資料_768" localSheetId="4">評比系統!#REF!</definedName>
    <definedName name="外部資料_7680" localSheetId="2">紅綠燈!#REF!</definedName>
    <definedName name="外部資料_7681" localSheetId="2">紅綠燈!#REF!</definedName>
    <definedName name="外部資料_7682" localSheetId="2">紅綠燈!#REF!</definedName>
    <definedName name="外部資料_7684" localSheetId="2">紅綠燈!#REF!</definedName>
    <definedName name="外部資料_7685" localSheetId="2">紅綠燈!#REF!</definedName>
    <definedName name="外部資料_7687" localSheetId="2">紅綠燈!#REF!</definedName>
    <definedName name="外部資料_7688" localSheetId="2">紅綠燈!#REF!</definedName>
    <definedName name="外部資料_7689" localSheetId="2">紅綠燈!#REF!</definedName>
    <definedName name="外部資料_769" localSheetId="12">PKA!#REF!</definedName>
    <definedName name="外部資料_769" localSheetId="13">PKB!#REF!</definedName>
    <definedName name="外部資料_769" localSheetId="0">基本設定!#REF!</definedName>
    <definedName name="外部資料_769" localSheetId="4">評比系統!#REF!</definedName>
    <definedName name="外部資料_7691" localSheetId="2">紅綠燈!#REF!</definedName>
    <definedName name="外部資料_7692" localSheetId="2">紅綠燈!#REF!</definedName>
    <definedName name="外部資料_7693" localSheetId="2">紅綠燈!#REF!</definedName>
    <definedName name="外部資料_7695" localSheetId="2">紅綠燈!#REF!</definedName>
    <definedName name="外部資料_7696" localSheetId="2">紅綠燈!#REF!</definedName>
    <definedName name="外部資料_7697" localSheetId="2">紅綠燈!#REF!</definedName>
    <definedName name="外部資料_7699" localSheetId="2">紅綠燈!#REF!</definedName>
    <definedName name="外部資料_77" localSheetId="12">PKA!#REF!</definedName>
    <definedName name="外部資料_77" localSheetId="13">PKB!#REF!</definedName>
    <definedName name="外部資料_77" localSheetId="14">PKC!#REF!</definedName>
    <definedName name="外部資料_77" localSheetId="7">公司債!#REF!</definedName>
    <definedName name="外部資料_77" localSheetId="0">基本設定!#REF!</definedName>
    <definedName name="外部資料_77" localSheetId="4">評比系統!#REF!</definedName>
    <definedName name="外部資料_770" localSheetId="12">PKA!#REF!</definedName>
    <definedName name="外部資料_770" localSheetId="13">PKB!#REF!</definedName>
    <definedName name="外部資料_770" localSheetId="0">基本設定!#REF!</definedName>
    <definedName name="外部資料_770" localSheetId="4">評比系統!#REF!</definedName>
    <definedName name="外部資料_7700" localSheetId="2">紅綠燈!#REF!</definedName>
    <definedName name="外部資料_7701" localSheetId="2">紅綠燈!#REF!</definedName>
    <definedName name="外部資料_7703" localSheetId="2">紅綠燈!#REF!</definedName>
    <definedName name="外部資料_7704" localSheetId="2">紅綠燈!#REF!</definedName>
    <definedName name="外部資料_7705" localSheetId="2">紅綠燈!#REF!</definedName>
    <definedName name="外部資料_7707" localSheetId="2">紅綠燈!#REF!</definedName>
    <definedName name="外部資料_7708" localSheetId="2">紅綠燈!#REF!</definedName>
    <definedName name="外部資料_7709" localSheetId="2">紅綠燈!#REF!</definedName>
    <definedName name="外部資料_771" localSheetId="12">PKA!#REF!</definedName>
    <definedName name="外部資料_771" localSheetId="13">PKB!#REF!</definedName>
    <definedName name="外部資料_771" localSheetId="0">基本設定!#REF!</definedName>
    <definedName name="外部資料_771" localSheetId="4">評比系統!#REF!</definedName>
    <definedName name="外部資料_7711" localSheetId="2">紅綠燈!#REF!</definedName>
    <definedName name="外部資料_7712" localSheetId="2">紅綠燈!#REF!</definedName>
    <definedName name="外部資料_7713" localSheetId="2">紅綠燈!#REF!</definedName>
    <definedName name="外部資料_7715" localSheetId="2">紅綠燈!#REF!</definedName>
    <definedName name="外部資料_7716" localSheetId="2">紅綠燈!#REF!</definedName>
    <definedName name="外部資料_7717" localSheetId="2">紅綠燈!#REF!</definedName>
    <definedName name="外部資料_7719" localSheetId="2">紅綠燈!#REF!</definedName>
    <definedName name="外部資料_772" localSheetId="12">PKA!#REF!</definedName>
    <definedName name="外部資料_772" localSheetId="13">PKB!#REF!</definedName>
    <definedName name="外部資料_772" localSheetId="0">基本設定!#REF!</definedName>
    <definedName name="外部資料_772" localSheetId="4">評比系統!#REF!</definedName>
    <definedName name="外部資料_7720" localSheetId="2">紅綠燈!#REF!</definedName>
    <definedName name="外部資料_7721" localSheetId="2">紅綠燈!#REF!</definedName>
    <definedName name="外部資料_7723" localSheetId="2">紅綠燈!#REF!</definedName>
    <definedName name="外部資料_7724" localSheetId="2">紅綠燈!#REF!</definedName>
    <definedName name="外部資料_7725" localSheetId="2">紅綠燈!#REF!</definedName>
    <definedName name="外部資料_7727" localSheetId="2">紅綠燈!#REF!</definedName>
    <definedName name="外部資料_7728" localSheetId="2">紅綠燈!#REF!</definedName>
    <definedName name="外部資料_7729" localSheetId="2">紅綠燈!#REF!</definedName>
    <definedName name="外部資料_773" localSheetId="12">PKA!#REF!</definedName>
    <definedName name="外部資料_773" localSheetId="13">PKB!#REF!</definedName>
    <definedName name="外部資料_773" localSheetId="0">基本設定!#REF!</definedName>
    <definedName name="外部資料_773" localSheetId="4">評比系統!#REF!</definedName>
    <definedName name="外部資料_7731" localSheetId="2">紅綠燈!#REF!</definedName>
    <definedName name="外部資料_7732" localSheetId="2">紅綠燈!#REF!</definedName>
    <definedName name="外部資料_7733" localSheetId="2">紅綠燈!#REF!</definedName>
    <definedName name="外部資料_7735" localSheetId="2">紅綠燈!#REF!</definedName>
    <definedName name="外部資料_7736" localSheetId="2">紅綠燈!#REF!</definedName>
    <definedName name="外部資料_7737" localSheetId="2">紅綠燈!#REF!</definedName>
    <definedName name="外部資料_7739" localSheetId="2">紅綠燈!#REF!</definedName>
    <definedName name="外部資料_774" localSheetId="12">PKA!#REF!</definedName>
    <definedName name="外部資料_774" localSheetId="13">PKB!#REF!</definedName>
    <definedName name="外部資料_774" localSheetId="0">基本設定!#REF!</definedName>
    <definedName name="外部資料_774" localSheetId="4">評比系統!#REF!</definedName>
    <definedName name="外部資料_7740" localSheetId="2">紅綠燈!#REF!</definedName>
    <definedName name="外部資料_7741" localSheetId="2">紅綠燈!#REF!</definedName>
    <definedName name="外部資料_7743" localSheetId="2">紅綠燈!#REF!</definedName>
    <definedName name="外部資料_7744" localSheetId="2">紅綠燈!#REF!</definedName>
    <definedName name="外部資料_7745" localSheetId="2">紅綠燈!#REF!</definedName>
    <definedName name="外部資料_7747" localSheetId="2">紅綠燈!#REF!</definedName>
    <definedName name="外部資料_7748" localSheetId="2">紅綠燈!#REF!</definedName>
    <definedName name="外部資料_7749" localSheetId="2">紅綠燈!#REF!</definedName>
    <definedName name="外部資料_775" localSheetId="12">PKA!#REF!</definedName>
    <definedName name="外部資料_775" localSheetId="13">PKB!#REF!</definedName>
    <definedName name="外部資料_775" localSheetId="0">基本設定!#REF!</definedName>
    <definedName name="外部資料_775" localSheetId="4">評比系統!#REF!</definedName>
    <definedName name="外部資料_7751" localSheetId="2">紅綠燈!#REF!</definedName>
    <definedName name="外部資料_7752" localSheetId="2">紅綠燈!#REF!</definedName>
    <definedName name="外部資料_7753" localSheetId="2">紅綠燈!#REF!</definedName>
    <definedName name="外部資料_7755" localSheetId="2">紅綠燈!#REF!</definedName>
    <definedName name="外部資料_7756" localSheetId="2">紅綠燈!#REF!</definedName>
    <definedName name="外部資料_7757" localSheetId="2">紅綠燈!#REF!</definedName>
    <definedName name="外部資料_7759" localSheetId="2">紅綠燈!#REF!</definedName>
    <definedName name="外部資料_776" localSheetId="12">PKA!#REF!</definedName>
    <definedName name="外部資料_776" localSheetId="13">PKB!#REF!</definedName>
    <definedName name="外部資料_776" localSheetId="0">基本設定!#REF!</definedName>
    <definedName name="外部資料_776" localSheetId="4">評比系統!#REF!</definedName>
    <definedName name="外部資料_7760" localSheetId="2">紅綠燈!#REF!</definedName>
    <definedName name="外部資料_7761" localSheetId="2">紅綠燈!#REF!</definedName>
    <definedName name="外部資料_7763" localSheetId="2">紅綠燈!#REF!</definedName>
    <definedName name="外部資料_7764" localSheetId="2">紅綠燈!#REF!</definedName>
    <definedName name="外部資料_7765" localSheetId="2">紅綠燈!#REF!</definedName>
    <definedName name="外部資料_7767" localSheetId="2">紅綠燈!#REF!</definedName>
    <definedName name="外部資料_7768" localSheetId="2">紅綠燈!#REF!</definedName>
    <definedName name="外部資料_7769" localSheetId="2">紅綠燈!#REF!</definedName>
    <definedName name="外部資料_777" localSheetId="12">PKA!#REF!</definedName>
    <definedName name="外部資料_777" localSheetId="13">PKB!#REF!</definedName>
    <definedName name="外部資料_777" localSheetId="0">基本設定!#REF!</definedName>
    <definedName name="外部資料_777" localSheetId="4">評比系統!#REF!</definedName>
    <definedName name="外部資料_7771" localSheetId="2">紅綠燈!#REF!</definedName>
    <definedName name="外部資料_7772" localSheetId="2">紅綠燈!#REF!</definedName>
    <definedName name="外部資料_7773" localSheetId="2">紅綠燈!#REF!</definedName>
    <definedName name="外部資料_7775" localSheetId="2">紅綠燈!#REF!</definedName>
    <definedName name="外部資料_7776" localSheetId="2">紅綠燈!#REF!</definedName>
    <definedName name="外部資料_7777" localSheetId="2">紅綠燈!#REF!</definedName>
    <definedName name="外部資料_7779" localSheetId="2">紅綠燈!#REF!</definedName>
    <definedName name="外部資料_778" localSheetId="12">PKA!#REF!</definedName>
    <definedName name="外部資料_778" localSheetId="13">PKB!#REF!</definedName>
    <definedName name="外部資料_778" localSheetId="0">基本設定!#REF!</definedName>
    <definedName name="外部資料_778" localSheetId="4">評比系統!#REF!</definedName>
    <definedName name="外部資料_7780" localSheetId="2">紅綠燈!#REF!</definedName>
    <definedName name="外部資料_7781" localSheetId="2">紅綠燈!#REF!</definedName>
    <definedName name="外部資料_7783" localSheetId="2">紅綠燈!#REF!</definedName>
    <definedName name="外部資料_7784" localSheetId="2">紅綠燈!#REF!</definedName>
    <definedName name="外部資料_7785" localSheetId="2">紅綠燈!#REF!</definedName>
    <definedName name="外部資料_7787" localSheetId="2">紅綠燈!#REF!</definedName>
    <definedName name="外部資料_7788" localSheetId="2">紅綠燈!#REF!</definedName>
    <definedName name="外部資料_7789" localSheetId="2">紅綠燈!#REF!</definedName>
    <definedName name="外部資料_779" localSheetId="12">PKA!#REF!</definedName>
    <definedName name="外部資料_779" localSheetId="13">PKB!#REF!</definedName>
    <definedName name="外部資料_779" localSheetId="0">基本設定!#REF!</definedName>
    <definedName name="外部資料_779" localSheetId="4">評比系統!#REF!</definedName>
    <definedName name="外部資料_7791" localSheetId="2">紅綠燈!#REF!</definedName>
    <definedName name="外部資料_7792" localSheetId="2">紅綠燈!#REF!</definedName>
    <definedName name="外部資料_7793" localSheetId="2">紅綠燈!#REF!</definedName>
    <definedName name="外部資料_7795" localSheetId="2">紅綠燈!#REF!</definedName>
    <definedName name="外部資料_7796" localSheetId="2">紅綠燈!#REF!</definedName>
    <definedName name="外部資料_7797" localSheetId="2">紅綠燈!#REF!</definedName>
    <definedName name="外部資料_7799" localSheetId="2">紅綠燈!#REF!</definedName>
    <definedName name="外部資料_78" localSheetId="12">PKA!#REF!</definedName>
    <definedName name="外部資料_78" localSheetId="13">PKB!#REF!</definedName>
    <definedName name="外部資料_78" localSheetId="14">PKC!#REF!</definedName>
    <definedName name="外部資料_78" localSheetId="7">公司債!#REF!</definedName>
    <definedName name="外部資料_78" localSheetId="0">基本設定!#REF!</definedName>
    <definedName name="外部資料_78" localSheetId="4">評比系統!#REF!</definedName>
    <definedName name="外部資料_780" localSheetId="12">PKA!#REF!</definedName>
    <definedName name="外部資料_780" localSheetId="13">PKB!#REF!</definedName>
    <definedName name="外部資料_780" localSheetId="0">基本設定!#REF!</definedName>
    <definedName name="外部資料_780" localSheetId="4">評比系統!#REF!</definedName>
    <definedName name="外部資料_7800" localSheetId="2">紅綠燈!#REF!</definedName>
    <definedName name="外部資料_7801" localSheetId="2">紅綠燈!#REF!</definedName>
    <definedName name="外部資料_7803" localSheetId="2">紅綠燈!#REF!</definedName>
    <definedName name="外部資料_7804" localSheetId="2">紅綠燈!#REF!</definedName>
    <definedName name="外部資料_7805" localSheetId="2">紅綠燈!#REF!</definedName>
    <definedName name="外部資料_7807" localSheetId="2">紅綠燈!#REF!</definedName>
    <definedName name="外部資料_7808" localSheetId="2">紅綠燈!#REF!</definedName>
    <definedName name="外部資料_7809" localSheetId="2">紅綠燈!#REF!</definedName>
    <definedName name="外部資料_781" localSheetId="12">PKA!#REF!</definedName>
    <definedName name="外部資料_781" localSheetId="13">PKB!#REF!</definedName>
    <definedName name="外部資料_781" localSheetId="0">基本設定!#REF!</definedName>
    <definedName name="外部資料_781" localSheetId="4">評比系統!#REF!</definedName>
    <definedName name="外部資料_7811" localSheetId="2">紅綠燈!#REF!</definedName>
    <definedName name="外部資料_7812" localSheetId="2">紅綠燈!#REF!</definedName>
    <definedName name="外部資料_7813" localSheetId="2">紅綠燈!#REF!</definedName>
    <definedName name="外部資料_7815" localSheetId="2">紅綠燈!#REF!</definedName>
    <definedName name="外部資料_7816" localSheetId="2">紅綠燈!#REF!</definedName>
    <definedName name="外部資料_7817" localSheetId="2">紅綠燈!#REF!</definedName>
    <definedName name="外部資料_7819" localSheetId="2">紅綠燈!#REF!</definedName>
    <definedName name="外部資料_782" localSheetId="12">PKA!#REF!</definedName>
    <definedName name="外部資料_782" localSheetId="13">PKB!#REF!</definedName>
    <definedName name="外部資料_782" localSheetId="0">基本設定!#REF!</definedName>
    <definedName name="外部資料_782" localSheetId="4">評比系統!#REF!</definedName>
    <definedName name="外部資料_7820" localSheetId="2">紅綠燈!#REF!</definedName>
    <definedName name="外部資料_7821" localSheetId="2">紅綠燈!#REF!</definedName>
    <definedName name="外部資料_7823" localSheetId="2">紅綠燈!#REF!</definedName>
    <definedName name="外部資料_7824" localSheetId="2">紅綠燈!#REF!</definedName>
    <definedName name="外部資料_7825" localSheetId="2">紅綠燈!#REF!</definedName>
    <definedName name="外部資料_7827" localSheetId="2">紅綠燈!#REF!</definedName>
    <definedName name="外部資料_7828" localSheetId="2">紅綠燈!#REF!</definedName>
    <definedName name="外部資料_7829" localSheetId="2">紅綠燈!#REF!</definedName>
    <definedName name="外部資料_783" localSheetId="12">PKA!#REF!</definedName>
    <definedName name="外部資料_783" localSheetId="13">PKB!#REF!</definedName>
    <definedName name="外部資料_783" localSheetId="0">基本設定!#REF!</definedName>
    <definedName name="外部資料_783" localSheetId="4">評比系統!#REF!</definedName>
    <definedName name="外部資料_7831" localSheetId="2">紅綠燈!#REF!</definedName>
    <definedName name="外部資料_7832" localSheetId="2">紅綠燈!#REF!</definedName>
    <definedName name="外部資料_7833" localSheetId="2">紅綠燈!#REF!</definedName>
    <definedName name="外部資料_7835" localSheetId="2">紅綠燈!#REF!</definedName>
    <definedName name="外部資料_7836" localSheetId="2">紅綠燈!#REF!</definedName>
    <definedName name="外部資料_7837" localSheetId="2">紅綠燈!#REF!</definedName>
    <definedName name="外部資料_7839" localSheetId="2">紅綠燈!#REF!</definedName>
    <definedName name="外部資料_784" localSheetId="12">PKA!#REF!</definedName>
    <definedName name="外部資料_784" localSheetId="13">PKB!#REF!</definedName>
    <definedName name="外部資料_784" localSheetId="0">基本設定!#REF!</definedName>
    <definedName name="外部資料_784" localSheetId="4">評比系統!#REF!</definedName>
    <definedName name="外部資料_7840" localSheetId="2">紅綠燈!#REF!</definedName>
    <definedName name="外部資料_7841" localSheetId="2">紅綠燈!#REF!</definedName>
    <definedName name="外部資料_7843" localSheetId="2">紅綠燈!#REF!</definedName>
    <definedName name="外部資料_7844" localSheetId="2">紅綠燈!#REF!</definedName>
    <definedName name="外部資料_7845" localSheetId="2">紅綠燈!#REF!</definedName>
    <definedName name="外部資料_7847" localSheetId="2">紅綠燈!#REF!</definedName>
    <definedName name="外部資料_7848" localSheetId="2">紅綠燈!#REF!</definedName>
    <definedName name="外部資料_7849" localSheetId="2">紅綠燈!#REF!</definedName>
    <definedName name="外部資料_785" localSheetId="12">PKA!#REF!</definedName>
    <definedName name="外部資料_785" localSheetId="13">PKB!#REF!</definedName>
    <definedName name="外部資料_785" localSheetId="0">基本設定!#REF!</definedName>
    <definedName name="外部資料_785" localSheetId="4">評比系統!#REF!</definedName>
    <definedName name="外部資料_7851" localSheetId="2">紅綠燈!#REF!</definedName>
    <definedName name="外部資料_7852" localSheetId="2">紅綠燈!#REF!</definedName>
    <definedName name="外部資料_7853" localSheetId="2">紅綠燈!#REF!</definedName>
    <definedName name="外部資料_7855" localSheetId="2">紅綠燈!#REF!</definedName>
    <definedName name="外部資料_7856" localSheetId="2">紅綠燈!#REF!</definedName>
    <definedName name="外部資料_7857" localSheetId="2">紅綠燈!#REF!</definedName>
    <definedName name="外部資料_7859" localSheetId="2">紅綠燈!#REF!</definedName>
    <definedName name="外部資料_786" localSheetId="12">PKA!#REF!</definedName>
    <definedName name="外部資料_786" localSheetId="13">PKB!#REF!</definedName>
    <definedName name="外部資料_786" localSheetId="0">基本設定!#REF!</definedName>
    <definedName name="外部資料_786" localSheetId="4">評比系統!#REF!</definedName>
    <definedName name="外部資料_7860" localSheetId="2">紅綠燈!#REF!</definedName>
    <definedName name="外部資料_7861" localSheetId="2">紅綠燈!#REF!</definedName>
    <definedName name="外部資料_7863" localSheetId="2">紅綠燈!#REF!</definedName>
    <definedName name="外部資料_7864" localSheetId="2">紅綠燈!#REF!</definedName>
    <definedName name="外部資料_7865" localSheetId="2">紅綠燈!#REF!</definedName>
    <definedName name="外部資料_7867" localSheetId="2">紅綠燈!#REF!</definedName>
    <definedName name="外部資料_7868" localSheetId="2">紅綠燈!#REF!</definedName>
    <definedName name="外部資料_7869" localSheetId="2">紅綠燈!#REF!</definedName>
    <definedName name="外部資料_787" localSheetId="12">PKA!#REF!</definedName>
    <definedName name="外部資料_787" localSheetId="13">PKB!#REF!</definedName>
    <definedName name="外部資料_787" localSheetId="0">基本設定!#REF!</definedName>
    <definedName name="外部資料_787" localSheetId="4">評比系統!#REF!</definedName>
    <definedName name="外部資料_7871" localSheetId="2">紅綠燈!#REF!</definedName>
    <definedName name="外部資料_7872" localSheetId="2">紅綠燈!#REF!</definedName>
    <definedName name="外部資料_7873" localSheetId="2">紅綠燈!#REF!</definedName>
    <definedName name="外部資料_7875" localSheetId="2">紅綠燈!#REF!</definedName>
    <definedName name="外部資料_7876" localSheetId="2">紅綠燈!#REF!</definedName>
    <definedName name="外部資料_7877" localSheetId="2">紅綠燈!#REF!</definedName>
    <definedName name="外部資料_7879" localSheetId="2">紅綠燈!#REF!</definedName>
    <definedName name="外部資料_788" localSheetId="12">PKA!#REF!</definedName>
    <definedName name="外部資料_788" localSheetId="13">PKB!#REF!</definedName>
    <definedName name="外部資料_788" localSheetId="0">基本設定!#REF!</definedName>
    <definedName name="外部資料_788" localSheetId="4">評比系統!#REF!</definedName>
    <definedName name="外部資料_7880" localSheetId="2">紅綠燈!#REF!</definedName>
    <definedName name="外部資料_7881" localSheetId="2">紅綠燈!#REF!</definedName>
    <definedName name="外部資料_7883" localSheetId="2">紅綠燈!#REF!</definedName>
    <definedName name="外部資料_7884" localSheetId="2">紅綠燈!#REF!</definedName>
    <definedName name="外部資料_7885" localSheetId="2">紅綠燈!#REF!</definedName>
    <definedName name="外部資料_7887" localSheetId="2">紅綠燈!#REF!</definedName>
    <definedName name="外部資料_7888" localSheetId="2">紅綠燈!#REF!</definedName>
    <definedName name="外部資料_7889" localSheetId="2">紅綠燈!#REF!</definedName>
    <definedName name="外部資料_789" localSheetId="12">PKA!#REF!</definedName>
    <definedName name="外部資料_789" localSheetId="13">PKB!#REF!</definedName>
    <definedName name="外部資料_789" localSheetId="0">基本設定!#REF!</definedName>
    <definedName name="外部資料_789" localSheetId="4">評比系統!#REF!</definedName>
    <definedName name="外部資料_7891" localSheetId="2">紅綠燈!#REF!</definedName>
    <definedName name="外部資料_7892" localSheetId="2">紅綠燈!#REF!</definedName>
    <definedName name="外部資料_7893" localSheetId="2">紅綠燈!#REF!</definedName>
    <definedName name="外部資料_7895" localSheetId="2">紅綠燈!#REF!</definedName>
    <definedName name="外部資料_7896" localSheetId="2">紅綠燈!#REF!</definedName>
    <definedName name="外部資料_7897" localSheetId="2">紅綠燈!#REF!</definedName>
    <definedName name="外部資料_7899" localSheetId="2">紅綠燈!#REF!</definedName>
    <definedName name="外部資料_79" localSheetId="12">PKA!#REF!</definedName>
    <definedName name="外部資料_79" localSheetId="13">PKB!#REF!</definedName>
    <definedName name="外部資料_79" localSheetId="14">PKC!#REF!</definedName>
    <definedName name="外部資料_79" localSheetId="7">公司債!#REF!</definedName>
    <definedName name="外部資料_79" localSheetId="0">基本設定!#REF!</definedName>
    <definedName name="外部資料_79" localSheetId="4">評比系統!#REF!</definedName>
    <definedName name="外部資料_790" localSheetId="12">PKA!#REF!</definedName>
    <definedName name="外部資料_790" localSheetId="13">PKB!#REF!</definedName>
    <definedName name="外部資料_790" localSheetId="0">基本設定!#REF!</definedName>
    <definedName name="外部資料_790" localSheetId="4">評比系統!#REF!</definedName>
    <definedName name="外部資料_7900" localSheetId="2">紅綠燈!#REF!</definedName>
    <definedName name="外部資料_7901" localSheetId="2">紅綠燈!#REF!</definedName>
    <definedName name="外部資料_7903" localSheetId="2">紅綠燈!#REF!</definedName>
    <definedName name="外部資料_7904" localSheetId="2">紅綠燈!#REF!</definedName>
    <definedName name="外部資料_7905" localSheetId="2">紅綠燈!#REF!</definedName>
    <definedName name="外部資料_7907" localSheetId="2">紅綠燈!#REF!</definedName>
    <definedName name="外部資料_7908" localSheetId="2">紅綠燈!#REF!</definedName>
    <definedName name="外部資料_7909" localSheetId="2">紅綠燈!#REF!</definedName>
    <definedName name="外部資料_791" localSheetId="12">PKA!#REF!</definedName>
    <definedName name="外部資料_791" localSheetId="13">PKB!#REF!</definedName>
    <definedName name="外部資料_791" localSheetId="0">基本設定!#REF!</definedName>
    <definedName name="外部資料_791" localSheetId="4">評比系統!#REF!</definedName>
    <definedName name="外部資料_7911" localSheetId="2">紅綠燈!#REF!</definedName>
    <definedName name="外部資料_7912" localSheetId="2">紅綠燈!#REF!</definedName>
    <definedName name="外部資料_7913" localSheetId="2">紅綠燈!#REF!</definedName>
    <definedName name="外部資料_7915" localSheetId="2">紅綠燈!#REF!</definedName>
    <definedName name="外部資料_7916" localSheetId="2">紅綠燈!#REF!</definedName>
    <definedName name="外部資料_7917" localSheetId="2">紅綠燈!#REF!</definedName>
    <definedName name="外部資料_7919" localSheetId="2">紅綠燈!#REF!</definedName>
    <definedName name="外部資料_792" localSheetId="12">PKA!#REF!</definedName>
    <definedName name="外部資料_792" localSheetId="13">PKB!#REF!</definedName>
    <definedName name="外部資料_792" localSheetId="0">基本設定!#REF!</definedName>
    <definedName name="外部資料_792" localSheetId="4">評比系統!#REF!</definedName>
    <definedName name="外部資料_7920" localSheetId="2">紅綠燈!#REF!</definedName>
    <definedName name="外部資料_7921" localSheetId="2">紅綠燈!#REF!</definedName>
    <definedName name="外部資料_7923" localSheetId="2">紅綠燈!#REF!</definedName>
    <definedName name="外部資料_7924" localSheetId="2">紅綠燈!#REF!</definedName>
    <definedName name="外部資料_7925" localSheetId="2">紅綠燈!#REF!</definedName>
    <definedName name="外部資料_7927" localSheetId="2">紅綠燈!#REF!</definedName>
    <definedName name="外部資料_7928" localSheetId="2">紅綠燈!#REF!</definedName>
    <definedName name="外部資料_7929" localSheetId="2">紅綠燈!#REF!</definedName>
    <definedName name="外部資料_793" localSheetId="12">PKA!#REF!</definedName>
    <definedName name="外部資料_793" localSheetId="13">PKB!#REF!</definedName>
    <definedName name="外部資料_793" localSheetId="0">基本設定!#REF!</definedName>
    <definedName name="外部資料_793" localSheetId="4">評比系統!#REF!</definedName>
    <definedName name="外部資料_7931" localSheetId="2">紅綠燈!#REF!</definedName>
    <definedName name="外部資料_7932" localSheetId="2">紅綠燈!#REF!</definedName>
    <definedName name="外部資料_7933" localSheetId="2">紅綠燈!#REF!</definedName>
    <definedName name="外部資料_7935" localSheetId="2">紅綠燈!#REF!</definedName>
    <definedName name="外部資料_7936" localSheetId="2">紅綠燈!#REF!</definedName>
    <definedName name="外部資料_7937" localSheetId="2">紅綠燈!#REF!</definedName>
    <definedName name="外部資料_7939" localSheetId="2">紅綠燈!#REF!</definedName>
    <definedName name="外部資料_794" localSheetId="12">PKA!#REF!</definedName>
    <definedName name="外部資料_794" localSheetId="13">PKB!#REF!</definedName>
    <definedName name="外部資料_794" localSheetId="0">基本設定!#REF!</definedName>
    <definedName name="外部資料_794" localSheetId="4">評比系統!#REF!</definedName>
    <definedName name="外部資料_7940" localSheetId="2">紅綠燈!#REF!</definedName>
    <definedName name="外部資料_7941" localSheetId="2">紅綠燈!#REF!</definedName>
    <definedName name="外部資料_7943" localSheetId="2">紅綠燈!#REF!</definedName>
    <definedName name="外部資料_7944" localSheetId="2">紅綠燈!#REF!</definedName>
    <definedName name="外部資料_7945" localSheetId="2">紅綠燈!#REF!</definedName>
    <definedName name="外部資料_7947" localSheetId="2">紅綠燈!#REF!</definedName>
    <definedName name="外部資料_7948" localSheetId="2">紅綠燈!#REF!</definedName>
    <definedName name="外部資料_7949" localSheetId="2">紅綠燈!#REF!</definedName>
    <definedName name="外部資料_795" localSheetId="12">PKA!#REF!</definedName>
    <definedName name="外部資料_795" localSheetId="13">PKB!#REF!</definedName>
    <definedName name="外部資料_795" localSheetId="0">基本設定!#REF!</definedName>
    <definedName name="外部資料_795" localSheetId="4">評比系統!#REF!</definedName>
    <definedName name="外部資料_7951" localSheetId="2">紅綠燈!#REF!</definedName>
    <definedName name="外部資料_7952" localSheetId="2">紅綠燈!#REF!</definedName>
    <definedName name="外部資料_7953" localSheetId="2">紅綠燈!#REF!</definedName>
    <definedName name="外部資料_7955" localSheetId="2">紅綠燈!#REF!</definedName>
    <definedName name="外部資料_7956" localSheetId="2">紅綠燈!#REF!</definedName>
    <definedName name="外部資料_7957" localSheetId="2">紅綠燈!#REF!</definedName>
    <definedName name="外部資料_7959" localSheetId="2">紅綠燈!#REF!</definedName>
    <definedName name="外部資料_796" localSheetId="12">PKA!#REF!</definedName>
    <definedName name="外部資料_796" localSheetId="13">PKB!#REF!</definedName>
    <definedName name="外部資料_796" localSheetId="0">基本設定!#REF!</definedName>
    <definedName name="外部資料_796" localSheetId="4">評比系統!#REF!</definedName>
    <definedName name="外部資料_7960" localSheetId="2">紅綠燈!#REF!</definedName>
    <definedName name="外部資料_7961" localSheetId="2">紅綠燈!#REF!</definedName>
    <definedName name="外部資料_7963" localSheetId="2">紅綠燈!#REF!</definedName>
    <definedName name="外部資料_7964" localSheetId="2">紅綠燈!#REF!</definedName>
    <definedName name="外部資料_7965" localSheetId="2">紅綠燈!#REF!</definedName>
    <definedName name="外部資料_7967" localSheetId="2">紅綠燈!#REF!</definedName>
    <definedName name="外部資料_7968" localSheetId="2">紅綠燈!#REF!</definedName>
    <definedName name="外部資料_7969" localSheetId="2">紅綠燈!#REF!</definedName>
    <definedName name="外部資料_797" localSheetId="12">PKA!#REF!</definedName>
    <definedName name="外部資料_797" localSheetId="13">PKB!#REF!</definedName>
    <definedName name="外部資料_797" localSheetId="0">基本設定!#REF!</definedName>
    <definedName name="外部資料_797" localSheetId="4">評比系統!#REF!</definedName>
    <definedName name="外部資料_7971" localSheetId="2">紅綠燈!#REF!</definedName>
    <definedName name="外部資料_7972" localSheetId="2">紅綠燈!#REF!</definedName>
    <definedName name="外部資料_7973" localSheetId="2">紅綠燈!#REF!</definedName>
    <definedName name="外部資料_7975" localSheetId="2">紅綠燈!#REF!</definedName>
    <definedName name="外部資料_7976" localSheetId="2">紅綠燈!#REF!</definedName>
    <definedName name="外部資料_7977" localSheetId="2">紅綠燈!#REF!</definedName>
    <definedName name="外部資料_7979" localSheetId="2">紅綠燈!#REF!</definedName>
    <definedName name="外部資料_798" localSheetId="12">PKA!#REF!</definedName>
    <definedName name="外部資料_798" localSheetId="13">PKB!#REF!</definedName>
    <definedName name="外部資料_798" localSheetId="0">基本設定!$Q$1:$Q$1</definedName>
    <definedName name="外部資料_798" localSheetId="4">評比系統!#REF!</definedName>
    <definedName name="外部資料_7980" localSheetId="2">紅綠燈!#REF!</definedName>
    <definedName name="外部資料_7981" localSheetId="2">紅綠燈!#REF!</definedName>
    <definedName name="外部資料_7983" localSheetId="2">紅綠燈!#REF!</definedName>
    <definedName name="外部資料_7984" localSheetId="2">紅綠燈!#REF!</definedName>
    <definedName name="外部資料_7985" localSheetId="2">紅綠燈!#REF!</definedName>
    <definedName name="外部資料_7987" localSheetId="2">紅綠燈!#REF!</definedName>
    <definedName name="外部資料_7988" localSheetId="2">紅綠燈!#REF!</definedName>
    <definedName name="外部資料_7989" localSheetId="2">紅綠燈!#REF!</definedName>
    <definedName name="外部資料_799" localSheetId="12">PKA!#REF!</definedName>
    <definedName name="外部資料_799" localSheetId="13">PKB!#REF!</definedName>
    <definedName name="外部資料_799" localSheetId="0">基本設定!#REF!</definedName>
    <definedName name="外部資料_799" localSheetId="4">評比系統!#REF!</definedName>
    <definedName name="外部資料_7991" localSheetId="2">紅綠燈!#REF!</definedName>
    <definedName name="外部資料_7992" localSheetId="2">紅綠燈!#REF!</definedName>
    <definedName name="外部資料_7993" localSheetId="2">紅綠燈!#REF!</definedName>
    <definedName name="外部資料_7995" localSheetId="2">紅綠燈!#REF!</definedName>
    <definedName name="外部資料_7996" localSheetId="2">紅綠燈!#REF!</definedName>
    <definedName name="外部資料_7997" localSheetId="2">紅綠燈!#REF!</definedName>
    <definedName name="外部資料_7999" localSheetId="2">紅綠燈!#REF!</definedName>
    <definedName name="外部資料_8" localSheetId="12">PKA!#REF!</definedName>
    <definedName name="外部資料_8" localSheetId="13">PKB!#REF!</definedName>
    <definedName name="外部資料_8" localSheetId="14">PKC!#REF!</definedName>
    <definedName name="外部資料_8" localSheetId="7">公司債!#REF!</definedName>
    <definedName name="外部資料_8" localSheetId="2">紅綠燈!#REF!</definedName>
    <definedName name="外部資料_8" localSheetId="0">基本設定!#REF!</definedName>
    <definedName name="外部資料_8" localSheetId="4">評比系統!#REF!</definedName>
    <definedName name="外部資料_8" localSheetId="5">搶先報!#REF!</definedName>
    <definedName name="外部資料_80" localSheetId="12">PKA!#REF!</definedName>
    <definedName name="外部資料_80" localSheetId="13">PKB!#REF!</definedName>
    <definedName name="外部資料_80" localSheetId="14">PKC!#REF!</definedName>
    <definedName name="外部資料_80" localSheetId="7">公司債!#REF!</definedName>
    <definedName name="外部資料_80" localSheetId="0">基本設定!#REF!</definedName>
    <definedName name="外部資料_80" localSheetId="4">評比系統!#REF!</definedName>
    <definedName name="外部資料_800" localSheetId="12">PKA!#REF!</definedName>
    <definedName name="外部資料_800" localSheetId="13">PKB!#REF!</definedName>
    <definedName name="外部資料_800" localSheetId="0">基本設定!#REF!</definedName>
    <definedName name="外部資料_800" localSheetId="4">評比系統!#REF!</definedName>
    <definedName name="外部資料_8000" localSheetId="2">紅綠燈!#REF!</definedName>
    <definedName name="外部資料_8001" localSheetId="2">紅綠燈!#REF!</definedName>
    <definedName name="外部資料_8003" localSheetId="2">紅綠燈!#REF!</definedName>
    <definedName name="外部資料_8004" localSheetId="2">紅綠燈!#REF!</definedName>
    <definedName name="外部資料_8005" localSheetId="2">紅綠燈!#REF!</definedName>
    <definedName name="外部資料_8007" localSheetId="2">紅綠燈!#REF!</definedName>
    <definedName name="外部資料_8008" localSheetId="2">紅綠燈!#REF!</definedName>
    <definedName name="外部資料_8009" localSheetId="2">紅綠燈!#REF!</definedName>
    <definedName name="外部資料_801" localSheetId="12">PKA!#REF!</definedName>
    <definedName name="外部資料_801" localSheetId="13">PKB!#REF!</definedName>
    <definedName name="外部資料_801" localSheetId="0">基本設定!$Q$1:$Q$1</definedName>
    <definedName name="外部資料_801" localSheetId="4">評比系統!#REF!</definedName>
    <definedName name="外部資料_8011" localSheetId="2">紅綠燈!#REF!</definedName>
    <definedName name="外部資料_8012" localSheetId="2">紅綠燈!#REF!</definedName>
    <definedName name="外部資料_8013" localSheetId="2">紅綠燈!#REF!</definedName>
    <definedName name="外部資料_8015" localSheetId="2">紅綠燈!#REF!</definedName>
    <definedName name="外部資料_8016" localSheetId="2">紅綠燈!#REF!</definedName>
    <definedName name="外部資料_8017" localSheetId="2">紅綠燈!#REF!</definedName>
    <definedName name="外部資料_8019" localSheetId="2">紅綠燈!#REF!</definedName>
    <definedName name="外部資料_802" localSheetId="12">PKA!#REF!</definedName>
    <definedName name="外部資料_802" localSheetId="13">PKB!#REF!</definedName>
    <definedName name="外部資料_802" localSheetId="0">基本設定!#REF!</definedName>
    <definedName name="外部資料_802" localSheetId="4">評比系統!#REF!</definedName>
    <definedName name="外部資料_8020" localSheetId="2">紅綠燈!#REF!</definedName>
    <definedName name="外部資料_8021" localSheetId="2">紅綠燈!#REF!</definedName>
    <definedName name="外部資料_8023" localSheetId="2">紅綠燈!#REF!</definedName>
    <definedName name="外部資料_8024" localSheetId="2">紅綠燈!#REF!</definedName>
    <definedName name="外部資料_8025" localSheetId="2">紅綠燈!#REF!</definedName>
    <definedName name="外部資料_8027" localSheetId="2">紅綠燈!#REF!</definedName>
    <definedName name="外部資料_8028" localSheetId="2">紅綠燈!#REF!</definedName>
    <definedName name="外部資料_8029" localSheetId="2">紅綠燈!#REF!</definedName>
    <definedName name="外部資料_803" localSheetId="12">PKA!#REF!</definedName>
    <definedName name="外部資料_803" localSheetId="13">PKB!#REF!</definedName>
    <definedName name="外部資料_803" localSheetId="0">基本設定!$Q$1:$Q$1</definedName>
    <definedName name="外部資料_803" localSheetId="4">評比系統!#REF!</definedName>
    <definedName name="外部資料_8031" localSheetId="2">紅綠燈!#REF!</definedName>
    <definedName name="外部資料_8032" localSheetId="2">紅綠燈!#REF!</definedName>
    <definedName name="外部資料_8033" localSheetId="2">紅綠燈!#REF!</definedName>
    <definedName name="外部資料_8035" localSheetId="2">紅綠燈!#REF!</definedName>
    <definedName name="外部資料_8036" localSheetId="2">紅綠燈!#REF!</definedName>
    <definedName name="外部資料_8037" localSheetId="2">紅綠燈!#REF!</definedName>
    <definedName name="外部資料_8039" localSheetId="2">紅綠燈!#REF!</definedName>
    <definedName name="外部資料_804" localSheetId="12">PKA!#REF!</definedName>
    <definedName name="外部資料_804" localSheetId="13">PKB!#REF!</definedName>
    <definedName name="外部資料_804" localSheetId="0">基本設定!#REF!</definedName>
    <definedName name="外部資料_804" localSheetId="4">評比系統!#REF!</definedName>
    <definedName name="外部資料_8040" localSheetId="2">紅綠燈!#REF!</definedName>
    <definedName name="外部資料_8041" localSheetId="2">紅綠燈!#REF!</definedName>
    <definedName name="外部資料_8043" localSheetId="2">紅綠燈!#REF!</definedName>
    <definedName name="外部資料_8044" localSheetId="2">紅綠燈!#REF!</definedName>
    <definedName name="外部資料_8045" localSheetId="2">紅綠燈!#REF!</definedName>
    <definedName name="外部資料_8047" localSheetId="2">紅綠燈!#REF!</definedName>
    <definedName name="外部資料_8048" localSheetId="2">紅綠燈!#REF!</definedName>
    <definedName name="外部資料_8049" localSheetId="2">紅綠燈!#REF!</definedName>
    <definedName name="外部資料_805" localSheetId="12">PKA!#REF!</definedName>
    <definedName name="外部資料_805" localSheetId="13">PKB!#REF!</definedName>
    <definedName name="外部資料_805" localSheetId="0">基本設定!#REF!</definedName>
    <definedName name="外部資料_805" localSheetId="4">評比系統!#REF!</definedName>
    <definedName name="外部資料_8051" localSheetId="2">紅綠燈!#REF!</definedName>
    <definedName name="外部資料_8052" localSheetId="2">紅綠燈!#REF!</definedName>
    <definedName name="外部資料_8053" localSheetId="2">紅綠燈!#REF!</definedName>
    <definedName name="外部資料_8055" localSheetId="2">紅綠燈!#REF!</definedName>
    <definedName name="外部資料_8056" localSheetId="2">紅綠燈!#REF!</definedName>
    <definedName name="外部資料_8057" localSheetId="2">紅綠燈!#REF!</definedName>
    <definedName name="外部資料_8059" localSheetId="2">紅綠燈!#REF!</definedName>
    <definedName name="外部資料_806" localSheetId="12">PKA!#REF!</definedName>
    <definedName name="外部資料_806" localSheetId="13">PKB!#REF!</definedName>
    <definedName name="外部資料_806" localSheetId="0">基本設定!$Q$1:$Q$1</definedName>
    <definedName name="外部資料_806" localSheetId="4">評比系統!#REF!</definedName>
    <definedName name="外部資料_8060" localSheetId="2">紅綠燈!#REF!</definedName>
    <definedName name="外部資料_8061" localSheetId="2">紅綠燈!#REF!</definedName>
    <definedName name="外部資料_8063" localSheetId="2">紅綠燈!#REF!</definedName>
    <definedName name="外部資料_8064" localSheetId="2">紅綠燈!#REF!</definedName>
    <definedName name="外部資料_8065" localSheetId="2">紅綠燈!#REF!</definedName>
    <definedName name="外部資料_8067" localSheetId="2">紅綠燈!#REF!</definedName>
    <definedName name="外部資料_8068" localSheetId="2">紅綠燈!#REF!</definedName>
    <definedName name="外部資料_8069" localSheetId="2">紅綠燈!#REF!</definedName>
    <definedName name="外部資料_807" localSheetId="12">PKA!#REF!</definedName>
    <definedName name="外部資料_807" localSheetId="13">PKB!#REF!</definedName>
    <definedName name="外部資料_807" localSheetId="0">基本設定!#REF!</definedName>
    <definedName name="外部資料_807" localSheetId="4">評比系統!#REF!</definedName>
    <definedName name="外部資料_8071" localSheetId="2">紅綠燈!#REF!</definedName>
    <definedName name="外部資料_8072" localSheetId="2">紅綠燈!#REF!</definedName>
    <definedName name="外部資料_8073" localSheetId="2">紅綠燈!#REF!</definedName>
    <definedName name="外部資料_8075" localSheetId="2">紅綠燈!#REF!</definedName>
    <definedName name="外部資料_8076" localSheetId="2">紅綠燈!#REF!</definedName>
    <definedName name="外部資料_8077" localSheetId="2">紅綠燈!#REF!</definedName>
    <definedName name="外部資料_8079" localSheetId="2">紅綠燈!#REF!</definedName>
    <definedName name="外部資料_808" localSheetId="12">PKA!#REF!</definedName>
    <definedName name="外部資料_808" localSheetId="13">PKB!#REF!</definedName>
    <definedName name="外部資料_808" localSheetId="0">基本設定!#REF!</definedName>
    <definedName name="外部資料_808" localSheetId="4">評比系統!#REF!</definedName>
    <definedName name="外部資料_8080" localSheetId="2">紅綠燈!#REF!</definedName>
    <definedName name="外部資料_8081" localSheetId="2">紅綠燈!#REF!</definedName>
    <definedName name="外部資料_8083" localSheetId="2">紅綠燈!#REF!</definedName>
    <definedName name="外部資料_8084" localSheetId="2">紅綠燈!#REF!</definedName>
    <definedName name="外部資料_8085" localSheetId="2">紅綠燈!#REF!</definedName>
    <definedName name="外部資料_8087" localSheetId="2">紅綠燈!#REF!</definedName>
    <definedName name="外部資料_8088" localSheetId="2">紅綠燈!#REF!</definedName>
    <definedName name="外部資料_8089" localSheetId="2">紅綠燈!#REF!</definedName>
    <definedName name="外部資料_809" localSheetId="12">PKA!#REF!</definedName>
    <definedName name="外部資料_809" localSheetId="13">PKB!#REF!</definedName>
    <definedName name="外部資料_809" localSheetId="0">基本設定!$Q$1:$Q$1</definedName>
    <definedName name="外部資料_809" localSheetId="4">評比系統!#REF!</definedName>
    <definedName name="外部資料_8091" localSheetId="2">紅綠燈!#REF!</definedName>
    <definedName name="外部資料_8092" localSheetId="2">紅綠燈!#REF!</definedName>
    <definedName name="外部資料_8093" localSheetId="2">紅綠燈!#REF!</definedName>
    <definedName name="外部資料_8095" localSheetId="2">紅綠燈!#REF!</definedName>
    <definedName name="外部資料_8096" localSheetId="2">紅綠燈!#REF!</definedName>
    <definedName name="外部資料_8097" localSheetId="2">紅綠燈!#REF!</definedName>
    <definedName name="外部資料_8099" localSheetId="2">紅綠燈!#REF!</definedName>
    <definedName name="外部資料_81" localSheetId="12">PKA!#REF!</definedName>
    <definedName name="外部資料_81" localSheetId="13">PKB!#REF!</definedName>
    <definedName name="外部資料_81" localSheetId="14">PKC!#REF!</definedName>
    <definedName name="外部資料_81" localSheetId="7">公司債!#REF!</definedName>
    <definedName name="外部資料_81" localSheetId="0">基本設定!#REF!</definedName>
    <definedName name="外部資料_81" localSheetId="4">評比系統!#REF!</definedName>
    <definedName name="外部資料_810" localSheetId="12">PKA!#REF!</definedName>
    <definedName name="外部資料_810" localSheetId="13">PKB!#REF!</definedName>
    <definedName name="外部資料_810" localSheetId="0">基本設定!#REF!</definedName>
    <definedName name="外部資料_810" localSheetId="4">評比系統!#REF!</definedName>
    <definedName name="外部資料_8100" localSheetId="2">紅綠燈!#REF!</definedName>
    <definedName name="外部資料_8101" localSheetId="2">紅綠燈!#REF!</definedName>
    <definedName name="外部資料_8103" localSheetId="2">紅綠燈!#REF!</definedName>
    <definedName name="外部資料_8104" localSheetId="2">紅綠燈!#REF!</definedName>
    <definedName name="外部資料_8105" localSheetId="2">紅綠燈!#REF!</definedName>
    <definedName name="外部資料_8107" localSheetId="2">紅綠燈!#REF!</definedName>
    <definedName name="外部資料_8108" localSheetId="2">紅綠燈!#REF!</definedName>
    <definedName name="外部資料_8109" localSheetId="2">紅綠燈!#REF!</definedName>
    <definedName name="外部資料_811" localSheetId="12">PKA!#REF!</definedName>
    <definedName name="外部資料_811" localSheetId="13">PKB!#REF!</definedName>
    <definedName name="外部資料_811" localSheetId="0">基本設定!#REF!</definedName>
    <definedName name="外部資料_811" localSheetId="4">評比系統!#REF!</definedName>
    <definedName name="外部資料_8111" localSheetId="2">紅綠燈!#REF!</definedName>
    <definedName name="外部資料_8112" localSheetId="2">紅綠燈!#REF!</definedName>
    <definedName name="外部資料_8113" localSheetId="2">紅綠燈!#REF!</definedName>
    <definedName name="外部資料_8115" localSheetId="2">紅綠燈!#REF!</definedName>
    <definedName name="外部資料_8116" localSheetId="2">紅綠燈!#REF!</definedName>
    <definedName name="外部資料_8117" localSheetId="2">紅綠燈!#REF!</definedName>
    <definedName name="外部資料_8119" localSheetId="2">紅綠燈!#REF!</definedName>
    <definedName name="外部資料_812" localSheetId="12">PKA!#REF!</definedName>
    <definedName name="外部資料_812" localSheetId="13">PKB!#REF!</definedName>
    <definedName name="外部資料_812" localSheetId="0">基本設定!$Q$1:$Q$1</definedName>
    <definedName name="外部資料_812" localSheetId="4">評比系統!#REF!</definedName>
    <definedName name="外部資料_8120" localSheetId="2">紅綠燈!#REF!</definedName>
    <definedName name="外部資料_8121" localSheetId="2">紅綠燈!#REF!</definedName>
    <definedName name="外部資料_8123" localSheetId="2">紅綠燈!#REF!</definedName>
    <definedName name="外部資料_8124" localSheetId="2">紅綠燈!#REF!</definedName>
    <definedName name="外部資料_8125" localSheetId="2">紅綠燈!#REF!</definedName>
    <definedName name="外部資料_8127" localSheetId="2">紅綠燈!#REF!</definedName>
    <definedName name="外部資料_8128" localSheetId="2">紅綠燈!#REF!</definedName>
    <definedName name="外部資料_813" localSheetId="12">PKA!#REF!</definedName>
    <definedName name="外部資料_813" localSheetId="13">PKB!#REF!</definedName>
    <definedName name="外部資料_813" localSheetId="0">基本設定!#REF!</definedName>
    <definedName name="外部資料_813" localSheetId="4">評比系統!#REF!</definedName>
    <definedName name="外部資料_8130" localSheetId="2">紅綠燈!#REF!</definedName>
    <definedName name="外部資料_8131" localSheetId="2">紅綠燈!#REF!</definedName>
    <definedName name="外部資料_8132" localSheetId="2">紅綠燈!#REF!</definedName>
    <definedName name="外部資料_8134" localSheetId="2">紅綠燈!#REF!</definedName>
    <definedName name="外部資料_8135" localSheetId="2">紅綠燈!#REF!</definedName>
    <definedName name="外部資料_8136" localSheetId="2">紅綠燈!#REF!</definedName>
    <definedName name="外部資料_8138" localSheetId="2">紅綠燈!#REF!</definedName>
    <definedName name="外部資料_8139" localSheetId="2">紅綠燈!#REF!</definedName>
    <definedName name="外部資料_814" localSheetId="12">PKA!#REF!</definedName>
    <definedName name="外部資料_814" localSheetId="13">PKB!#REF!</definedName>
    <definedName name="外部資料_814" localSheetId="0">基本設定!#REF!</definedName>
    <definedName name="外部資料_814" localSheetId="4">評比系統!#REF!</definedName>
    <definedName name="外部資料_8140" localSheetId="2">紅綠燈!#REF!</definedName>
    <definedName name="外部資料_8142" localSheetId="2">紅綠燈!#REF!</definedName>
    <definedName name="外部資料_8143" localSheetId="2">紅綠燈!#REF!</definedName>
    <definedName name="外部資料_8145" localSheetId="2">紅綠燈!#REF!</definedName>
    <definedName name="外部資料_8146" localSheetId="2">紅綠燈!#REF!</definedName>
    <definedName name="外部資料_8147" localSheetId="2">紅綠燈!#REF!</definedName>
    <definedName name="外部資料_8149" localSheetId="2">紅綠燈!#REF!</definedName>
    <definedName name="外部資料_815" localSheetId="12">PKA!#REF!</definedName>
    <definedName name="外部資料_815" localSheetId="13">PKB!#REF!</definedName>
    <definedName name="外部資料_815" localSheetId="0">基本設定!$Q$1:$Q$1</definedName>
    <definedName name="外部資料_815" localSheetId="4">評比系統!#REF!</definedName>
    <definedName name="外部資料_8150" localSheetId="2">紅綠燈!#REF!</definedName>
    <definedName name="外部資料_8151" localSheetId="2">紅綠燈!#REF!</definedName>
    <definedName name="外部資料_8153" localSheetId="2">紅綠燈!#REF!</definedName>
    <definedName name="外部資料_8154" localSheetId="2">紅綠燈!#REF!</definedName>
    <definedName name="外部資料_8155" localSheetId="2">紅綠燈!#REF!</definedName>
    <definedName name="外部資料_8157" localSheetId="2">紅綠燈!#REF!</definedName>
    <definedName name="外部資料_8158" localSheetId="2">紅綠燈!#REF!</definedName>
    <definedName name="外部資料_8159" localSheetId="2">紅綠燈!#REF!</definedName>
    <definedName name="外部資料_816" localSheetId="12">PKA!#REF!</definedName>
    <definedName name="外部資料_816" localSheetId="13">PKB!#REF!</definedName>
    <definedName name="外部資料_816" localSheetId="0">基本設定!#REF!</definedName>
    <definedName name="外部資料_816" localSheetId="4">評比系統!#REF!</definedName>
    <definedName name="外部資料_8161" localSheetId="2">紅綠燈!#REF!</definedName>
    <definedName name="外部資料_8162" localSheetId="2">紅綠燈!#REF!</definedName>
    <definedName name="外部資料_8163" localSheetId="2">紅綠燈!#REF!</definedName>
    <definedName name="外部資料_8165" localSheetId="2">紅綠燈!#REF!</definedName>
    <definedName name="外部資料_8166" localSheetId="2">紅綠燈!#REF!</definedName>
    <definedName name="外部資料_8167" localSheetId="2">紅綠燈!#REF!</definedName>
    <definedName name="外部資料_8169" localSheetId="2">紅綠燈!#REF!</definedName>
    <definedName name="外部資料_817" localSheetId="12">PKA!#REF!</definedName>
    <definedName name="外部資料_817" localSheetId="13">PKB!#REF!</definedName>
    <definedName name="外部資料_817" localSheetId="0">基本設定!#REF!</definedName>
    <definedName name="外部資料_817" localSheetId="4">評比系統!#REF!</definedName>
    <definedName name="外部資料_8170" localSheetId="2">紅綠燈!#REF!</definedName>
    <definedName name="外部資料_8171" localSheetId="2">紅綠燈!#REF!</definedName>
    <definedName name="外部資料_8173" localSheetId="2">紅綠燈!#REF!</definedName>
    <definedName name="外部資料_8174" localSheetId="2">紅綠燈!#REF!</definedName>
    <definedName name="外部資料_8175" localSheetId="2">紅綠燈!#REF!</definedName>
    <definedName name="外部資料_8177" localSheetId="2">紅綠燈!#REF!</definedName>
    <definedName name="外部資料_8178" localSheetId="2">紅綠燈!#REF!</definedName>
    <definedName name="外部資料_8179" localSheetId="2">紅綠燈!#REF!</definedName>
    <definedName name="外部資料_818" localSheetId="12">PKA!#REF!</definedName>
    <definedName name="外部資料_818" localSheetId="13">PKB!#REF!</definedName>
    <definedName name="外部資料_818" localSheetId="0">基本設定!$Q$1:$Q$1</definedName>
    <definedName name="外部資料_818" localSheetId="4">評比系統!#REF!</definedName>
    <definedName name="外部資料_8181" localSheetId="2">紅綠燈!#REF!</definedName>
    <definedName name="外部資料_8182" localSheetId="2">紅綠燈!#REF!</definedName>
    <definedName name="外部資料_8183" localSheetId="2">紅綠燈!#REF!</definedName>
    <definedName name="外部資料_8185" localSheetId="2">紅綠燈!#REF!</definedName>
    <definedName name="外部資料_8186" localSheetId="2">紅綠燈!#REF!</definedName>
    <definedName name="外部資料_8187" localSheetId="2">紅綠燈!#REF!</definedName>
    <definedName name="外部資料_819" localSheetId="12">PKA!#REF!</definedName>
    <definedName name="外部資料_819" localSheetId="13">PKB!#REF!</definedName>
    <definedName name="外部資料_819" localSheetId="0">基本設定!#REF!</definedName>
    <definedName name="外部資料_819" localSheetId="4">評比系統!#REF!</definedName>
    <definedName name="外部資料_82" localSheetId="12">PKA!#REF!</definedName>
    <definedName name="外部資料_82" localSheetId="13">PKB!#REF!</definedName>
    <definedName name="外部資料_82" localSheetId="14">PKC!#REF!</definedName>
    <definedName name="外部資料_82" localSheetId="7">公司債!#REF!</definedName>
    <definedName name="外部資料_82" localSheetId="0">基本設定!#REF!</definedName>
    <definedName name="外部資料_82" localSheetId="4">評比系統!#REF!</definedName>
    <definedName name="外部資料_820" localSheetId="13">PKB!#REF!</definedName>
    <definedName name="外部資料_820" localSheetId="0">基本設定!#REF!</definedName>
    <definedName name="外部資料_820" localSheetId="4">評比系統!#REF!</definedName>
    <definedName name="外部資料_821" localSheetId="13">PKB!#REF!</definedName>
    <definedName name="外部資料_821" localSheetId="0">基本設定!$Q$1:$Q$1</definedName>
    <definedName name="外部資料_821" localSheetId="4">評比系統!#REF!</definedName>
    <definedName name="外部資料_822" localSheetId="13">PKB!#REF!</definedName>
    <definedName name="外部資料_822" localSheetId="0">基本設定!#REF!</definedName>
    <definedName name="外部資料_822" localSheetId="4">評比系統!#REF!</definedName>
    <definedName name="外部資料_823" localSheetId="13">PKB!#REF!</definedName>
    <definedName name="外部資料_823" localSheetId="0">基本設定!#REF!</definedName>
    <definedName name="外部資料_823" localSheetId="4">評比系統!#REF!</definedName>
    <definedName name="外部資料_824" localSheetId="0">基本設定!$Q$1:$Q$1</definedName>
    <definedName name="外部資料_824" localSheetId="4">評比系統!#REF!</definedName>
    <definedName name="外部資料_825" localSheetId="0">基本設定!#REF!</definedName>
    <definedName name="外部資料_825" localSheetId="4">評比系統!#REF!</definedName>
    <definedName name="外部資料_826" localSheetId="0">基本設定!#REF!</definedName>
    <definedName name="外部資料_826" localSheetId="4">評比系統!#REF!</definedName>
    <definedName name="外部資料_827" localSheetId="0">基本設定!$Q$1:$Q$1</definedName>
    <definedName name="外部資料_827" localSheetId="4">評比系統!#REF!</definedName>
    <definedName name="外部資料_828" localSheetId="0">基本設定!#REF!</definedName>
    <definedName name="外部資料_828" localSheetId="4">評比系統!#REF!</definedName>
    <definedName name="外部資料_829" localSheetId="0">基本設定!#REF!</definedName>
    <definedName name="外部資料_829" localSheetId="4">評比系統!#REF!</definedName>
    <definedName name="外部資料_83" localSheetId="12">PKA!#REF!</definedName>
    <definedName name="外部資料_83" localSheetId="13">PKB!#REF!</definedName>
    <definedName name="外部資料_83" localSheetId="14">PKC!#REF!</definedName>
    <definedName name="外部資料_83" localSheetId="7">公司債!#REF!</definedName>
    <definedName name="外部資料_83" localSheetId="0">基本設定!#REF!</definedName>
    <definedName name="外部資料_83" localSheetId="4">評比系統!#REF!</definedName>
    <definedName name="外部資料_830" localSheetId="0">基本設定!$Q$1:$Q$1</definedName>
    <definedName name="外部資料_830" localSheetId="4">評比系統!#REF!</definedName>
    <definedName name="外部資料_831" localSheetId="0">基本設定!#REF!</definedName>
    <definedName name="外部資料_831" localSheetId="4">評比系統!#REF!</definedName>
    <definedName name="外部資料_832" localSheetId="0">基本設定!#REF!</definedName>
    <definedName name="外部資料_832" localSheetId="4">評比系統!#REF!</definedName>
    <definedName name="外部資料_833" localSheetId="0">基本設定!$Q$1:$Q$1</definedName>
    <definedName name="外部資料_833" localSheetId="4">評比系統!#REF!</definedName>
    <definedName name="外部資料_834" localSheetId="0">基本設定!#REF!</definedName>
    <definedName name="外部資料_834" localSheetId="4">評比系統!#REF!</definedName>
    <definedName name="外部資料_835" localSheetId="0">基本設定!#REF!</definedName>
    <definedName name="外部資料_835" localSheetId="4">評比系統!#REF!</definedName>
    <definedName name="外部資料_836" localSheetId="0">基本設定!$Q$1:$Q$1</definedName>
    <definedName name="外部資料_836" localSheetId="4">評比系統!#REF!</definedName>
    <definedName name="外部資料_837" localSheetId="0">基本設定!#REF!</definedName>
    <definedName name="外部資料_837" localSheetId="4">評比系統!#REF!</definedName>
    <definedName name="外部資料_838" localSheetId="0">基本設定!#REF!</definedName>
    <definedName name="外部資料_838" localSheetId="4">評比系統!#REF!</definedName>
    <definedName name="外部資料_839" localSheetId="0">基本設定!$Q$1:$Q$1</definedName>
    <definedName name="外部資料_839" localSheetId="4">評比系統!#REF!</definedName>
    <definedName name="外部資料_84" localSheetId="12">PKA!#REF!</definedName>
    <definedName name="外部資料_84" localSheetId="13">PKB!#REF!</definedName>
    <definedName name="外部資料_84" localSheetId="14">PKC!#REF!</definedName>
    <definedName name="外部資料_84" localSheetId="7">公司債!#REF!</definedName>
    <definedName name="外部資料_84" localSheetId="0">基本設定!#REF!</definedName>
    <definedName name="外部資料_84" localSheetId="4">評比系統!#REF!</definedName>
    <definedName name="外部資料_840" localSheetId="0">基本設定!#REF!</definedName>
    <definedName name="外部資料_840" localSheetId="4">評比系統!#REF!</definedName>
    <definedName name="外部資料_841" localSheetId="0">基本設定!#REF!</definedName>
    <definedName name="外部資料_841" localSheetId="4">評比系統!#REF!</definedName>
    <definedName name="外部資料_842" localSheetId="0">基本設定!$Q$1:$Q$1</definedName>
    <definedName name="外部資料_842" localSheetId="4">評比系統!#REF!</definedName>
    <definedName name="外部資料_843" localSheetId="0">基本設定!#REF!</definedName>
    <definedName name="外部資料_843" localSheetId="4">評比系統!#REF!</definedName>
    <definedName name="外部資料_844" localSheetId="0">基本設定!#REF!</definedName>
    <definedName name="外部資料_844" localSheetId="4">評比系統!#REF!</definedName>
    <definedName name="外部資料_845" localSheetId="0">基本設定!$Q$1:$Q$1</definedName>
    <definedName name="外部資料_845" localSheetId="4">評比系統!#REF!</definedName>
    <definedName name="外部資料_846" localSheetId="0">基本設定!#REF!</definedName>
    <definedName name="外部資料_846" localSheetId="4">評比系統!#REF!</definedName>
    <definedName name="外部資料_847" localSheetId="0">基本設定!#REF!</definedName>
    <definedName name="外部資料_847" localSheetId="4">評比系統!#REF!</definedName>
    <definedName name="外部資料_848" localSheetId="0">基本設定!$Q$1:$Q$1</definedName>
    <definedName name="外部資料_848" localSheetId="4">評比系統!#REF!</definedName>
    <definedName name="外部資料_849" localSheetId="0">基本設定!#REF!</definedName>
    <definedName name="外部資料_849" localSheetId="4">評比系統!#REF!</definedName>
    <definedName name="外部資料_85" localSheetId="12">PKA!#REF!</definedName>
    <definedName name="外部資料_85" localSheetId="13">PKB!#REF!</definedName>
    <definedName name="外部資料_85" localSheetId="14">PKC!#REF!</definedName>
    <definedName name="外部資料_85" localSheetId="7">公司債!#REF!</definedName>
    <definedName name="外部資料_85" localSheetId="0">基本設定!#REF!</definedName>
    <definedName name="外部資料_85" localSheetId="4">評比系統!#REF!</definedName>
    <definedName name="外部資料_850" localSheetId="0">基本設定!#REF!</definedName>
    <definedName name="外部資料_850" localSheetId="4">評比系統!#REF!</definedName>
    <definedName name="外部資料_851" localSheetId="0">基本設定!$Q$1:$Q$1</definedName>
    <definedName name="外部資料_851" localSheetId="4">評比系統!#REF!</definedName>
    <definedName name="外部資料_852" localSheetId="0">基本設定!#REF!</definedName>
    <definedName name="外部資料_852" localSheetId="4">評比系統!#REF!</definedName>
    <definedName name="外部資料_853" localSheetId="0">基本設定!#REF!</definedName>
    <definedName name="外部資料_853" localSheetId="4">評比系統!#REF!</definedName>
    <definedName name="外部資料_854" localSheetId="0">基本設定!$Q$1:$Q$1</definedName>
    <definedName name="外部資料_854" localSheetId="4">評比系統!#REF!</definedName>
    <definedName name="外部資料_855" localSheetId="0">基本設定!#REF!</definedName>
    <definedName name="外部資料_855" localSheetId="4">評比系統!#REF!</definedName>
    <definedName name="外部資料_856" localSheetId="0">基本設定!#REF!</definedName>
    <definedName name="外部資料_856" localSheetId="4">評比系統!#REF!</definedName>
    <definedName name="外部資料_857" localSheetId="0">基本設定!$Q$1:$Q$1</definedName>
    <definedName name="外部資料_857" localSheetId="4">評比系統!#REF!</definedName>
    <definedName name="外部資料_858" localSheetId="0">基本設定!#REF!</definedName>
    <definedName name="外部資料_858" localSheetId="4">評比系統!#REF!</definedName>
    <definedName name="外部資料_859" localSheetId="0">基本設定!#REF!</definedName>
    <definedName name="外部資料_859" localSheetId="4">評比系統!#REF!</definedName>
    <definedName name="外部資料_86" localSheetId="12">PKA!#REF!</definedName>
    <definedName name="外部資料_86" localSheetId="13">PKB!#REF!</definedName>
    <definedName name="外部資料_86" localSheetId="14">PKC!#REF!</definedName>
    <definedName name="外部資料_86" localSheetId="7">公司債!#REF!</definedName>
    <definedName name="外部資料_86" localSheetId="0">基本設定!#REF!</definedName>
    <definedName name="外部資料_86" localSheetId="4">評比系統!#REF!</definedName>
    <definedName name="外部資料_860" localSheetId="0">基本設定!$Q$1:$Q$1</definedName>
    <definedName name="外部資料_860" localSheetId="4">評比系統!#REF!</definedName>
    <definedName name="外部資料_861" localSheetId="0">基本設定!#REF!</definedName>
    <definedName name="外部資料_861" localSheetId="4">評比系統!#REF!</definedName>
    <definedName name="外部資料_862" localSheetId="0">基本設定!#REF!</definedName>
    <definedName name="外部資料_862" localSheetId="4">評比系統!#REF!</definedName>
    <definedName name="外部資料_863" localSheetId="0">基本設定!$Q$1:$Q$1</definedName>
    <definedName name="外部資料_863" localSheetId="4">評比系統!#REF!</definedName>
    <definedName name="外部資料_864" localSheetId="0">基本設定!#REF!</definedName>
    <definedName name="外部資料_864" localSheetId="4">評比系統!#REF!</definedName>
    <definedName name="外部資料_865" localSheetId="0">基本設定!#REF!</definedName>
    <definedName name="外部資料_865" localSheetId="4">評比系統!#REF!</definedName>
    <definedName name="外部資料_866" localSheetId="0">基本設定!$Q$1:$Q$1</definedName>
    <definedName name="外部資料_866" localSheetId="4">評比系統!#REF!</definedName>
    <definedName name="外部資料_867" localSheetId="0">基本設定!#REF!</definedName>
    <definedName name="外部資料_867" localSheetId="4">評比系統!#REF!</definedName>
    <definedName name="外部資料_868" localSheetId="0">基本設定!#REF!</definedName>
    <definedName name="外部資料_868" localSheetId="4">評比系統!#REF!</definedName>
    <definedName name="外部資料_869" localSheetId="0">基本設定!$Q$1:$Q$1</definedName>
    <definedName name="外部資料_869" localSheetId="4">評比系統!#REF!</definedName>
    <definedName name="外部資料_87" localSheetId="12">PKA!#REF!</definedName>
    <definedName name="外部資料_87" localSheetId="13">PKB!#REF!</definedName>
    <definedName name="外部資料_87" localSheetId="14">PKC!#REF!</definedName>
    <definedName name="外部資料_87" localSheetId="7">公司債!#REF!</definedName>
    <definedName name="外部資料_87" localSheetId="0">基本設定!#REF!</definedName>
    <definedName name="外部資料_87" localSheetId="4">評比系統!#REF!</definedName>
    <definedName name="外部資料_870" localSheetId="0">基本設定!#REF!</definedName>
    <definedName name="外部資料_870" localSheetId="4">評比系統!#REF!</definedName>
    <definedName name="外部資料_871" localSheetId="0">基本設定!#REF!</definedName>
    <definedName name="外部資料_871" localSheetId="4">評比系統!#REF!</definedName>
    <definedName name="外部資料_872" localSheetId="0">基本設定!$Q$1:$Q$1</definedName>
    <definedName name="外部資料_872" localSheetId="4">評比系統!#REF!</definedName>
    <definedName name="外部資料_873" localSheetId="0">基本設定!#REF!</definedName>
    <definedName name="外部資料_873" localSheetId="4">評比系統!#REF!</definedName>
    <definedName name="外部資料_874" localSheetId="0">基本設定!#REF!</definedName>
    <definedName name="外部資料_874" localSheetId="4">評比系統!#REF!</definedName>
    <definedName name="外部資料_875" localSheetId="0">基本設定!$Q$1:$Q$1</definedName>
    <definedName name="外部資料_875" localSheetId="4">評比系統!#REF!</definedName>
    <definedName name="外部資料_876" localSheetId="0">基本設定!#REF!</definedName>
    <definedName name="外部資料_876" localSheetId="4">評比系統!#REF!</definedName>
    <definedName name="外部資料_877" localSheetId="0">基本設定!#REF!</definedName>
    <definedName name="外部資料_877" localSheetId="4">評比系統!#REF!</definedName>
    <definedName name="外部資料_878" localSheetId="0">基本設定!$Q$1:$Q$1</definedName>
    <definedName name="外部資料_878" localSheetId="4">評比系統!#REF!</definedName>
    <definedName name="外部資料_879" localSheetId="0">基本設定!#REF!</definedName>
    <definedName name="外部資料_879" localSheetId="4">評比系統!#REF!</definedName>
    <definedName name="外部資料_88" localSheetId="12">PKA!#REF!</definedName>
    <definedName name="外部資料_88" localSheetId="13">PKB!#REF!</definedName>
    <definedName name="外部資料_88" localSheetId="14">PKC!#REF!</definedName>
    <definedName name="外部資料_88" localSheetId="7">公司債!#REF!</definedName>
    <definedName name="外部資料_88" localSheetId="0">基本設定!#REF!</definedName>
    <definedName name="外部資料_88" localSheetId="4">評比系統!#REF!</definedName>
    <definedName name="外部資料_880" localSheetId="0">基本設定!#REF!</definedName>
    <definedName name="外部資料_880" localSheetId="4">評比系統!#REF!</definedName>
    <definedName name="外部資料_881" localSheetId="0">基本設定!$Q$1:$Q$1</definedName>
    <definedName name="外部資料_881" localSheetId="4">評比系統!#REF!</definedName>
    <definedName name="外部資料_882" localSheetId="0">基本設定!#REF!</definedName>
    <definedName name="外部資料_882" localSheetId="4">評比系統!#REF!</definedName>
    <definedName name="外部資料_883" localSheetId="0">基本設定!#REF!</definedName>
    <definedName name="外部資料_883" localSheetId="4">評比系統!#REF!</definedName>
    <definedName name="外部資料_884" localSheetId="0">基本設定!$Q$1:$Q$1</definedName>
    <definedName name="外部資料_884" localSheetId="4">評比系統!#REF!</definedName>
    <definedName name="外部資料_885" localSheetId="0">基本設定!#REF!</definedName>
    <definedName name="外部資料_885" localSheetId="4">評比系統!#REF!</definedName>
    <definedName name="外部資料_886" localSheetId="0">基本設定!#REF!</definedName>
    <definedName name="外部資料_886" localSheetId="4">評比系統!#REF!</definedName>
    <definedName name="外部資料_887" localSheetId="0">基本設定!$Q$1:$Q$1</definedName>
    <definedName name="外部資料_887" localSheetId="4">評比系統!#REF!</definedName>
    <definedName name="外部資料_888" localSheetId="0">基本設定!#REF!</definedName>
    <definedName name="外部資料_888" localSheetId="4">評比系統!#REF!</definedName>
    <definedName name="外部資料_889" localSheetId="0">基本設定!#REF!</definedName>
    <definedName name="外部資料_889" localSheetId="4">評比系統!#REF!</definedName>
    <definedName name="外部資料_89" localSheetId="12">PKA!#REF!</definedName>
    <definedName name="外部資料_89" localSheetId="13">PKB!#REF!</definedName>
    <definedName name="外部資料_89" localSheetId="14">PKC!#REF!</definedName>
    <definedName name="外部資料_89" localSheetId="7">公司債!#REF!</definedName>
    <definedName name="外部資料_89" localSheetId="0">基本設定!#REF!</definedName>
    <definedName name="外部資料_89" localSheetId="4">評比系統!#REF!</definedName>
    <definedName name="外部資料_890" localSheetId="0">基本設定!$Q$1:$Q$1</definedName>
    <definedName name="外部資料_890" localSheetId="4">評比系統!#REF!</definedName>
    <definedName name="外部資料_891" localSheetId="0">基本設定!#REF!</definedName>
    <definedName name="外部資料_891" localSheetId="4">評比系統!#REF!</definedName>
    <definedName name="外部資料_892" localSheetId="0">基本設定!#REF!</definedName>
    <definedName name="外部資料_892" localSheetId="4">評比系統!#REF!</definedName>
    <definedName name="外部資料_893" localSheetId="0">基本設定!$Q$1:$Q$1</definedName>
    <definedName name="外部資料_893" localSheetId="4">評比系統!#REF!</definedName>
    <definedName name="外部資料_894" localSheetId="0">基本設定!#REF!</definedName>
    <definedName name="外部資料_894" localSheetId="4">評比系統!#REF!</definedName>
    <definedName name="外部資料_895" localSheetId="0">基本設定!#REF!</definedName>
    <definedName name="外部資料_895" localSheetId="4">評比系統!#REF!</definedName>
    <definedName name="外部資料_896" localSheetId="0">基本設定!$Q$1:$Q$1</definedName>
    <definedName name="外部資料_896" localSheetId="4">評比系統!#REF!</definedName>
    <definedName name="外部資料_897" localSheetId="0">基本設定!#REF!</definedName>
    <definedName name="外部資料_897" localSheetId="4">評比系統!#REF!</definedName>
    <definedName name="外部資料_898" localSheetId="0">基本設定!#REF!</definedName>
    <definedName name="外部資料_898" localSheetId="4">評比系統!#REF!</definedName>
    <definedName name="外部資料_899" localSheetId="0">基本設定!$Q$1:$Q$1</definedName>
    <definedName name="外部資料_899" localSheetId="4">評比系統!#REF!</definedName>
    <definedName name="外部資料_9" localSheetId="12">PKA!#REF!</definedName>
    <definedName name="外部資料_9" localSheetId="13">PKB!#REF!</definedName>
    <definedName name="外部資料_9" localSheetId="14">PKC!#REF!</definedName>
    <definedName name="外部資料_9" localSheetId="7">公司債!#REF!</definedName>
    <definedName name="外部資料_9" localSheetId="2">紅綠燈!#REF!</definedName>
    <definedName name="外部資料_9" localSheetId="0">基本設定!#REF!</definedName>
    <definedName name="外部資料_9" localSheetId="4">評比系統!#REF!</definedName>
    <definedName name="外部資料_9" localSheetId="5">搶先報!#REF!</definedName>
    <definedName name="外部資料_90" localSheetId="12">PKA!#REF!</definedName>
    <definedName name="外部資料_90" localSheetId="13">PKB!#REF!</definedName>
    <definedName name="外部資料_90" localSheetId="14">PKC!#REF!</definedName>
    <definedName name="外部資料_90" localSheetId="7">公司債!#REF!</definedName>
    <definedName name="外部資料_90" localSheetId="0">基本設定!#REF!</definedName>
    <definedName name="外部資料_90" localSheetId="4">評比系統!#REF!</definedName>
    <definedName name="外部資料_900" localSheetId="0">基本設定!#REF!</definedName>
    <definedName name="外部資料_900" localSheetId="4">評比系統!#REF!</definedName>
    <definedName name="外部資料_901" localSheetId="0">基本設定!#REF!</definedName>
    <definedName name="外部資料_901" localSheetId="4">評比系統!#REF!</definedName>
    <definedName name="外部資料_902" localSheetId="0">基本設定!$Q$1:$Q$1</definedName>
    <definedName name="外部資料_902" localSheetId="4">評比系統!#REF!</definedName>
    <definedName name="外部資料_903" localSheetId="0">基本設定!$Q$1:$U$17</definedName>
    <definedName name="外部資料_903" localSheetId="4">評比系統!#REF!</definedName>
    <definedName name="外部資料_904" localSheetId="0">基本設定!$Q$1:$Q$1</definedName>
    <definedName name="外部資料_904" localSheetId="4">評比系統!#REF!</definedName>
    <definedName name="外部資料_905" localSheetId="0">基本設定!#REF!</definedName>
    <definedName name="外部資料_905" localSheetId="4">評比系統!#REF!</definedName>
    <definedName name="外部資料_906" localSheetId="0">基本設定!#REF!</definedName>
    <definedName name="外部資料_906" localSheetId="4">評比系統!#REF!</definedName>
    <definedName name="外部資料_907" localSheetId="0">基本設定!$Q$1:$Q$1</definedName>
    <definedName name="外部資料_907" localSheetId="4">評比系統!#REF!</definedName>
    <definedName name="外部資料_908" localSheetId="0">基本設定!#REF!</definedName>
    <definedName name="外部資料_908" localSheetId="4">評比系統!#REF!</definedName>
    <definedName name="外部資料_909" localSheetId="0">基本設定!#REF!</definedName>
    <definedName name="外部資料_909" localSheetId="4">評比系統!#REF!</definedName>
    <definedName name="外部資料_91" localSheetId="12">PKA!#REF!</definedName>
    <definedName name="外部資料_91" localSheetId="13">PKB!#REF!</definedName>
    <definedName name="外部資料_91" localSheetId="14">PKC!#REF!</definedName>
    <definedName name="外部資料_91" localSheetId="7">公司債!#REF!</definedName>
    <definedName name="外部資料_91" localSheetId="0">基本設定!#REF!</definedName>
    <definedName name="外部資料_91" localSheetId="4">評比系統!#REF!</definedName>
    <definedName name="外部資料_910" localSheetId="0">基本設定!$Q$1:$Q$1</definedName>
    <definedName name="外部資料_910" localSheetId="4">評比系統!#REF!</definedName>
    <definedName name="外部資料_911" localSheetId="0">基本設定!#REF!</definedName>
    <definedName name="外部資料_911" localSheetId="4">評比系統!#REF!</definedName>
    <definedName name="外部資料_912" localSheetId="0">基本設定!#REF!</definedName>
    <definedName name="外部資料_912" localSheetId="4">評比系統!#REF!</definedName>
    <definedName name="外部資料_913" localSheetId="0">基本設定!$Q$1:$Q$1</definedName>
    <definedName name="外部資料_913" localSheetId="4">評比系統!#REF!</definedName>
    <definedName name="外部資料_914" localSheetId="0">基本設定!#REF!</definedName>
    <definedName name="外部資料_914" localSheetId="4">評比系統!#REF!</definedName>
    <definedName name="外部資料_915" localSheetId="0">基本設定!#REF!</definedName>
    <definedName name="外部資料_915" localSheetId="4">評比系統!#REF!</definedName>
    <definedName name="外部資料_916" localSheetId="0">基本設定!$Q$1:$Q$1</definedName>
    <definedName name="外部資料_916" localSheetId="4">評比系統!#REF!</definedName>
    <definedName name="外部資料_917" localSheetId="0">基本設定!#REF!</definedName>
    <definedName name="外部資料_917" localSheetId="4">評比系統!#REF!</definedName>
    <definedName name="外部資料_918" localSheetId="0">基本設定!#REF!</definedName>
    <definedName name="外部資料_918" localSheetId="4">評比系統!#REF!</definedName>
    <definedName name="外部資料_919" localSheetId="0">基本設定!$Q$1:$Q$1</definedName>
    <definedName name="外部資料_919" localSheetId="4">評比系統!#REF!</definedName>
    <definedName name="外部資料_92" localSheetId="12">PKA!#REF!</definedName>
    <definedName name="外部資料_92" localSheetId="13">PKB!#REF!</definedName>
    <definedName name="外部資料_92" localSheetId="14">PKC!#REF!</definedName>
    <definedName name="外部資料_92" localSheetId="7">公司債!#REF!</definedName>
    <definedName name="外部資料_92" localSheetId="0">基本設定!#REF!</definedName>
    <definedName name="外部資料_92" localSheetId="4">評比系統!#REF!</definedName>
    <definedName name="外部資料_920" localSheetId="0">基本設定!$V$1:$Z$18</definedName>
    <definedName name="外部資料_920" localSheetId="4">評比系統!#REF!</definedName>
    <definedName name="外部資料_921" localSheetId="0">基本設定!$Q$1:$Q$1</definedName>
    <definedName name="外部資料_921" localSheetId="4">評比系統!#REF!</definedName>
    <definedName name="外部資料_922" localSheetId="0">基本設定!#REF!</definedName>
    <definedName name="外部資料_922" localSheetId="4">評比系統!#REF!</definedName>
    <definedName name="外部資料_923" localSheetId="0">基本設定!#REF!</definedName>
    <definedName name="外部資料_923" localSheetId="4">評比系統!#REF!</definedName>
    <definedName name="外部資料_924" localSheetId="0">基本設定!$Q$1:$Q$1</definedName>
    <definedName name="外部資料_924" localSheetId="4">評比系統!#REF!</definedName>
    <definedName name="外部資料_925" localSheetId="0">基本設定!#REF!</definedName>
    <definedName name="外部資料_925" localSheetId="4">評比系統!#REF!</definedName>
    <definedName name="外部資料_926" localSheetId="0">基本設定!#REF!</definedName>
    <definedName name="外部資料_926" localSheetId="4">評比系統!#REF!</definedName>
    <definedName name="外部資料_927" localSheetId="0">基本設定!$Q$1:$Q$1</definedName>
    <definedName name="外部資料_927" localSheetId="4">評比系統!#REF!</definedName>
    <definedName name="外部資料_928" localSheetId="0">基本設定!#REF!</definedName>
    <definedName name="外部資料_928" localSheetId="4">評比系統!#REF!</definedName>
    <definedName name="外部資料_929" localSheetId="0">基本設定!#REF!</definedName>
    <definedName name="外部資料_929" localSheetId="4">評比系統!#REF!</definedName>
    <definedName name="外部資料_93" localSheetId="12">PKA!#REF!</definedName>
    <definedName name="外部資料_93" localSheetId="13">PKB!#REF!</definedName>
    <definedName name="外部資料_93" localSheetId="14">PKC!#REF!</definedName>
    <definedName name="外部資料_93" localSheetId="7">公司債!#REF!</definedName>
    <definedName name="外部資料_93" localSheetId="0">基本設定!#REF!</definedName>
    <definedName name="外部資料_93" localSheetId="4">評比系統!#REF!</definedName>
    <definedName name="外部資料_930" localSheetId="0">基本設定!$Q$1:$Q$1</definedName>
    <definedName name="外部資料_930" localSheetId="4">評比系統!#REF!</definedName>
    <definedName name="外部資料_931" localSheetId="0">基本設定!$Q$1:$Q$1</definedName>
    <definedName name="外部資料_931" localSheetId="4">評比系統!#REF!</definedName>
    <definedName name="外部資料_932" localSheetId="0">基本設定!$Q$1:$Q$1</definedName>
    <definedName name="外部資料_932" localSheetId="4">評比系統!#REF!</definedName>
    <definedName name="外部資料_933" localSheetId="0">基本設定!$Q$1:$Q$1</definedName>
    <definedName name="外部資料_933" localSheetId="4">評比系統!#REF!</definedName>
    <definedName name="外部資料_934" localSheetId="0">基本設定!$Q$1:$Q$1</definedName>
    <definedName name="外部資料_934" localSheetId="4">評比系統!#REF!</definedName>
    <definedName name="外部資料_935" localSheetId="0">基本設定!$Q$1:$Q$1</definedName>
    <definedName name="外部資料_935" localSheetId="4">評比系統!#REF!</definedName>
    <definedName name="外部資料_936" localSheetId="0">基本設定!$Q$1:$Q$1</definedName>
    <definedName name="外部資料_936" localSheetId="4">評比系統!#REF!</definedName>
    <definedName name="外部資料_937" localSheetId="0">基本設定!$Q$1:$Q$1</definedName>
    <definedName name="外部資料_937" localSheetId="4">評比系統!#REF!</definedName>
    <definedName name="外部資料_938" localSheetId="0">基本設定!$Q$1:$Q$1</definedName>
    <definedName name="外部資料_938" localSheetId="4">評比系統!#REF!</definedName>
    <definedName name="外部資料_939" localSheetId="0">基本設定!$Q$1:$Q$1</definedName>
    <definedName name="外部資料_939" localSheetId="4">評比系統!#REF!</definedName>
    <definedName name="外部資料_94" localSheetId="12">PKA!#REF!</definedName>
    <definedName name="外部資料_94" localSheetId="13">PKB!#REF!</definedName>
    <definedName name="外部資料_94" localSheetId="14">PKC!#REF!</definedName>
    <definedName name="外部資料_94" localSheetId="7">公司債!#REF!</definedName>
    <definedName name="外部資料_94" localSheetId="0">基本設定!#REF!</definedName>
    <definedName name="外部資料_94" localSheetId="4">評比系統!#REF!</definedName>
    <definedName name="外部資料_940" localSheetId="0">基本設定!$Q$1:$Q$1</definedName>
    <definedName name="外部資料_940" localSheetId="4">評比系統!#REF!</definedName>
    <definedName name="外部資料_941" localSheetId="0">基本設定!$Q$1:$Q$1</definedName>
    <definedName name="外部資料_941" localSheetId="4">評比系統!#REF!</definedName>
    <definedName name="外部資料_942" localSheetId="0">基本設定!$Q$1:$Q$1</definedName>
    <definedName name="外部資料_942" localSheetId="4">評比系統!#REF!</definedName>
    <definedName name="外部資料_943" localSheetId="0">基本設定!$Q$1:$Q$1</definedName>
    <definedName name="外部資料_943" localSheetId="4">評比系統!#REF!</definedName>
    <definedName name="外部資料_944" localSheetId="0">基本設定!$Q$1:$Q$1</definedName>
    <definedName name="外部資料_944" localSheetId="4">評比系統!#REF!</definedName>
    <definedName name="外部資料_945" localSheetId="0">基本設定!$Q$1:$Q$1</definedName>
    <definedName name="外部資料_945" localSheetId="4">評比系統!#REF!</definedName>
    <definedName name="外部資料_946" localSheetId="0">基本設定!$Q$1:$Q$1</definedName>
    <definedName name="外部資料_946" localSheetId="4">評比系統!#REF!</definedName>
    <definedName name="外部資料_947" localSheetId="0">基本設定!$Q$1:$Q$1</definedName>
    <definedName name="外部資料_947" localSheetId="4">評比系統!#REF!</definedName>
    <definedName name="外部資料_948" localSheetId="0">基本設定!$Q$1:$Q$1</definedName>
    <definedName name="外部資料_948" localSheetId="4">評比系統!#REF!</definedName>
    <definedName name="外部資料_949" localSheetId="0">基本設定!$Q$1:$Q$1</definedName>
    <definedName name="外部資料_949" localSheetId="4">評比系統!#REF!</definedName>
    <definedName name="外部資料_95" localSheetId="12">PKA!#REF!</definedName>
    <definedName name="外部資料_95" localSheetId="13">PKB!#REF!</definedName>
    <definedName name="外部資料_95" localSheetId="14">PKC!#REF!</definedName>
    <definedName name="外部資料_95" localSheetId="7">公司債!#REF!</definedName>
    <definedName name="外部資料_95" localSheetId="0">基本設定!#REF!</definedName>
    <definedName name="外部資料_95" localSheetId="4">評比系統!#REF!</definedName>
    <definedName name="外部資料_950" localSheetId="0">基本設定!$Q$1:$Q$1</definedName>
    <definedName name="外部資料_950" localSheetId="4">評比系統!#REF!</definedName>
    <definedName name="外部資料_951" localSheetId="0">基本設定!$Q$1:$Q$1</definedName>
    <definedName name="外部資料_951" localSheetId="4">評比系統!#REF!</definedName>
    <definedName name="外部資料_952" localSheetId="0">基本設定!$Q$1:$Q$1</definedName>
    <definedName name="外部資料_952" localSheetId="4">評比系統!#REF!</definedName>
    <definedName name="外部資料_953" localSheetId="0">基本設定!$Q$1:$Q$1</definedName>
    <definedName name="外部資料_953" localSheetId="4">評比系統!#REF!</definedName>
    <definedName name="外部資料_954" localSheetId="0">基本設定!$Q$1:$Q$1</definedName>
    <definedName name="外部資料_954" localSheetId="4">評比系統!#REF!</definedName>
    <definedName name="外部資料_955" localSheetId="0">基本設定!$Q$1:$Q$1</definedName>
    <definedName name="外部資料_955" localSheetId="4">評比系統!#REF!</definedName>
    <definedName name="外部資料_956" localSheetId="0">基本設定!$Q$1:$Q$1</definedName>
    <definedName name="外部資料_956" localSheetId="4">評比系統!#REF!</definedName>
    <definedName name="外部資料_957" localSheetId="0">基本設定!$Q$1:$Q$1</definedName>
    <definedName name="外部資料_957" localSheetId="4">評比系統!#REF!</definedName>
    <definedName name="外部資料_958" localSheetId="0">基本設定!$Q$1:$Q$1</definedName>
    <definedName name="外部資料_958" localSheetId="4">評比系統!#REF!</definedName>
    <definedName name="外部資料_959" localSheetId="0">基本設定!$Q$1:$Q$1</definedName>
    <definedName name="外部資料_959" localSheetId="4">評比系統!#REF!</definedName>
    <definedName name="外部資料_96" localSheetId="12">PKA!#REF!</definedName>
    <definedName name="外部資料_96" localSheetId="13">PKB!#REF!</definedName>
    <definedName name="外部資料_96" localSheetId="14">PKC!#REF!</definedName>
    <definedName name="外部資料_96" localSheetId="7">公司債!#REF!</definedName>
    <definedName name="外部資料_96" localSheetId="0">基本設定!#REF!</definedName>
    <definedName name="外部資料_96" localSheetId="4">評比系統!#REF!</definedName>
    <definedName name="外部資料_960" localSheetId="0">基本設定!$Q$1:$Q$1</definedName>
    <definedName name="外部資料_960" localSheetId="4">評比系統!#REF!</definedName>
    <definedName name="外部資料_961" localSheetId="0">基本設定!$Q$1:$Q$1</definedName>
    <definedName name="外部資料_961" localSheetId="4">評比系統!#REF!</definedName>
    <definedName name="外部資料_962" localSheetId="0">基本設定!$Q$1:$Q$1</definedName>
    <definedName name="外部資料_962" localSheetId="4">評比系統!#REF!</definedName>
    <definedName name="外部資料_963" localSheetId="0">基本設定!$Q$1:$Q$1</definedName>
    <definedName name="外部資料_963" localSheetId="4">評比系統!#REF!</definedName>
    <definedName name="外部資料_964" localSheetId="0">基本設定!$Q$1:$Q$1</definedName>
    <definedName name="外部資料_964" localSheetId="4">評比系統!#REF!</definedName>
    <definedName name="外部資料_965" localSheetId="0">基本設定!$Q$1:$Q$1</definedName>
    <definedName name="外部資料_965" localSheetId="4">評比系統!#REF!</definedName>
    <definedName name="外部資料_966" localSheetId="0">基本設定!$Q$1:$Q$1</definedName>
    <definedName name="外部資料_966" localSheetId="4">評比系統!#REF!</definedName>
    <definedName name="外部資料_967" localSheetId="0">基本設定!$Q$1:$Q$1</definedName>
    <definedName name="外部資料_967" localSheetId="4">評比系統!#REF!</definedName>
    <definedName name="外部資料_968" localSheetId="0">基本設定!$Q$1:$Q$1</definedName>
    <definedName name="外部資料_968" localSheetId="4">評比系統!#REF!</definedName>
    <definedName name="外部資料_969" localSheetId="0">基本設定!$Q$1:$Q$1</definedName>
    <definedName name="外部資料_969" localSheetId="4">評比系統!#REF!</definedName>
    <definedName name="外部資料_97" localSheetId="12">PKA!#REF!</definedName>
    <definedName name="外部資料_97" localSheetId="13">PKB!#REF!</definedName>
    <definedName name="外部資料_97" localSheetId="14">PKC!#REF!</definedName>
    <definedName name="外部資料_97" localSheetId="7">公司債!#REF!</definedName>
    <definedName name="外部資料_97" localSheetId="0">基本設定!#REF!</definedName>
    <definedName name="外部資料_97" localSheetId="4">評比系統!#REF!</definedName>
    <definedName name="外部資料_970" localSheetId="0">基本設定!$Q$1:$Q$1</definedName>
    <definedName name="外部資料_970" localSheetId="4">評比系統!#REF!</definedName>
    <definedName name="外部資料_971" localSheetId="0">基本設定!$Q$1:$Q$1</definedName>
    <definedName name="外部資料_971" localSheetId="4">評比系統!#REF!</definedName>
    <definedName name="外部資料_972" localSheetId="0">基本設定!$Q$1:$Q$1</definedName>
    <definedName name="外部資料_972" localSheetId="4">評比系統!#REF!</definedName>
    <definedName name="外部資料_973" localSheetId="0">基本設定!$Q$1:$Q$1</definedName>
    <definedName name="外部資料_973" localSheetId="4">評比系統!#REF!</definedName>
    <definedName name="外部資料_974" localSheetId="0">基本設定!$Q$1:$Q$1</definedName>
    <definedName name="外部資料_974" localSheetId="4">評比系統!#REF!</definedName>
    <definedName name="外部資料_975" localSheetId="0">基本設定!$Q$1:$Q$1</definedName>
    <definedName name="外部資料_975" localSheetId="4">評比系統!#REF!</definedName>
    <definedName name="外部資料_976" localSheetId="0">基本設定!$Q$1:$Q$1</definedName>
    <definedName name="外部資料_976" localSheetId="4">評比系統!#REF!</definedName>
    <definedName name="外部資料_977" localSheetId="0">基本設定!$Q$1:$Q$1</definedName>
    <definedName name="外部資料_977" localSheetId="4">評比系統!#REF!</definedName>
    <definedName name="外部資料_978" localSheetId="0">基本設定!$Q$1:$Q$1</definedName>
    <definedName name="外部資料_978" localSheetId="4">評比系統!#REF!</definedName>
    <definedName name="外部資料_979" localSheetId="0">基本設定!$Q$1:$Q$1</definedName>
    <definedName name="外部資料_979" localSheetId="4">評比系統!#REF!</definedName>
    <definedName name="外部資料_98" localSheetId="12">PKA!#REF!</definedName>
    <definedName name="外部資料_98" localSheetId="13">PKB!#REF!</definedName>
    <definedName name="外部資料_98" localSheetId="14">PKC!#REF!</definedName>
    <definedName name="外部資料_98" localSheetId="7">公司債!#REF!</definedName>
    <definedName name="外部資料_98" localSheetId="0">基本設定!#REF!</definedName>
    <definedName name="外部資料_98" localSheetId="4">評比系統!#REF!</definedName>
    <definedName name="外部資料_980" localSheetId="0">基本設定!$Q$1:$Q$1</definedName>
    <definedName name="外部資料_980" localSheetId="4">評比系統!#REF!</definedName>
    <definedName name="外部資料_981" localSheetId="0">基本設定!$Q$1:$Q$1</definedName>
    <definedName name="外部資料_981" localSheetId="4">評比系統!#REF!</definedName>
    <definedName name="外部資料_982" localSheetId="0">基本設定!$Q$1:$Q$1</definedName>
    <definedName name="外部資料_982" localSheetId="4">評比系統!#REF!</definedName>
    <definedName name="外部資料_983" localSheetId="0">基本設定!$Q$1:$Q$1</definedName>
    <definedName name="外部資料_983" localSheetId="4">評比系統!#REF!</definedName>
    <definedName name="外部資料_984" localSheetId="0">基本設定!$Q$1:$Q$1</definedName>
    <definedName name="外部資料_984" localSheetId="4">評比系統!#REF!</definedName>
    <definedName name="外部資料_985" localSheetId="0">基本設定!$Q$1:$Q$1</definedName>
    <definedName name="外部資料_985" localSheetId="4">評比系統!#REF!</definedName>
    <definedName name="外部資料_986" localSheetId="0">基本設定!$Q$1:$Q$1</definedName>
    <definedName name="外部資料_986" localSheetId="4">評比系統!#REF!</definedName>
    <definedName name="外部資料_987" localSheetId="0">基本設定!$Q$1:$Q$1</definedName>
    <definedName name="外部資料_987" localSheetId="4">評比系統!#REF!</definedName>
    <definedName name="外部資料_988" localSheetId="0">基本設定!$Q$1:$Q$1</definedName>
    <definedName name="外部資料_988" localSheetId="4">評比系統!#REF!</definedName>
    <definedName name="外部資料_989" localSheetId="0">基本設定!$Q$1:$Q$1</definedName>
    <definedName name="外部資料_989" localSheetId="4">評比系統!#REF!</definedName>
    <definedName name="外部資料_99" localSheetId="12">PKA!#REF!</definedName>
    <definedName name="外部資料_99" localSheetId="13">PKB!#REF!</definedName>
    <definedName name="外部資料_99" localSheetId="14">PKC!#REF!</definedName>
    <definedName name="外部資料_99" localSheetId="7">公司債!#REF!</definedName>
    <definedName name="外部資料_99" localSheetId="0">基本設定!#REF!</definedName>
    <definedName name="外部資料_99" localSheetId="4">評比系統!#REF!</definedName>
    <definedName name="外部資料_990" localSheetId="0">基本設定!$Q$1:$Q$1</definedName>
    <definedName name="外部資料_990" localSheetId="4">評比系統!#REF!</definedName>
    <definedName name="外部資料_991" localSheetId="0">基本設定!$Q$1:$Q$1</definedName>
    <definedName name="外部資料_991" localSheetId="4">評比系統!#REF!</definedName>
    <definedName name="外部資料_992" localSheetId="0">基本設定!$Q$1:$Q$1</definedName>
    <definedName name="外部資料_992" localSheetId="4">評比系統!#REF!</definedName>
    <definedName name="外部資料_993" localSheetId="0">基本設定!$Q$1:$Q$1</definedName>
    <definedName name="外部資料_993" localSheetId="4">評比系統!#REF!</definedName>
    <definedName name="外部資料_994" localSheetId="0">基本設定!$Q$1:$Q$1</definedName>
    <definedName name="外部資料_994" localSheetId="4">評比系統!#REF!</definedName>
    <definedName name="外部資料_995" localSheetId="0">基本設定!$Q$1:$Q$1</definedName>
    <definedName name="外部資料_995" localSheetId="4">評比系統!#REF!</definedName>
    <definedName name="外部資料_996" localSheetId="0">基本設定!$Q$1:$Q$1</definedName>
    <definedName name="外部資料_996" localSheetId="4">評比系統!#REF!</definedName>
    <definedName name="外部資料_997" localSheetId="0">基本設定!$Q$1:$Q$1</definedName>
    <definedName name="外部資料_997" localSheetId="4">評比系統!#REF!</definedName>
    <definedName name="外部資料_998" localSheetId="0">基本設定!$Q$1:$Q$1</definedName>
    <definedName name="外部資料_998" localSheetId="4">評比系統!#REF!</definedName>
    <definedName name="外部資料_999" localSheetId="0">基本設定!$Q$1:$Q$1</definedName>
    <definedName name="外部資料_999" localSheetId="4">評比系統!#REF!</definedName>
    <definedName name="持股分佈_1" localSheetId="4">評比系統!#REF!</definedName>
    <definedName name="持股分佈_10" localSheetId="4">評比系統!#REF!</definedName>
    <definedName name="持股分佈_11" localSheetId="4">評比系統!#REF!</definedName>
    <definedName name="持股分佈_12" localSheetId="4">評比系統!#REF!</definedName>
    <definedName name="持股分佈_13" localSheetId="4">評比系統!#REF!</definedName>
    <definedName name="持股分佈_14" localSheetId="4">評比系統!#REF!</definedName>
    <definedName name="持股分佈_15" localSheetId="4">評比系統!#REF!</definedName>
    <definedName name="持股分佈_16" localSheetId="4">評比系統!#REF!</definedName>
    <definedName name="持股分佈_17" localSheetId="4">評比系統!#REF!</definedName>
    <definedName name="持股分佈_18" localSheetId="4">評比系統!#REF!</definedName>
    <definedName name="持股分佈_19" localSheetId="4">評比系統!#REF!</definedName>
    <definedName name="持股分佈_2" localSheetId="4">評比系統!#REF!</definedName>
    <definedName name="持股分佈_20" localSheetId="4">評比系統!#REF!</definedName>
    <definedName name="持股分佈_21" localSheetId="4">評比系統!#REF!</definedName>
    <definedName name="持股分佈_22" localSheetId="4">評比系統!#REF!</definedName>
    <definedName name="持股分佈_23" localSheetId="4">評比系統!#REF!</definedName>
    <definedName name="持股分佈_24" localSheetId="4">評比系統!#REF!</definedName>
    <definedName name="持股分佈_25" localSheetId="4">評比系統!#REF!</definedName>
    <definedName name="持股分佈_26" localSheetId="4">評比系統!#REF!</definedName>
    <definedName name="持股分佈_27" localSheetId="4">評比系統!#REF!</definedName>
    <definedName name="持股分佈_28" localSheetId="4">評比系統!#REF!</definedName>
    <definedName name="持股分佈_29" localSheetId="4">評比系統!#REF!</definedName>
    <definedName name="持股分佈_3" localSheetId="4">評比系統!#REF!</definedName>
    <definedName name="持股分佈_30" localSheetId="4">評比系統!#REF!</definedName>
    <definedName name="持股分佈_31" localSheetId="4">評比系統!#REF!</definedName>
    <definedName name="持股分佈_32" localSheetId="4">評比系統!#REF!</definedName>
    <definedName name="持股分佈_33" localSheetId="4">評比系統!#REF!</definedName>
    <definedName name="持股分佈_34" localSheetId="4">評比系統!#REF!</definedName>
    <definedName name="持股分佈_35" localSheetId="4">評比系統!#REF!</definedName>
    <definedName name="持股分佈_36" localSheetId="4">評比系統!#REF!</definedName>
    <definedName name="持股分佈_37" localSheetId="4">評比系統!#REF!</definedName>
    <definedName name="持股分佈_38" localSheetId="4">評比系統!#REF!</definedName>
    <definedName name="持股分佈_39" localSheetId="4">評比系統!#REF!</definedName>
    <definedName name="持股分佈_4" localSheetId="4">評比系統!#REF!</definedName>
    <definedName name="持股分佈_40" localSheetId="4">評比系統!#REF!</definedName>
    <definedName name="持股分佈_41" localSheetId="4">評比系統!#REF!</definedName>
    <definedName name="持股分佈_42" localSheetId="4">評比系統!#REF!</definedName>
    <definedName name="持股分佈_43" localSheetId="4">評比系統!#REF!</definedName>
    <definedName name="持股分佈_44" localSheetId="4">評比系統!#REF!</definedName>
    <definedName name="持股分佈_45" localSheetId="4">評比系統!#REF!</definedName>
    <definedName name="持股分佈_46" localSheetId="4">評比系統!#REF!</definedName>
    <definedName name="持股分佈_47" localSheetId="4">評比系統!#REF!</definedName>
    <definedName name="持股分佈_48" localSheetId="4">評比系統!#REF!</definedName>
    <definedName name="持股分佈_49" localSheetId="4">評比系統!#REF!</definedName>
    <definedName name="持股分佈_5" localSheetId="4">評比系統!#REF!</definedName>
    <definedName name="持股分佈_50" localSheetId="4">評比系統!#REF!</definedName>
    <definedName name="持股分佈_51" localSheetId="4">評比系統!#REF!</definedName>
    <definedName name="持股分佈_52" localSheetId="4">評比系統!#REF!</definedName>
    <definedName name="持股分佈_53" localSheetId="4">評比系統!#REF!</definedName>
    <definedName name="持股分佈_54" localSheetId="4">評比系統!#REF!</definedName>
    <definedName name="持股分佈_55" localSheetId="4">評比系統!#REF!</definedName>
    <definedName name="持股分佈_56" localSheetId="4">評比系統!#REF!</definedName>
    <definedName name="持股分佈_57" localSheetId="4">評比系統!#REF!</definedName>
    <definedName name="持股分佈_58" localSheetId="4">評比系統!#REF!</definedName>
    <definedName name="持股分佈_59" localSheetId="4">評比系統!#REF!</definedName>
    <definedName name="持股分佈_6" localSheetId="4">評比系統!#REF!</definedName>
    <definedName name="持股分佈_60" localSheetId="4">評比系統!#REF!</definedName>
    <definedName name="持股分佈_61" localSheetId="4">評比系統!#REF!</definedName>
    <definedName name="持股分佈_62" localSheetId="4">評比系統!#REF!</definedName>
    <definedName name="持股分佈_63" localSheetId="4">評比系統!#REF!</definedName>
    <definedName name="持股分佈_64" localSheetId="4">評比系統!#REF!</definedName>
    <definedName name="持股分佈_65" localSheetId="4">評比系統!#REF!</definedName>
    <definedName name="持股分佈_66" localSheetId="4">評比系統!#REF!</definedName>
    <definedName name="持股分佈_67" localSheetId="4">評比系統!#REF!</definedName>
    <definedName name="持股分佈_68" localSheetId="4">評比系統!#REF!</definedName>
    <definedName name="持股分佈_69" localSheetId="4">評比系統!#REF!</definedName>
    <definedName name="持股分佈_7" localSheetId="4">評比系統!#REF!</definedName>
    <definedName name="持股分佈_70" localSheetId="4">評比系統!#REF!</definedName>
    <definedName name="持股分佈_71" localSheetId="4">評比系統!#REF!</definedName>
    <definedName name="持股分佈_72" localSheetId="4">評比系統!#REF!</definedName>
    <definedName name="持股分佈_73" localSheetId="4">評比系統!#REF!</definedName>
    <definedName name="持股分佈_74" localSheetId="4">評比系統!#REF!</definedName>
    <definedName name="持股分佈_75" localSheetId="4">評比系統!#REF!</definedName>
    <definedName name="持股分佈_76" localSheetId="4">評比系統!#REF!</definedName>
    <definedName name="持股分佈_77" localSheetId="4">評比系統!#REF!</definedName>
    <definedName name="持股分佈_78" localSheetId="4">評比系統!#REF!</definedName>
    <definedName name="持股分佈_79" localSheetId="4">評比系統!#REF!</definedName>
    <definedName name="持股分佈_8" localSheetId="4">評比系統!#REF!</definedName>
    <definedName name="持股分佈_80" localSheetId="4">評比系統!#REF!</definedName>
    <definedName name="持股分佈_81" localSheetId="4">評比系統!#REF!</definedName>
    <definedName name="持股分佈_82" localSheetId="4">評比系統!#REF!</definedName>
    <definedName name="持股分佈_83" localSheetId="4">評比系統!#REF!</definedName>
    <definedName name="持股分佈_84" localSheetId="4">評比系統!#REF!</definedName>
    <definedName name="持股分佈_85" localSheetId="4">評比系統!#REF!</definedName>
    <definedName name="持股分佈_86" localSheetId="4">評比系統!#REF!</definedName>
    <definedName name="持股分佈_87" localSheetId="4">評比系統!#REF!</definedName>
    <definedName name="持股分佈_88" localSheetId="4">評比系統!#REF!</definedName>
    <definedName name="持股分佈_89" localSheetId="4">評比系統!#REF!</definedName>
    <definedName name="持股分佈_9" localSheetId="4">評比系統!#REF!</definedName>
    <definedName name="持股分佈_90" localSheetId="4">評比系統!#REF!</definedName>
    <definedName name="國內上市" localSheetId="8">收盤價!$A$192:$B$876</definedName>
    <definedName name="國內上市_1" localSheetId="8">收盤價!#REF!</definedName>
    <definedName name="國內上市_10" localSheetId="8">收盤價!#REF!</definedName>
    <definedName name="國內上市_100" localSheetId="8">收盤價!$R$3:$AF$724</definedName>
    <definedName name="國內上市_101" localSheetId="8">收盤價!$R$3:$AF$724</definedName>
    <definedName name="國內上市_102" localSheetId="8">收盤價!$R$3:$AF$725</definedName>
    <definedName name="國內上市_103" localSheetId="8">收盤價!$R$3:$AF$725</definedName>
    <definedName name="國內上市_104" localSheetId="8">收盤價!$R$3:$AF$727</definedName>
    <definedName name="國內上市_105" localSheetId="8">收盤價!$R$3:$AF$725</definedName>
    <definedName name="國內上市_106" localSheetId="8">收盤價!$R$3:$AF$727</definedName>
    <definedName name="國內上市_107" localSheetId="8">收盤價!$R$3:$AF$725</definedName>
    <definedName name="國內上市_108" localSheetId="8">收盤價!$R$3:$AF$724</definedName>
    <definedName name="國內上市_109" localSheetId="8">收盤價!$R$3:$AF$727</definedName>
    <definedName name="國內上市_11" localSheetId="8">收盤價!#REF!</definedName>
    <definedName name="國內上市_110" localSheetId="8">收盤價!$R$3:$AF$726</definedName>
    <definedName name="國內上市_111" localSheetId="8">收盤價!$R$3:$AF$726</definedName>
    <definedName name="國內上市_112" localSheetId="8">收盤價!$R$3:$AF$725</definedName>
    <definedName name="國內上市_113" localSheetId="8">收盤價!$R$3:$AF$725</definedName>
    <definedName name="國內上市_114" localSheetId="8">收盤價!$R$3:$AF$727</definedName>
    <definedName name="國內上市_115" localSheetId="8">收盤價!$R$3:$AF$727</definedName>
    <definedName name="國內上市_116" localSheetId="8">收盤價!$R$3:$AF$725</definedName>
    <definedName name="國內上市_117" localSheetId="8">收盤價!$R$3:$AF$724</definedName>
    <definedName name="國內上市_118" localSheetId="8">收盤價!$R$3:$AF$724</definedName>
    <definedName name="國內上市_119" localSheetId="8">收盤價!$R$3:$AF$724</definedName>
    <definedName name="國內上市_12" localSheetId="8">收盤價!$A$2:$B$81</definedName>
    <definedName name="國內上市_120" localSheetId="8">收盤價!$R$3:$AF$726</definedName>
    <definedName name="國內上市_121" localSheetId="8">收盤價!$R$3:$AF$726</definedName>
    <definedName name="國內上市_122" localSheetId="8">收盤價!$R$3:$AF$727</definedName>
    <definedName name="國內上市_123" localSheetId="8">收盤價!$R$3:$AF$729</definedName>
    <definedName name="國內上市_124" localSheetId="8">收盤價!$R$3:$AF$729</definedName>
    <definedName name="國內上市_125" localSheetId="8">收盤價!$R$3:$AF$729</definedName>
    <definedName name="國內上市_13" localSheetId="8">收盤價!$A$2:$B$242</definedName>
    <definedName name="國內上市_14" localSheetId="8">收盤價!$A$2:$B$403</definedName>
    <definedName name="國內上市_15" localSheetId="8">收盤價!$A$2:$B$564</definedName>
    <definedName name="國內上市_16" localSheetId="8">收盤價!$A$38:$B$725</definedName>
    <definedName name="國內上市_17" localSheetId="8">收盤價!$A$355:$B$1044</definedName>
    <definedName name="國內上市_18" localSheetId="8">收盤價!$A$516:$B$1207</definedName>
    <definedName name="國內上市_19" localSheetId="8">收盤價!$A$677:$B$1370</definedName>
    <definedName name="國內上市_2" localSheetId="8">收盤價!#REF!</definedName>
    <definedName name="國內上市_20" localSheetId="8">收盤價!$A$838:$C$1533</definedName>
    <definedName name="國內上市_21" localSheetId="8">收盤價!$R$2:$AF$643</definedName>
    <definedName name="國內上市_22" localSheetId="8">收盤價!$R$2:$AF$643</definedName>
    <definedName name="國內上市_23" localSheetId="8">收盤價!$R$2:$AF$643</definedName>
    <definedName name="國內上市_24" localSheetId="8">收盤價!$R$2:$AF$644</definedName>
    <definedName name="國內上市_25" localSheetId="8">收盤價!$R$2:$AF$643</definedName>
    <definedName name="國內上市_26" localSheetId="8">收盤價!$R$2:$AF$644</definedName>
    <definedName name="國內上市_27" localSheetId="8">收盤價!$R$2:$AF$643</definedName>
    <definedName name="國內上市_28" localSheetId="8">收盤價!$R$2:$AF$643</definedName>
    <definedName name="國內上市_29" localSheetId="8">收盤價!$R$2:$AF$642</definedName>
    <definedName name="國內上市_3" localSheetId="8">收盤價!#REF!</definedName>
    <definedName name="國內上市_30" localSheetId="8">收盤價!$R$2:$AF$645</definedName>
    <definedName name="國內上市_31" localSheetId="8">收盤價!$R$2:$AF$645</definedName>
    <definedName name="國內上市_32" localSheetId="8">收盤價!$R$2:$AF$647</definedName>
    <definedName name="國內上市_33" localSheetId="8">收盤價!$R$2:$AF$647</definedName>
    <definedName name="國內上市_34" localSheetId="8">收盤價!$R$2:$AF$647</definedName>
    <definedName name="國內上市_35" localSheetId="8">收盤價!$R$2:$AF$647</definedName>
    <definedName name="國內上市_36" localSheetId="8">收盤價!$R$2:$AF$649</definedName>
    <definedName name="國內上市_37" localSheetId="8">收盤價!$R$2:$AF$649</definedName>
    <definedName name="國內上市_38" localSheetId="8">收盤價!$R$2:$AF$650</definedName>
    <definedName name="國內上市_39" localSheetId="8">收盤價!$R$2:$AF$649</definedName>
    <definedName name="國內上市_4" localSheetId="8">收盤價!#REF!</definedName>
    <definedName name="國內上市_40" localSheetId="8">收盤價!$R$2:$AF$652</definedName>
    <definedName name="國內上市_41" localSheetId="8">收盤價!$R$2:$AF$652</definedName>
    <definedName name="國內上市_42" localSheetId="8">收盤價!$R$2:$AF$660</definedName>
    <definedName name="國內上市_43" localSheetId="8">收盤價!$R$2:$AF$660</definedName>
    <definedName name="國內上市_44" localSheetId="8">收盤價!$R$2:$AF$660</definedName>
    <definedName name="國內上市_45" localSheetId="8">收盤價!$R$2:$AF$643</definedName>
    <definedName name="國內上市_46" localSheetId="8">收盤價!$R$2:$AF$643</definedName>
    <definedName name="國內上市_47" localSheetId="8">收盤價!$R$2:$AF$643</definedName>
    <definedName name="國內上市_48" localSheetId="8">收盤價!$R$2:$AF$643</definedName>
    <definedName name="國內上市_49" localSheetId="8">收盤價!$R$2:$AF$660</definedName>
    <definedName name="國內上市_5" localSheetId="8">收盤價!#REF!</definedName>
    <definedName name="國內上市_50" localSheetId="8">收盤價!$R$2:$AF$660</definedName>
    <definedName name="國內上市_51" localSheetId="8">收盤價!$R$2:$AF$660</definedName>
    <definedName name="國內上市_52" localSheetId="8">收盤價!$R$2:$AF$643</definedName>
    <definedName name="國內上市_53" localSheetId="8">收盤價!$R$2:$AF$660</definedName>
    <definedName name="國內上市_54" localSheetId="8">收盤價!$R$2:$AF$660</definedName>
    <definedName name="國內上市_55" localSheetId="8">收盤價!$R$2:$AF$660</definedName>
    <definedName name="國內上市_56" localSheetId="8">收盤價!$R$2:$AF$662</definedName>
    <definedName name="國內上市_57" localSheetId="8">收盤價!$R$2:$AF$670</definedName>
    <definedName name="國內上市_58" localSheetId="8">收盤價!$R$2:$AF$669</definedName>
    <definedName name="國內上市_59" localSheetId="8">收盤價!$R$2:$AF$669</definedName>
    <definedName name="國內上市_6" localSheetId="8">收盤價!#REF!</definedName>
    <definedName name="國內上市_60" localSheetId="8">收盤價!$R$2:$AF$677</definedName>
    <definedName name="國內上市_61" localSheetId="8">收盤價!$R$2:$AF$677</definedName>
    <definedName name="國內上市_62" localSheetId="8">收盤價!$R$2:$AF$677</definedName>
    <definedName name="國內上市_63" localSheetId="8">收盤價!#REF!</definedName>
    <definedName name="國內上市_64" localSheetId="8">收盤價!$R$2:$AF$677</definedName>
    <definedName name="國內上市_65" localSheetId="8">收盤價!$R$2:$AF$677</definedName>
    <definedName name="國內上市_66" localSheetId="8">收盤價!$R$2:$AF$679</definedName>
    <definedName name="國內上市_67" localSheetId="8">收盤價!$R$2:$AF$680</definedName>
    <definedName name="國內上市_68" localSheetId="8">收盤價!$R$2:$AF$680</definedName>
    <definedName name="國內上市_69" localSheetId="8">收盤價!$R$2:$AF$682</definedName>
    <definedName name="國內上市_7" localSheetId="8">收盤價!#REF!</definedName>
    <definedName name="國內上市_70" localSheetId="8">收盤價!$R$2:$AF$684</definedName>
    <definedName name="國內上市_71" localSheetId="8">收盤價!$R$2:$AF$676</definedName>
    <definedName name="國內上市_72" localSheetId="8">收盤價!$R$2:$AF$683</definedName>
    <definedName name="國內上市_73" localSheetId="8">收盤價!$R$2:$AF$684</definedName>
    <definedName name="國內上市_74" localSheetId="8">收盤價!$R$2:$AF$683</definedName>
    <definedName name="國內上市_75" localSheetId="8">收盤價!$R$2:$AF$683</definedName>
    <definedName name="國內上市_76" localSheetId="8">收盤價!$R$2:$AF$683</definedName>
    <definedName name="國內上市_77" localSheetId="8">收盤價!$R$2:$AF$683</definedName>
    <definedName name="國內上市_78" localSheetId="8">收盤價!$R$2:$AF$683</definedName>
    <definedName name="國內上市_79" localSheetId="8">收盤價!$R$2:$AF$683</definedName>
    <definedName name="國內上市_8" localSheetId="8">收盤價!#REF!</definedName>
    <definedName name="國內上市_80" localSheetId="8">收盤價!$R$2:$AF$683</definedName>
    <definedName name="國內上市_81" localSheetId="8">收盤價!$R$2:$AF$683</definedName>
    <definedName name="國內上市_82" localSheetId="8">收盤價!$R$2:$AF$683</definedName>
    <definedName name="國內上市_83" localSheetId="8">收盤價!$R$3:$AF$697</definedName>
    <definedName name="國內上市_84" localSheetId="8">收盤價!$R$3:$AF$695</definedName>
    <definedName name="國內上市_85" localSheetId="8">收盤價!$R$3:$AF$696</definedName>
    <definedName name="國內上市_86" localSheetId="8">收盤價!$R$3:$AF$695</definedName>
    <definedName name="國內上市_87" localSheetId="8">收盤價!$R$3:$AF$710</definedName>
    <definedName name="國內上市_88" localSheetId="8">收盤價!$R$3:$AF$710</definedName>
    <definedName name="國內上市_89" localSheetId="8">收盤價!$R$3:$AF$708</definedName>
    <definedName name="國內上市_9" localSheetId="8">收盤價!#REF!</definedName>
    <definedName name="國內上市_90" localSheetId="8">收盤價!$R$3:$AF$724</definedName>
    <definedName name="國內上市_91" localSheetId="8">收盤價!$R$3:$AF$725</definedName>
    <definedName name="國內上市_92" localSheetId="8">收盤價!$R$3:$AF$725</definedName>
    <definedName name="國內上市_93" localSheetId="8">收盤價!$R$3:$AF$725</definedName>
    <definedName name="國內上市_94" localSheetId="8">收盤價!$R$3:$AF$726</definedName>
    <definedName name="國內上市_95" localSheetId="8">收盤價!$R$3:$AF$726</definedName>
    <definedName name="國內上市_96" localSheetId="8">收盤價!$R$3:$AF$725</definedName>
    <definedName name="國內上市_97" localSheetId="8">收盤價!$R$3:$AF$725</definedName>
    <definedName name="國內上市_98" localSheetId="8">收盤價!$R$3:$AF$725</definedName>
    <definedName name="國內上市_99" localSheetId="8">收盤價!$R$3:$AF$724</definedName>
  </definedNames>
  <calcPr calcId="125725"/>
</workbook>
</file>

<file path=xl/calcChain.xml><?xml version="1.0" encoding="utf-8"?>
<calcChain xmlns="http://schemas.openxmlformats.org/spreadsheetml/2006/main">
  <c r="D1634" i="17"/>
  <c r="D1633"/>
  <c r="D1632"/>
  <c r="D1631"/>
  <c r="D1630"/>
  <c r="D1628"/>
  <c r="D1627"/>
  <c r="D1626"/>
  <c r="D1625"/>
  <c r="D1624"/>
  <c r="D1623"/>
  <c r="D1621"/>
  <c r="D1620"/>
  <c r="D1619"/>
  <c r="D1618"/>
  <c r="D1617"/>
  <c r="D1616"/>
  <c r="D1615"/>
  <c r="D1614"/>
  <c r="D1610"/>
  <c r="D1609"/>
  <c r="D1608"/>
  <c r="D1607"/>
  <c r="D1606"/>
  <c r="D1605"/>
  <c r="D1604"/>
  <c r="D1603"/>
  <c r="D1602"/>
  <c r="D1601"/>
  <c r="D1599"/>
  <c r="D1592"/>
  <c r="D1575"/>
  <c r="D1573"/>
  <c r="D1572"/>
  <c r="D1571"/>
  <c r="D1570"/>
  <c r="D1569"/>
  <c r="D1568"/>
  <c r="D1567"/>
  <c r="D1566"/>
  <c r="D1565"/>
  <c r="D1564"/>
  <c r="D1563"/>
  <c r="D1562"/>
  <c r="D1561"/>
  <c r="D1560"/>
  <c r="D1559"/>
  <c r="D1558"/>
  <c r="D1557"/>
  <c r="D1556"/>
  <c r="D788"/>
  <c r="D1555"/>
  <c r="D1554"/>
  <c r="D1553"/>
  <c r="D1552"/>
  <c r="D1551"/>
  <c r="D80"/>
  <c r="D1550"/>
  <c r="D1547"/>
  <c r="D1546"/>
  <c r="D1194"/>
  <c r="D1545"/>
  <c r="D1544"/>
  <c r="D423"/>
  <c r="D1543"/>
  <c r="D1530"/>
  <c r="D1529"/>
  <c r="D1528"/>
  <c r="D1527"/>
  <c r="D1526"/>
  <c r="D1523"/>
  <c r="D1525"/>
  <c r="D1520"/>
  <c r="D1522"/>
  <c r="D1524"/>
  <c r="D1521"/>
  <c r="D1519"/>
  <c r="D1517"/>
  <c r="D1514"/>
  <c r="D1516"/>
  <c r="D1511"/>
  <c r="D1515"/>
  <c r="D1518"/>
  <c r="D1513"/>
  <c r="D1510"/>
  <c r="D1512"/>
  <c r="D1504"/>
  <c r="D1503"/>
  <c r="D1508"/>
  <c r="D1505"/>
  <c r="D1499"/>
  <c r="D1495"/>
  <c r="D1507"/>
  <c r="D1502"/>
  <c r="D1500"/>
  <c r="D1501"/>
  <c r="D1496"/>
  <c r="D1498"/>
  <c r="D1509"/>
  <c r="D1494"/>
  <c r="D1490"/>
  <c r="D1489"/>
  <c r="D1497"/>
  <c r="D1506"/>
  <c r="D1486"/>
  <c r="D1493"/>
  <c r="D1484"/>
  <c r="D1485"/>
  <c r="D1491"/>
  <c r="D1487"/>
  <c r="D1483"/>
  <c r="D1482"/>
  <c r="D1478"/>
  <c r="D1479"/>
  <c r="D1549"/>
  <c r="D1481"/>
  <c r="D1477"/>
  <c r="D1480"/>
  <c r="D1475"/>
  <c r="D1488"/>
  <c r="D1467"/>
  <c r="D1548"/>
  <c r="D1492"/>
  <c r="D1476"/>
  <c r="D1450"/>
  <c r="D1473"/>
  <c r="D1470"/>
  <c r="D1468"/>
  <c r="D1469"/>
  <c r="D1474"/>
  <c r="D1472"/>
  <c r="D1452"/>
  <c r="D1458"/>
  <c r="D1471"/>
  <c r="D1466"/>
  <c r="D1465"/>
  <c r="D1422"/>
  <c r="D1459"/>
  <c r="D1461"/>
  <c r="D1464"/>
  <c r="D1457"/>
  <c r="D1453"/>
  <c r="D1455"/>
  <c r="D1460"/>
  <c r="D1449"/>
  <c r="D1462"/>
  <c r="D1456"/>
  <c r="D1448"/>
  <c r="D1451"/>
  <c r="D1454"/>
  <c r="D1417"/>
  <c r="D1463"/>
  <c r="D1440"/>
  <c r="D1431"/>
  <c r="D1447"/>
  <c r="D1442"/>
  <c r="D1445"/>
  <c r="D1399"/>
  <c r="D1420"/>
  <c r="D1437"/>
  <c r="D1444"/>
  <c r="D1443"/>
  <c r="D1441"/>
  <c r="D1446"/>
  <c r="D1434"/>
  <c r="D1439"/>
  <c r="D1438"/>
  <c r="D1432"/>
  <c r="D1425"/>
  <c r="D1421"/>
  <c r="D1433"/>
  <c r="D1435"/>
  <c r="D1428"/>
  <c r="D1411"/>
  <c r="D1430"/>
  <c r="D1383"/>
  <c r="D1424"/>
  <c r="D1426"/>
  <c r="D1412"/>
  <c r="D1427"/>
  <c r="D1410"/>
  <c r="D1416"/>
  <c r="D1407"/>
  <c r="D1429"/>
  <c r="D1406"/>
  <c r="D1414"/>
  <c r="D1401"/>
  <c r="D1413"/>
  <c r="D1415"/>
  <c r="D1409"/>
  <c r="D1423"/>
  <c r="D1405"/>
  <c r="D1367"/>
  <c r="D1418"/>
  <c r="D1402"/>
  <c r="D1403"/>
  <c r="D1419"/>
  <c r="D1404"/>
  <c r="D1398"/>
  <c r="D1382"/>
  <c r="D1408"/>
  <c r="D1394"/>
  <c r="D1397"/>
  <c r="D1389"/>
  <c r="D1381"/>
  <c r="D1436"/>
  <c r="D1400"/>
  <c r="D1393"/>
  <c r="D1391"/>
  <c r="D1361"/>
  <c r="D1395"/>
  <c r="D1392"/>
  <c r="D1378"/>
  <c r="D1396"/>
  <c r="D1385"/>
  <c r="D1329"/>
  <c r="D1384"/>
  <c r="D1386"/>
  <c r="D1387"/>
  <c r="D1375"/>
  <c r="D1354"/>
  <c r="D1379"/>
  <c r="D1373"/>
  <c r="D1376"/>
  <c r="D1372"/>
  <c r="D1374"/>
  <c r="D1371"/>
  <c r="D1309"/>
  <c r="D1366"/>
  <c r="D1365"/>
  <c r="D1363"/>
  <c r="D1353"/>
  <c r="D1355"/>
  <c r="D1388"/>
  <c r="D1380"/>
  <c r="D1362"/>
  <c r="D1253"/>
  <c r="D1364"/>
  <c r="D1357"/>
  <c r="D1390"/>
  <c r="D1377"/>
  <c r="D1300"/>
  <c r="D1336"/>
  <c r="D1325"/>
  <c r="D1542"/>
  <c r="D1360"/>
  <c r="D1315"/>
  <c r="D1370"/>
  <c r="D1317"/>
  <c r="D1352"/>
  <c r="D1333"/>
  <c r="D1342"/>
  <c r="D1349"/>
  <c r="D1359"/>
  <c r="D1301"/>
  <c r="D1335"/>
  <c r="D1341"/>
  <c r="D1368"/>
  <c r="D1323"/>
  <c r="D1340"/>
  <c r="D1314"/>
  <c r="D1331"/>
  <c r="D1339"/>
  <c r="D1347"/>
  <c r="D1269"/>
  <c r="D1338"/>
  <c r="D1332"/>
  <c r="D1344"/>
  <c r="D1351"/>
  <c r="D1350"/>
  <c r="D1343"/>
  <c r="D1294"/>
  <c r="D1110"/>
  <c r="D1337"/>
  <c r="D1356"/>
  <c r="D1318"/>
  <c r="D1285"/>
  <c r="D1320"/>
  <c r="D1369"/>
  <c r="D1319"/>
  <c r="D1324"/>
  <c r="D1334"/>
  <c r="D1321"/>
  <c r="D1196"/>
  <c r="D1345"/>
  <c r="D1327"/>
  <c r="D1299"/>
  <c r="D1291"/>
  <c r="D1232"/>
  <c r="D1292"/>
  <c r="D1293"/>
  <c r="D1303"/>
  <c r="D1346"/>
  <c r="D1326"/>
  <c r="D1312"/>
  <c r="D1297"/>
  <c r="D1298"/>
  <c r="D1295"/>
  <c r="D1307"/>
  <c r="D1358"/>
  <c r="D1305"/>
  <c r="D1316"/>
  <c r="D1304"/>
  <c r="D1328"/>
  <c r="D1308"/>
  <c r="D1276"/>
  <c r="D1310"/>
  <c r="D1286"/>
  <c r="D1284"/>
  <c r="D1313"/>
  <c r="D1311"/>
  <c r="D1287"/>
  <c r="D1265"/>
  <c r="D1277"/>
  <c r="D1254"/>
  <c r="D1283"/>
  <c r="D1330"/>
  <c r="D1296"/>
  <c r="D1348"/>
  <c r="D1290"/>
  <c r="D1238"/>
  <c r="D1271"/>
  <c r="D1260"/>
  <c r="D1289"/>
  <c r="D1270"/>
  <c r="D1282"/>
  <c r="D1281"/>
  <c r="D1280"/>
  <c r="D1235"/>
  <c r="D1541"/>
  <c r="D1192"/>
  <c r="D1266"/>
  <c r="D1540"/>
  <c r="D1274"/>
  <c r="D1250"/>
  <c r="D1246"/>
  <c r="D1241"/>
  <c r="D1268"/>
  <c r="D1248"/>
  <c r="D1231"/>
  <c r="D1273"/>
  <c r="D1255"/>
  <c r="D1153"/>
  <c r="D1267"/>
  <c r="D1306"/>
  <c r="D1209"/>
  <c r="D1259"/>
  <c r="D1258"/>
  <c r="D1257"/>
  <c r="D1048"/>
  <c r="D1272"/>
  <c r="D1251"/>
  <c r="D1208"/>
  <c r="D1206"/>
  <c r="D1278"/>
  <c r="D1261"/>
  <c r="D1205"/>
  <c r="D1288"/>
  <c r="D1302"/>
  <c r="D1220"/>
  <c r="D1228"/>
  <c r="D1175"/>
  <c r="D1244"/>
  <c r="D1264"/>
  <c r="D1186"/>
  <c r="D1249"/>
  <c r="D1223"/>
  <c r="D1203"/>
  <c r="D1245"/>
  <c r="D1225"/>
  <c r="D1229"/>
  <c r="D1239"/>
  <c r="D1189"/>
  <c r="D1233"/>
  <c r="D1227"/>
  <c r="D1204"/>
  <c r="D1207"/>
  <c r="D1217"/>
  <c r="D1243"/>
  <c r="D1211"/>
  <c r="D1252"/>
  <c r="D1221"/>
  <c r="D1213"/>
  <c r="D1218"/>
  <c r="D1161"/>
  <c r="D1216"/>
  <c r="D1242"/>
  <c r="D1222"/>
  <c r="D1184"/>
  <c r="D1219"/>
  <c r="D1214"/>
  <c r="D1163"/>
  <c r="D1172"/>
  <c r="D1181"/>
  <c r="D1224"/>
  <c r="D1275"/>
  <c r="D1125"/>
  <c r="D1262"/>
  <c r="D1279"/>
  <c r="D1197"/>
  <c r="D1179"/>
  <c r="D1094"/>
  <c r="D1152"/>
  <c r="D1195"/>
  <c r="D1121"/>
  <c r="D1150"/>
  <c r="D1198"/>
  <c r="D1199"/>
  <c r="D1178"/>
  <c r="D1182"/>
  <c r="D1190"/>
  <c r="D1187"/>
  <c r="D1234"/>
  <c r="D1210"/>
  <c r="D1174"/>
  <c r="D1145"/>
  <c r="D1322"/>
  <c r="D1237"/>
  <c r="D1185"/>
  <c r="D1171"/>
  <c r="D1176"/>
  <c r="D1188"/>
  <c r="D1044"/>
  <c r="D1112"/>
  <c r="D1167"/>
  <c r="D1142"/>
  <c r="D1165"/>
  <c r="D1035"/>
  <c r="D1173"/>
  <c r="D1132"/>
  <c r="D1215"/>
  <c r="D1236"/>
  <c r="D1212"/>
  <c r="D1159"/>
  <c r="D1177"/>
  <c r="D1144"/>
  <c r="D1141"/>
  <c r="D1166"/>
  <c r="D1114"/>
  <c r="D1191"/>
  <c r="D1149"/>
  <c r="D1097"/>
  <c r="D1107"/>
  <c r="D1139"/>
  <c r="D1157"/>
  <c r="D1200"/>
  <c r="D1109"/>
  <c r="D1155"/>
  <c r="D1164"/>
  <c r="D1130"/>
  <c r="D1124"/>
  <c r="D1135"/>
  <c r="D1202"/>
  <c r="D1148"/>
  <c r="D1147"/>
  <c r="D1156"/>
  <c r="D1134"/>
  <c r="D1256"/>
  <c r="D1240"/>
  <c r="D1127"/>
  <c r="D1123"/>
  <c r="D1263"/>
  <c r="D1154"/>
  <c r="D1539"/>
  <c r="D1180"/>
  <c r="D1013"/>
  <c r="D1151"/>
  <c r="D1183"/>
  <c r="D1170"/>
  <c r="D1140"/>
  <c r="D1138"/>
  <c r="D1169"/>
  <c r="D1113"/>
  <c r="D1193"/>
  <c r="D1099"/>
  <c r="D1098"/>
  <c r="D1117"/>
  <c r="D1160"/>
  <c r="D1538"/>
  <c r="D1133"/>
  <c r="D1226"/>
  <c r="D1122"/>
  <c r="D1120"/>
  <c r="D1085"/>
  <c r="D1118"/>
  <c r="D1087"/>
  <c r="D1201"/>
  <c r="D1137"/>
  <c r="D1247"/>
  <c r="D1020"/>
  <c r="D1079"/>
  <c r="D1100"/>
  <c r="D1105"/>
  <c r="D1116"/>
  <c r="D1080"/>
  <c r="D1108"/>
  <c r="D1095"/>
  <c r="D1089"/>
  <c r="D1537"/>
  <c r="D1106"/>
  <c r="D1136"/>
  <c r="D1102"/>
  <c r="D1162"/>
  <c r="D1096"/>
  <c r="D1078"/>
  <c r="D1083"/>
  <c r="D1115"/>
  <c r="D1101"/>
  <c r="D1026"/>
  <c r="D1060"/>
  <c r="D1131"/>
  <c r="D1104"/>
  <c r="D1093"/>
  <c r="D1088"/>
  <c r="D1090"/>
  <c r="D1126"/>
  <c r="D1111"/>
  <c r="D1073"/>
  <c r="D1071"/>
  <c r="D1069"/>
  <c r="D1068"/>
  <c r="D1077"/>
  <c r="D1050"/>
  <c r="D950"/>
  <c r="D981"/>
  <c r="D1086"/>
  <c r="D1119"/>
  <c r="D1062"/>
  <c r="D1053"/>
  <c r="D1018"/>
  <c r="D1146"/>
  <c r="D1052"/>
  <c r="D1064"/>
  <c r="D1075"/>
  <c r="D985"/>
  <c r="D1043"/>
  <c r="D1056"/>
  <c r="D1063"/>
  <c r="D1015"/>
  <c r="D1070"/>
  <c r="D1129"/>
  <c r="D1103"/>
  <c r="D1051"/>
  <c r="D1037"/>
  <c r="D1029"/>
  <c r="D1047"/>
  <c r="D1006"/>
  <c r="D1024"/>
  <c r="D1084"/>
  <c r="D1067"/>
  <c r="D1045"/>
  <c r="D1005"/>
  <c r="D1039"/>
  <c r="D1009"/>
  <c r="D1038"/>
  <c r="D1027"/>
  <c r="D1072"/>
  <c r="D1065"/>
  <c r="D1081"/>
  <c r="D1017"/>
  <c r="D1057"/>
  <c r="D1030"/>
  <c r="D1091"/>
  <c r="D1061"/>
  <c r="D989"/>
  <c r="D630"/>
  <c r="D990"/>
  <c r="D1055"/>
  <c r="D1058"/>
  <c r="D1007"/>
  <c r="D1023"/>
  <c r="D1022"/>
  <c r="D1021"/>
  <c r="D945"/>
  <c r="D1066"/>
  <c r="D1092"/>
  <c r="D1046"/>
  <c r="D1049"/>
  <c r="D1032"/>
  <c r="D1016"/>
  <c r="D1028"/>
  <c r="D1036"/>
  <c r="D1001"/>
  <c r="D952"/>
  <c r="D1034"/>
  <c r="D1031"/>
  <c r="D1008"/>
  <c r="D994"/>
  <c r="D993"/>
  <c r="D992"/>
  <c r="D1004"/>
  <c r="D1003"/>
  <c r="D1012"/>
  <c r="D1033"/>
  <c r="D1019"/>
  <c r="D1536"/>
  <c r="D1230"/>
  <c r="D965"/>
  <c r="D998"/>
  <c r="D996"/>
  <c r="D1014"/>
  <c r="D1011"/>
  <c r="D1059"/>
  <c r="D1041"/>
  <c r="D1000"/>
  <c r="D978"/>
  <c r="D1002"/>
  <c r="D939"/>
  <c r="D974"/>
  <c r="D979"/>
  <c r="D1143"/>
  <c r="D1074"/>
  <c r="D983"/>
  <c r="D925"/>
  <c r="D1042"/>
  <c r="D964"/>
  <c r="D901"/>
  <c r="D999"/>
  <c r="D975"/>
  <c r="D963"/>
  <c r="D969"/>
  <c r="D988"/>
  <c r="D991"/>
  <c r="D972"/>
  <c r="D987"/>
  <c r="D962"/>
  <c r="D970"/>
  <c r="D986"/>
  <c r="D954"/>
  <c r="D897"/>
  <c r="D1158"/>
  <c r="D1076"/>
  <c r="D984"/>
  <c r="D1010"/>
  <c r="D976"/>
  <c r="D916"/>
  <c r="D973"/>
  <c r="D1535"/>
  <c r="D968"/>
  <c r="D940"/>
  <c r="D910"/>
  <c r="D961"/>
  <c r="D960"/>
  <c r="D980"/>
  <c r="D956"/>
  <c r="D966"/>
  <c r="D953"/>
  <c r="D904"/>
  <c r="D894"/>
  <c r="D959"/>
  <c r="D938"/>
  <c r="D995"/>
  <c r="D958"/>
  <c r="D926"/>
  <c r="D943"/>
  <c r="D857"/>
  <c r="D850"/>
  <c r="D1128"/>
  <c r="D947"/>
  <c r="D1040"/>
  <c r="D905"/>
  <c r="D937"/>
  <c r="D948"/>
  <c r="D756"/>
  <c r="D924"/>
  <c r="D942"/>
  <c r="D933"/>
  <c r="D932"/>
  <c r="D906"/>
  <c r="D930"/>
  <c r="D912"/>
  <c r="D928"/>
  <c r="D946"/>
  <c r="D927"/>
  <c r="D934"/>
  <c r="D807"/>
  <c r="D898"/>
  <c r="D809"/>
  <c r="D822"/>
  <c r="D890"/>
  <c r="D835"/>
  <c r="D896"/>
  <c r="D908"/>
  <c r="D982"/>
  <c r="D918"/>
  <c r="D929"/>
  <c r="D915"/>
  <c r="D914"/>
  <c r="D871"/>
  <c r="D886"/>
  <c r="D813"/>
  <c r="D909"/>
  <c r="D884"/>
  <c r="D832"/>
  <c r="D866"/>
  <c r="D936"/>
  <c r="D944"/>
  <c r="D923"/>
  <c r="D902"/>
  <c r="D863"/>
  <c r="D877"/>
  <c r="D805"/>
  <c r="D903"/>
  <c r="D911"/>
  <c r="D867"/>
  <c r="D917"/>
  <c r="D922"/>
  <c r="D977"/>
  <c r="D971"/>
  <c r="D913"/>
  <c r="D967"/>
  <c r="D824"/>
  <c r="D893"/>
  <c r="D887"/>
  <c r="D880"/>
  <c r="D802"/>
  <c r="D1025"/>
  <c r="D868"/>
  <c r="D861"/>
  <c r="D883"/>
  <c r="D900"/>
  <c r="D891"/>
  <c r="D997"/>
  <c r="D881"/>
  <c r="D873"/>
  <c r="D878"/>
  <c r="D870"/>
  <c r="D920"/>
  <c r="D874"/>
  <c r="D935"/>
  <c r="D736"/>
  <c r="D888"/>
  <c r="D879"/>
  <c r="D919"/>
  <c r="D907"/>
  <c r="D921"/>
  <c r="D951"/>
  <c r="D840"/>
  <c r="D846"/>
  <c r="D876"/>
  <c r="D764"/>
  <c r="D941"/>
  <c r="D957"/>
  <c r="D949"/>
  <c r="D855"/>
  <c r="D931"/>
  <c r="D854"/>
  <c r="D889"/>
  <c r="D872"/>
  <c r="D869"/>
  <c r="D852"/>
  <c r="D836"/>
  <c r="D845"/>
  <c r="D864"/>
  <c r="D882"/>
  <c r="D820"/>
  <c r="D841"/>
  <c r="D955"/>
  <c r="D819"/>
  <c r="D806"/>
  <c r="D848"/>
  <c r="D815"/>
  <c r="D856"/>
  <c r="D834"/>
  <c r="D860"/>
  <c r="D843"/>
  <c r="D827"/>
  <c r="D847"/>
  <c r="D899"/>
  <c r="D862"/>
  <c r="D830"/>
  <c r="D1168"/>
  <c r="D831"/>
  <c r="D825"/>
  <c r="D818"/>
  <c r="D844"/>
  <c r="D782"/>
  <c r="D829"/>
  <c r="D895"/>
  <c r="D823"/>
  <c r="D859"/>
  <c r="D812"/>
  <c r="D767"/>
  <c r="D784"/>
  <c r="D733"/>
  <c r="D875"/>
  <c r="D833"/>
  <c r="D795"/>
  <c r="D853"/>
  <c r="D837"/>
  <c r="D821"/>
  <c r="D581"/>
  <c r="D838"/>
  <c r="D808"/>
  <c r="D816"/>
  <c r="D851"/>
  <c r="D849"/>
  <c r="D814"/>
  <c r="D483"/>
  <c r="D787"/>
  <c r="D774"/>
  <c r="D800"/>
  <c r="D751"/>
  <c r="D705"/>
  <c r="D794"/>
  <c r="D810"/>
  <c r="D727"/>
  <c r="D761"/>
  <c r="D780"/>
  <c r="D742"/>
  <c r="D826"/>
  <c r="D842"/>
  <c r="D885"/>
  <c r="D766"/>
  <c r="D801"/>
  <c r="D797"/>
  <c r="D803"/>
  <c r="D793"/>
  <c r="D811"/>
  <c r="D778"/>
  <c r="D765"/>
  <c r="D680"/>
  <c r="D773"/>
  <c r="D792"/>
  <c r="D776"/>
  <c r="D789"/>
  <c r="D732"/>
  <c r="D1082"/>
  <c r="D775"/>
  <c r="D791"/>
  <c r="D804"/>
  <c r="D1054"/>
  <c r="D798"/>
  <c r="D799"/>
  <c r="D758"/>
  <c r="D839"/>
  <c r="D770"/>
  <c r="D740"/>
  <c r="D755"/>
  <c r="D677"/>
  <c r="D696"/>
  <c r="D752"/>
  <c r="D777"/>
  <c r="D781"/>
  <c r="D754"/>
  <c r="D796"/>
  <c r="D668"/>
  <c r="D779"/>
  <c r="D728"/>
  <c r="D503"/>
  <c r="D772"/>
  <c r="D769"/>
  <c r="D564"/>
  <c r="D768"/>
  <c r="D786"/>
  <c r="D749"/>
  <c r="D748"/>
  <c r="D738"/>
  <c r="D746"/>
  <c r="D626"/>
  <c r="D757"/>
  <c r="D745"/>
  <c r="D762"/>
  <c r="D731"/>
  <c r="D750"/>
  <c r="D739"/>
  <c r="D725"/>
  <c r="D771"/>
  <c r="D710"/>
  <c r="D722"/>
  <c r="D865"/>
  <c r="D673"/>
  <c r="D724"/>
  <c r="D783"/>
  <c r="D737"/>
  <c r="D828"/>
  <c r="D1534"/>
  <c r="D892"/>
  <c r="D707"/>
  <c r="D718"/>
  <c r="D744"/>
  <c r="D715"/>
  <c r="D690"/>
  <c r="D741"/>
  <c r="D714"/>
  <c r="D753"/>
  <c r="D729"/>
  <c r="D743"/>
  <c r="D712"/>
  <c r="D763"/>
  <c r="D717"/>
  <c r="D709"/>
  <c r="D858"/>
  <c r="D713"/>
  <c r="D760"/>
  <c r="D667"/>
  <c r="D726"/>
  <c r="D694"/>
  <c r="D719"/>
  <c r="D639"/>
  <c r="D817"/>
  <c r="D706"/>
  <c r="D735"/>
  <c r="D693"/>
  <c r="D698"/>
  <c r="D674"/>
  <c r="D723"/>
  <c r="D759"/>
  <c r="D688"/>
  <c r="D734"/>
  <c r="D675"/>
  <c r="D708"/>
  <c r="D702"/>
  <c r="D790"/>
  <c r="D730"/>
  <c r="D785"/>
  <c r="D554"/>
  <c r="D689"/>
  <c r="D716"/>
  <c r="D701"/>
  <c r="D676"/>
  <c r="D711"/>
  <c r="D474"/>
  <c r="D697"/>
  <c r="D682"/>
  <c r="D703"/>
  <c r="D456"/>
  <c r="D658"/>
  <c r="D692"/>
  <c r="D683"/>
  <c r="D686"/>
  <c r="D679"/>
  <c r="D721"/>
  <c r="D612"/>
  <c r="D660"/>
  <c r="D640"/>
  <c r="D672"/>
  <c r="D747"/>
  <c r="D653"/>
  <c r="D704"/>
  <c r="D663"/>
  <c r="D669"/>
  <c r="D681"/>
  <c r="D655"/>
  <c r="D650"/>
  <c r="D643"/>
  <c r="D665"/>
  <c r="D652"/>
  <c r="D684"/>
  <c r="D687"/>
  <c r="D661"/>
  <c r="D691"/>
  <c r="D662"/>
  <c r="D644"/>
  <c r="D659"/>
  <c r="D695"/>
  <c r="D670"/>
  <c r="D685"/>
  <c r="D678"/>
  <c r="D646"/>
  <c r="D657"/>
  <c r="D700"/>
  <c r="D648"/>
  <c r="D627"/>
  <c r="D654"/>
  <c r="D671"/>
  <c r="D591"/>
  <c r="D666"/>
  <c r="D664"/>
  <c r="D656"/>
  <c r="D576"/>
  <c r="D632"/>
  <c r="D634"/>
  <c r="D638"/>
  <c r="D620"/>
  <c r="D649"/>
  <c r="D645"/>
  <c r="D629"/>
  <c r="D587"/>
  <c r="D616"/>
  <c r="D613"/>
  <c r="D651"/>
  <c r="D637"/>
  <c r="D592"/>
  <c r="D699"/>
  <c r="D647"/>
  <c r="D642"/>
  <c r="D614"/>
  <c r="D536"/>
  <c r="D618"/>
  <c r="D624"/>
  <c r="D628"/>
  <c r="D636"/>
  <c r="D601"/>
  <c r="D625"/>
  <c r="D720"/>
  <c r="D603"/>
  <c r="D462"/>
  <c r="D597"/>
  <c r="D631"/>
  <c r="D615"/>
  <c r="D537"/>
  <c r="D633"/>
  <c r="D595"/>
  <c r="D549"/>
  <c r="D602"/>
  <c r="D610"/>
  <c r="D608"/>
  <c r="D563"/>
  <c r="D444"/>
  <c r="D532"/>
  <c r="D619"/>
  <c r="D1533"/>
  <c r="D622"/>
  <c r="D551"/>
  <c r="D611"/>
  <c r="D596"/>
  <c r="D573"/>
  <c r="D540"/>
  <c r="D570"/>
  <c r="D604"/>
  <c r="D577"/>
  <c r="D590"/>
  <c r="D609"/>
  <c r="D585"/>
  <c r="D512"/>
  <c r="D507"/>
  <c r="D621"/>
  <c r="D567"/>
  <c r="D589"/>
  <c r="D607"/>
  <c r="D569"/>
  <c r="D583"/>
  <c r="D547"/>
  <c r="D635"/>
  <c r="D623"/>
  <c r="D579"/>
  <c r="D578"/>
  <c r="D606"/>
  <c r="D598"/>
  <c r="D568"/>
  <c r="D593"/>
  <c r="D562"/>
  <c r="D555"/>
  <c r="D571"/>
  <c r="D530"/>
  <c r="D560"/>
  <c r="D582"/>
  <c r="D566"/>
  <c r="D580"/>
  <c r="D575"/>
  <c r="D552"/>
  <c r="D553"/>
  <c r="D515"/>
  <c r="D538"/>
  <c r="D514"/>
  <c r="D600"/>
  <c r="D557"/>
  <c r="D429"/>
  <c r="D559"/>
  <c r="D588"/>
  <c r="D584"/>
  <c r="D599"/>
  <c r="D356"/>
  <c r="D550"/>
  <c r="D539"/>
  <c r="D498"/>
  <c r="D535"/>
  <c r="D504"/>
  <c r="D617"/>
  <c r="D543"/>
  <c r="D641"/>
  <c r="D572"/>
  <c r="D605"/>
  <c r="D561"/>
  <c r="D526"/>
  <c r="D516"/>
  <c r="D586"/>
  <c r="D522"/>
  <c r="D594"/>
  <c r="D339"/>
  <c r="D528"/>
  <c r="D533"/>
  <c r="D541"/>
  <c r="D548"/>
  <c r="D519"/>
  <c r="D534"/>
  <c r="D527"/>
  <c r="D520"/>
  <c r="D525"/>
  <c r="D565"/>
  <c r="D508"/>
  <c r="D529"/>
  <c r="D558"/>
  <c r="D574"/>
  <c r="D544"/>
  <c r="D523"/>
  <c r="D542"/>
  <c r="D500"/>
  <c r="D511"/>
  <c r="D510"/>
  <c r="D489"/>
  <c r="D509"/>
  <c r="D545"/>
  <c r="D546"/>
  <c r="D499"/>
  <c r="D495"/>
  <c r="D524"/>
  <c r="D518"/>
  <c r="D431"/>
  <c r="D463"/>
  <c r="D453"/>
  <c r="D490"/>
  <c r="D502"/>
  <c r="D390"/>
  <c r="D506"/>
  <c r="D457"/>
  <c r="D426"/>
  <c r="D487"/>
  <c r="D496"/>
  <c r="D505"/>
  <c r="D492"/>
  <c r="D477"/>
  <c r="D491"/>
  <c r="D326"/>
  <c r="D478"/>
  <c r="D473"/>
  <c r="D485"/>
  <c r="D521"/>
  <c r="D482"/>
  <c r="D479"/>
  <c r="D497"/>
  <c r="D556"/>
  <c r="D472"/>
  <c r="D476"/>
  <c r="D464"/>
  <c r="D446"/>
  <c r="D430"/>
  <c r="D461"/>
  <c r="D470"/>
  <c r="D400"/>
  <c r="D494"/>
  <c r="D454"/>
  <c r="D486"/>
  <c r="D467"/>
  <c r="D488"/>
  <c r="D452"/>
  <c r="D437"/>
  <c r="D302"/>
  <c r="D408"/>
  <c r="D432"/>
  <c r="D481"/>
  <c r="D445"/>
  <c r="D413"/>
  <c r="D449"/>
  <c r="D455"/>
  <c r="D366"/>
  <c r="D475"/>
  <c r="D451"/>
  <c r="D501"/>
  <c r="D435"/>
  <c r="D424"/>
  <c r="D469"/>
  <c r="D250"/>
  <c r="D459"/>
  <c r="D396"/>
  <c r="D433"/>
  <c r="D458"/>
  <c r="D443"/>
  <c r="D441"/>
  <c r="D447"/>
  <c r="D513"/>
  <c r="D439"/>
  <c r="D493"/>
  <c r="D450"/>
  <c r="D377"/>
  <c r="D394"/>
  <c r="D438"/>
  <c r="D434"/>
  <c r="D398"/>
  <c r="D382"/>
  <c r="D415"/>
  <c r="D391"/>
  <c r="D418"/>
  <c r="D333"/>
  <c r="D421"/>
  <c r="D417"/>
  <c r="D393"/>
  <c r="D428"/>
  <c r="D484"/>
  <c r="D442"/>
  <c r="D359"/>
  <c r="D465"/>
  <c r="D440"/>
  <c r="D379"/>
  <c r="D436"/>
  <c r="D381"/>
  <c r="D416"/>
  <c r="D410"/>
  <c r="D403"/>
  <c r="D409"/>
  <c r="D414"/>
  <c r="D420"/>
  <c r="D395"/>
  <c r="D411"/>
  <c r="D265"/>
  <c r="D335"/>
  <c r="D517"/>
  <c r="D407"/>
  <c r="D401"/>
  <c r="D376"/>
  <c r="D460"/>
  <c r="D402"/>
  <c r="D372"/>
  <c r="D406"/>
  <c r="D448"/>
  <c r="D480"/>
  <c r="D471"/>
  <c r="D392"/>
  <c r="D412"/>
  <c r="D419"/>
  <c r="D350"/>
  <c r="D399"/>
  <c r="D405"/>
  <c r="D374"/>
  <c r="D388"/>
  <c r="D384"/>
  <c r="D404"/>
  <c r="D268"/>
  <c r="D466"/>
  <c r="D223"/>
  <c r="D427"/>
  <c r="D371"/>
  <c r="D361"/>
  <c r="D387"/>
  <c r="D422"/>
  <c r="D368"/>
  <c r="D386"/>
  <c r="D380"/>
  <c r="D362"/>
  <c r="D341"/>
  <c r="D370"/>
  <c r="D347"/>
  <c r="D351"/>
  <c r="D357"/>
  <c r="D369"/>
  <c r="D348"/>
  <c r="D364"/>
  <c r="D349"/>
  <c r="D305"/>
  <c r="D375"/>
  <c r="D397"/>
  <c r="D358"/>
  <c r="D373"/>
  <c r="D385"/>
  <c r="D363"/>
  <c r="D278"/>
  <c r="D354"/>
  <c r="D344"/>
  <c r="D337"/>
  <c r="D353"/>
  <c r="D321"/>
  <c r="D355"/>
  <c r="D338"/>
  <c r="D468"/>
  <c r="D327"/>
  <c r="D332"/>
  <c r="D307"/>
  <c r="D360"/>
  <c r="D383"/>
  <c r="D258"/>
  <c r="D329"/>
  <c r="D323"/>
  <c r="D331"/>
  <c r="D325"/>
  <c r="D345"/>
  <c r="D340"/>
  <c r="D352"/>
  <c r="D309"/>
  <c r="D334"/>
  <c r="D1532"/>
  <c r="D236"/>
  <c r="D389"/>
  <c r="D304"/>
  <c r="D294"/>
  <c r="D311"/>
  <c r="D306"/>
  <c r="D296"/>
  <c r="D259"/>
  <c r="D319"/>
  <c r="D365"/>
  <c r="D297"/>
  <c r="D283"/>
  <c r="D317"/>
  <c r="D271"/>
  <c r="D303"/>
  <c r="D322"/>
  <c r="D295"/>
  <c r="D330"/>
  <c r="D378"/>
  <c r="D425"/>
  <c r="D318"/>
  <c r="D203"/>
  <c r="D269"/>
  <c r="D222"/>
  <c r="D308"/>
  <c r="D286"/>
  <c r="D346"/>
  <c r="D282"/>
  <c r="D253"/>
  <c r="D299"/>
  <c r="D315"/>
  <c r="D336"/>
  <c r="D310"/>
  <c r="D293"/>
  <c r="D531"/>
  <c r="D312"/>
  <c r="D275"/>
  <c r="D342"/>
  <c r="D267"/>
  <c r="D300"/>
  <c r="D292"/>
  <c r="D287"/>
  <c r="D324"/>
  <c r="D301"/>
  <c r="D328"/>
  <c r="D244"/>
  <c r="D298"/>
  <c r="D273"/>
  <c r="D288"/>
  <c r="D314"/>
  <c r="D343"/>
  <c r="D262"/>
  <c r="D284"/>
  <c r="D279"/>
  <c r="D246"/>
  <c r="D280"/>
  <c r="D216"/>
  <c r="D316"/>
  <c r="D281"/>
  <c r="D270"/>
  <c r="D257"/>
  <c r="D290"/>
  <c r="D225"/>
  <c r="D274"/>
  <c r="D289"/>
  <c r="D260"/>
  <c r="D285"/>
  <c r="D313"/>
  <c r="D264"/>
  <c r="D254"/>
  <c r="D251"/>
  <c r="D247"/>
  <c r="D261"/>
  <c r="D276"/>
  <c r="D242"/>
  <c r="D263"/>
  <c r="D277"/>
  <c r="D367"/>
  <c r="D256"/>
  <c r="D252"/>
  <c r="D248"/>
  <c r="D231"/>
  <c r="D232"/>
  <c r="D234"/>
  <c r="D291"/>
  <c r="D272"/>
  <c r="D178"/>
  <c r="D243"/>
  <c r="D227"/>
  <c r="D210"/>
  <c r="D266"/>
  <c r="D212"/>
  <c r="D255"/>
  <c r="D230"/>
  <c r="D229"/>
  <c r="D235"/>
  <c r="D1531"/>
  <c r="D241"/>
  <c r="D224"/>
  <c r="D228"/>
  <c r="D218"/>
  <c r="D237"/>
  <c r="D201"/>
  <c r="D240"/>
  <c r="D206"/>
  <c r="D249"/>
  <c r="D219"/>
  <c r="D214"/>
  <c r="D195"/>
  <c r="D199"/>
  <c r="D320"/>
  <c r="D215"/>
  <c r="D221"/>
  <c r="D134"/>
  <c r="D189"/>
  <c r="D226"/>
  <c r="D197"/>
  <c r="D182"/>
  <c r="D233"/>
  <c r="D245"/>
  <c r="D211"/>
  <c r="D183"/>
  <c r="D202"/>
  <c r="D207"/>
  <c r="D176"/>
  <c r="D156"/>
  <c r="D209"/>
  <c r="D239"/>
  <c r="D196"/>
  <c r="D185"/>
  <c r="D208"/>
  <c r="D200"/>
  <c r="D172"/>
  <c r="D169"/>
  <c r="D163"/>
  <c r="D193"/>
  <c r="D184"/>
  <c r="D238"/>
  <c r="D217"/>
  <c r="D177"/>
  <c r="D186"/>
  <c r="D220"/>
  <c r="D190"/>
  <c r="D192"/>
  <c r="D187"/>
  <c r="D162"/>
  <c r="D204"/>
  <c r="D191"/>
  <c r="D213"/>
  <c r="D194"/>
  <c r="D165"/>
  <c r="D198"/>
  <c r="D175"/>
  <c r="D151"/>
  <c r="D180"/>
  <c r="D170"/>
  <c r="D171"/>
  <c r="D179"/>
  <c r="D159"/>
  <c r="D164"/>
  <c r="D168"/>
  <c r="D157"/>
  <c r="D166"/>
  <c r="D188"/>
  <c r="D161"/>
  <c r="D158"/>
  <c r="D205"/>
  <c r="D153"/>
  <c r="D167"/>
  <c r="D173"/>
  <c r="D174"/>
  <c r="D98"/>
  <c r="D142"/>
  <c r="D154"/>
  <c r="D136"/>
  <c r="D144"/>
  <c r="D120"/>
  <c r="D148"/>
  <c r="D181"/>
  <c r="D147"/>
  <c r="D139"/>
  <c r="D152"/>
  <c r="D146"/>
  <c r="D145"/>
  <c r="D160"/>
  <c r="D143"/>
  <c r="D150"/>
  <c r="D149"/>
  <c r="D137"/>
  <c r="D140"/>
  <c r="D155"/>
  <c r="D132"/>
  <c r="D138"/>
  <c r="D106"/>
  <c r="D135"/>
  <c r="D131"/>
  <c r="D133"/>
  <c r="D141"/>
  <c r="D129"/>
  <c r="D123"/>
  <c r="D128"/>
  <c r="D127"/>
  <c r="D118"/>
  <c r="D115"/>
  <c r="D109"/>
  <c r="D130"/>
  <c r="D125"/>
  <c r="D108"/>
  <c r="D114"/>
  <c r="D124"/>
  <c r="D110"/>
  <c r="D101"/>
  <c r="D119"/>
  <c r="D96"/>
  <c r="D126"/>
  <c r="D111"/>
  <c r="D103"/>
  <c r="D121"/>
  <c r="D113"/>
  <c r="D116"/>
  <c r="D104"/>
  <c r="D105"/>
  <c r="D122"/>
  <c r="D117"/>
  <c r="D112"/>
  <c r="D97"/>
  <c r="D88"/>
  <c r="D99"/>
  <c r="D90"/>
  <c r="D100"/>
  <c r="D107"/>
  <c r="D102"/>
  <c r="D85"/>
  <c r="D95"/>
  <c r="D84"/>
  <c r="D92"/>
  <c r="D91"/>
  <c r="D93"/>
  <c r="D81"/>
  <c r="D89"/>
  <c r="D86"/>
  <c r="D87"/>
  <c r="D78"/>
  <c r="D94"/>
  <c r="D83"/>
  <c r="D66"/>
  <c r="D75"/>
  <c r="D82"/>
  <c r="D79"/>
  <c r="D77"/>
  <c r="D58"/>
  <c r="D68"/>
  <c r="D76"/>
  <c r="D70"/>
  <c r="D67"/>
  <c r="D69"/>
  <c r="D56"/>
  <c r="D73"/>
  <c r="D74"/>
  <c r="D63"/>
  <c r="D64"/>
  <c r="D72"/>
  <c r="D62"/>
  <c r="D71"/>
  <c r="D61"/>
  <c r="D65"/>
  <c r="D60"/>
  <c r="D54"/>
  <c r="D57"/>
  <c r="D49"/>
  <c r="D53"/>
  <c r="D51"/>
  <c r="D52"/>
  <c r="D55"/>
  <c r="D50"/>
  <c r="D45"/>
  <c r="D42"/>
  <c r="D43"/>
  <c r="D44"/>
  <c r="D48"/>
  <c r="D59"/>
  <c r="D46"/>
  <c r="D38"/>
  <c r="D33"/>
  <c r="D41"/>
  <c r="D39"/>
  <c r="D40"/>
  <c r="D37"/>
  <c r="D47"/>
  <c r="D29"/>
  <c r="D36"/>
  <c r="D34"/>
  <c r="D26"/>
  <c r="D30"/>
  <c r="D25"/>
  <c r="D31"/>
  <c r="D32"/>
  <c r="D35"/>
  <c r="D24"/>
  <c r="D28"/>
  <c r="D23"/>
  <c r="D20"/>
  <c r="D27"/>
  <c r="D22"/>
  <c r="D21"/>
  <c r="D19"/>
  <c r="D17"/>
  <c r="D16"/>
  <c r="D15"/>
  <c r="D18"/>
  <c r="D10"/>
  <c r="D14"/>
  <c r="D11"/>
  <c r="D12"/>
  <c r="D13"/>
  <c r="D6"/>
  <c r="D7"/>
  <c r="D9"/>
  <c r="D8"/>
  <c r="D5"/>
  <c r="D4"/>
  <c r="D3"/>
  <c r="D2"/>
  <c r="D1665" i="15"/>
  <c r="D1664"/>
  <c r="D1663"/>
  <c r="D1662"/>
  <c r="D1661"/>
  <c r="D1660"/>
  <c r="D1659"/>
  <c r="D1658"/>
  <c r="D1657"/>
  <c r="D1656"/>
  <c r="D1655"/>
  <c r="D1654"/>
  <c r="D1653"/>
  <c r="D1652"/>
  <c r="D1651"/>
  <c r="D1650"/>
  <c r="D1649"/>
  <c r="D1648"/>
  <c r="D1647"/>
  <c r="D1646"/>
  <c r="D1645"/>
  <c r="D1644"/>
  <c r="D1643"/>
  <c r="D1642"/>
  <c r="D1641"/>
  <c r="D1640"/>
  <c r="D1639"/>
  <c r="D1638"/>
  <c r="D1637"/>
  <c r="D1636"/>
  <c r="D1635"/>
  <c r="D1634"/>
  <c r="D1633"/>
  <c r="D1632"/>
  <c r="D1631"/>
  <c r="D1630"/>
  <c r="D1629"/>
  <c r="D1628"/>
  <c r="D1627"/>
  <c r="D1626"/>
  <c r="D1625"/>
  <c r="D1624"/>
  <c r="D1623"/>
  <c r="D1622"/>
  <c r="D1621"/>
  <c r="D1620"/>
  <c r="D1619"/>
  <c r="D1618"/>
  <c r="D1617"/>
  <c r="D1616"/>
  <c r="D1615"/>
  <c r="D1614"/>
  <c r="D1613"/>
  <c r="D1612"/>
  <c r="D1611"/>
  <c r="D1610"/>
  <c r="D1609"/>
  <c r="D1608"/>
  <c r="D1607"/>
  <c r="D1606"/>
  <c r="D1605"/>
  <c r="D1604"/>
  <c r="D1603"/>
  <c r="D1602"/>
  <c r="D1601"/>
  <c r="D1600"/>
  <c r="D1599"/>
  <c r="D1598"/>
  <c r="D1597"/>
  <c r="D1596"/>
  <c r="D1595"/>
  <c r="D1594"/>
  <c r="D1593"/>
  <c r="D1592"/>
  <c r="D1591"/>
  <c r="D1590"/>
  <c r="D1589"/>
  <c r="D1588"/>
  <c r="D1587"/>
  <c r="D1586"/>
  <c r="D1585"/>
  <c r="D1584"/>
  <c r="D1583"/>
  <c r="D1582"/>
  <c r="D1581"/>
  <c r="D1580"/>
  <c r="D1579"/>
  <c r="D1578"/>
  <c r="D1577"/>
  <c r="D1576"/>
  <c r="D1575"/>
  <c r="D1574"/>
  <c r="D1573"/>
  <c r="D1572"/>
  <c r="D1571"/>
  <c r="D1570"/>
  <c r="D1569"/>
  <c r="D1568"/>
  <c r="D1567"/>
  <c r="D1566"/>
  <c r="D1565"/>
  <c r="D1564"/>
  <c r="D1563"/>
  <c r="D1562"/>
  <c r="D1561"/>
  <c r="D1560"/>
  <c r="D1559"/>
  <c r="D1558"/>
  <c r="D1557"/>
  <c r="D1556"/>
  <c r="D1555"/>
  <c r="D1554"/>
  <c r="D1553"/>
  <c r="D1552"/>
  <c r="D1551"/>
  <c r="D1550"/>
  <c r="D1549"/>
  <c r="D1548"/>
  <c r="D1547"/>
  <c r="D1546"/>
  <c r="D1545"/>
  <c r="D1544"/>
  <c r="D1543"/>
  <c r="D1542"/>
  <c r="D1541"/>
  <c r="D1540"/>
  <c r="D1539"/>
  <c r="D1538"/>
  <c r="D1537"/>
  <c r="D1536"/>
  <c r="D1535"/>
  <c r="D1534"/>
  <c r="D1533"/>
  <c r="D1532"/>
  <c r="D1531"/>
  <c r="D1530"/>
  <c r="D1529"/>
  <c r="D1528"/>
  <c r="D1527"/>
  <c r="D1526"/>
  <c r="D1525"/>
  <c r="D1524"/>
  <c r="D1523"/>
  <c r="D1522"/>
  <c r="D1521"/>
  <c r="D1520"/>
  <c r="D1519"/>
  <c r="D1518"/>
  <c r="D1517"/>
  <c r="D1516"/>
  <c r="D1515"/>
  <c r="D1514"/>
  <c r="D1513"/>
  <c r="D1512"/>
  <c r="D1511"/>
  <c r="D1510"/>
  <c r="D1509"/>
  <c r="D1508"/>
  <c r="D1507"/>
  <c r="D1506"/>
  <c r="D1505"/>
  <c r="D1504"/>
  <c r="D1503"/>
  <c r="D1502"/>
  <c r="D1501"/>
  <c r="D1500"/>
  <c r="D1499"/>
  <c r="D1498"/>
  <c r="D1497"/>
  <c r="D1496"/>
  <c r="D1495"/>
  <c r="D1494"/>
  <c r="D1493"/>
  <c r="D1492"/>
  <c r="D1491"/>
  <c r="D1490"/>
  <c r="D1489"/>
  <c r="D1488"/>
  <c r="D1487"/>
  <c r="D1486"/>
  <c r="D1485"/>
  <c r="D1484"/>
  <c r="D1483"/>
  <c r="D1482"/>
  <c r="D1481"/>
  <c r="D1480"/>
  <c r="D1479"/>
  <c r="D1478"/>
  <c r="D1477"/>
  <c r="D1476"/>
  <c r="D1475"/>
  <c r="D1474"/>
  <c r="D1473"/>
  <c r="D1472"/>
  <c r="D1471"/>
  <c r="D1470"/>
  <c r="D1469"/>
  <c r="D1468"/>
  <c r="D1467"/>
  <c r="D1466"/>
  <c r="D1465"/>
  <c r="D1464"/>
  <c r="D1463"/>
  <c r="D1462"/>
  <c r="D1461"/>
  <c r="D1460"/>
  <c r="D1459"/>
  <c r="D1458"/>
  <c r="D1457"/>
  <c r="D1456"/>
  <c r="D1455"/>
  <c r="D1454"/>
  <c r="D1453"/>
  <c r="D1452"/>
  <c r="D1451"/>
  <c r="D1450"/>
  <c r="D1449"/>
  <c r="D1448"/>
  <c r="D1447"/>
  <c r="D1446"/>
  <c r="D1445"/>
  <c r="D1444"/>
  <c r="D1443"/>
  <c r="D1442"/>
  <c r="D1441"/>
  <c r="D1440"/>
  <c r="D1439"/>
  <c r="D1438"/>
  <c r="D1437"/>
  <c r="D1436"/>
  <c r="D1435"/>
  <c r="D1434"/>
  <c r="D1433"/>
  <c r="D1432"/>
  <c r="D1431"/>
  <c r="D1430"/>
  <c r="D1429"/>
  <c r="D1428"/>
  <c r="D1427"/>
  <c r="D1426"/>
  <c r="D1425"/>
  <c r="D1424"/>
  <c r="D1423"/>
  <c r="D1422"/>
  <c r="D1421"/>
  <c r="D1420"/>
  <c r="D1419"/>
  <c r="D1418"/>
  <c r="D1417"/>
  <c r="D1416"/>
  <c r="D1415"/>
  <c r="D1414"/>
  <c r="D1413"/>
  <c r="D1412"/>
  <c r="D1411"/>
  <c r="D1410"/>
  <c r="D1409"/>
  <c r="D1408"/>
  <c r="D1407"/>
  <c r="D1406"/>
  <c r="D1405"/>
  <c r="D1404"/>
  <c r="D1403"/>
  <c r="D1402"/>
  <c r="D1401"/>
  <c r="D1400"/>
  <c r="D1399"/>
  <c r="D1398"/>
  <c r="D1397"/>
  <c r="D1396"/>
  <c r="D1395"/>
  <c r="D1394"/>
  <c r="D1393"/>
  <c r="D1392"/>
  <c r="D1391"/>
  <c r="D1390"/>
  <c r="D1389"/>
  <c r="D1388"/>
  <c r="D1387"/>
  <c r="D1386"/>
  <c r="D1385"/>
  <c r="D1384"/>
  <c r="D1383"/>
  <c r="D1382"/>
  <c r="D1381"/>
  <c r="D1380"/>
  <c r="D1379"/>
  <c r="D1378"/>
  <c r="D1377"/>
  <c r="D1376"/>
  <c r="D1375"/>
  <c r="D1374"/>
  <c r="D1373"/>
  <c r="D1372"/>
  <c r="D1371"/>
  <c r="D1370"/>
  <c r="D1369"/>
  <c r="D1368"/>
  <c r="D1367"/>
  <c r="D1366"/>
  <c r="D1365"/>
  <c r="D1364"/>
  <c r="D1363"/>
  <c r="D1362"/>
  <c r="D1361"/>
  <c r="D1360"/>
  <c r="D1359"/>
  <c r="D1358"/>
  <c r="D1357"/>
  <c r="D1356"/>
  <c r="D1355"/>
  <c r="D1354"/>
  <c r="D1353"/>
  <c r="D1352"/>
  <c r="D1351"/>
  <c r="D1350"/>
  <c r="D1349"/>
  <c r="D1348"/>
  <c r="D1347"/>
  <c r="D1346"/>
  <c r="D1345"/>
  <c r="D1344"/>
  <c r="D1343"/>
  <c r="D1342"/>
  <c r="D1341"/>
  <c r="D1340"/>
  <c r="D1339"/>
  <c r="D1338"/>
  <c r="D1337"/>
  <c r="D1336"/>
  <c r="D1335"/>
  <c r="D1334"/>
  <c r="D1333"/>
  <c r="D1332"/>
  <c r="D1331"/>
  <c r="D1330"/>
  <c r="D1329"/>
  <c r="D1328"/>
  <c r="D1327"/>
  <c r="D1326"/>
  <c r="D1325"/>
  <c r="D1324"/>
  <c r="D1323"/>
  <c r="D1322"/>
  <c r="D1321"/>
  <c r="D1320"/>
  <c r="D1319"/>
  <c r="D1318"/>
  <c r="D1317"/>
  <c r="D1316"/>
  <c r="D1315"/>
  <c r="D1314"/>
  <c r="D1313"/>
  <c r="D1312"/>
  <c r="D1311"/>
  <c r="D1310"/>
  <c r="D1309"/>
  <c r="D1308"/>
  <c r="D1307"/>
  <c r="D1306"/>
  <c r="D1305"/>
  <c r="D1304"/>
  <c r="D1303"/>
  <c r="D1302"/>
  <c r="D1301"/>
  <c r="D1300"/>
  <c r="D1299"/>
  <c r="D1298"/>
  <c r="D1297"/>
  <c r="D1296"/>
  <c r="D1295"/>
  <c r="D1294"/>
  <c r="D1293"/>
  <c r="D1292"/>
  <c r="D1291"/>
  <c r="D1290"/>
  <c r="D1289"/>
  <c r="D1288"/>
  <c r="D1287"/>
  <c r="D1286"/>
  <c r="D1285"/>
  <c r="D1284"/>
  <c r="D1283"/>
  <c r="D1282"/>
  <c r="D1281"/>
  <c r="D1280"/>
  <c r="D1279"/>
  <c r="D1278"/>
  <c r="D1277"/>
  <c r="D1276"/>
  <c r="D1275"/>
  <c r="D1274"/>
  <c r="D1273"/>
  <c r="D1272"/>
  <c r="D1271"/>
  <c r="D1270"/>
  <c r="D1269"/>
  <c r="D1268"/>
  <c r="D1267"/>
  <c r="D1266"/>
  <c r="D1265"/>
  <c r="D1264"/>
  <c r="D1263"/>
  <c r="D1262"/>
  <c r="D1261"/>
  <c r="D1260"/>
  <c r="D1259"/>
  <c r="D1258"/>
  <c r="D1257"/>
  <c r="D1256"/>
  <c r="D1255"/>
  <c r="D1254"/>
  <c r="D1253"/>
  <c r="D1252"/>
  <c r="D1251"/>
  <c r="D1250"/>
  <c r="D1249"/>
  <c r="D1248"/>
  <c r="D1247"/>
  <c r="D1246"/>
  <c r="D1245"/>
  <c r="D1244"/>
  <c r="D1243"/>
  <c r="D1242"/>
  <c r="D1241"/>
  <c r="D1240"/>
  <c r="D1239"/>
  <c r="D1238"/>
  <c r="D1237"/>
  <c r="D1236"/>
  <c r="D1235"/>
  <c r="D1234"/>
  <c r="D1233"/>
  <c r="D1232"/>
  <c r="D1231"/>
  <c r="D1230"/>
  <c r="D1229"/>
  <c r="D1228"/>
  <c r="D1227"/>
  <c r="D1226"/>
  <c r="D1225"/>
  <c r="D1224"/>
  <c r="D1223"/>
  <c r="D1222"/>
  <c r="D1221"/>
  <c r="D1220"/>
  <c r="D1219"/>
  <c r="D1218"/>
  <c r="D1217"/>
  <c r="D1216"/>
  <c r="D1215"/>
  <c r="D1214"/>
  <c r="D1213"/>
  <c r="D1212"/>
  <c r="D1211"/>
  <c r="D1210"/>
  <c r="D1209"/>
  <c r="D1208"/>
  <c r="D1207"/>
  <c r="D1206"/>
  <c r="D1205"/>
  <c r="D1204"/>
  <c r="D1203"/>
  <c r="D1202"/>
  <c r="D1201"/>
  <c r="D1200"/>
  <c r="D1199"/>
  <c r="D1198"/>
  <c r="D1197"/>
  <c r="D1196"/>
  <c r="D1195"/>
  <c r="D1194"/>
  <c r="D1193"/>
  <c r="D1192"/>
  <c r="D1191"/>
  <c r="D1190"/>
  <c r="D1189"/>
  <c r="D1188"/>
  <c r="D1187"/>
  <c r="D1186"/>
  <c r="D1185"/>
  <c r="D1184"/>
  <c r="D1183"/>
  <c r="D1182"/>
  <c r="D1181"/>
  <c r="D1180"/>
  <c r="D1179"/>
  <c r="D1178"/>
  <c r="D1177"/>
  <c r="D1176"/>
  <c r="D1175"/>
  <c r="D1174"/>
  <c r="D1173"/>
  <c r="D1172"/>
  <c r="D1171"/>
  <c r="D1170"/>
  <c r="D1169"/>
  <c r="D1168"/>
  <c r="D1167"/>
  <c r="D1166"/>
  <c r="D1165"/>
  <c r="D1164"/>
  <c r="D1163"/>
  <c r="D1162"/>
  <c r="D1161"/>
  <c r="D1160"/>
  <c r="D1159"/>
  <c r="D1158"/>
  <c r="D1157"/>
  <c r="D1156"/>
  <c r="D1155"/>
  <c r="D1154"/>
  <c r="D1153"/>
  <c r="D1152"/>
  <c r="D1151"/>
  <c r="D1150"/>
  <c r="D1149"/>
  <c r="D1148"/>
  <c r="D1147"/>
  <c r="D1146"/>
  <c r="D1145"/>
  <c r="D1144"/>
  <c r="D1143"/>
  <c r="D1142"/>
  <c r="D1141"/>
  <c r="D1140"/>
  <c r="D1139"/>
  <c r="D1138"/>
  <c r="D1137"/>
  <c r="D1136"/>
  <c r="D1135"/>
  <c r="D1134"/>
  <c r="D1133"/>
  <c r="D1132"/>
  <c r="D1131"/>
  <c r="D1130"/>
  <c r="D1129"/>
  <c r="D1128"/>
  <c r="D1127"/>
  <c r="D1126"/>
  <c r="D1125"/>
  <c r="D1124"/>
  <c r="D1123"/>
  <c r="D1122"/>
  <c r="D1121"/>
  <c r="D1120"/>
  <c r="D1119"/>
  <c r="D1118"/>
  <c r="D1117"/>
  <c r="D1116"/>
  <c r="D1115"/>
  <c r="D1114"/>
  <c r="D1113"/>
  <c r="D1112"/>
  <c r="D1111"/>
  <c r="D1110"/>
  <c r="D1109"/>
  <c r="D1108"/>
  <c r="D1107"/>
  <c r="D1106"/>
  <c r="D1105"/>
  <c r="D1104"/>
  <c r="D1103"/>
  <c r="D1102"/>
  <c r="D1101"/>
  <c r="D1100"/>
  <c r="D1099"/>
  <c r="D1098"/>
  <c r="D1097"/>
  <c r="D1096"/>
  <c r="D1095"/>
  <c r="D1094"/>
  <c r="D1093"/>
  <c r="D1092"/>
  <c r="D1091"/>
  <c r="D1090"/>
  <c r="D1089"/>
  <c r="D1088"/>
  <c r="D1087"/>
  <c r="D1086"/>
  <c r="D1085"/>
  <c r="D1084"/>
  <c r="D1083"/>
  <c r="D1082"/>
  <c r="D1081"/>
  <c r="D1080"/>
  <c r="D1079"/>
  <c r="D1078"/>
  <c r="D1077"/>
  <c r="D1076"/>
  <c r="D1075"/>
  <c r="D1074"/>
  <c r="D1073"/>
  <c r="D1072"/>
  <c r="D1071"/>
  <c r="D1070"/>
  <c r="D1069"/>
  <c r="D1068"/>
  <c r="D1067"/>
  <c r="D1066"/>
  <c r="D1065"/>
  <c r="D1064"/>
  <c r="D1063"/>
  <c r="D1062"/>
  <c r="D1061"/>
  <c r="D1060"/>
  <c r="D1059"/>
  <c r="D1058"/>
  <c r="D1057"/>
  <c r="D1056"/>
  <c r="D1055"/>
  <c r="D1054"/>
  <c r="D1053"/>
  <c r="D1052"/>
  <c r="D1051"/>
  <c r="D1050"/>
  <c r="D1049"/>
  <c r="D1048"/>
  <c r="D1047"/>
  <c r="D1046"/>
  <c r="D1045"/>
  <c r="D1044"/>
  <c r="D1043"/>
  <c r="D1042"/>
  <c r="D1041"/>
  <c r="D1040"/>
  <c r="D1039"/>
  <c r="D1038"/>
  <c r="D1037"/>
  <c r="D1036"/>
  <c r="D1035"/>
  <c r="D1034"/>
  <c r="D1033"/>
  <c r="D1032"/>
  <c r="D1031"/>
  <c r="D1030"/>
  <c r="D1029"/>
  <c r="D1028"/>
  <c r="D1027"/>
  <c r="D1026"/>
  <c r="D1025"/>
  <c r="D1024"/>
  <c r="D1023"/>
  <c r="D1022"/>
  <c r="D1021"/>
  <c r="D1020"/>
  <c r="D1019"/>
  <c r="D1018"/>
  <c r="D1017"/>
  <c r="D1016"/>
  <c r="D1015"/>
  <c r="D1014"/>
  <c r="D1013"/>
  <c r="D1012"/>
  <c r="D1011"/>
  <c r="D1010"/>
  <c r="D1009"/>
  <c r="D1008"/>
  <c r="D1007"/>
  <c r="D1006"/>
  <c r="D1005"/>
  <c r="D1004"/>
  <c r="D1003"/>
  <c r="D1002"/>
  <c r="D1001"/>
  <c r="D1000"/>
  <c r="D999"/>
  <c r="D998"/>
  <c r="D997"/>
  <c r="D996"/>
  <c r="D995"/>
  <c r="D994"/>
  <c r="D993"/>
  <c r="D992"/>
  <c r="D991"/>
  <c r="D990"/>
  <c r="D989"/>
  <c r="D988"/>
  <c r="D987"/>
  <c r="D986"/>
  <c r="D985"/>
  <c r="D984"/>
  <c r="D983"/>
  <c r="D982"/>
  <c r="D981"/>
  <c r="D980"/>
  <c r="D979"/>
  <c r="D978"/>
  <c r="D977"/>
  <c r="D976"/>
  <c r="D975"/>
  <c r="D974"/>
  <c r="D973"/>
  <c r="D972"/>
  <c r="D971"/>
  <c r="D970"/>
  <c r="D969"/>
  <c r="D968"/>
  <c r="D967"/>
  <c r="D966"/>
  <c r="D965"/>
  <c r="D964"/>
  <c r="D963"/>
  <c r="D962"/>
  <c r="D961"/>
  <c r="D960"/>
  <c r="D959"/>
  <c r="D958"/>
  <c r="D957"/>
  <c r="D956"/>
  <c r="D955"/>
  <c r="D954"/>
  <c r="D953"/>
  <c r="D952"/>
  <c r="D951"/>
  <c r="D950"/>
  <c r="D949"/>
  <c r="D948"/>
  <c r="D947"/>
  <c r="D946"/>
  <c r="D945"/>
  <c r="D944"/>
  <c r="D943"/>
  <c r="D942"/>
  <c r="D941"/>
  <c r="D940"/>
  <c r="D939"/>
  <c r="D938"/>
  <c r="D937"/>
  <c r="D936"/>
  <c r="D935"/>
  <c r="D934"/>
  <c r="D933"/>
  <c r="D932"/>
  <c r="D931"/>
  <c r="D930"/>
  <c r="D929"/>
  <c r="D928"/>
  <c r="D927"/>
  <c r="D926"/>
  <c r="D925"/>
  <c r="D924"/>
  <c r="D923"/>
  <c r="D922"/>
  <c r="D921"/>
  <c r="D920"/>
  <c r="D919"/>
  <c r="D918"/>
  <c r="D917"/>
  <c r="D916"/>
  <c r="D915"/>
  <c r="D914"/>
  <c r="D913"/>
  <c r="D912"/>
  <c r="D911"/>
  <c r="D910"/>
  <c r="D909"/>
  <c r="D908"/>
  <c r="D907"/>
  <c r="D906"/>
  <c r="D905"/>
  <c r="D904"/>
  <c r="D903"/>
  <c r="D902"/>
  <c r="D901"/>
  <c r="D900"/>
  <c r="D899"/>
  <c r="D898"/>
  <c r="D897"/>
  <c r="D896"/>
  <c r="D895"/>
  <c r="D894"/>
  <c r="D893"/>
  <c r="D892"/>
  <c r="D891"/>
  <c r="D890"/>
  <c r="D889"/>
  <c r="D888"/>
  <c r="D887"/>
  <c r="D886"/>
  <c r="D885"/>
  <c r="D884"/>
  <c r="D883"/>
  <c r="D882"/>
  <c r="D881"/>
  <c r="D880"/>
  <c r="D879"/>
  <c r="D878"/>
  <c r="D877"/>
  <c r="D876"/>
  <c r="D875"/>
  <c r="D874"/>
  <c r="D873"/>
  <c r="D872"/>
  <c r="D871"/>
  <c r="D870"/>
  <c r="D869"/>
  <c r="D868"/>
  <c r="D867"/>
  <c r="D866"/>
  <c r="D865"/>
  <c r="D864"/>
  <c r="D863"/>
  <c r="D862"/>
  <c r="D861"/>
  <c r="D860"/>
  <c r="D859"/>
  <c r="D858"/>
  <c r="D857"/>
  <c r="D856"/>
  <c r="D855"/>
  <c r="D854"/>
  <c r="D853"/>
  <c r="D852"/>
  <c r="D851"/>
  <c r="D850"/>
  <c r="D849"/>
  <c r="D848"/>
  <c r="D847"/>
  <c r="D846"/>
  <c r="D845"/>
  <c r="D844"/>
  <c r="D843"/>
  <c r="D842"/>
  <c r="D841"/>
  <c r="D840"/>
  <c r="D839"/>
  <c r="D838"/>
  <c r="D837"/>
  <c r="D836"/>
  <c r="D835"/>
  <c r="D834"/>
  <c r="D833"/>
  <c r="D832"/>
  <c r="D831"/>
  <c r="D830"/>
  <c r="D829"/>
  <c r="D828"/>
  <c r="D827"/>
  <c r="D826"/>
  <c r="D825"/>
  <c r="D824"/>
  <c r="D823"/>
  <c r="D822"/>
  <c r="D821"/>
  <c r="D820"/>
  <c r="D819"/>
  <c r="D818"/>
  <c r="D817"/>
  <c r="D816"/>
  <c r="D815"/>
  <c r="D814"/>
  <c r="D813"/>
  <c r="D812"/>
  <c r="D811"/>
  <c r="D810"/>
  <c r="D809"/>
  <c r="D808"/>
  <c r="D807"/>
  <c r="D806"/>
  <c r="D805"/>
  <c r="D804"/>
  <c r="D803"/>
  <c r="D802"/>
  <c r="D801"/>
  <c r="D800"/>
  <c r="D799"/>
  <c r="D798"/>
  <c r="D797"/>
  <c r="D796"/>
  <c r="D795"/>
  <c r="D794"/>
  <c r="D793"/>
  <c r="D792"/>
  <c r="D791"/>
  <c r="D790"/>
  <c r="D789"/>
  <c r="D788"/>
  <c r="D787"/>
  <c r="D786"/>
  <c r="D785"/>
  <c r="D784"/>
  <c r="D783"/>
  <c r="D782"/>
  <c r="D781"/>
  <c r="D780"/>
  <c r="D779"/>
  <c r="D778"/>
  <c r="D777"/>
  <c r="D776"/>
  <c r="D775"/>
  <c r="D774"/>
  <c r="D773"/>
  <c r="D772"/>
  <c r="D771"/>
  <c r="D770"/>
  <c r="D769"/>
  <c r="D768"/>
  <c r="D767"/>
  <c r="D766"/>
  <c r="D765"/>
  <c r="D764"/>
  <c r="D763"/>
  <c r="D762"/>
  <c r="D761"/>
  <c r="D760"/>
  <c r="D759"/>
  <c r="D758"/>
  <c r="D757"/>
  <c r="D756"/>
  <c r="D755"/>
  <c r="D754"/>
  <c r="D753"/>
  <c r="D752"/>
  <c r="D751"/>
  <c r="D750"/>
  <c r="D749"/>
  <c r="D748"/>
  <c r="D747"/>
  <c r="D746"/>
  <c r="D745"/>
  <c r="D744"/>
  <c r="D743"/>
  <c r="D742"/>
  <c r="D741"/>
  <c r="D740"/>
  <c r="D739"/>
  <c r="D738"/>
  <c r="D737"/>
  <c r="D736"/>
  <c r="D735"/>
  <c r="D734"/>
  <c r="D733"/>
  <c r="D732"/>
  <c r="D731"/>
  <c r="D730"/>
  <c r="D729"/>
  <c r="D728"/>
  <c r="D727"/>
  <c r="D726"/>
  <c r="D725"/>
  <c r="D724"/>
  <c r="D723"/>
  <c r="D722"/>
  <c r="D721"/>
  <c r="D720"/>
  <c r="D719"/>
  <c r="D718"/>
  <c r="D717"/>
  <c r="D716"/>
  <c r="D715"/>
  <c r="D714"/>
  <c r="D713"/>
  <c r="D712"/>
  <c r="D711"/>
  <c r="D710"/>
  <c r="D709"/>
  <c r="D708"/>
  <c r="D707"/>
  <c r="D706"/>
  <c r="D705"/>
  <c r="D704"/>
  <c r="D703"/>
  <c r="D702"/>
  <c r="D701"/>
  <c r="D700"/>
  <c r="D699"/>
  <c r="D698"/>
  <c r="D697"/>
  <c r="D696"/>
  <c r="D695"/>
  <c r="D694"/>
  <c r="D693"/>
  <c r="D692"/>
  <c r="D691"/>
  <c r="D690"/>
  <c r="D689"/>
  <c r="D688"/>
  <c r="D687"/>
  <c r="D686"/>
  <c r="D685"/>
  <c r="D684"/>
  <c r="D683"/>
  <c r="D682"/>
  <c r="D681"/>
  <c r="D680"/>
  <c r="D679"/>
  <c r="D678"/>
  <c r="D677"/>
  <c r="D676"/>
  <c r="D675"/>
  <c r="D674"/>
  <c r="D673"/>
  <c r="D672"/>
  <c r="D671"/>
  <c r="D670"/>
  <c r="D669"/>
  <c r="D668"/>
  <c r="D667"/>
  <c r="D666"/>
  <c r="D665"/>
  <c r="D664"/>
  <c r="D663"/>
  <c r="D662"/>
  <c r="D661"/>
  <c r="D660"/>
  <c r="D659"/>
  <c r="D658"/>
  <c r="D657"/>
  <c r="D656"/>
  <c r="D655"/>
  <c r="D654"/>
  <c r="D653"/>
  <c r="D652"/>
  <c r="D651"/>
  <c r="D650"/>
  <c r="D649"/>
  <c r="D648"/>
  <c r="D647"/>
  <c r="D646"/>
  <c r="D645"/>
  <c r="D644"/>
  <c r="D643"/>
  <c r="D642"/>
  <c r="D641"/>
  <c r="D640"/>
  <c r="D639"/>
  <c r="D638"/>
  <c r="D637"/>
  <c r="D636"/>
  <c r="D635"/>
  <c r="D634"/>
  <c r="D633"/>
  <c r="D632"/>
  <c r="D631"/>
  <c r="D630"/>
  <c r="D629"/>
  <c r="D628"/>
  <c r="D627"/>
  <c r="D626"/>
  <c r="D625"/>
  <c r="D624"/>
  <c r="D623"/>
  <c r="D622"/>
  <c r="D621"/>
  <c r="D620"/>
  <c r="D619"/>
  <c r="D618"/>
  <c r="D617"/>
  <c r="D616"/>
  <c r="D615"/>
  <c r="D614"/>
  <c r="D613"/>
  <c r="D612"/>
  <c r="D611"/>
  <c r="D610"/>
  <c r="D609"/>
  <c r="D608"/>
  <c r="D607"/>
  <c r="D606"/>
  <c r="D605"/>
  <c r="D604"/>
  <c r="D603"/>
  <c r="D602"/>
  <c r="D601"/>
  <c r="D600"/>
  <c r="D599"/>
  <c r="D598"/>
  <c r="D597"/>
  <c r="D596"/>
  <c r="D595"/>
  <c r="D594"/>
  <c r="D593"/>
  <c r="D592"/>
  <c r="D591"/>
  <c r="D590"/>
  <c r="D589"/>
  <c r="D588"/>
  <c r="D587"/>
  <c r="D586"/>
  <c r="D585"/>
  <c r="D584"/>
  <c r="D583"/>
  <c r="D582"/>
  <c r="D581"/>
  <c r="D580"/>
  <c r="D579"/>
  <c r="D578"/>
  <c r="D577"/>
  <c r="D576"/>
  <c r="D575"/>
  <c r="D574"/>
  <c r="D573"/>
  <c r="D572"/>
  <c r="D571"/>
  <c r="D570"/>
  <c r="D569"/>
  <c r="D568"/>
  <c r="D567"/>
  <c r="D566"/>
  <c r="D565"/>
  <c r="D564"/>
  <c r="D563"/>
  <c r="D562"/>
  <c r="D561"/>
  <c r="D560"/>
  <c r="D559"/>
  <c r="D558"/>
  <c r="D557"/>
  <c r="D556"/>
  <c r="D555"/>
  <c r="D554"/>
  <c r="D553"/>
  <c r="D552"/>
  <c r="D551"/>
  <c r="D550"/>
  <c r="D549"/>
  <c r="D548"/>
  <c r="D547"/>
  <c r="D546"/>
  <c r="D545"/>
  <c r="D544"/>
  <c r="D543"/>
  <c r="D542"/>
  <c r="D541"/>
  <c r="D540"/>
  <c r="D539"/>
  <c r="D538"/>
  <c r="D537"/>
  <c r="D536"/>
  <c r="D535"/>
  <c r="D534"/>
  <c r="D533"/>
  <c r="D532"/>
  <c r="D531"/>
  <c r="D530"/>
  <c r="D529"/>
  <c r="D528"/>
  <c r="D527"/>
  <c r="D526"/>
  <c r="D525"/>
  <c r="D524"/>
  <c r="D523"/>
  <c r="D522"/>
  <c r="D521"/>
  <c r="D520"/>
  <c r="D519"/>
  <c r="D518"/>
  <c r="D517"/>
  <c r="D516"/>
  <c r="D515"/>
  <c r="D514"/>
  <c r="D513"/>
  <c r="D512"/>
  <c r="D511"/>
  <c r="D510"/>
  <c r="D509"/>
  <c r="D508"/>
  <c r="D507"/>
  <c r="D506"/>
  <c r="D505"/>
  <c r="D504"/>
  <c r="D503"/>
  <c r="D502"/>
  <c r="D501"/>
  <c r="D500"/>
  <c r="D499"/>
  <c r="D498"/>
  <c r="D497"/>
  <c r="D496"/>
  <c r="D495"/>
  <c r="D494"/>
  <c r="D493"/>
  <c r="D492"/>
  <c r="D491"/>
  <c r="D490"/>
  <c r="D489"/>
  <c r="D488"/>
  <c r="D487"/>
  <c r="D486"/>
  <c r="D485"/>
  <c r="D484"/>
  <c r="D483"/>
  <c r="D482"/>
  <c r="D481"/>
  <c r="D480"/>
  <c r="D479"/>
  <c r="D478"/>
  <c r="D477"/>
  <c r="D476"/>
  <c r="D475"/>
  <c r="D474"/>
  <c r="D473"/>
  <c r="D472"/>
  <c r="D471"/>
  <c r="D470"/>
  <c r="D469"/>
  <c r="D468"/>
  <c r="D467"/>
  <c r="D466"/>
  <c r="D465"/>
  <c r="D464"/>
  <c r="D463"/>
  <c r="D462"/>
  <c r="D461"/>
  <c r="D460"/>
  <c r="D459"/>
  <c r="D458"/>
  <c r="D457"/>
  <c r="D456"/>
  <c r="D455"/>
  <c r="D454"/>
  <c r="D453"/>
  <c r="D452"/>
  <c r="D451"/>
  <c r="D450"/>
  <c r="D449"/>
  <c r="D448"/>
  <c r="D447"/>
  <c r="D446"/>
  <c r="D445"/>
  <c r="D444"/>
  <c r="D443"/>
  <c r="D442"/>
  <c r="D441"/>
  <c r="D440"/>
  <c r="D439"/>
  <c r="D438"/>
  <c r="D437"/>
  <c r="D436"/>
  <c r="D435"/>
  <c r="D434"/>
  <c r="D433"/>
  <c r="D432"/>
  <c r="D431"/>
  <c r="D430"/>
  <c r="D429"/>
  <c r="D428"/>
  <c r="D427"/>
  <c r="D426"/>
  <c r="D425"/>
  <c r="D424"/>
  <c r="D423"/>
  <c r="D422"/>
  <c r="D421"/>
  <c r="D420"/>
  <c r="D419"/>
  <c r="D418"/>
  <c r="D417"/>
  <c r="D416"/>
  <c r="D415"/>
  <c r="D414"/>
  <c r="D413"/>
  <c r="D412"/>
  <c r="D411"/>
  <c r="D410"/>
  <c r="D409"/>
  <c r="D408"/>
  <c r="D407"/>
  <c r="D406"/>
  <c r="D405"/>
  <c r="D404"/>
  <c r="D403"/>
  <c r="D402"/>
  <c r="D401"/>
  <c r="D400"/>
  <c r="D399"/>
  <c r="D398"/>
  <c r="D397"/>
  <c r="D396"/>
  <c r="D395"/>
  <c r="D394"/>
  <c r="D393"/>
  <c r="D392"/>
  <c r="D391"/>
  <c r="D390"/>
  <c r="D389"/>
  <c r="D388"/>
  <c r="D387"/>
  <c r="D386"/>
  <c r="D385"/>
  <c r="D384"/>
  <c r="D383"/>
  <c r="D382"/>
  <c r="D381"/>
  <c r="D380"/>
  <c r="D379"/>
  <c r="D378"/>
  <c r="D377"/>
  <c r="D376"/>
  <c r="D375"/>
  <c r="D374"/>
  <c r="D373"/>
  <c r="D372"/>
  <c r="D371"/>
  <c r="D370"/>
  <c r="D369"/>
  <c r="D368"/>
  <c r="D367"/>
  <c r="D366"/>
  <c r="D365"/>
  <c r="D364"/>
  <c r="D363"/>
  <c r="D362"/>
  <c r="D361"/>
  <c r="D360"/>
  <c r="D359"/>
  <c r="D358"/>
  <c r="D357"/>
  <c r="D356"/>
  <c r="D355"/>
  <c r="D354"/>
  <c r="D353"/>
  <c r="D352"/>
  <c r="D351"/>
  <c r="D350"/>
  <c r="D349"/>
  <c r="D348"/>
  <c r="D347"/>
  <c r="D346"/>
  <c r="D345"/>
  <c r="D344"/>
  <c r="D343"/>
  <c r="D342"/>
  <c r="D341"/>
  <c r="D340"/>
  <c r="D339"/>
  <c r="D338"/>
  <c r="D337"/>
  <c r="D336"/>
  <c r="D335"/>
  <c r="D334"/>
  <c r="D333"/>
  <c r="D332"/>
  <c r="D331"/>
  <c r="D330"/>
  <c r="D329"/>
  <c r="D328"/>
  <c r="D327"/>
  <c r="D326"/>
  <c r="D325"/>
  <c r="D324"/>
  <c r="D323"/>
  <c r="D322"/>
  <c r="D321"/>
  <c r="D320"/>
  <c r="D319"/>
  <c r="D318"/>
  <c r="D317"/>
  <c r="D316"/>
  <c r="D315"/>
  <c r="D314"/>
  <c r="D313"/>
  <c r="D312"/>
  <c r="D311"/>
  <c r="D310"/>
  <c r="D309"/>
  <c r="D308"/>
  <c r="D307"/>
  <c r="D306"/>
  <c r="D305"/>
  <c r="D304"/>
  <c r="D303"/>
  <c r="D302"/>
  <c r="D301"/>
  <c r="D300"/>
  <c r="D299"/>
  <c r="D298"/>
  <c r="D297"/>
  <c r="D296"/>
  <c r="D295"/>
  <c r="D294"/>
  <c r="D293"/>
  <c r="D292"/>
  <c r="D291"/>
  <c r="D290"/>
  <c r="D289"/>
  <c r="D288"/>
  <c r="D287"/>
  <c r="D286"/>
  <c r="D285"/>
  <c r="D284"/>
  <c r="D283"/>
  <c r="D282"/>
  <c r="D281"/>
  <c r="D280"/>
  <c r="D279"/>
  <c r="D278"/>
  <c r="D277"/>
  <c r="D276"/>
  <c r="D275"/>
  <c r="D274"/>
  <c r="D273"/>
  <c r="D272"/>
  <c r="D271"/>
  <c r="D270"/>
  <c r="D269"/>
  <c r="D268"/>
  <c r="D267"/>
  <c r="D266"/>
  <c r="D265"/>
  <c r="D264"/>
  <c r="D263"/>
  <c r="D262"/>
  <c r="D261"/>
  <c r="D260"/>
  <c r="D259"/>
  <c r="D258"/>
  <c r="D257"/>
  <c r="D256"/>
  <c r="D255"/>
  <c r="D254"/>
  <c r="D253"/>
  <c r="D252"/>
  <c r="D251"/>
  <c r="D250"/>
  <c r="D249"/>
  <c r="D248"/>
  <c r="D247"/>
  <c r="D246"/>
  <c r="D245"/>
  <c r="D244"/>
  <c r="D243"/>
  <c r="D242"/>
  <c r="D241"/>
  <c r="D240"/>
  <c r="D239"/>
  <c r="D238"/>
  <c r="D237"/>
  <c r="D236"/>
  <c r="D235"/>
  <c r="D234"/>
  <c r="D233"/>
  <c r="D232"/>
  <c r="D231"/>
  <c r="D230"/>
  <c r="D229"/>
  <c r="D228"/>
  <c r="D227"/>
  <c r="D226"/>
  <c r="D225"/>
  <c r="D224"/>
  <c r="D223"/>
  <c r="D222"/>
  <c r="D221"/>
  <c r="D220"/>
  <c r="D219"/>
  <c r="D218"/>
  <c r="D217"/>
  <c r="D216"/>
  <c r="D215"/>
  <c r="D214"/>
  <c r="D213"/>
  <c r="D212"/>
  <c r="D211"/>
  <c r="D210"/>
  <c r="D209"/>
  <c r="D208"/>
  <c r="D207"/>
  <c r="D206"/>
  <c r="D205"/>
  <c r="D204"/>
  <c r="D203"/>
  <c r="D202"/>
  <c r="D201"/>
  <c r="D200"/>
  <c r="D199"/>
  <c r="D198"/>
  <c r="D197"/>
  <c r="D196"/>
  <c r="D195"/>
  <c r="D194"/>
  <c r="D193"/>
  <c r="D192"/>
  <c r="D191"/>
  <c r="D190"/>
  <c r="D189"/>
  <c r="D188"/>
  <c r="D187"/>
  <c r="D186"/>
  <c r="D185"/>
  <c r="D184"/>
  <c r="D183"/>
  <c r="D182"/>
  <c r="D181"/>
  <c r="D180"/>
  <c r="D179"/>
  <c r="D178"/>
  <c r="D177"/>
  <c r="D176"/>
  <c r="D175"/>
  <c r="D174"/>
  <c r="D173"/>
  <c r="D172"/>
  <c r="D171"/>
  <c r="D170"/>
  <c r="D169"/>
  <c r="D168"/>
  <c r="D167"/>
  <c r="D166"/>
  <c r="D165"/>
  <c r="D164"/>
  <c r="D163"/>
  <c r="D162"/>
  <c r="D161"/>
  <c r="D160"/>
  <c r="D159"/>
  <c r="D158"/>
  <c r="D157"/>
  <c r="D156"/>
  <c r="D155"/>
  <c r="D154"/>
  <c r="D153"/>
  <c r="D152"/>
  <c r="D151"/>
  <c r="D150"/>
  <c r="D149"/>
  <c r="D148"/>
  <c r="D147"/>
  <c r="D146"/>
  <c r="D145"/>
  <c r="D144"/>
  <c r="D143"/>
  <c r="D142"/>
  <c r="D141"/>
  <c r="D140"/>
  <c r="D139"/>
  <c r="D138"/>
  <c r="D137"/>
  <c r="D136"/>
  <c r="D135"/>
  <c r="D134"/>
  <c r="D133"/>
  <c r="D132"/>
  <c r="D131"/>
  <c r="D130"/>
  <c r="D129"/>
  <c r="D128"/>
  <c r="D127"/>
  <c r="D126"/>
  <c r="D125"/>
  <c r="D124"/>
  <c r="D123"/>
  <c r="D122"/>
  <c r="D121"/>
  <c r="D120"/>
  <c r="D119"/>
  <c r="D118"/>
  <c r="D117"/>
  <c r="D116"/>
  <c r="D115"/>
  <c r="D114"/>
  <c r="D113"/>
  <c r="D112"/>
  <c r="D111"/>
  <c r="D110"/>
  <c r="D109"/>
  <c r="D108"/>
  <c r="D107"/>
  <c r="D106"/>
  <c r="D105"/>
  <c r="D104"/>
  <c r="D103"/>
  <c r="D102"/>
  <c r="D101"/>
  <c r="D100"/>
  <c r="D99"/>
  <c r="D98"/>
  <c r="D97"/>
  <c r="D96"/>
  <c r="D95"/>
  <c r="D94"/>
  <c r="D93"/>
  <c r="D92"/>
  <c r="D91"/>
  <c r="D90"/>
  <c r="D89"/>
  <c r="D88"/>
  <c r="D87"/>
  <c r="D86"/>
  <c r="D85"/>
  <c r="D84"/>
  <c r="D83"/>
  <c r="D82"/>
  <c r="D81"/>
  <c r="D80"/>
  <c r="D79"/>
  <c r="D78"/>
  <c r="D77"/>
  <c r="D76"/>
  <c r="D75"/>
  <c r="D74"/>
  <c r="D73"/>
  <c r="D72"/>
  <c r="D71"/>
  <c r="D70"/>
  <c r="D69"/>
  <c r="D68"/>
  <c r="D67"/>
  <c r="D66"/>
  <c r="D65"/>
  <c r="D64"/>
  <c r="D63"/>
  <c r="D62"/>
  <c r="D61"/>
  <c r="D60"/>
  <c r="D59"/>
  <c r="D58"/>
  <c r="D57"/>
  <c r="D56"/>
  <c r="D55"/>
  <c r="D54"/>
  <c r="D53"/>
  <c r="D52"/>
  <c r="D51"/>
  <c r="D50"/>
  <c r="D49"/>
  <c r="D48"/>
  <c r="D47"/>
  <c r="D46"/>
  <c r="D45"/>
  <c r="D44"/>
  <c r="D43"/>
  <c r="D42"/>
  <c r="D41"/>
  <c r="D40"/>
  <c r="D39"/>
  <c r="D38"/>
  <c r="D37"/>
  <c r="D36"/>
  <c r="D35"/>
  <c r="D34"/>
  <c r="D33"/>
  <c r="D32"/>
  <c r="D31"/>
  <c r="D30"/>
  <c r="D29"/>
  <c r="D28"/>
  <c r="D27"/>
  <c r="D26"/>
  <c r="D25"/>
  <c r="D24"/>
  <c r="D23"/>
  <c r="D22"/>
  <c r="D21"/>
  <c r="D20"/>
  <c r="D19"/>
  <c r="D18"/>
  <c r="D17"/>
  <c r="D16"/>
  <c r="D15"/>
  <c r="D14"/>
  <c r="D13"/>
  <c r="D12"/>
  <c r="D11"/>
  <c r="D10"/>
  <c r="D9"/>
  <c r="D8"/>
  <c r="D7"/>
  <c r="D6"/>
  <c r="D5"/>
  <c r="D4"/>
  <c r="D3"/>
  <c r="D2"/>
  <c r="A38"/>
  <c r="A37"/>
  <c r="A36"/>
  <c r="A35"/>
  <c r="A34"/>
  <c r="A33"/>
  <c r="A32"/>
  <c r="A31"/>
  <c r="A30"/>
  <c r="A29"/>
  <c r="A28"/>
  <c r="A27"/>
  <c r="A26"/>
  <c r="A25"/>
  <c r="A24"/>
  <c r="A23"/>
  <c r="A22"/>
  <c r="A21"/>
  <c r="A20"/>
  <c r="A19"/>
  <c r="A18"/>
  <c r="A17"/>
  <c r="A16"/>
  <c r="A15"/>
  <c r="A14"/>
  <c r="A13"/>
  <c r="A12"/>
  <c r="A11"/>
  <c r="A10"/>
  <c r="A9"/>
  <c r="A8"/>
  <c r="A7"/>
  <c r="A6"/>
  <c r="A5"/>
  <c r="A4"/>
  <c r="A3"/>
  <c r="A2"/>
  <c r="V21" i="1" l="1"/>
  <c r="U21"/>
  <c r="T21"/>
  <c r="S21"/>
  <c r="R21"/>
  <c r="Q21"/>
  <c r="P21"/>
  <c r="O21"/>
  <c r="V20"/>
  <c r="U20"/>
  <c r="T20"/>
  <c r="S20"/>
  <c r="R20"/>
  <c r="Q20"/>
  <c r="P20"/>
  <c r="O20"/>
  <c r="V19"/>
  <c r="U19"/>
  <c r="T19"/>
  <c r="S19"/>
  <c r="R19"/>
  <c r="Q19"/>
  <c r="P19"/>
  <c r="O19"/>
  <c r="V18"/>
  <c r="U18"/>
  <c r="T18"/>
  <c r="S18"/>
  <c r="R18"/>
  <c r="Q18"/>
  <c r="P18"/>
  <c r="O18"/>
  <c r="V15"/>
  <c r="U15"/>
  <c r="T15"/>
  <c r="S15"/>
  <c r="R15"/>
  <c r="Q15"/>
  <c r="P15"/>
  <c r="O15"/>
  <c r="V14"/>
  <c r="U14"/>
  <c r="T14"/>
  <c r="S14"/>
  <c r="R14"/>
  <c r="Q14"/>
  <c r="P14"/>
  <c r="O14"/>
  <c r="V13"/>
  <c r="U13"/>
  <c r="T13"/>
  <c r="S13"/>
  <c r="R13"/>
  <c r="Q13"/>
  <c r="P13"/>
  <c r="O13"/>
  <c r="V12"/>
  <c r="U12"/>
  <c r="T12"/>
  <c r="S12"/>
  <c r="R12"/>
  <c r="Q12"/>
  <c r="P12"/>
  <c r="O12"/>
  <c r="V11"/>
  <c r="U11"/>
  <c r="T11"/>
  <c r="S11"/>
  <c r="R11"/>
  <c r="Q11"/>
  <c r="P11"/>
  <c r="O11"/>
  <c r="V10"/>
  <c r="U10"/>
  <c r="T10"/>
  <c r="S10"/>
  <c r="R10"/>
  <c r="Q10"/>
  <c r="P10"/>
  <c r="O10"/>
  <c r="V9"/>
  <c r="U9"/>
  <c r="T9"/>
  <c r="S9"/>
  <c r="R9"/>
  <c r="Q9"/>
  <c r="P9"/>
  <c r="O9"/>
  <c r="V8"/>
  <c r="U8"/>
  <c r="T8"/>
  <c r="S8"/>
  <c r="R8"/>
  <c r="Q8"/>
  <c r="P8"/>
  <c r="O8"/>
  <c r="V7"/>
  <c r="U7"/>
  <c r="T7"/>
  <c r="S7"/>
  <c r="R7"/>
  <c r="Q7"/>
  <c r="P7"/>
  <c r="O7"/>
  <c r="V6"/>
  <c r="U6"/>
  <c r="T6"/>
  <c r="S6"/>
  <c r="R6"/>
  <c r="Q6"/>
  <c r="P6"/>
  <c r="O6"/>
  <c r="V5"/>
  <c r="U5"/>
  <c r="T5"/>
  <c r="S5"/>
  <c r="R5"/>
  <c r="Q5"/>
  <c r="P5"/>
  <c r="O5"/>
  <c r="V4"/>
  <c r="U4"/>
  <c r="T4"/>
  <c r="S4"/>
  <c r="R4"/>
  <c r="Q4"/>
  <c r="P4"/>
  <c r="O4"/>
  <c r="V3"/>
  <c r="U3"/>
  <c r="T3"/>
  <c r="S3"/>
  <c r="R3"/>
  <c r="Q3"/>
  <c r="P3"/>
  <c r="O3"/>
  <c r="P43" i="23"/>
  <c r="P42"/>
  <c r="P41"/>
  <c r="P40"/>
  <c r="P39"/>
  <c r="P38"/>
  <c r="P37"/>
  <c r="P36"/>
  <c r="P35"/>
  <c r="P34"/>
  <c r="P33"/>
  <c r="P32"/>
  <c r="P31"/>
  <c r="P30"/>
  <c r="P29"/>
  <c r="P28"/>
  <c r="P27"/>
  <c r="P26"/>
  <c r="P25"/>
  <c r="P24"/>
  <c r="P23"/>
  <c r="P22"/>
  <c r="P21"/>
  <c r="P20"/>
  <c r="P19"/>
  <c r="P18"/>
  <c r="P17"/>
  <c r="P16"/>
  <c r="P15"/>
  <c r="P14"/>
  <c r="P13"/>
  <c r="P12"/>
  <c r="P11"/>
  <c r="P10"/>
  <c r="P9"/>
  <c r="P8"/>
  <c r="P7"/>
  <c r="P6"/>
  <c r="P5"/>
  <c r="P4"/>
  <c r="P3"/>
  <c r="P2"/>
  <c r="AIJ29" i="1" l="1"/>
  <c r="O22" i="2"/>
  <c r="O19"/>
  <c r="O7"/>
  <c r="O12"/>
  <c r="O5"/>
  <c r="O8"/>
  <c r="O9"/>
  <c r="O21"/>
  <c r="O20"/>
  <c r="O18"/>
  <c r="O4"/>
  <c r="O15"/>
  <c r="O11"/>
  <c r="O14"/>
  <c r="O6"/>
  <c r="O10"/>
  <c r="O16"/>
  <c r="O17"/>
  <c r="O13"/>
  <c r="G22"/>
  <c r="F22"/>
  <c r="E22"/>
  <c r="D22"/>
  <c r="C22"/>
  <c r="G19"/>
  <c r="F19"/>
  <c r="E19"/>
  <c r="D19"/>
  <c r="C19"/>
  <c r="G7"/>
  <c r="F7"/>
  <c r="E7"/>
  <c r="D7"/>
  <c r="C7"/>
  <c r="G12"/>
  <c r="F12"/>
  <c r="E12"/>
  <c r="D12"/>
  <c r="C12"/>
  <c r="G5"/>
  <c r="F5"/>
  <c r="E5"/>
  <c r="D5"/>
  <c r="C5"/>
  <c r="G8"/>
  <c r="F8"/>
  <c r="E8"/>
  <c r="D8"/>
  <c r="C8"/>
  <c r="G9"/>
  <c r="F9"/>
  <c r="E9"/>
  <c r="D9"/>
  <c r="C9"/>
  <c r="G21"/>
  <c r="F21"/>
  <c r="E21"/>
  <c r="D21"/>
  <c r="C21"/>
  <c r="G20"/>
  <c r="F20"/>
  <c r="E20"/>
  <c r="D20"/>
  <c r="C20"/>
  <c r="G18"/>
  <c r="F18"/>
  <c r="E18"/>
  <c r="D18"/>
  <c r="C18"/>
  <c r="G4"/>
  <c r="F4"/>
  <c r="E4"/>
  <c r="D4"/>
  <c r="C4"/>
  <c r="G15"/>
  <c r="F15"/>
  <c r="E15"/>
  <c r="D15"/>
  <c r="C15"/>
  <c r="G11"/>
  <c r="F11"/>
  <c r="E11"/>
  <c r="D11"/>
  <c r="C11"/>
  <c r="G14"/>
  <c r="F14"/>
  <c r="E14"/>
  <c r="D14"/>
  <c r="C14"/>
  <c r="G6"/>
  <c r="F6"/>
  <c r="E6"/>
  <c r="D6"/>
  <c r="C6"/>
  <c r="G10"/>
  <c r="F10"/>
  <c r="E10"/>
  <c r="D10"/>
  <c r="C10"/>
  <c r="G16"/>
  <c r="F16"/>
  <c r="E16"/>
  <c r="D16"/>
  <c r="C16"/>
  <c r="G17"/>
  <c r="F17"/>
  <c r="E17"/>
  <c r="D17"/>
  <c r="C17"/>
  <c r="G13"/>
  <c r="F13"/>
  <c r="E13"/>
  <c r="D13"/>
  <c r="C13"/>
  <c r="AI28" i="1"/>
  <c r="AK32"/>
  <c r="AJ32"/>
  <c r="AI35"/>
  <c r="AI34"/>
  <c r="AI33"/>
  <c r="AI32"/>
  <c r="AI31"/>
  <c r="AI30"/>
  <c r="K64" i="37"/>
  <c r="J64"/>
  <c r="I64"/>
  <c r="H64"/>
  <c r="G64"/>
  <c r="K63"/>
  <c r="J63"/>
  <c r="I63"/>
  <c r="H63"/>
  <c r="G63"/>
  <c r="K62"/>
  <c r="J62"/>
  <c r="I62"/>
  <c r="H62"/>
  <c r="G62"/>
  <c r="K61"/>
  <c r="J61"/>
  <c r="I61"/>
  <c r="H61"/>
  <c r="G61"/>
  <c r="K60"/>
  <c r="J60"/>
  <c r="I60"/>
  <c r="H60"/>
  <c r="G60"/>
  <c r="K59"/>
  <c r="J59"/>
  <c r="I59"/>
  <c r="H59"/>
  <c r="G59"/>
  <c r="K58"/>
  <c r="J58"/>
  <c r="I58"/>
  <c r="H58"/>
  <c r="G58"/>
  <c r="K57"/>
  <c r="J57"/>
  <c r="I57"/>
  <c r="H57"/>
  <c r="G57"/>
  <c r="K56"/>
  <c r="J56"/>
  <c r="I56"/>
  <c r="H56"/>
  <c r="G56"/>
  <c r="K55"/>
  <c r="J55"/>
  <c r="I55"/>
  <c r="H55"/>
  <c r="G55"/>
  <c r="K54"/>
  <c r="J54"/>
  <c r="I54"/>
  <c r="H54"/>
  <c r="G54"/>
  <c r="K53"/>
  <c r="J53"/>
  <c r="I53"/>
  <c r="H53"/>
  <c r="G53"/>
  <c r="K52"/>
  <c r="J52"/>
  <c r="I52"/>
  <c r="H52"/>
  <c r="G52"/>
  <c r="K51"/>
  <c r="J51"/>
  <c r="I51"/>
  <c r="H51"/>
  <c r="G51"/>
  <c r="K50"/>
  <c r="J50"/>
  <c r="I50"/>
  <c r="H50"/>
  <c r="G50"/>
  <c r="K49"/>
  <c r="J49"/>
  <c r="I49"/>
  <c r="H49"/>
  <c r="G49"/>
  <c r="K48"/>
  <c r="J48"/>
  <c r="I48"/>
  <c r="H48"/>
  <c r="G48"/>
  <c r="K47"/>
  <c r="J47"/>
  <c r="I47"/>
  <c r="H47"/>
  <c r="G47"/>
  <c r="K46"/>
  <c r="J46"/>
  <c r="I46"/>
  <c r="H46"/>
  <c r="G46"/>
  <c r="K45"/>
  <c r="J45"/>
  <c r="I45"/>
  <c r="H45"/>
  <c r="G45"/>
  <c r="K44"/>
  <c r="J44"/>
  <c r="I44"/>
  <c r="H44"/>
  <c r="G44"/>
  <c r="K43"/>
  <c r="J43"/>
  <c r="I43"/>
  <c r="H43"/>
  <c r="G43"/>
  <c r="K42"/>
  <c r="J42"/>
  <c r="I42"/>
  <c r="H42"/>
  <c r="G42"/>
  <c r="K41"/>
  <c r="J41"/>
  <c r="I41"/>
  <c r="H41"/>
  <c r="G41"/>
  <c r="K40"/>
  <c r="J40"/>
  <c r="I40"/>
  <c r="H40"/>
  <c r="G40"/>
  <c r="K39"/>
  <c r="J39"/>
  <c r="I39"/>
  <c r="H39"/>
  <c r="G39"/>
  <c r="K38"/>
  <c r="J38"/>
  <c r="I38"/>
  <c r="H38"/>
  <c r="G38"/>
  <c r="K37"/>
  <c r="J37"/>
  <c r="I37"/>
  <c r="H37"/>
  <c r="G37"/>
  <c r="K36"/>
  <c r="J36"/>
  <c r="I36"/>
  <c r="H36"/>
  <c r="G36"/>
  <c r="K35"/>
  <c r="J35"/>
  <c r="I35"/>
  <c r="H35"/>
  <c r="G35"/>
  <c r="K34"/>
  <c r="J34"/>
  <c r="I34"/>
  <c r="H34"/>
  <c r="G34"/>
  <c r="K33"/>
  <c r="J33"/>
  <c r="I33"/>
  <c r="H33"/>
  <c r="G33"/>
  <c r="K32"/>
  <c r="J32"/>
  <c r="I32"/>
  <c r="H32"/>
  <c r="G32"/>
  <c r="K31"/>
  <c r="J31"/>
  <c r="I31"/>
  <c r="H31"/>
  <c r="G31"/>
  <c r="K30"/>
  <c r="J30"/>
  <c r="I30"/>
  <c r="H30"/>
  <c r="G30"/>
  <c r="K29"/>
  <c r="J29"/>
  <c r="I29"/>
  <c r="H29"/>
  <c r="G29"/>
  <c r="K28"/>
  <c r="J28"/>
  <c r="I28"/>
  <c r="H28"/>
  <c r="G28"/>
  <c r="K27"/>
  <c r="J27"/>
  <c r="I27"/>
  <c r="H27"/>
  <c r="G27"/>
  <c r="K26"/>
  <c r="J26"/>
  <c r="I26"/>
  <c r="H26"/>
  <c r="G26"/>
  <c r="K25"/>
  <c r="J25"/>
  <c r="I25"/>
  <c r="H25"/>
  <c r="G25"/>
  <c r="K24"/>
  <c r="J24"/>
  <c r="I24"/>
  <c r="H24"/>
  <c r="G24"/>
  <c r="K23"/>
  <c r="J23"/>
  <c r="I23"/>
  <c r="H23"/>
  <c r="G23"/>
  <c r="K22"/>
  <c r="J22"/>
  <c r="I22"/>
  <c r="H22"/>
  <c r="G22"/>
  <c r="K21"/>
  <c r="J21"/>
  <c r="I21"/>
  <c r="H21"/>
  <c r="G21"/>
  <c r="K20"/>
  <c r="J20"/>
  <c r="I20"/>
  <c r="H20"/>
  <c r="G20"/>
  <c r="K19"/>
  <c r="J19"/>
  <c r="I19"/>
  <c r="H19"/>
  <c r="G19"/>
  <c r="K18"/>
  <c r="J18"/>
  <c r="I18"/>
  <c r="H18"/>
  <c r="G18"/>
  <c r="K17"/>
  <c r="J17"/>
  <c r="I17"/>
  <c r="H17"/>
  <c r="G17"/>
  <c r="K16"/>
  <c r="J16"/>
  <c r="I16"/>
  <c r="H16"/>
  <c r="G16"/>
  <c r="K15"/>
  <c r="J15"/>
  <c r="I15"/>
  <c r="H15"/>
  <c r="G15"/>
  <c r="K14"/>
  <c r="J14"/>
  <c r="I14"/>
  <c r="H14"/>
  <c r="G14"/>
  <c r="K13"/>
  <c r="J13"/>
  <c r="I13"/>
  <c r="H13"/>
  <c r="G13"/>
  <c r="K12"/>
  <c r="J12"/>
  <c r="I12"/>
  <c r="H12"/>
  <c r="G12"/>
  <c r="K11"/>
  <c r="J11"/>
  <c r="I11"/>
  <c r="H11"/>
  <c r="G11"/>
  <c r="K10"/>
  <c r="J10"/>
  <c r="I10"/>
  <c r="H10"/>
  <c r="G10"/>
  <c r="K9"/>
  <c r="J9"/>
  <c r="I9"/>
  <c r="H9"/>
  <c r="G9"/>
  <c r="K8"/>
  <c r="J8"/>
  <c r="I8"/>
  <c r="H8"/>
  <c r="G8"/>
  <c r="K7"/>
  <c r="J7"/>
  <c r="I7"/>
  <c r="H7"/>
  <c r="G7"/>
  <c r="K6"/>
  <c r="J6"/>
  <c r="I6"/>
  <c r="H6"/>
  <c r="G6"/>
  <c r="K5"/>
  <c r="J5"/>
  <c r="I5"/>
  <c r="H5"/>
  <c r="G5"/>
  <c r="K4"/>
  <c r="J4"/>
  <c r="I4"/>
  <c r="H4"/>
  <c r="G4"/>
  <c r="L6" i="2" l="1"/>
  <c r="L19"/>
  <c r="L5"/>
  <c r="L18"/>
  <c r="L11"/>
  <c r="L17"/>
  <c r="L10"/>
  <c r="L9"/>
  <c r="L15"/>
  <c r="L20"/>
  <c r="L13"/>
  <c r="L16"/>
  <c r="L14"/>
  <c r="L4"/>
  <c r="L21"/>
  <c r="L8"/>
  <c r="L12"/>
  <c r="L7"/>
  <c r="L22"/>
  <c r="J46" i="8" l="1"/>
  <c r="I46"/>
  <c r="H46"/>
  <c r="G46"/>
  <c r="F46"/>
  <c r="E46"/>
  <c r="D46"/>
  <c r="C46"/>
  <c r="J43"/>
  <c r="I43"/>
  <c r="H43"/>
  <c r="G43"/>
  <c r="F43"/>
  <c r="E43"/>
  <c r="D43"/>
  <c r="C43"/>
  <c r="J40"/>
  <c r="I40"/>
  <c r="H40"/>
  <c r="G40"/>
  <c r="F40"/>
  <c r="E40"/>
  <c r="D40"/>
  <c r="C40"/>
  <c r="J37"/>
  <c r="I37"/>
  <c r="H37"/>
  <c r="G37"/>
  <c r="F37"/>
  <c r="E37"/>
  <c r="D37"/>
  <c r="C37"/>
  <c r="J34"/>
  <c r="I34"/>
  <c r="H34"/>
  <c r="G34"/>
  <c r="F34"/>
  <c r="E34"/>
  <c r="D34"/>
  <c r="C34"/>
  <c r="J31"/>
  <c r="I31"/>
  <c r="H31"/>
  <c r="G31"/>
  <c r="F31"/>
  <c r="E31"/>
  <c r="D31"/>
  <c r="C31"/>
  <c r="J28"/>
  <c r="I28"/>
  <c r="H28"/>
  <c r="G28"/>
  <c r="F28"/>
  <c r="E28"/>
  <c r="D28"/>
  <c r="C28"/>
  <c r="J25"/>
  <c r="I25"/>
  <c r="H25"/>
  <c r="G25"/>
  <c r="F25"/>
  <c r="E25"/>
  <c r="D25"/>
  <c r="C25"/>
  <c r="J22"/>
  <c r="I22"/>
  <c r="H22"/>
  <c r="G22"/>
  <c r="F22"/>
  <c r="E22"/>
  <c r="D22"/>
  <c r="C22"/>
  <c r="J19"/>
  <c r="I19"/>
  <c r="H19"/>
  <c r="G19"/>
  <c r="F19"/>
  <c r="E19"/>
  <c r="D19"/>
  <c r="C19"/>
  <c r="J16"/>
  <c r="I16"/>
  <c r="H16"/>
  <c r="G16"/>
  <c r="F16"/>
  <c r="E16"/>
  <c r="D16"/>
  <c r="C16"/>
  <c r="J13"/>
  <c r="I13"/>
  <c r="H13"/>
  <c r="G13"/>
  <c r="F13"/>
  <c r="E13"/>
  <c r="D13"/>
  <c r="C13"/>
  <c r="J10"/>
  <c r="I10"/>
  <c r="H10"/>
  <c r="G10"/>
  <c r="F10"/>
  <c r="E10"/>
  <c r="D10"/>
  <c r="C10"/>
  <c r="J7"/>
  <c r="I7"/>
  <c r="H7"/>
  <c r="G7"/>
  <c r="F7"/>
  <c r="E7"/>
  <c r="D7"/>
  <c r="C7"/>
  <c r="J4"/>
  <c r="I4"/>
  <c r="H4"/>
  <c r="G4"/>
  <c r="F4"/>
  <c r="E4"/>
  <c r="D4"/>
  <c r="C4"/>
  <c r="J45"/>
  <c r="I45"/>
  <c r="H45"/>
  <c r="G45"/>
  <c r="F45"/>
  <c r="E45"/>
  <c r="D45"/>
  <c r="C45"/>
  <c r="J42"/>
  <c r="I42"/>
  <c r="H42"/>
  <c r="G42"/>
  <c r="F42"/>
  <c r="E42"/>
  <c r="D42"/>
  <c r="C42"/>
  <c r="J39"/>
  <c r="I39"/>
  <c r="H39"/>
  <c r="G39"/>
  <c r="F39"/>
  <c r="E39"/>
  <c r="D39"/>
  <c r="C39"/>
  <c r="J36"/>
  <c r="I36"/>
  <c r="H36"/>
  <c r="G36"/>
  <c r="F36"/>
  <c r="E36"/>
  <c r="D36"/>
  <c r="C36"/>
  <c r="J33"/>
  <c r="I33"/>
  <c r="H33"/>
  <c r="G33"/>
  <c r="F33"/>
  <c r="E33"/>
  <c r="D33"/>
  <c r="C33"/>
  <c r="J30"/>
  <c r="I30"/>
  <c r="H30"/>
  <c r="G30"/>
  <c r="F30"/>
  <c r="E30"/>
  <c r="D30"/>
  <c r="C30"/>
  <c r="J27"/>
  <c r="I27"/>
  <c r="H27"/>
  <c r="G27"/>
  <c r="F27"/>
  <c r="E27"/>
  <c r="D27"/>
  <c r="C27"/>
  <c r="J24"/>
  <c r="I24"/>
  <c r="H24"/>
  <c r="G24"/>
  <c r="F24"/>
  <c r="E24"/>
  <c r="D24"/>
  <c r="C24"/>
  <c r="J21"/>
  <c r="I21"/>
  <c r="H21"/>
  <c r="G21"/>
  <c r="F21"/>
  <c r="E21"/>
  <c r="D21"/>
  <c r="C21"/>
  <c r="J18"/>
  <c r="I18"/>
  <c r="H18"/>
  <c r="G18"/>
  <c r="F18"/>
  <c r="E18"/>
  <c r="D18"/>
  <c r="C18"/>
  <c r="J15"/>
  <c r="I15"/>
  <c r="H15"/>
  <c r="G15"/>
  <c r="F15"/>
  <c r="E15"/>
  <c r="D15"/>
  <c r="C15"/>
  <c r="J12"/>
  <c r="I12"/>
  <c r="H12"/>
  <c r="G12"/>
  <c r="F12"/>
  <c r="E12"/>
  <c r="D12"/>
  <c r="C12"/>
  <c r="J9"/>
  <c r="I9"/>
  <c r="H9"/>
  <c r="G9"/>
  <c r="F9"/>
  <c r="E9"/>
  <c r="D9"/>
  <c r="C9"/>
  <c r="J6"/>
  <c r="I6"/>
  <c r="H6"/>
  <c r="G6"/>
  <c r="F6"/>
  <c r="E6"/>
  <c r="D6"/>
  <c r="C6"/>
  <c r="J3"/>
  <c r="I3"/>
  <c r="H3"/>
  <c r="G3"/>
  <c r="F3"/>
  <c r="E3"/>
  <c r="D3"/>
  <c r="C3"/>
  <c r="J44"/>
  <c r="I44"/>
  <c r="H44"/>
  <c r="G44"/>
  <c r="F44"/>
  <c r="E44"/>
  <c r="D44"/>
  <c r="C44"/>
  <c r="J41"/>
  <c r="I41"/>
  <c r="H41"/>
  <c r="G41"/>
  <c r="F41"/>
  <c r="E41"/>
  <c r="D41"/>
  <c r="C41"/>
  <c r="J38"/>
  <c r="I38"/>
  <c r="H38"/>
  <c r="G38"/>
  <c r="F38"/>
  <c r="E38"/>
  <c r="D38"/>
  <c r="C38"/>
  <c r="J35"/>
  <c r="I35"/>
  <c r="H35"/>
  <c r="G35"/>
  <c r="F35"/>
  <c r="E35"/>
  <c r="D35"/>
  <c r="C35"/>
  <c r="J32"/>
  <c r="I32"/>
  <c r="H32"/>
  <c r="G32"/>
  <c r="F32"/>
  <c r="E32"/>
  <c r="D32"/>
  <c r="C32"/>
  <c r="J29"/>
  <c r="I29"/>
  <c r="H29"/>
  <c r="G29"/>
  <c r="F29"/>
  <c r="E29"/>
  <c r="D29"/>
  <c r="C29"/>
  <c r="J26"/>
  <c r="I26"/>
  <c r="H26"/>
  <c r="G26"/>
  <c r="F26"/>
  <c r="E26"/>
  <c r="D26"/>
  <c r="C26"/>
  <c r="J23"/>
  <c r="I23"/>
  <c r="H23"/>
  <c r="G23"/>
  <c r="F23"/>
  <c r="E23"/>
  <c r="D23"/>
  <c r="C23"/>
  <c r="J20"/>
  <c r="I20"/>
  <c r="H20"/>
  <c r="G20"/>
  <c r="F20"/>
  <c r="E20"/>
  <c r="D20"/>
  <c r="C20"/>
  <c r="J17"/>
  <c r="I17"/>
  <c r="H17"/>
  <c r="G17"/>
  <c r="F17"/>
  <c r="E17"/>
  <c r="D17"/>
  <c r="C17"/>
  <c r="J14"/>
  <c r="I14"/>
  <c r="H14"/>
  <c r="G14"/>
  <c r="F14"/>
  <c r="E14"/>
  <c r="D14"/>
  <c r="C14"/>
  <c r="J11"/>
  <c r="I11"/>
  <c r="H11"/>
  <c r="G11"/>
  <c r="F11"/>
  <c r="E11"/>
  <c r="D11"/>
  <c r="C11"/>
  <c r="J8"/>
  <c r="I8"/>
  <c r="H8"/>
  <c r="G8"/>
  <c r="F8"/>
  <c r="E8"/>
  <c r="D8"/>
  <c r="C8"/>
  <c r="J5"/>
  <c r="I5"/>
  <c r="H5"/>
  <c r="G5"/>
  <c r="F5"/>
  <c r="E5"/>
  <c r="D5"/>
  <c r="C5"/>
  <c r="J2"/>
  <c r="I2"/>
  <c r="H2"/>
  <c r="G2"/>
  <c r="F2"/>
  <c r="E2"/>
  <c r="D2"/>
  <c r="C2"/>
  <c r="T176" i="24" l="1"/>
  <c r="S176"/>
  <c r="T175"/>
  <c r="S175"/>
  <c r="R128"/>
  <c r="R147"/>
  <c r="R135"/>
  <c r="R5"/>
  <c r="R112"/>
  <c r="R86"/>
  <c r="R154"/>
  <c r="R141"/>
  <c r="R126"/>
  <c r="R75"/>
  <c r="R158"/>
  <c r="R130"/>
  <c r="R106"/>
  <c r="R171"/>
  <c r="R192"/>
  <c r="R42"/>
  <c r="R155"/>
  <c r="R197"/>
  <c r="R255"/>
  <c r="R149"/>
  <c r="R180"/>
  <c r="R16"/>
  <c r="R208"/>
  <c r="R114"/>
  <c r="R78"/>
  <c r="R160"/>
  <c r="R169"/>
  <c r="R137"/>
  <c r="R49"/>
  <c r="R40"/>
  <c r="R66"/>
  <c r="R15"/>
  <c r="R185"/>
  <c r="R51"/>
  <c r="R190"/>
  <c r="R159"/>
  <c r="R39"/>
  <c r="R96"/>
  <c r="R58"/>
  <c r="R9"/>
  <c r="R2"/>
  <c r="R48"/>
  <c r="R21"/>
  <c r="R244"/>
  <c r="R223"/>
  <c r="R222"/>
  <c r="R202"/>
  <c r="R178"/>
  <c r="R6"/>
  <c r="R140"/>
  <c r="R14"/>
  <c r="R22"/>
  <c r="R63"/>
  <c r="R88"/>
  <c r="R240"/>
  <c r="R254"/>
  <c r="R188"/>
  <c r="R174"/>
  <c r="R163"/>
  <c r="R104"/>
  <c r="R84"/>
  <c r="R77"/>
  <c r="R30"/>
  <c r="R10"/>
  <c r="R7"/>
  <c r="R36"/>
  <c r="R102"/>
  <c r="R148"/>
  <c r="R101"/>
  <c r="R250"/>
  <c r="R204"/>
  <c r="R143"/>
  <c r="R91"/>
  <c r="R144"/>
  <c r="R166"/>
  <c r="R62"/>
  <c r="R132"/>
  <c r="R100"/>
  <c r="R99"/>
  <c r="R85"/>
  <c r="R74"/>
  <c r="R193"/>
  <c r="R142"/>
  <c r="R170"/>
  <c r="R26"/>
  <c r="R238"/>
  <c r="R136"/>
  <c r="R119"/>
  <c r="R72"/>
  <c r="R60"/>
  <c r="R43"/>
  <c r="R56"/>
  <c r="R229"/>
  <c r="R247"/>
  <c r="R221"/>
  <c r="R164"/>
  <c r="R3"/>
  <c r="R127"/>
  <c r="R139"/>
  <c r="R138"/>
  <c r="R55"/>
  <c r="R34"/>
  <c r="R20"/>
  <c r="R251"/>
  <c r="R90"/>
  <c r="R80"/>
  <c r="R245"/>
  <c r="R217"/>
  <c r="R212"/>
  <c r="R146"/>
  <c r="R76"/>
  <c r="R31"/>
  <c r="R68"/>
  <c r="R253"/>
  <c r="R231"/>
  <c r="R196"/>
  <c r="R152"/>
  <c r="R105"/>
  <c r="R65"/>
  <c r="R8"/>
  <c r="R57"/>
  <c r="R67"/>
  <c r="R87"/>
  <c r="R183"/>
  <c r="R54"/>
  <c r="R64"/>
  <c r="R129"/>
  <c r="R241"/>
  <c r="R213"/>
  <c r="R207"/>
  <c r="R199"/>
  <c r="R157"/>
  <c r="R97"/>
  <c r="R165"/>
  <c r="R233"/>
  <c r="R246"/>
  <c r="R69"/>
  <c r="R110"/>
  <c r="R38"/>
  <c r="R203"/>
  <c r="R109"/>
  <c r="R191"/>
  <c r="R211"/>
  <c r="R46"/>
  <c r="R237"/>
  <c r="R187"/>
  <c r="R145"/>
  <c r="R133"/>
  <c r="R179"/>
  <c r="R249"/>
  <c r="R184"/>
  <c r="R115"/>
  <c r="R32"/>
  <c r="R12"/>
  <c r="R151"/>
  <c r="R83"/>
  <c r="R120"/>
  <c r="R218"/>
  <c r="R124"/>
  <c r="R232"/>
  <c r="R35"/>
  <c r="R29"/>
  <c r="R94"/>
  <c r="R173"/>
  <c r="R50"/>
  <c r="R103"/>
  <c r="R134"/>
  <c r="R177"/>
  <c r="R19"/>
  <c r="R52"/>
  <c r="R156"/>
  <c r="R113"/>
  <c r="R89"/>
  <c r="R71"/>
  <c r="R28"/>
  <c r="R17"/>
  <c r="R47"/>
  <c r="R224"/>
  <c r="R93"/>
  <c r="R182"/>
  <c r="R13"/>
  <c r="R167"/>
  <c r="R162"/>
  <c r="R226"/>
  <c r="R153"/>
  <c r="R116"/>
  <c r="R98"/>
  <c r="R235"/>
  <c r="R95"/>
  <c r="R150"/>
  <c r="R92"/>
  <c r="R27"/>
  <c r="R117"/>
  <c r="R172"/>
  <c r="R108"/>
  <c r="R53"/>
  <c r="R201"/>
  <c r="R11"/>
  <c r="R111"/>
  <c r="R176"/>
  <c r="R256"/>
  <c r="R230"/>
  <c r="R186"/>
  <c r="R24"/>
  <c r="R242"/>
  <c r="R23"/>
  <c r="R236"/>
  <c r="R121"/>
  <c r="R131"/>
  <c r="R25"/>
  <c r="R45"/>
  <c r="R248"/>
  <c r="R82"/>
  <c r="R73"/>
  <c r="R243"/>
  <c r="R175"/>
  <c r="R4"/>
  <c r="R168"/>
  <c r="R189"/>
  <c r="R81"/>
  <c r="R107"/>
  <c r="R181"/>
  <c r="R18"/>
  <c r="R228"/>
  <c r="R44"/>
  <c r="R61"/>
  <c r="R209"/>
  <c r="R220"/>
  <c r="R59"/>
  <c r="R214"/>
  <c r="R219"/>
  <c r="R125"/>
  <c r="R41"/>
  <c r="R225"/>
  <c r="R252"/>
  <c r="R215"/>
  <c r="R210"/>
  <c r="R200"/>
  <c r="R216"/>
  <c r="R79"/>
  <c r="R33"/>
  <c r="R37"/>
  <c r="R234"/>
  <c r="R123"/>
  <c r="R198"/>
  <c r="R227"/>
  <c r="R239"/>
  <c r="R195"/>
  <c r="R205"/>
  <c r="R194"/>
  <c r="R206"/>
  <c r="R70"/>
  <c r="R122"/>
  <c r="R118"/>
  <c r="R161"/>
  <c r="L256"/>
  <c r="L255"/>
  <c r="L254"/>
  <c r="L253"/>
  <c r="L252"/>
  <c r="L251"/>
  <c r="L250"/>
  <c r="L249"/>
  <c r="L248"/>
  <c r="L247"/>
  <c r="L246"/>
  <c r="L245"/>
  <c r="L244"/>
  <c r="L243"/>
  <c r="L242"/>
  <c r="L241"/>
  <c r="L240"/>
  <c r="L239"/>
  <c r="L238"/>
  <c r="L237"/>
  <c r="L236"/>
  <c r="L235"/>
  <c r="L234"/>
  <c r="L233"/>
  <c r="L232"/>
  <c r="L231"/>
  <c r="L230"/>
  <c r="L229"/>
  <c r="L228"/>
  <c r="L227"/>
  <c r="L226"/>
  <c r="L225"/>
  <c r="L224"/>
  <c r="L223"/>
  <c r="L222"/>
  <c r="L221"/>
  <c r="L220"/>
  <c r="L219"/>
  <c r="L218"/>
  <c r="L217"/>
  <c r="L216"/>
  <c r="L215"/>
  <c r="L214"/>
  <c r="L213"/>
  <c r="L212"/>
  <c r="L211"/>
  <c r="L210"/>
  <c r="L209"/>
  <c r="L208"/>
  <c r="L207"/>
  <c r="L206"/>
  <c r="L205"/>
  <c r="L204"/>
  <c r="L203"/>
  <c r="L202"/>
  <c r="L201"/>
  <c r="L200"/>
  <c r="L199"/>
  <c r="L198"/>
  <c r="L197"/>
  <c r="L196"/>
  <c r="L195"/>
  <c r="L194"/>
  <c r="L193"/>
  <c r="L192"/>
  <c r="L191"/>
  <c r="L190"/>
  <c r="L189"/>
  <c r="L188"/>
  <c r="L187"/>
  <c r="L186"/>
  <c r="L185"/>
  <c r="L184"/>
  <c r="L183"/>
  <c r="L182"/>
  <c r="L181"/>
  <c r="L180"/>
  <c r="L179"/>
  <c r="L178"/>
  <c r="L177"/>
  <c r="L176"/>
  <c r="L175"/>
  <c r="L174"/>
  <c r="L173"/>
  <c r="L172"/>
  <c r="L171"/>
  <c r="L170"/>
  <c r="L169"/>
  <c r="L168"/>
  <c r="L167"/>
  <c r="L166"/>
  <c r="L165"/>
  <c r="L164"/>
  <c r="L163"/>
  <c r="L162"/>
  <c r="L161"/>
  <c r="L160"/>
  <c r="L159"/>
  <c r="L158"/>
  <c r="L157"/>
  <c r="L156"/>
  <c r="L155"/>
  <c r="L154"/>
  <c r="L153"/>
  <c r="L152"/>
  <c r="L151"/>
  <c r="L150"/>
  <c r="L149"/>
  <c r="L148"/>
  <c r="L147"/>
  <c r="L146"/>
  <c r="L145"/>
  <c r="L144"/>
  <c r="L143"/>
  <c r="L142"/>
  <c r="L141"/>
  <c r="L140"/>
  <c r="L139"/>
  <c r="L138"/>
  <c r="L137"/>
  <c r="L136"/>
  <c r="L135"/>
  <c r="L134"/>
  <c r="L133"/>
  <c r="L132"/>
  <c r="L131"/>
  <c r="L130"/>
  <c r="L129"/>
  <c r="L128"/>
  <c r="L127"/>
  <c r="L126"/>
  <c r="L125"/>
  <c r="L124"/>
  <c r="L123"/>
  <c r="L122"/>
  <c r="L121"/>
  <c r="L120"/>
  <c r="L119"/>
  <c r="L118"/>
  <c r="L117"/>
  <c r="L116"/>
  <c r="L115"/>
  <c r="L114"/>
  <c r="L113"/>
  <c r="L112"/>
  <c r="L111"/>
  <c r="L110"/>
  <c r="L109"/>
  <c r="L108"/>
  <c r="L107"/>
  <c r="L106"/>
  <c r="L105"/>
  <c r="L104"/>
  <c r="L103"/>
  <c r="L102"/>
  <c r="L101"/>
  <c r="L100"/>
  <c r="L99"/>
  <c r="L98"/>
  <c r="L97"/>
  <c r="L96"/>
  <c r="L95"/>
  <c r="L94"/>
  <c r="L93"/>
  <c r="L92"/>
  <c r="L91"/>
  <c r="L90"/>
  <c r="L89"/>
  <c r="L88"/>
  <c r="L87"/>
  <c r="L86"/>
  <c r="L85"/>
  <c r="L84"/>
  <c r="L83"/>
  <c r="L82"/>
  <c r="L81"/>
  <c r="L80"/>
  <c r="L79"/>
  <c r="L78"/>
  <c r="L77"/>
  <c r="L76"/>
  <c r="L75"/>
  <c r="L74"/>
  <c r="L73"/>
  <c r="L72"/>
  <c r="L71"/>
  <c r="L70"/>
  <c r="L69"/>
  <c r="L68"/>
  <c r="L67"/>
  <c r="L66"/>
  <c r="L65"/>
  <c r="L64"/>
  <c r="L63"/>
  <c r="L62"/>
  <c r="L61"/>
  <c r="L60"/>
  <c r="L59"/>
  <c r="L58"/>
  <c r="L57"/>
  <c r="L56"/>
  <c r="L55"/>
  <c r="L54"/>
  <c r="L53"/>
  <c r="L52"/>
  <c r="L51"/>
  <c r="L50"/>
  <c r="L49"/>
  <c r="L48"/>
  <c r="L47"/>
  <c r="L46"/>
  <c r="L45"/>
  <c r="L44"/>
  <c r="L43"/>
  <c r="L42"/>
  <c r="L41"/>
  <c r="L40"/>
  <c r="L39"/>
  <c r="L38"/>
  <c r="L37"/>
  <c r="L36"/>
  <c r="L35"/>
  <c r="L34"/>
  <c r="L33"/>
  <c r="L32"/>
  <c r="L31"/>
  <c r="L30"/>
  <c r="L29"/>
  <c r="L28"/>
  <c r="L27"/>
  <c r="L26"/>
  <c r="L25"/>
  <c r="L24"/>
  <c r="L23"/>
  <c r="L22"/>
  <c r="L21"/>
  <c r="L20"/>
  <c r="L19"/>
  <c r="L18"/>
  <c r="L17"/>
  <c r="L16"/>
  <c r="L15"/>
  <c r="L14"/>
  <c r="L13"/>
  <c r="L12"/>
  <c r="L11"/>
  <c r="L10"/>
  <c r="L9"/>
  <c r="L8"/>
  <c r="L7"/>
  <c r="L6"/>
  <c r="L5"/>
  <c r="L4"/>
  <c r="L3"/>
  <c r="L2"/>
  <c r="D1"/>
  <c r="AK38" i="1" l="1"/>
  <c r="N55" i="4" l="1"/>
  <c r="N56"/>
  <c r="N57"/>
  <c r="N58"/>
  <c r="N59"/>
  <c r="N60"/>
  <c r="N61"/>
  <c r="N62"/>
  <c r="N63"/>
  <c r="N64"/>
  <c r="N65"/>
  <c r="N66"/>
  <c r="N67"/>
  <c r="N68"/>
  <c r="N69"/>
  <c r="N70"/>
  <c r="N71"/>
  <c r="N72"/>
  <c r="N73"/>
  <c r="N74"/>
  <c r="N75"/>
  <c r="N76"/>
  <c r="N77"/>
  <c r="N78"/>
  <c r="N79"/>
  <c r="N80"/>
  <c r="N81"/>
  <c r="N82"/>
  <c r="N83"/>
  <c r="N84"/>
  <c r="N85"/>
  <c r="N86"/>
  <c r="N87"/>
  <c r="N88"/>
  <c r="N89"/>
  <c r="N90"/>
  <c r="N91"/>
  <c r="N92"/>
  <c r="N93"/>
  <c r="N94"/>
  <c r="N95"/>
  <c r="N96"/>
  <c r="N97"/>
  <c r="N98"/>
  <c r="N99"/>
  <c r="N100"/>
  <c r="N101"/>
  <c r="N102"/>
  <c r="N103"/>
  <c r="N104"/>
  <c r="N105"/>
  <c r="N106"/>
  <c r="N107"/>
  <c r="N108"/>
  <c r="N109"/>
  <c r="N110"/>
  <c r="N111"/>
  <c r="N112"/>
  <c r="N113"/>
  <c r="N114"/>
  <c r="N115"/>
  <c r="N116"/>
  <c r="N117"/>
  <c r="N118"/>
  <c r="N119"/>
  <c r="N120"/>
  <c r="N121"/>
  <c r="N122"/>
  <c r="N123"/>
  <c r="N124"/>
  <c r="N125"/>
  <c r="N126"/>
  <c r="N127"/>
  <c r="N128"/>
  <c r="N129"/>
  <c r="N130"/>
  <c r="N131"/>
  <c r="N132"/>
  <c r="N133"/>
  <c r="N134"/>
  <c r="N135"/>
  <c r="N136"/>
  <c r="N137"/>
  <c r="N138"/>
  <c r="N139"/>
  <c r="N140"/>
  <c r="N141"/>
  <c r="N142"/>
  <c r="N143"/>
  <c r="N144"/>
  <c r="N145"/>
  <c r="N146"/>
  <c r="N147"/>
  <c r="N148"/>
  <c r="N149"/>
  <c r="N150"/>
  <c r="N151"/>
  <c r="N152"/>
  <c r="N153"/>
  <c r="N154"/>
  <c r="N155"/>
  <c r="N156"/>
  <c r="N157"/>
  <c r="N158"/>
  <c r="N159"/>
  <c r="N160"/>
  <c r="N161"/>
  <c r="N162"/>
  <c r="N163"/>
  <c r="N164"/>
  <c r="N165"/>
  <c r="N166"/>
  <c r="N167"/>
  <c r="N168"/>
  <c r="N169"/>
  <c r="N170"/>
  <c r="N171"/>
  <c r="N172"/>
  <c r="N173"/>
  <c r="N174"/>
  <c r="N175"/>
  <c r="N176"/>
  <c r="N177"/>
  <c r="N178"/>
  <c r="N179"/>
  <c r="N180"/>
  <c r="N181"/>
  <c r="N182"/>
  <c r="N183"/>
  <c r="N184"/>
  <c r="N185"/>
  <c r="N186"/>
  <c r="N187"/>
  <c r="N188"/>
  <c r="N189"/>
  <c r="N190"/>
  <c r="N191"/>
  <c r="N192"/>
  <c r="N193"/>
  <c r="N194"/>
  <c r="N195"/>
  <c r="N196"/>
  <c r="N197"/>
  <c r="N198"/>
  <c r="N199"/>
  <c r="N200"/>
  <c r="N201"/>
  <c r="N202"/>
  <c r="N203"/>
  <c r="N204"/>
  <c r="N205"/>
  <c r="N206"/>
  <c r="N207"/>
  <c r="N208"/>
  <c r="N209"/>
  <c r="N210"/>
  <c r="N211"/>
  <c r="N212"/>
  <c r="N213"/>
  <c r="N214"/>
  <c r="N215"/>
  <c r="N216"/>
  <c r="N217"/>
  <c r="N218"/>
  <c r="N219"/>
  <c r="N220"/>
  <c r="N221"/>
  <c r="N222"/>
  <c r="N223"/>
  <c r="N224"/>
  <c r="N225"/>
  <c r="N226"/>
  <c r="N227"/>
  <c r="N228"/>
  <c r="N229"/>
  <c r="N230"/>
  <c r="N231"/>
  <c r="N232"/>
  <c r="N233"/>
  <c r="N234"/>
  <c r="N235"/>
  <c r="N236"/>
  <c r="N237"/>
  <c r="N238"/>
  <c r="N239"/>
  <c r="N240"/>
  <c r="N241"/>
  <c r="N242"/>
  <c r="N243"/>
  <c r="N244"/>
  <c r="N245"/>
  <c r="N246"/>
  <c r="N247"/>
  <c r="N248"/>
  <c r="N249"/>
  <c r="N250"/>
  <c r="N251"/>
  <c r="N252"/>
  <c r="N253"/>
  <c r="N254"/>
  <c r="N255"/>
  <c r="N256"/>
  <c r="N257"/>
  <c r="N258"/>
  <c r="N259"/>
  <c r="N260"/>
  <c r="N261"/>
  <c r="N262"/>
  <c r="N263"/>
  <c r="N264"/>
  <c r="N265"/>
  <c r="N266"/>
  <c r="N267"/>
  <c r="N268"/>
  <c r="N269"/>
  <c r="N270"/>
  <c r="N271"/>
  <c r="N272"/>
  <c r="N273"/>
  <c r="N274"/>
  <c r="N275"/>
  <c r="N276"/>
  <c r="N277"/>
  <c r="N278"/>
  <c r="N279"/>
  <c r="N280"/>
  <c r="N281"/>
  <c r="N282"/>
  <c r="N283"/>
  <c r="N284"/>
  <c r="N285"/>
  <c r="N286"/>
  <c r="N287"/>
  <c r="N288"/>
  <c r="N289"/>
  <c r="N290"/>
  <c r="N291"/>
  <c r="N292"/>
  <c r="N293"/>
  <c r="N294"/>
  <c r="N295"/>
  <c r="N296"/>
  <c r="N297"/>
  <c r="N298"/>
  <c r="N299"/>
  <c r="N300"/>
  <c r="N301"/>
  <c r="N302"/>
  <c r="N303"/>
  <c r="N304"/>
  <c r="N305"/>
  <c r="N306"/>
  <c r="N307"/>
  <c r="N308"/>
  <c r="N309"/>
  <c r="N310"/>
  <c r="N311"/>
  <c r="N312"/>
  <c r="N313"/>
  <c r="N314"/>
  <c r="N315"/>
  <c r="N316"/>
  <c r="N317"/>
  <c r="N318"/>
  <c r="N319"/>
  <c r="N320"/>
  <c r="N321"/>
  <c r="N322"/>
  <c r="N323"/>
  <c r="N324"/>
  <c r="N325"/>
  <c r="N326"/>
  <c r="N327"/>
  <c r="N328"/>
  <c r="N329"/>
  <c r="N330"/>
  <c r="N331"/>
  <c r="N332"/>
  <c r="N333"/>
  <c r="N334"/>
  <c r="N335"/>
  <c r="N336"/>
  <c r="N337"/>
  <c r="N338"/>
  <c r="N339"/>
  <c r="N340"/>
  <c r="N341"/>
  <c r="N342"/>
  <c r="N343"/>
  <c r="N344"/>
  <c r="N345"/>
  <c r="N346"/>
  <c r="N347"/>
  <c r="N348"/>
  <c r="N349"/>
  <c r="N350"/>
  <c r="N351"/>
  <c r="N352"/>
  <c r="N353"/>
  <c r="N354"/>
  <c r="N355"/>
  <c r="N356"/>
  <c r="N357"/>
  <c r="N358"/>
  <c r="N359"/>
  <c r="N360"/>
  <c r="N361"/>
  <c r="N362"/>
  <c r="N363"/>
  <c r="N364"/>
  <c r="N365"/>
  <c r="N366"/>
  <c r="N367"/>
  <c r="N368"/>
  <c r="N369"/>
  <c r="N370"/>
  <c r="N371"/>
  <c r="N372"/>
  <c r="N373"/>
  <c r="N374"/>
  <c r="N375"/>
  <c r="N376"/>
  <c r="N377"/>
  <c r="N378"/>
  <c r="N379"/>
  <c r="N380"/>
  <c r="N381"/>
  <c r="N382"/>
  <c r="N383"/>
  <c r="N384"/>
  <c r="N385"/>
  <c r="N386"/>
  <c r="N387"/>
  <c r="N388"/>
  <c r="N389"/>
  <c r="N390"/>
  <c r="N391"/>
  <c r="N392"/>
  <c r="N393"/>
  <c r="N394"/>
  <c r="N395"/>
  <c r="N396"/>
  <c r="N397"/>
  <c r="N398"/>
  <c r="N399"/>
  <c r="N400"/>
  <c r="N401"/>
  <c r="N402"/>
  <c r="N403"/>
  <c r="N404"/>
  <c r="N405"/>
  <c r="N406"/>
  <c r="N407"/>
  <c r="N408"/>
  <c r="N409"/>
  <c r="N410"/>
  <c r="N411"/>
  <c r="N412"/>
  <c r="N413"/>
  <c r="N414"/>
  <c r="N415"/>
  <c r="N416"/>
  <c r="N417"/>
  <c r="N418"/>
  <c r="N419"/>
  <c r="N420"/>
  <c r="N421"/>
  <c r="N422"/>
  <c r="N423"/>
  <c r="N424"/>
  <c r="N425"/>
  <c r="N426"/>
  <c r="N427"/>
  <c r="N428"/>
  <c r="N429"/>
  <c r="N430"/>
  <c r="N431"/>
  <c r="N432"/>
  <c r="N433"/>
  <c r="N434"/>
  <c r="N435"/>
  <c r="N436"/>
  <c r="N437"/>
  <c r="N438"/>
  <c r="N439"/>
  <c r="N440"/>
  <c r="N441"/>
  <c r="N442"/>
  <c r="N443"/>
  <c r="N444"/>
  <c r="N445"/>
  <c r="N446"/>
  <c r="N447"/>
  <c r="N448"/>
  <c r="N449"/>
  <c r="N450"/>
  <c r="N451"/>
  <c r="N452"/>
  <c r="N453"/>
  <c r="N454"/>
  <c r="N455"/>
  <c r="N456"/>
  <c r="N457"/>
  <c r="N458"/>
  <c r="N459"/>
  <c r="N460"/>
  <c r="N461"/>
  <c r="N462"/>
  <c r="N463"/>
  <c r="N464"/>
  <c r="N465"/>
  <c r="N466"/>
  <c r="N467"/>
  <c r="N468"/>
  <c r="N469"/>
  <c r="N470"/>
  <c r="N471"/>
  <c r="N472"/>
  <c r="N473"/>
  <c r="N474"/>
  <c r="N475"/>
  <c r="N476"/>
  <c r="N477"/>
  <c r="N478"/>
  <c r="N479"/>
  <c r="N480"/>
  <c r="N481"/>
  <c r="N482"/>
  <c r="N483"/>
  <c r="N484"/>
  <c r="N485"/>
  <c r="N486"/>
  <c r="N487"/>
  <c r="N488"/>
  <c r="N489"/>
  <c r="N490"/>
  <c r="N491"/>
  <c r="N492"/>
  <c r="N493"/>
  <c r="N494"/>
  <c r="N495"/>
  <c r="N496"/>
  <c r="N497"/>
  <c r="N498"/>
  <c r="N499"/>
  <c r="N500"/>
  <c r="N501"/>
  <c r="N502"/>
  <c r="N503"/>
  <c r="N504"/>
  <c r="N505"/>
  <c r="N506"/>
  <c r="N507"/>
  <c r="N508"/>
  <c r="N509"/>
  <c r="N510"/>
  <c r="N511"/>
  <c r="N512"/>
  <c r="N513"/>
  <c r="N514"/>
  <c r="N515"/>
  <c r="N516"/>
  <c r="N517"/>
  <c r="N518"/>
  <c r="N519"/>
  <c r="N520"/>
  <c r="N521"/>
  <c r="N522"/>
  <c r="N523"/>
  <c r="N524"/>
  <c r="N525"/>
  <c r="N526"/>
  <c r="N527"/>
  <c r="N528"/>
  <c r="N529"/>
  <c r="N530"/>
  <c r="N531"/>
  <c r="N532"/>
  <c r="N533"/>
  <c r="N534"/>
  <c r="N535"/>
  <c r="N536"/>
  <c r="N537"/>
  <c r="N538"/>
  <c r="N539"/>
  <c r="N540"/>
  <c r="N541"/>
  <c r="N542"/>
  <c r="N543"/>
  <c r="N544"/>
  <c r="N545"/>
  <c r="N546"/>
  <c r="N547"/>
  <c r="N548"/>
  <c r="N549"/>
  <c r="N550"/>
  <c r="N551"/>
  <c r="N552"/>
  <c r="N553"/>
  <c r="N554"/>
  <c r="N555"/>
  <c r="N556"/>
  <c r="N557"/>
  <c r="N558"/>
  <c r="N559"/>
  <c r="N560"/>
  <c r="N561"/>
  <c r="N562"/>
  <c r="N563"/>
  <c r="N564"/>
  <c r="N565"/>
  <c r="N566"/>
  <c r="N567"/>
  <c r="N568"/>
  <c r="N569"/>
  <c r="N570"/>
  <c r="N571"/>
  <c r="N572"/>
  <c r="N573"/>
  <c r="N574"/>
  <c r="N575"/>
  <c r="N576"/>
  <c r="N577"/>
  <c r="N578"/>
  <c r="N579"/>
  <c r="N580"/>
  <c r="N581"/>
  <c r="N582"/>
  <c r="N583"/>
  <c r="N584"/>
  <c r="N585"/>
  <c r="N586"/>
  <c r="N587"/>
  <c r="N588"/>
  <c r="N589"/>
  <c r="N590"/>
  <c r="N591"/>
  <c r="N592"/>
  <c r="N593"/>
  <c r="N594"/>
  <c r="N595"/>
  <c r="N596"/>
  <c r="N597"/>
  <c r="N598"/>
  <c r="N599"/>
  <c r="N600"/>
  <c r="N601"/>
  <c r="N602"/>
  <c r="N603"/>
  <c r="N604"/>
  <c r="N605"/>
  <c r="N606"/>
  <c r="N607"/>
  <c r="N608"/>
  <c r="N609"/>
  <c r="N610"/>
  <c r="N611"/>
  <c r="N612"/>
  <c r="N613"/>
  <c r="N614"/>
  <c r="N615"/>
  <c r="N616"/>
  <c r="N617"/>
  <c r="N618"/>
  <c r="N619"/>
  <c r="N620"/>
  <c r="N621"/>
  <c r="N622"/>
  <c r="N623"/>
  <c r="N624"/>
  <c r="N625"/>
  <c r="N626"/>
  <c r="N627"/>
  <c r="N628"/>
  <c r="N629"/>
  <c r="N630"/>
  <c r="N631"/>
  <c r="N632"/>
  <c r="N633"/>
  <c r="N634"/>
  <c r="N635"/>
  <c r="N636"/>
  <c r="N637"/>
  <c r="N638"/>
  <c r="N639"/>
  <c r="N640"/>
  <c r="N641"/>
  <c r="N642"/>
  <c r="N643"/>
  <c r="N644"/>
  <c r="N645"/>
  <c r="N646"/>
  <c r="N647"/>
  <c r="N648"/>
  <c r="N649"/>
  <c r="N650"/>
  <c r="N651"/>
  <c r="N652"/>
  <c r="N653"/>
  <c r="N654"/>
  <c r="N655"/>
  <c r="N656"/>
  <c r="N657"/>
  <c r="N658"/>
  <c r="N659"/>
  <c r="N660"/>
  <c r="N661"/>
  <c r="N662"/>
  <c r="N663"/>
  <c r="N664"/>
  <c r="N665"/>
  <c r="N666"/>
  <c r="N667"/>
  <c r="N668"/>
  <c r="N669"/>
  <c r="N670"/>
  <c r="N671"/>
  <c r="N672"/>
  <c r="N673"/>
  <c r="N674"/>
  <c r="N675"/>
  <c r="N676"/>
  <c r="N677"/>
  <c r="N678"/>
  <c r="N679"/>
  <c r="N680"/>
  <c r="N681"/>
  <c r="N682"/>
  <c r="N683"/>
  <c r="N684"/>
  <c r="N685"/>
  <c r="N686"/>
  <c r="N687"/>
  <c r="N688"/>
  <c r="N689"/>
  <c r="N690"/>
  <c r="N691"/>
  <c r="N692"/>
  <c r="N693"/>
  <c r="N694"/>
  <c r="N695"/>
  <c r="N696"/>
  <c r="N697"/>
  <c r="N698"/>
  <c r="N699"/>
  <c r="N700"/>
  <c r="N701"/>
  <c r="N702"/>
  <c r="N703"/>
  <c r="N704"/>
  <c r="N705"/>
  <c r="N706"/>
  <c r="N707"/>
  <c r="N708"/>
  <c r="N709"/>
  <c r="N710"/>
  <c r="N711"/>
  <c r="N712"/>
  <c r="N713"/>
  <c r="N714"/>
  <c r="N715"/>
  <c r="N716"/>
  <c r="N717"/>
  <c r="N718"/>
  <c r="N719"/>
  <c r="N720"/>
  <c r="N721"/>
  <c r="N722"/>
  <c r="N723"/>
  <c r="N724"/>
  <c r="N725"/>
  <c r="N726"/>
  <c r="N727"/>
  <c r="N728"/>
  <c r="N729"/>
  <c r="N730"/>
  <c r="N731"/>
  <c r="N732"/>
  <c r="N733"/>
  <c r="N734"/>
  <c r="N735"/>
  <c r="N736"/>
  <c r="N737"/>
  <c r="N738"/>
  <c r="N739"/>
  <c r="N740"/>
  <c r="N741"/>
  <c r="N742"/>
  <c r="N743"/>
  <c r="N744"/>
  <c r="N745"/>
  <c r="N746"/>
  <c r="N747"/>
  <c r="N748"/>
  <c r="N749"/>
  <c r="N750"/>
  <c r="N751"/>
  <c r="N752"/>
  <c r="N753"/>
  <c r="N754"/>
  <c r="N755"/>
  <c r="N756"/>
  <c r="N757"/>
  <c r="N758"/>
  <c r="N759"/>
  <c r="N760"/>
  <c r="N761"/>
  <c r="N762"/>
  <c r="N763"/>
  <c r="N764"/>
  <c r="N765"/>
  <c r="N766"/>
  <c r="N767"/>
  <c r="N768"/>
  <c r="N769"/>
  <c r="N770"/>
  <c r="N771"/>
  <c r="N772"/>
  <c r="N773"/>
  <c r="N774"/>
  <c r="N775"/>
  <c r="N776"/>
  <c r="N777"/>
  <c r="N778"/>
  <c r="N779"/>
  <c r="N780"/>
  <c r="N781"/>
  <c r="N782"/>
  <c r="N783"/>
  <c r="N784"/>
  <c r="N785"/>
  <c r="N786"/>
  <c r="N787"/>
  <c r="N788"/>
  <c r="N789"/>
  <c r="N790"/>
  <c r="N791"/>
  <c r="N792"/>
  <c r="N793"/>
  <c r="N794"/>
  <c r="N795"/>
  <c r="N796"/>
  <c r="N797"/>
  <c r="N798"/>
  <c r="N799"/>
  <c r="N800"/>
  <c r="N801"/>
  <c r="N802"/>
  <c r="N803"/>
  <c r="N804"/>
  <c r="N805"/>
  <c r="N806"/>
  <c r="N807"/>
  <c r="N808"/>
  <c r="N809"/>
  <c r="N810"/>
  <c r="N811"/>
  <c r="N812"/>
  <c r="N813"/>
  <c r="N814"/>
  <c r="N815"/>
  <c r="N816"/>
  <c r="N817"/>
  <c r="N818"/>
  <c r="N819"/>
  <c r="N820"/>
  <c r="N821"/>
  <c r="N822"/>
  <c r="N823"/>
  <c r="N824"/>
  <c r="N825"/>
  <c r="N826"/>
  <c r="N827"/>
  <c r="N828"/>
  <c r="N829"/>
  <c r="N830"/>
  <c r="N831"/>
  <c r="N832"/>
  <c r="N833"/>
  <c r="N834"/>
  <c r="N835"/>
  <c r="N836"/>
  <c r="N837"/>
  <c r="N838"/>
  <c r="N839"/>
  <c r="N840"/>
  <c r="N841"/>
  <c r="N842"/>
  <c r="N843"/>
  <c r="N844"/>
  <c r="N845"/>
  <c r="N846"/>
  <c r="N847"/>
  <c r="N848"/>
  <c r="N849"/>
  <c r="N850"/>
  <c r="N851"/>
  <c r="N852"/>
  <c r="N853"/>
  <c r="N854"/>
  <c r="N855"/>
  <c r="N856"/>
  <c r="N857"/>
  <c r="N858"/>
  <c r="N859"/>
  <c r="N860"/>
  <c r="N861"/>
  <c r="N862"/>
  <c r="N863"/>
  <c r="N864"/>
  <c r="N865"/>
  <c r="N866"/>
  <c r="N867"/>
  <c r="N868"/>
  <c r="N869"/>
  <c r="N870"/>
  <c r="N871"/>
  <c r="N872"/>
  <c r="N873"/>
  <c r="N874"/>
  <c r="N875"/>
  <c r="N876"/>
  <c r="N877"/>
  <c r="N878"/>
  <c r="N879"/>
  <c r="N880"/>
  <c r="N881"/>
  <c r="N882"/>
  <c r="N883"/>
  <c r="N884"/>
  <c r="N885"/>
  <c r="N886"/>
  <c r="N887"/>
  <c r="N888"/>
  <c r="N889"/>
  <c r="N890"/>
  <c r="N891"/>
  <c r="N892"/>
  <c r="N893"/>
  <c r="N894"/>
  <c r="N895"/>
  <c r="N896"/>
  <c r="N897"/>
  <c r="N898"/>
  <c r="N899"/>
  <c r="N900"/>
  <c r="N901"/>
  <c r="N902"/>
  <c r="N903"/>
  <c r="N904"/>
  <c r="N905"/>
  <c r="N906"/>
  <c r="N907"/>
  <c r="N908"/>
  <c r="N909"/>
  <c r="N910"/>
  <c r="N911"/>
  <c r="N912"/>
  <c r="N913"/>
  <c r="N914"/>
  <c r="N915"/>
  <c r="N916"/>
  <c r="N917"/>
  <c r="N918"/>
  <c r="N919"/>
  <c r="N920"/>
  <c r="N921"/>
  <c r="N922"/>
  <c r="N923"/>
  <c r="N924"/>
  <c r="N925"/>
  <c r="N926"/>
  <c r="N927"/>
  <c r="N928"/>
  <c r="N929"/>
  <c r="N930"/>
  <c r="N931"/>
  <c r="N932"/>
  <c r="N933"/>
  <c r="N934"/>
  <c r="N935"/>
  <c r="N936"/>
  <c r="N937"/>
  <c r="N938"/>
  <c r="N939"/>
  <c r="N940"/>
  <c r="N941"/>
  <c r="N942"/>
  <c r="N943"/>
  <c r="N944"/>
  <c r="N945"/>
  <c r="N946"/>
  <c r="N947"/>
  <c r="N948"/>
  <c r="N949"/>
  <c r="N950"/>
  <c r="N951"/>
  <c r="N952"/>
  <c r="N953"/>
  <c r="N954"/>
  <c r="N955"/>
  <c r="N956"/>
  <c r="N957"/>
  <c r="N958"/>
  <c r="N959"/>
  <c r="N960"/>
  <c r="N961"/>
  <c r="N962"/>
  <c r="N963"/>
  <c r="N964"/>
  <c r="N965"/>
  <c r="N966"/>
  <c r="N967"/>
  <c r="N968"/>
  <c r="N969"/>
  <c r="N970"/>
  <c r="N971"/>
  <c r="N972"/>
  <c r="N973"/>
  <c r="N974"/>
  <c r="N975"/>
  <c r="N976"/>
  <c r="N977"/>
  <c r="N978"/>
  <c r="N979"/>
  <c r="N980"/>
  <c r="N981"/>
  <c r="N982"/>
  <c r="N983"/>
  <c r="N984"/>
  <c r="N985"/>
  <c r="N986"/>
  <c r="N987"/>
  <c r="N988"/>
  <c r="N989"/>
  <c r="N990"/>
  <c r="N991"/>
  <c r="N992"/>
  <c r="N993"/>
  <c r="N994"/>
  <c r="N995"/>
  <c r="N996"/>
  <c r="N997"/>
  <c r="N998"/>
  <c r="N999"/>
  <c r="N1000"/>
  <c r="N1001"/>
  <c r="N1002"/>
  <c r="N1003"/>
  <c r="N1004"/>
  <c r="N1005"/>
  <c r="N1006"/>
  <c r="N1007"/>
  <c r="N1008"/>
  <c r="N1009"/>
  <c r="N1010"/>
  <c r="N1011"/>
  <c r="N1012"/>
  <c r="N1013"/>
  <c r="N1014"/>
  <c r="N1015"/>
  <c r="N1016"/>
  <c r="N1017"/>
  <c r="N1018"/>
  <c r="N1019"/>
  <c r="N1020"/>
  <c r="N1021"/>
  <c r="N1022"/>
  <c r="N1023"/>
  <c r="N1024"/>
  <c r="N1025"/>
  <c r="N1026"/>
  <c r="N1027"/>
  <c r="N1028"/>
  <c r="N1029"/>
  <c r="N1030"/>
  <c r="N1031"/>
  <c r="N1032"/>
  <c r="N1033"/>
  <c r="N1034"/>
  <c r="N1035"/>
  <c r="N1036"/>
  <c r="N1037"/>
  <c r="N1038"/>
  <c r="N1039"/>
  <c r="N1040"/>
  <c r="N1041"/>
  <c r="N1042"/>
  <c r="N1043"/>
  <c r="N1044"/>
  <c r="N1045"/>
  <c r="N1046"/>
  <c r="N1047"/>
  <c r="N1048"/>
  <c r="N1049"/>
  <c r="N1050"/>
  <c r="N1051"/>
  <c r="N1052"/>
  <c r="N1053"/>
  <c r="N1054"/>
  <c r="N1055"/>
  <c r="N1056"/>
  <c r="N1057"/>
  <c r="N1058"/>
  <c r="N1059"/>
  <c r="N1060"/>
  <c r="N1061"/>
  <c r="N1062"/>
  <c r="N1063"/>
  <c r="N1064"/>
  <c r="N1065"/>
  <c r="N1066"/>
  <c r="N1067"/>
  <c r="N1068"/>
  <c r="N1069"/>
  <c r="N1070"/>
  <c r="N1071"/>
  <c r="N1072"/>
  <c r="N1073"/>
  <c r="N1074"/>
  <c r="N1075"/>
  <c r="N1076"/>
  <c r="N1077"/>
  <c r="N1078"/>
  <c r="N1079"/>
  <c r="N1080"/>
  <c r="N1081"/>
  <c r="N1082"/>
  <c r="N1083"/>
  <c r="N1084"/>
  <c r="N1085"/>
  <c r="N1086"/>
  <c r="N1087"/>
  <c r="N1088"/>
  <c r="N1089"/>
  <c r="N1090"/>
  <c r="N1091"/>
  <c r="N1092"/>
  <c r="N1093"/>
  <c r="N1094"/>
  <c r="N1095"/>
  <c r="N1096"/>
  <c r="N1097"/>
  <c r="N1098"/>
  <c r="N1099"/>
  <c r="N1100"/>
  <c r="N1101"/>
  <c r="N1102"/>
  <c r="N1103"/>
  <c r="N1104"/>
  <c r="N1105"/>
  <c r="N1106"/>
  <c r="N1107"/>
  <c r="N1108"/>
  <c r="N1109"/>
  <c r="N1110"/>
  <c r="N1111"/>
  <c r="N1112"/>
  <c r="N1113"/>
  <c r="N1114"/>
  <c r="N1115"/>
  <c r="N1116"/>
  <c r="N1117"/>
  <c r="N1118"/>
  <c r="N1119"/>
  <c r="N1120"/>
  <c r="N1121"/>
  <c r="N1122"/>
  <c r="N1123"/>
  <c r="N1124"/>
  <c r="N1125"/>
  <c r="N1126"/>
  <c r="N1127"/>
  <c r="N1128"/>
  <c r="N1129"/>
  <c r="N1130"/>
  <c r="N1131"/>
  <c r="N1132"/>
  <c r="N1133"/>
  <c r="N1134"/>
  <c r="N1135"/>
  <c r="N1136"/>
  <c r="N1137"/>
  <c r="N1138"/>
  <c r="N1139"/>
  <c r="N1140"/>
  <c r="N1141"/>
  <c r="N1142"/>
  <c r="N1143"/>
  <c r="N1144"/>
  <c r="N1145"/>
  <c r="N1146"/>
  <c r="N1147"/>
  <c r="N1148"/>
  <c r="N1149"/>
  <c r="N1150"/>
  <c r="N1151"/>
  <c r="N1152"/>
  <c r="N1153"/>
  <c r="N1154"/>
  <c r="N1155"/>
  <c r="N1156"/>
  <c r="N1157"/>
  <c r="N1158"/>
  <c r="N1159"/>
  <c r="N1160"/>
  <c r="N1161"/>
  <c r="N1162"/>
  <c r="N1163"/>
  <c r="N1164"/>
  <c r="N1165"/>
  <c r="N1166"/>
  <c r="N1167"/>
  <c r="N1168"/>
  <c r="N1169"/>
  <c r="N1170"/>
  <c r="N1171"/>
  <c r="N1172"/>
  <c r="N1173"/>
  <c r="N1174"/>
  <c r="N1175"/>
  <c r="N1176"/>
  <c r="N1177"/>
  <c r="N1178"/>
  <c r="N1179"/>
  <c r="N1180"/>
  <c r="N1181"/>
  <c r="N1182"/>
  <c r="N1183"/>
  <c r="N1184"/>
  <c r="N1185"/>
  <c r="N1186"/>
  <c r="N1187"/>
  <c r="N1188"/>
  <c r="N1189"/>
  <c r="N1190"/>
  <c r="N1191"/>
  <c r="N1192"/>
  <c r="N1193"/>
  <c r="N1194"/>
  <c r="N1195"/>
  <c r="N1196"/>
  <c r="N1197"/>
  <c r="N1198"/>
  <c r="N1199"/>
  <c r="N1200"/>
  <c r="N1201"/>
  <c r="N1202"/>
  <c r="N1203"/>
  <c r="N1204"/>
  <c r="N1205"/>
  <c r="N1206"/>
  <c r="N1207"/>
  <c r="N1208"/>
  <c r="N1209"/>
  <c r="N1210"/>
  <c r="N1211"/>
  <c r="N1212"/>
  <c r="N1213"/>
  <c r="N1214"/>
  <c r="N1215"/>
  <c r="N1216"/>
  <c r="N1217"/>
  <c r="N1218"/>
  <c r="N1219"/>
  <c r="N1220"/>
  <c r="N1221"/>
  <c r="N1222"/>
  <c r="N1223"/>
  <c r="N1224"/>
  <c r="N1225"/>
  <c r="N1226"/>
  <c r="N1227"/>
  <c r="N1228"/>
  <c r="N1229"/>
  <c r="N1230"/>
  <c r="N1231"/>
  <c r="N1232"/>
  <c r="N1233"/>
  <c r="N1234"/>
  <c r="N1235"/>
  <c r="N1236"/>
  <c r="N1237"/>
  <c r="N1238"/>
  <c r="N1239"/>
  <c r="N1240"/>
  <c r="N1241"/>
  <c r="N1242"/>
  <c r="N1243"/>
  <c r="N1244"/>
  <c r="N1245"/>
  <c r="N1246"/>
  <c r="N1247"/>
  <c r="N1248"/>
  <c r="N1249"/>
  <c r="N1250"/>
  <c r="N1251"/>
  <c r="N1252"/>
  <c r="N1253"/>
  <c r="N1254"/>
  <c r="N1255"/>
  <c r="N1256"/>
  <c r="N1257"/>
  <c r="N1258"/>
  <c r="N1259"/>
  <c r="N1260"/>
  <c r="N1261"/>
  <c r="N1262"/>
  <c r="N1263"/>
  <c r="N1264"/>
  <c r="N1265"/>
  <c r="N1266"/>
  <c r="N1267"/>
  <c r="N1268"/>
  <c r="N1269"/>
  <c r="N1270"/>
  <c r="N1271"/>
  <c r="N1272"/>
  <c r="N1273"/>
  <c r="N1274"/>
  <c r="N1275"/>
  <c r="N1276"/>
  <c r="N1277"/>
  <c r="N1278"/>
  <c r="N1279"/>
  <c r="N1280"/>
  <c r="N1281"/>
  <c r="N1282"/>
  <c r="N1283"/>
  <c r="N1284"/>
  <c r="N1285"/>
  <c r="N1286"/>
  <c r="N1287"/>
  <c r="N1288"/>
  <c r="N1289"/>
  <c r="N1290"/>
  <c r="N1291"/>
  <c r="N1292"/>
  <c r="N1293"/>
  <c r="N1294"/>
  <c r="N1295"/>
  <c r="N1296"/>
  <c r="N1297"/>
  <c r="N1298"/>
  <c r="N1299"/>
  <c r="N1300"/>
  <c r="N1301"/>
  <c r="N1302"/>
  <c r="N1303"/>
  <c r="N1304"/>
  <c r="N1305"/>
  <c r="N1306"/>
  <c r="N1307"/>
  <c r="N1308"/>
  <c r="N1309"/>
  <c r="N1310"/>
  <c r="N1311"/>
  <c r="N1312"/>
  <c r="N1313"/>
  <c r="N1314"/>
  <c r="N1315"/>
  <c r="N1316"/>
  <c r="N1317"/>
  <c r="N1318"/>
  <c r="N1319"/>
  <c r="N1320"/>
  <c r="N1321"/>
  <c r="N1322"/>
  <c r="N1323"/>
  <c r="N1324"/>
  <c r="N1325"/>
  <c r="N1326"/>
  <c r="N1327"/>
  <c r="N1328"/>
  <c r="N1329"/>
  <c r="N1330"/>
  <c r="N1331"/>
  <c r="N1332"/>
  <c r="N1333"/>
  <c r="N1334"/>
  <c r="N1335"/>
  <c r="N1336"/>
  <c r="N1337"/>
  <c r="N1338"/>
  <c r="N1339"/>
  <c r="N1340"/>
  <c r="N1341"/>
  <c r="N1342"/>
  <c r="N1343"/>
  <c r="N1344"/>
  <c r="N1345"/>
  <c r="N1346"/>
  <c r="N1347"/>
  <c r="N1348"/>
  <c r="N1349"/>
  <c r="N1350"/>
  <c r="N1351"/>
  <c r="N1352"/>
  <c r="N1353"/>
  <c r="N1354"/>
  <c r="N1355"/>
  <c r="N1356"/>
  <c r="N1357"/>
  <c r="N1358"/>
  <c r="N1359"/>
  <c r="N1360"/>
  <c r="N1361"/>
  <c r="N1362"/>
  <c r="N1363"/>
  <c r="N1364"/>
  <c r="N1365"/>
  <c r="N1366"/>
  <c r="N1367"/>
  <c r="N1368"/>
  <c r="N1369"/>
  <c r="N1370"/>
  <c r="N1371"/>
  <c r="N1372"/>
  <c r="N1373"/>
  <c r="N1374"/>
  <c r="N1375"/>
  <c r="N1376"/>
  <c r="N1377"/>
  <c r="N1378"/>
  <c r="N1379"/>
  <c r="N1380"/>
  <c r="N1381"/>
  <c r="N1382"/>
  <c r="N1383"/>
  <c r="N1384"/>
  <c r="N1385"/>
  <c r="N1386"/>
  <c r="N1387"/>
  <c r="N1388"/>
  <c r="N1389"/>
  <c r="N1390"/>
  <c r="N1391"/>
  <c r="N1392"/>
  <c r="N1393"/>
  <c r="N1394"/>
  <c r="N1395"/>
  <c r="N1396"/>
  <c r="N1397"/>
  <c r="N1398"/>
  <c r="N1399"/>
  <c r="N1400"/>
  <c r="N1401"/>
  <c r="N1402"/>
  <c r="N1403"/>
  <c r="N1404"/>
  <c r="N1405"/>
  <c r="N1406"/>
  <c r="N1407"/>
  <c r="N1408"/>
  <c r="N1409"/>
  <c r="N1410"/>
  <c r="N1411"/>
  <c r="N1412"/>
  <c r="N1413"/>
  <c r="N1414"/>
  <c r="N1415"/>
  <c r="N1416"/>
  <c r="N1417"/>
  <c r="N1418"/>
  <c r="N1419"/>
  <c r="N1420"/>
  <c r="N1421"/>
  <c r="N1422"/>
  <c r="N1423"/>
  <c r="N1424"/>
  <c r="N1425"/>
  <c r="N1426"/>
  <c r="N1427"/>
  <c r="N1428"/>
  <c r="N1429"/>
  <c r="N1430"/>
  <c r="N1431"/>
  <c r="N1432"/>
  <c r="N1433"/>
  <c r="N1434"/>
  <c r="N1435"/>
  <c r="N1436"/>
  <c r="N1437"/>
  <c r="N1438"/>
  <c r="N1439"/>
  <c r="N1440"/>
  <c r="N1441"/>
  <c r="N1442"/>
  <c r="N1443"/>
  <c r="N1444"/>
  <c r="N1445"/>
  <c r="N1446"/>
  <c r="N1447"/>
  <c r="N1448"/>
  <c r="N1449"/>
  <c r="N1450"/>
  <c r="N1451"/>
  <c r="N1452"/>
  <c r="N1453"/>
  <c r="N1454"/>
  <c r="N1455"/>
  <c r="N1456"/>
  <c r="N1457"/>
  <c r="N1458"/>
  <c r="N1459"/>
  <c r="N1460"/>
  <c r="N1461"/>
  <c r="N1462"/>
  <c r="N1463"/>
  <c r="N1464"/>
  <c r="N1465"/>
  <c r="N1466"/>
  <c r="N1467"/>
  <c r="N1468"/>
  <c r="N1469"/>
  <c r="N1470"/>
  <c r="N1471"/>
  <c r="N1472"/>
  <c r="N1473"/>
  <c r="N1474"/>
  <c r="N1475"/>
  <c r="N1476"/>
  <c r="N1477"/>
  <c r="N1478"/>
  <c r="N1479"/>
  <c r="N1480"/>
  <c r="N1481"/>
  <c r="N1482"/>
  <c r="N1483"/>
  <c r="N1484"/>
  <c r="N1485"/>
  <c r="N1486"/>
  <c r="N1487"/>
  <c r="N1488"/>
  <c r="N1489"/>
  <c r="N1490"/>
  <c r="N1491"/>
  <c r="N1492"/>
  <c r="N1493"/>
  <c r="N1494"/>
  <c r="N1495"/>
  <c r="N1496"/>
  <c r="N1497"/>
  <c r="N1498"/>
  <c r="N1499"/>
  <c r="N1500"/>
  <c r="N1501"/>
  <c r="N1502"/>
  <c r="N1503"/>
  <c r="N1504"/>
  <c r="N1505"/>
  <c r="N1506"/>
  <c r="N1507"/>
  <c r="N1508"/>
  <c r="N1509"/>
  <c r="N1510"/>
  <c r="N1511"/>
  <c r="N1512"/>
  <c r="N1513"/>
  <c r="N1514"/>
  <c r="N1515"/>
  <c r="N1516"/>
  <c r="N1517"/>
  <c r="N1518"/>
  <c r="N1519"/>
  <c r="N1520"/>
  <c r="N1521"/>
  <c r="N1522"/>
  <c r="N1523"/>
  <c r="N1524"/>
  <c r="N1525"/>
  <c r="N1526"/>
  <c r="N1527"/>
  <c r="N1528"/>
  <c r="N1529"/>
  <c r="N1530"/>
  <c r="N1531"/>
  <c r="N1532"/>
  <c r="N1533"/>
  <c r="N1534"/>
  <c r="N1535"/>
  <c r="N1536"/>
  <c r="N1537"/>
  <c r="N1538"/>
  <c r="N1539"/>
  <c r="N1540"/>
  <c r="N1541"/>
  <c r="N1542"/>
  <c r="N1543"/>
  <c r="J65" i="8" l="1"/>
  <c r="I65"/>
  <c r="H65"/>
  <c r="G65"/>
  <c r="F65"/>
  <c r="E65"/>
  <c r="D65"/>
  <c r="C65"/>
  <c r="J76"/>
  <c r="I76"/>
  <c r="H76"/>
  <c r="G76"/>
  <c r="F76"/>
  <c r="E76"/>
  <c r="D76"/>
  <c r="C76"/>
  <c r="J75"/>
  <c r="I75"/>
  <c r="H75"/>
  <c r="G75"/>
  <c r="F75"/>
  <c r="E75"/>
  <c r="D75"/>
  <c r="C75"/>
  <c r="J74"/>
  <c r="I74"/>
  <c r="H74"/>
  <c r="G74"/>
  <c r="F74"/>
  <c r="E74"/>
  <c r="D74"/>
  <c r="C74"/>
  <c r="J73"/>
  <c r="I73"/>
  <c r="H73"/>
  <c r="G73"/>
  <c r="F73"/>
  <c r="E73"/>
  <c r="D73"/>
  <c r="C73"/>
  <c r="J72"/>
  <c r="I72"/>
  <c r="H72"/>
  <c r="G72"/>
  <c r="F72"/>
  <c r="E72"/>
  <c r="D72"/>
  <c r="C72"/>
  <c r="J71"/>
  <c r="I71"/>
  <c r="H71"/>
  <c r="G71"/>
  <c r="F71"/>
  <c r="E71"/>
  <c r="D71"/>
  <c r="L26"/>
  <c r="J58"/>
  <c r="I58"/>
  <c r="H58"/>
  <c r="G58"/>
  <c r="F58"/>
  <c r="E58"/>
  <c r="D58"/>
  <c r="C58"/>
  <c r="J57"/>
  <c r="I57"/>
  <c r="H57"/>
  <c r="G57"/>
  <c r="F57"/>
  <c r="E57"/>
  <c r="D57"/>
  <c r="C57"/>
  <c r="J56"/>
  <c r="I56"/>
  <c r="H56"/>
  <c r="G56"/>
  <c r="F56"/>
  <c r="E56"/>
  <c r="D56"/>
  <c r="C56"/>
  <c r="J61"/>
  <c r="I61"/>
  <c r="H61"/>
  <c r="G61"/>
  <c r="F61"/>
  <c r="E61"/>
  <c r="D61"/>
  <c r="C61"/>
  <c r="J60"/>
  <c r="I60"/>
  <c r="H60"/>
  <c r="G60"/>
  <c r="F60"/>
  <c r="E60"/>
  <c r="D60"/>
  <c r="C60"/>
  <c r="J59"/>
  <c r="I59"/>
  <c r="H59"/>
  <c r="G59"/>
  <c r="F59"/>
  <c r="E59"/>
  <c r="D59"/>
  <c r="C59"/>
  <c r="J55"/>
  <c r="I55"/>
  <c r="H55"/>
  <c r="G55"/>
  <c r="F55"/>
  <c r="E55"/>
  <c r="D55"/>
  <c r="C55" s="1"/>
  <c r="J54"/>
  <c r="I54"/>
  <c r="H54"/>
  <c r="G54"/>
  <c r="F54"/>
  <c r="E54"/>
  <c r="D54"/>
  <c r="C54" s="1"/>
  <c r="J53"/>
  <c r="I53"/>
  <c r="H53"/>
  <c r="G53"/>
  <c r="F53"/>
  <c r="E53"/>
  <c r="D53"/>
  <c r="C53" s="1"/>
  <c r="J70"/>
  <c r="I49"/>
  <c r="H49"/>
  <c r="G49"/>
  <c r="F70"/>
  <c r="E49"/>
  <c r="D49"/>
  <c r="C49"/>
  <c r="J69"/>
  <c r="I48"/>
  <c r="H48"/>
  <c r="G51"/>
  <c r="F69"/>
  <c r="E48"/>
  <c r="D48"/>
  <c r="C48"/>
  <c r="J68"/>
  <c r="I50"/>
  <c r="H50"/>
  <c r="F68"/>
  <c r="E50"/>
  <c r="D50"/>
  <c r="C50" s="1"/>
  <c r="H1" i="37"/>
  <c r="G1"/>
  <c r="F1"/>
  <c r="E1"/>
  <c r="D1"/>
  <c r="C1"/>
  <c r="B1"/>
  <c r="A104" i="36"/>
  <c r="A102"/>
  <c r="A1" i="2"/>
  <c r="S6" i="7"/>
  <c r="R6"/>
  <c r="U6" s="1"/>
  <c r="V6" s="1"/>
  <c r="S5"/>
  <c r="R5"/>
  <c r="U5" s="1"/>
  <c r="V5" s="1"/>
  <c r="S4"/>
  <c r="R4"/>
  <c r="U4" s="1"/>
  <c r="V4" s="1"/>
  <c r="AJ38" i="1"/>
  <c r="AL38" s="1"/>
  <c r="W38"/>
  <c r="AK37"/>
  <c r="AJ37"/>
  <c r="AL37" s="1"/>
  <c r="AI36"/>
  <c r="AL36" s="1"/>
  <c r="AL35"/>
  <c r="AL34"/>
  <c r="AL33"/>
  <c r="AL32"/>
  <c r="AJ30"/>
  <c r="AL30" s="1"/>
  <c r="AI27"/>
  <c r="AL27" s="1"/>
  <c r="AL28"/>
  <c r="V29"/>
  <c r="U29"/>
  <c r="T29"/>
  <c r="S29"/>
  <c r="R29"/>
  <c r="Q29"/>
  <c r="P29"/>
  <c r="O29"/>
  <c r="X16"/>
  <c r="W16"/>
  <c r="V37"/>
  <c r="X15"/>
  <c r="T37"/>
  <c r="S37"/>
  <c r="R37"/>
  <c r="Q37"/>
  <c r="P37"/>
  <c r="O37"/>
  <c r="V24"/>
  <c r="U24"/>
  <c r="T24"/>
  <c r="S24"/>
  <c r="R24"/>
  <c r="Q24"/>
  <c r="P24"/>
  <c r="O24"/>
  <c r="AJ29"/>
  <c r="U32"/>
  <c r="T32"/>
  <c r="S32"/>
  <c r="Q32"/>
  <c r="P32"/>
  <c r="O32"/>
  <c r="T27"/>
  <c r="P27"/>
  <c r="O27" s="1"/>
  <c r="U22"/>
  <c r="AH3"/>
  <c r="Q22"/>
  <c r="P22"/>
  <c r="AL1"/>
  <c r="AK1"/>
  <c r="AD1"/>
  <c r="Y1"/>
  <c r="T1"/>
  <c r="AH1558" i="18"/>
  <c r="AG1558"/>
  <c r="AD1558"/>
  <c r="AC1558"/>
  <c r="K1558"/>
  <c r="G1558"/>
  <c r="E1558"/>
  <c r="C1558"/>
  <c r="U1558" s="1"/>
  <c r="F1558" s="1"/>
  <c r="AH1557"/>
  <c r="AG1557"/>
  <c r="AD1557"/>
  <c r="AC1557"/>
  <c r="K1557"/>
  <c r="G1557"/>
  <c r="E1557"/>
  <c r="C1557"/>
  <c r="D1557" s="1"/>
  <c r="AH1556"/>
  <c r="AG1556"/>
  <c r="AD1556"/>
  <c r="AC1556"/>
  <c r="K1556"/>
  <c r="G1556"/>
  <c r="E1556"/>
  <c r="C1556"/>
  <c r="D1556" s="1"/>
  <c r="AH1555"/>
  <c r="H1555" s="1"/>
  <c r="AG1555"/>
  <c r="AD1555"/>
  <c r="AC1555"/>
  <c r="K1555"/>
  <c r="G1555"/>
  <c r="E1555"/>
  <c r="C1555"/>
  <c r="U1555" s="1"/>
  <c r="F1555" s="1"/>
  <c r="AH1554"/>
  <c r="AG1554"/>
  <c r="AD1554"/>
  <c r="AC1554"/>
  <c r="K1554"/>
  <c r="G1554"/>
  <c r="E1554"/>
  <c r="C1554"/>
  <c r="D1554" s="1"/>
  <c r="AH1553"/>
  <c r="AG1553"/>
  <c r="AD1553"/>
  <c r="AC1553"/>
  <c r="K1553"/>
  <c r="G1553"/>
  <c r="E1553"/>
  <c r="C1553"/>
  <c r="U1553" s="1"/>
  <c r="F1553" s="1"/>
  <c r="AH1552"/>
  <c r="AG1552"/>
  <c r="AD1552"/>
  <c r="AC1552"/>
  <c r="K1552"/>
  <c r="G1552"/>
  <c r="E1552"/>
  <c r="C1552"/>
  <c r="AH1551"/>
  <c r="H1551" s="1"/>
  <c r="AG1551"/>
  <c r="AD1551"/>
  <c r="AC1551"/>
  <c r="K1551"/>
  <c r="G1551"/>
  <c r="E1551"/>
  <c r="C1551"/>
  <c r="D1551" s="1"/>
  <c r="AH1550"/>
  <c r="AG1550"/>
  <c r="AD1550"/>
  <c r="AC1550"/>
  <c r="K1550"/>
  <c r="G1550"/>
  <c r="E1550"/>
  <c r="C1550"/>
  <c r="D1550" s="1"/>
  <c r="AH1549"/>
  <c r="AG1549"/>
  <c r="AD1549"/>
  <c r="AC1549"/>
  <c r="K1549"/>
  <c r="G1549"/>
  <c r="E1549"/>
  <c r="S2" i="24" s="1"/>
  <c r="C1549" i="18"/>
  <c r="D1549" s="1"/>
  <c r="T2" i="24" s="1"/>
  <c r="AH1548" i="18"/>
  <c r="AG1548"/>
  <c r="AD1548"/>
  <c r="AC1548"/>
  <c r="K1548"/>
  <c r="G1548"/>
  <c r="E1548"/>
  <c r="C1548"/>
  <c r="AH1547"/>
  <c r="AG1547"/>
  <c r="AD1547"/>
  <c r="AC1547"/>
  <c r="K1547"/>
  <c r="G1547"/>
  <c r="E1547"/>
  <c r="C1547"/>
  <c r="U1547" s="1"/>
  <c r="F1547" s="1"/>
  <c r="AH1546"/>
  <c r="AG1546"/>
  <c r="AD1546"/>
  <c r="AC1546"/>
  <c r="K1546"/>
  <c r="G1546"/>
  <c r="E1546"/>
  <c r="C1546"/>
  <c r="N34" i="23" s="1"/>
  <c r="AH1545" i="18"/>
  <c r="AG1545"/>
  <c r="AD1545"/>
  <c r="AC1545"/>
  <c r="K1545"/>
  <c r="G1545"/>
  <c r="E1545"/>
  <c r="C1545"/>
  <c r="AH1544"/>
  <c r="AG1544"/>
  <c r="AD1544"/>
  <c r="AC1544"/>
  <c r="K1544"/>
  <c r="G1544"/>
  <c r="E1544"/>
  <c r="C1544"/>
  <c r="AH1543"/>
  <c r="H1543" s="1"/>
  <c r="AG1543"/>
  <c r="AD1543"/>
  <c r="AC1543"/>
  <c r="K1543"/>
  <c r="G1543"/>
  <c r="E1543"/>
  <c r="C1543"/>
  <c r="N33" i="23" s="1"/>
  <c r="AH1542" i="18"/>
  <c r="AG1542"/>
  <c r="AD1542"/>
  <c r="AC1542"/>
  <c r="K1542"/>
  <c r="G1542"/>
  <c r="E1542"/>
  <c r="C1542"/>
  <c r="U1542" s="1"/>
  <c r="F1542" s="1"/>
  <c r="AH1541"/>
  <c r="AG1541"/>
  <c r="AD1541"/>
  <c r="AC1541"/>
  <c r="K1541"/>
  <c r="G1541"/>
  <c r="E1541"/>
  <c r="C1541"/>
  <c r="AH1540"/>
  <c r="AG1540"/>
  <c r="AD1540"/>
  <c r="AC1540"/>
  <c r="K1540"/>
  <c r="G1540"/>
  <c r="E1540"/>
  <c r="S3" i="24" s="1"/>
  <c r="C1540" i="18"/>
  <c r="U1540" s="1"/>
  <c r="F1540" s="1"/>
  <c r="AH1539"/>
  <c r="AG1539"/>
  <c r="AD1539"/>
  <c r="AC1539"/>
  <c r="K1539"/>
  <c r="G1539"/>
  <c r="E1539"/>
  <c r="C1539"/>
  <c r="U1539" s="1"/>
  <c r="F1539" s="1"/>
  <c r="AH1538"/>
  <c r="AG1538"/>
  <c r="AD1538"/>
  <c r="AC1538"/>
  <c r="K1538"/>
  <c r="G1538"/>
  <c r="E1538"/>
  <c r="C1538"/>
  <c r="AH1537"/>
  <c r="AG1537"/>
  <c r="AD1537"/>
  <c r="AC1537"/>
  <c r="K1537"/>
  <c r="G1537"/>
  <c r="E1537"/>
  <c r="C1537"/>
  <c r="N32" i="23" s="1"/>
  <c r="AH1536" i="18"/>
  <c r="AG1536"/>
  <c r="AD1536"/>
  <c r="AC1536"/>
  <c r="K1536"/>
  <c r="G1536"/>
  <c r="E1536"/>
  <c r="C1536"/>
  <c r="D1536" s="1"/>
  <c r="AH1535"/>
  <c r="AG1535"/>
  <c r="AD1535"/>
  <c r="AC1535"/>
  <c r="K1535"/>
  <c r="G1535"/>
  <c r="E1535"/>
  <c r="C1535"/>
  <c r="D1535" s="1"/>
  <c r="AH1534"/>
  <c r="AG1534"/>
  <c r="AD1534"/>
  <c r="AC1534"/>
  <c r="K1534"/>
  <c r="G1534"/>
  <c r="E1534"/>
  <c r="C1534"/>
  <c r="AH1533"/>
  <c r="AG1533"/>
  <c r="AD1533"/>
  <c r="AC1533"/>
  <c r="K1533"/>
  <c r="G1533"/>
  <c r="E1533"/>
  <c r="C1533"/>
  <c r="D1533" s="1"/>
  <c r="AH1532"/>
  <c r="AG1532"/>
  <c r="H1532" s="1"/>
  <c r="AD1532"/>
  <c r="AC1532"/>
  <c r="K1532"/>
  <c r="G1532"/>
  <c r="E1532"/>
  <c r="C1532"/>
  <c r="U1532" s="1"/>
  <c r="F1532" s="1"/>
  <c r="AH1531"/>
  <c r="AG1531"/>
  <c r="AD1531"/>
  <c r="AC1531"/>
  <c r="K1531"/>
  <c r="H1531"/>
  <c r="G1531"/>
  <c r="E1531"/>
  <c r="C1531"/>
  <c r="U1531" s="1"/>
  <c r="F1531" s="1"/>
  <c r="AH1530"/>
  <c r="AG1530"/>
  <c r="AD1530"/>
  <c r="AC1530"/>
  <c r="K1530"/>
  <c r="G1530"/>
  <c r="E1530"/>
  <c r="C1530"/>
  <c r="AH1529"/>
  <c r="AG1529"/>
  <c r="AD1529"/>
  <c r="AC1529"/>
  <c r="K1529"/>
  <c r="G1529"/>
  <c r="E1529"/>
  <c r="C1529"/>
  <c r="AH1528"/>
  <c r="AG1528"/>
  <c r="AD1528"/>
  <c r="AC1528"/>
  <c r="K1528"/>
  <c r="G1528"/>
  <c r="E1528"/>
  <c r="C1528"/>
  <c r="U1528" s="1"/>
  <c r="F1528" s="1"/>
  <c r="AH1527"/>
  <c r="AG1527"/>
  <c r="AD1527"/>
  <c r="AC1527"/>
  <c r="K1527"/>
  <c r="G1527"/>
  <c r="E1527"/>
  <c r="C1527"/>
  <c r="U1527" s="1"/>
  <c r="F1527" s="1"/>
  <c r="AH1526"/>
  <c r="AG1526"/>
  <c r="AD1526"/>
  <c r="AC1526"/>
  <c r="K1526"/>
  <c r="G1526"/>
  <c r="E1526"/>
  <c r="C1526"/>
  <c r="AH1525"/>
  <c r="AG1525"/>
  <c r="AD1525"/>
  <c r="AC1525"/>
  <c r="K1525"/>
  <c r="G1525"/>
  <c r="E1525"/>
  <c r="C1525"/>
  <c r="D1525" s="1"/>
  <c r="AH1524"/>
  <c r="AG1524"/>
  <c r="AD1524"/>
  <c r="AC1524"/>
  <c r="K1524"/>
  <c r="G1524"/>
  <c r="E1524"/>
  <c r="C1524"/>
  <c r="AH1523"/>
  <c r="AG1523"/>
  <c r="AD1523"/>
  <c r="AC1523"/>
  <c r="K1523"/>
  <c r="G1523"/>
  <c r="E1523"/>
  <c r="C1523"/>
  <c r="N31" i="23" s="1"/>
  <c r="AH1522" i="18"/>
  <c r="AG1522"/>
  <c r="AD1522"/>
  <c r="AC1522"/>
  <c r="K1522"/>
  <c r="G1522"/>
  <c r="E1522"/>
  <c r="C1522"/>
  <c r="AH1521"/>
  <c r="AG1521"/>
  <c r="AD1521"/>
  <c r="AC1521"/>
  <c r="K1521"/>
  <c r="G1521"/>
  <c r="E1521"/>
  <c r="C1521"/>
  <c r="AH1520"/>
  <c r="AG1520"/>
  <c r="AD1520"/>
  <c r="AC1520"/>
  <c r="K1520"/>
  <c r="G1520"/>
  <c r="E1520"/>
  <c r="C1520"/>
  <c r="U1520" s="1"/>
  <c r="F1520" s="1"/>
  <c r="AH1519"/>
  <c r="AG1519"/>
  <c r="AD1519"/>
  <c r="AC1519"/>
  <c r="K1519"/>
  <c r="G1519"/>
  <c r="E1519"/>
  <c r="C1519"/>
  <c r="U1519" s="1"/>
  <c r="F1519" s="1"/>
  <c r="AH1518"/>
  <c r="AG1518"/>
  <c r="AD1518"/>
  <c r="AC1518"/>
  <c r="K1518"/>
  <c r="G1518"/>
  <c r="E1518"/>
  <c r="C1518"/>
  <c r="U1518" s="1"/>
  <c r="F1518" s="1"/>
  <c r="AH1517"/>
  <c r="AG1517"/>
  <c r="AD1517"/>
  <c r="AC1517"/>
  <c r="K1517"/>
  <c r="G1517"/>
  <c r="E1517"/>
  <c r="C1517"/>
  <c r="AH1516"/>
  <c r="AG1516"/>
  <c r="AD1516"/>
  <c r="AC1516"/>
  <c r="K1516"/>
  <c r="G1516"/>
  <c r="E1516"/>
  <c r="C1516"/>
  <c r="AH1515"/>
  <c r="AG1515"/>
  <c r="AD1515"/>
  <c r="AC1515"/>
  <c r="K1515"/>
  <c r="G1515"/>
  <c r="E1515"/>
  <c r="S6" i="24" s="1"/>
  <c r="C1515" i="18"/>
  <c r="AH1514"/>
  <c r="AG1514"/>
  <c r="AD1514"/>
  <c r="AC1514"/>
  <c r="K1514"/>
  <c r="G1514"/>
  <c r="E1514"/>
  <c r="S7" i="24" s="1"/>
  <c r="C1514" i="18"/>
  <c r="D1514" s="1"/>
  <c r="T7" i="24" s="1"/>
  <c r="AH1513" i="18"/>
  <c r="AG1513"/>
  <c r="AD1513"/>
  <c r="AC1513"/>
  <c r="K1513"/>
  <c r="G1513"/>
  <c r="E1513"/>
  <c r="C1513"/>
  <c r="U1513" s="1"/>
  <c r="F1513" s="1"/>
  <c r="AH1512"/>
  <c r="AG1512"/>
  <c r="AD1512"/>
  <c r="AC1512"/>
  <c r="K1512"/>
  <c r="G1512"/>
  <c r="E1512"/>
  <c r="C1512"/>
  <c r="AH1511"/>
  <c r="AG1511"/>
  <c r="AD1511"/>
  <c r="AC1511"/>
  <c r="K1511"/>
  <c r="G1511"/>
  <c r="E1511"/>
  <c r="C1511"/>
  <c r="AH1510"/>
  <c r="AG1510"/>
  <c r="AD1510"/>
  <c r="AC1510"/>
  <c r="K1510"/>
  <c r="G1510"/>
  <c r="E1510"/>
  <c r="C1510"/>
  <c r="U1510" s="1"/>
  <c r="F1510" s="1"/>
  <c r="AH1509"/>
  <c r="AG1509"/>
  <c r="AD1509"/>
  <c r="AC1509"/>
  <c r="K1509"/>
  <c r="G1509"/>
  <c r="E1509"/>
  <c r="S8" i="24" s="1"/>
  <c r="C1509" i="18"/>
  <c r="D1509" s="1"/>
  <c r="T8" i="24" s="1"/>
  <c r="AH1508" i="18"/>
  <c r="AG1508"/>
  <c r="AD1508"/>
  <c r="AC1508"/>
  <c r="K1508"/>
  <c r="G1508"/>
  <c r="E1508"/>
  <c r="C1508"/>
  <c r="AH1507"/>
  <c r="AG1507"/>
  <c r="AD1507"/>
  <c r="AC1507"/>
  <c r="K1507"/>
  <c r="G1507"/>
  <c r="E1507"/>
  <c r="C1507"/>
  <c r="AH1506"/>
  <c r="AG1506"/>
  <c r="AD1506"/>
  <c r="AC1506"/>
  <c r="K1506"/>
  <c r="G1506"/>
  <c r="E1506"/>
  <c r="C1506"/>
  <c r="U1506" s="1"/>
  <c r="F1506" s="1"/>
  <c r="AH1505"/>
  <c r="AG1505"/>
  <c r="AD1505"/>
  <c r="AC1505"/>
  <c r="K1505"/>
  <c r="G1505"/>
  <c r="E1505"/>
  <c r="C1505"/>
  <c r="U1505" s="1"/>
  <c r="F1505" s="1"/>
  <c r="AH1504"/>
  <c r="AG1504"/>
  <c r="AD1504"/>
  <c r="AC1504"/>
  <c r="K1504"/>
  <c r="G1504"/>
  <c r="E1504"/>
  <c r="C1504"/>
  <c r="AH1503"/>
  <c r="AG1503"/>
  <c r="AD1503"/>
  <c r="AC1503"/>
  <c r="K1503"/>
  <c r="G1503"/>
  <c r="E1503"/>
  <c r="C1503"/>
  <c r="D1503" s="1"/>
  <c r="AH1502"/>
  <c r="AG1502"/>
  <c r="AD1502"/>
  <c r="AC1502"/>
  <c r="K1502"/>
  <c r="G1502"/>
  <c r="E1502"/>
  <c r="C1502"/>
  <c r="D1502" s="1"/>
  <c r="AH1501"/>
  <c r="AG1501"/>
  <c r="AD1501"/>
  <c r="AC1501"/>
  <c r="K1501"/>
  <c r="G1501"/>
  <c r="E1501"/>
  <c r="C1501"/>
  <c r="AH1500"/>
  <c r="AG1500"/>
  <c r="AD1500"/>
  <c r="AC1500"/>
  <c r="K1500"/>
  <c r="G1500"/>
  <c r="E1500"/>
  <c r="C1500"/>
  <c r="U1500" s="1"/>
  <c r="F1500" s="1"/>
  <c r="AH1499"/>
  <c r="AG1499"/>
  <c r="AD1499"/>
  <c r="AC1499"/>
  <c r="K1499"/>
  <c r="G1499"/>
  <c r="E1499"/>
  <c r="C1499"/>
  <c r="U1499" s="1"/>
  <c r="F1499" s="1"/>
  <c r="AH1498"/>
  <c r="AG1498"/>
  <c r="AD1498"/>
  <c r="AC1498"/>
  <c r="K1498"/>
  <c r="G1498"/>
  <c r="E1498"/>
  <c r="C1498"/>
  <c r="U1498" s="1"/>
  <c r="F1498" s="1"/>
  <c r="AH1497"/>
  <c r="AG1497"/>
  <c r="AD1497"/>
  <c r="AC1497"/>
  <c r="K1497"/>
  <c r="G1497"/>
  <c r="E1497"/>
  <c r="C1497"/>
  <c r="U1497" s="1"/>
  <c r="F1497" s="1"/>
  <c r="AH1496"/>
  <c r="AG1496"/>
  <c r="AD1496"/>
  <c r="AC1496"/>
  <c r="K1496"/>
  <c r="G1496"/>
  <c r="E1496"/>
  <c r="C1496"/>
  <c r="U1496" s="1"/>
  <c r="F1496" s="1"/>
  <c r="AH1495"/>
  <c r="AG1495"/>
  <c r="AD1495"/>
  <c r="AC1495"/>
  <c r="K1495"/>
  <c r="G1495"/>
  <c r="E1495"/>
  <c r="C1495"/>
  <c r="U1495" s="1"/>
  <c r="F1495" s="1"/>
  <c r="AH1494"/>
  <c r="AG1494"/>
  <c r="AD1494"/>
  <c r="AC1494"/>
  <c r="K1494"/>
  <c r="G1494"/>
  <c r="E1494"/>
  <c r="C1494"/>
  <c r="U1494" s="1"/>
  <c r="F1494" s="1"/>
  <c r="AH1493"/>
  <c r="AG1493"/>
  <c r="AD1493"/>
  <c r="AC1493"/>
  <c r="K1493"/>
  <c r="G1493"/>
  <c r="E1493"/>
  <c r="C1493"/>
  <c r="U1493" s="1"/>
  <c r="F1493" s="1"/>
  <c r="AH1492"/>
  <c r="AG1492"/>
  <c r="AD1492"/>
  <c r="AC1492"/>
  <c r="K1492"/>
  <c r="G1492"/>
  <c r="E1492"/>
  <c r="C1492"/>
  <c r="U1492" s="1"/>
  <c r="F1492" s="1"/>
  <c r="AH1491"/>
  <c r="AG1491"/>
  <c r="AD1491"/>
  <c r="AC1491"/>
  <c r="K1491"/>
  <c r="H1491"/>
  <c r="G1491"/>
  <c r="E1491"/>
  <c r="C1491"/>
  <c r="U1491" s="1"/>
  <c r="F1491" s="1"/>
  <c r="AH1490"/>
  <c r="AG1490"/>
  <c r="AD1490"/>
  <c r="AC1490"/>
  <c r="K1490"/>
  <c r="G1490"/>
  <c r="E1490"/>
  <c r="C1490"/>
  <c r="D1490" s="1"/>
  <c r="AH1489"/>
  <c r="AG1489"/>
  <c r="AD1489"/>
  <c r="AC1489"/>
  <c r="K1489"/>
  <c r="G1489"/>
  <c r="E1489"/>
  <c r="C1489"/>
  <c r="U1489" s="1"/>
  <c r="F1489" s="1"/>
  <c r="AH1488"/>
  <c r="AG1488"/>
  <c r="AD1488"/>
  <c r="AC1488"/>
  <c r="K1488"/>
  <c r="G1488"/>
  <c r="E1488"/>
  <c r="C1488"/>
  <c r="U1488" s="1"/>
  <c r="F1488" s="1"/>
  <c r="AH1487"/>
  <c r="AG1487"/>
  <c r="AD1487"/>
  <c r="AC1487"/>
  <c r="K1487"/>
  <c r="G1487"/>
  <c r="E1487"/>
  <c r="C1487"/>
  <c r="U1487" s="1"/>
  <c r="F1487" s="1"/>
  <c r="AH1486"/>
  <c r="AG1486"/>
  <c r="AD1486"/>
  <c r="AC1486"/>
  <c r="K1486"/>
  <c r="G1486"/>
  <c r="E1486"/>
  <c r="C1486"/>
  <c r="AH1485"/>
  <c r="AG1485"/>
  <c r="AD1485"/>
  <c r="AC1485"/>
  <c r="K1485"/>
  <c r="G1485"/>
  <c r="E1485"/>
  <c r="C1485"/>
  <c r="AH1484"/>
  <c r="AG1484"/>
  <c r="AD1484"/>
  <c r="AC1484"/>
  <c r="K1484"/>
  <c r="G1484"/>
  <c r="E1484"/>
  <c r="C1484"/>
  <c r="AH1483"/>
  <c r="AG1483"/>
  <c r="AD1483"/>
  <c r="AC1483"/>
  <c r="K1483"/>
  <c r="G1483"/>
  <c r="E1483"/>
  <c r="C1483"/>
  <c r="AH1482"/>
  <c r="AG1482"/>
  <c r="AD1482"/>
  <c r="AC1482"/>
  <c r="K1482"/>
  <c r="G1482"/>
  <c r="E1482"/>
  <c r="S11" i="24" s="1"/>
  <c r="C1482" i="18"/>
  <c r="U1482" s="1"/>
  <c r="F1482" s="1"/>
  <c r="AH1481"/>
  <c r="AG1481"/>
  <c r="AD1481"/>
  <c r="AC1481"/>
  <c r="K1481"/>
  <c r="G1481"/>
  <c r="E1481"/>
  <c r="C1481"/>
  <c r="U1481" s="1"/>
  <c r="F1481" s="1"/>
  <c r="AH1480"/>
  <c r="AG1480"/>
  <c r="AD1480"/>
  <c r="AC1480"/>
  <c r="K1480"/>
  <c r="G1480"/>
  <c r="E1480"/>
  <c r="C1480"/>
  <c r="D1480" s="1"/>
  <c r="AH1479"/>
  <c r="AG1479"/>
  <c r="AD1479"/>
  <c r="AC1479"/>
  <c r="K1479"/>
  <c r="G1479"/>
  <c r="E1479"/>
  <c r="C1479"/>
  <c r="AH1478"/>
  <c r="AG1478"/>
  <c r="AD1478"/>
  <c r="AC1478"/>
  <c r="K1478"/>
  <c r="G1478"/>
  <c r="E1478"/>
  <c r="C1478"/>
  <c r="U1478" s="1"/>
  <c r="F1478" s="1"/>
  <c r="AH1477"/>
  <c r="AG1477"/>
  <c r="AD1477"/>
  <c r="AC1477"/>
  <c r="K1477"/>
  <c r="G1477"/>
  <c r="E1477"/>
  <c r="C1477"/>
  <c r="D1477" s="1"/>
  <c r="AH1476"/>
  <c r="AG1476"/>
  <c r="AD1476"/>
  <c r="AC1476"/>
  <c r="K1476"/>
  <c r="G1476"/>
  <c r="E1476"/>
  <c r="C1476"/>
  <c r="U1476" s="1"/>
  <c r="F1476" s="1"/>
  <c r="AH1475"/>
  <c r="AG1475"/>
  <c r="AD1475"/>
  <c r="AC1475"/>
  <c r="K1475"/>
  <c r="H1475"/>
  <c r="G1475"/>
  <c r="E1475"/>
  <c r="C1475"/>
  <c r="U1475" s="1"/>
  <c r="F1475" s="1"/>
  <c r="AH1474"/>
  <c r="AG1474"/>
  <c r="AD1474"/>
  <c r="AC1474"/>
  <c r="K1474"/>
  <c r="G1474"/>
  <c r="E1474"/>
  <c r="C1474"/>
  <c r="U1474" s="1"/>
  <c r="F1474" s="1"/>
  <c r="AH1473"/>
  <c r="AG1473"/>
  <c r="AD1473"/>
  <c r="AC1473"/>
  <c r="K1473"/>
  <c r="G1473"/>
  <c r="E1473"/>
  <c r="S14" i="24" s="1"/>
  <c r="C1473" i="18"/>
  <c r="U1473" s="1"/>
  <c r="F1473" s="1"/>
  <c r="AH1472"/>
  <c r="H1472" s="1"/>
  <c r="AG1472"/>
  <c r="AD1472"/>
  <c r="AC1472"/>
  <c r="K1472"/>
  <c r="G1472"/>
  <c r="E1472"/>
  <c r="S15" i="24" s="1"/>
  <c r="C1472" i="18"/>
  <c r="D1472" s="1"/>
  <c r="T15" i="24" s="1"/>
  <c r="AH1471" i="18"/>
  <c r="H1471" s="1"/>
  <c r="AG1471"/>
  <c r="AD1471"/>
  <c r="AC1471"/>
  <c r="K1471"/>
  <c r="G1471"/>
  <c r="E1471"/>
  <c r="C1471"/>
  <c r="N30" i="23" s="1"/>
  <c r="AH1470" i="18"/>
  <c r="AG1470"/>
  <c r="AD1470"/>
  <c r="AC1470"/>
  <c r="K1470"/>
  <c r="G1470"/>
  <c r="E1470"/>
  <c r="C1470"/>
  <c r="U1470" s="1"/>
  <c r="F1470" s="1"/>
  <c r="AH1469"/>
  <c r="AG1469"/>
  <c r="AD1469"/>
  <c r="AC1469"/>
  <c r="K1469"/>
  <c r="G1469"/>
  <c r="E1469"/>
  <c r="C1469"/>
  <c r="D1469" s="1"/>
  <c r="AH1468"/>
  <c r="H1468" s="1"/>
  <c r="AG1468"/>
  <c r="AD1468"/>
  <c r="AC1468"/>
  <c r="K1468"/>
  <c r="G1468"/>
  <c r="E1468"/>
  <c r="C1468"/>
  <c r="AH1467"/>
  <c r="H1467" s="1"/>
  <c r="AG1467"/>
  <c r="AD1467"/>
  <c r="AC1467"/>
  <c r="K1467"/>
  <c r="G1467"/>
  <c r="E1467"/>
  <c r="C1467"/>
  <c r="AH1466"/>
  <c r="AG1466"/>
  <c r="AD1466"/>
  <c r="AC1466"/>
  <c r="K1466"/>
  <c r="G1466"/>
  <c r="E1466"/>
  <c r="S16" i="24" s="1"/>
  <c r="C1466" i="18"/>
  <c r="AH1465"/>
  <c r="H1465" s="1"/>
  <c r="AG1465"/>
  <c r="AD1465"/>
  <c r="AC1465"/>
  <c r="K1465"/>
  <c r="G1465"/>
  <c r="E1465"/>
  <c r="C1465"/>
  <c r="U1465" s="1"/>
  <c r="F1465" s="1"/>
  <c r="AH1464"/>
  <c r="AG1464"/>
  <c r="AD1464"/>
  <c r="AC1464"/>
  <c r="K1464"/>
  <c r="G1464"/>
  <c r="E1464"/>
  <c r="C1464"/>
  <c r="AH1463"/>
  <c r="AG1463"/>
  <c r="AD1463"/>
  <c r="AC1463"/>
  <c r="K1463"/>
  <c r="G1463"/>
  <c r="E1463"/>
  <c r="C1463"/>
  <c r="AH1462"/>
  <c r="AG1462"/>
  <c r="AD1462"/>
  <c r="AC1462"/>
  <c r="K1462"/>
  <c r="G1462"/>
  <c r="E1462"/>
  <c r="C1462"/>
  <c r="D1462" s="1"/>
  <c r="AH1461"/>
  <c r="H1461" s="1"/>
  <c r="AG1461"/>
  <c r="AD1461"/>
  <c r="AC1461"/>
  <c r="K1461"/>
  <c r="G1461"/>
  <c r="E1461"/>
  <c r="C1461"/>
  <c r="AH1460"/>
  <c r="AG1460"/>
  <c r="AD1460"/>
  <c r="AC1460"/>
  <c r="K1460"/>
  <c r="G1460"/>
  <c r="E1460"/>
  <c r="C1460"/>
  <c r="D1460" s="1"/>
  <c r="AH1459"/>
  <c r="AG1459"/>
  <c r="AD1459"/>
  <c r="AC1459"/>
  <c r="K1459"/>
  <c r="G1459"/>
  <c r="E1459"/>
  <c r="S17" i="24" s="1"/>
  <c r="C1459" i="18"/>
  <c r="U1459" s="1"/>
  <c r="F1459" s="1"/>
  <c r="AH1458"/>
  <c r="AG1458"/>
  <c r="AD1458"/>
  <c r="AC1458"/>
  <c r="K1458"/>
  <c r="G1458"/>
  <c r="E1458"/>
  <c r="C1458"/>
  <c r="N29" i="23" s="1"/>
  <c r="AH1457" i="18"/>
  <c r="AG1457"/>
  <c r="AD1457"/>
  <c r="AC1457"/>
  <c r="K1457"/>
  <c r="G1457"/>
  <c r="E1457"/>
  <c r="C1457"/>
  <c r="U1457" s="1"/>
  <c r="F1457" s="1"/>
  <c r="AH1456"/>
  <c r="AG1456"/>
  <c r="AD1456"/>
  <c r="AC1456"/>
  <c r="K1456"/>
  <c r="G1456"/>
  <c r="E1456"/>
  <c r="C1456"/>
  <c r="U1456" s="1"/>
  <c r="F1456" s="1"/>
  <c r="AH1455"/>
  <c r="AG1455"/>
  <c r="AD1455"/>
  <c r="AC1455"/>
  <c r="K1455"/>
  <c r="G1455"/>
  <c r="E1455"/>
  <c r="C1455"/>
  <c r="U1455" s="1"/>
  <c r="F1455" s="1"/>
  <c r="AH1454"/>
  <c r="AG1454"/>
  <c r="AD1454"/>
  <c r="AC1454"/>
  <c r="K1454"/>
  <c r="G1454"/>
  <c r="E1454"/>
  <c r="C1454"/>
  <c r="AH1453"/>
  <c r="AG1453"/>
  <c r="AD1453"/>
  <c r="AC1453"/>
  <c r="K1453"/>
  <c r="G1453"/>
  <c r="E1453"/>
  <c r="C1453"/>
  <c r="AH1452"/>
  <c r="AG1452"/>
  <c r="AD1452"/>
  <c r="AC1452"/>
  <c r="K1452"/>
  <c r="G1452"/>
  <c r="E1452"/>
  <c r="C1452"/>
  <c r="AH1451"/>
  <c r="AG1451"/>
  <c r="AD1451"/>
  <c r="AC1451"/>
  <c r="K1451"/>
  <c r="G1451"/>
  <c r="E1451"/>
  <c r="C1451"/>
  <c r="AH1450"/>
  <c r="AG1450"/>
  <c r="AD1450"/>
  <c r="AC1450"/>
  <c r="K1450"/>
  <c r="G1450"/>
  <c r="E1450"/>
  <c r="C1450"/>
  <c r="U1450" s="1"/>
  <c r="F1450" s="1"/>
  <c r="AH1449"/>
  <c r="AG1449"/>
  <c r="AD1449"/>
  <c r="AC1449"/>
  <c r="K1449"/>
  <c r="G1449"/>
  <c r="E1449"/>
  <c r="C1449"/>
  <c r="U1449" s="1"/>
  <c r="F1449" s="1"/>
  <c r="AH1448"/>
  <c r="AG1448"/>
  <c r="AD1448"/>
  <c r="AC1448"/>
  <c r="K1448"/>
  <c r="G1448"/>
  <c r="E1448"/>
  <c r="C1448"/>
  <c r="N43" i="23" s="1"/>
  <c r="AH1447" i="18"/>
  <c r="AG1447"/>
  <c r="AD1447"/>
  <c r="AC1447"/>
  <c r="K1447"/>
  <c r="G1447"/>
  <c r="E1447"/>
  <c r="C1447"/>
  <c r="AH1446"/>
  <c r="AG1446"/>
  <c r="AD1446"/>
  <c r="AC1446"/>
  <c r="K1446"/>
  <c r="G1446"/>
  <c r="E1446"/>
  <c r="C1446"/>
  <c r="D1446" s="1"/>
  <c r="AH1445"/>
  <c r="AG1445"/>
  <c r="AD1445"/>
  <c r="AC1445"/>
  <c r="K1445"/>
  <c r="G1445"/>
  <c r="E1445"/>
  <c r="C1445"/>
  <c r="AH1444"/>
  <c r="H1444" s="1"/>
  <c r="AG1444"/>
  <c r="AD1444"/>
  <c r="AC1444"/>
  <c r="K1444"/>
  <c r="G1444"/>
  <c r="E1444"/>
  <c r="S20" i="24" s="1"/>
  <c r="C1444" i="18"/>
  <c r="AH1443"/>
  <c r="AG1443"/>
  <c r="AD1443"/>
  <c r="AC1443"/>
  <c r="K1443"/>
  <c r="G1443"/>
  <c r="E1443"/>
  <c r="C1443"/>
  <c r="AH1442"/>
  <c r="AG1442"/>
  <c r="H1442" s="1"/>
  <c r="AD1442"/>
  <c r="AC1442"/>
  <c r="K1442"/>
  <c r="G1442"/>
  <c r="E1442"/>
  <c r="C1442"/>
  <c r="D1442" s="1"/>
  <c r="AH1441"/>
  <c r="AG1441"/>
  <c r="AD1441"/>
  <c r="AC1441"/>
  <c r="K1441"/>
  <c r="H1441"/>
  <c r="G1441"/>
  <c r="E1441"/>
  <c r="C1441"/>
  <c r="AH1440"/>
  <c r="AG1440"/>
  <c r="AD1440"/>
  <c r="AC1440"/>
  <c r="K1440"/>
  <c r="G1440"/>
  <c r="E1440"/>
  <c r="C1440"/>
  <c r="AH1439"/>
  <c r="AG1439"/>
  <c r="AD1439"/>
  <c r="AC1439"/>
  <c r="K1439"/>
  <c r="G1439"/>
  <c r="E1439"/>
  <c r="C1439"/>
  <c r="AH1438"/>
  <c r="AG1438"/>
  <c r="AD1438"/>
  <c r="AC1438"/>
  <c r="K1438"/>
  <c r="G1438"/>
  <c r="E1438"/>
  <c r="C1438"/>
  <c r="AH1437"/>
  <c r="AG1437"/>
  <c r="AD1437"/>
  <c r="AC1437"/>
  <c r="K1437"/>
  <c r="G1437"/>
  <c r="E1437"/>
  <c r="C1437"/>
  <c r="AH1436"/>
  <c r="AG1436"/>
  <c r="AD1436"/>
  <c r="AC1436"/>
  <c r="K1436"/>
  <c r="G1436"/>
  <c r="E1436"/>
  <c r="C1436"/>
  <c r="AH1435"/>
  <c r="AG1435"/>
  <c r="AD1435"/>
  <c r="AC1435"/>
  <c r="K1435"/>
  <c r="G1435"/>
  <c r="E1435"/>
  <c r="C1435"/>
  <c r="AH1434"/>
  <c r="AG1434"/>
  <c r="AD1434"/>
  <c r="AC1434"/>
  <c r="K1434"/>
  <c r="G1434"/>
  <c r="E1434"/>
  <c r="C1434"/>
  <c r="U1434" s="1"/>
  <c r="F1434" s="1"/>
  <c r="AH1433"/>
  <c r="AG1433"/>
  <c r="AD1433"/>
  <c r="AC1433"/>
  <c r="K1433"/>
  <c r="G1433"/>
  <c r="E1433"/>
  <c r="C1433"/>
  <c r="U1433" s="1"/>
  <c r="F1433" s="1"/>
  <c r="AH1432"/>
  <c r="AG1432"/>
  <c r="AD1432"/>
  <c r="AC1432"/>
  <c r="K1432"/>
  <c r="G1432"/>
  <c r="E1432"/>
  <c r="C1432"/>
  <c r="AH1431"/>
  <c r="AG1431"/>
  <c r="AD1431"/>
  <c r="AC1431"/>
  <c r="K1431"/>
  <c r="G1431"/>
  <c r="E1431"/>
  <c r="C1431"/>
  <c r="AH1430"/>
  <c r="AG1430"/>
  <c r="AD1430"/>
  <c r="AC1430"/>
  <c r="K1430"/>
  <c r="G1430"/>
  <c r="E1430"/>
  <c r="C1430"/>
  <c r="U1430" s="1"/>
  <c r="F1430" s="1"/>
  <c r="AH1429"/>
  <c r="AG1429"/>
  <c r="AD1429"/>
  <c r="AC1429"/>
  <c r="K1429"/>
  <c r="G1429"/>
  <c r="E1429"/>
  <c r="C1429"/>
  <c r="AH1428"/>
  <c r="AG1428"/>
  <c r="AD1428"/>
  <c r="AC1428"/>
  <c r="K1428"/>
  <c r="G1428"/>
  <c r="E1428"/>
  <c r="S21" i="24" s="1"/>
  <c r="C1428" i="18"/>
  <c r="AH1427"/>
  <c r="AG1427"/>
  <c r="AD1427"/>
  <c r="AC1427"/>
  <c r="K1427"/>
  <c r="G1427"/>
  <c r="E1427"/>
  <c r="C1427"/>
  <c r="AH1426"/>
  <c r="AG1426"/>
  <c r="AD1426"/>
  <c r="AC1426"/>
  <c r="K1426"/>
  <c r="G1426"/>
  <c r="E1426"/>
  <c r="C1426"/>
  <c r="U1426" s="1"/>
  <c r="F1426" s="1"/>
  <c r="AH1425"/>
  <c r="AG1425"/>
  <c r="AD1425"/>
  <c r="AC1425"/>
  <c r="K1425"/>
  <c r="G1425"/>
  <c r="E1425"/>
  <c r="C1425"/>
  <c r="U1425" s="1"/>
  <c r="F1425" s="1"/>
  <c r="AH1424"/>
  <c r="AG1424"/>
  <c r="AD1424"/>
  <c r="AC1424"/>
  <c r="K1424"/>
  <c r="G1424"/>
  <c r="E1424"/>
  <c r="S22" i="24" s="1"/>
  <c r="C1424" i="18"/>
  <c r="D1424" s="1"/>
  <c r="T22" i="24" s="1"/>
  <c r="AH1423" i="18"/>
  <c r="AG1423"/>
  <c r="AD1423"/>
  <c r="AC1423"/>
  <c r="K1423"/>
  <c r="G1423"/>
  <c r="E1423"/>
  <c r="C1423"/>
  <c r="U1423" s="1"/>
  <c r="F1423" s="1"/>
  <c r="AH1422"/>
  <c r="AG1422"/>
  <c r="AD1422"/>
  <c r="AC1422"/>
  <c r="K1422"/>
  <c r="G1422"/>
  <c r="E1422"/>
  <c r="C1422"/>
  <c r="U1422" s="1"/>
  <c r="F1422" s="1"/>
  <c r="AH1421"/>
  <c r="AG1421"/>
  <c r="AD1421"/>
  <c r="AC1421"/>
  <c r="K1421"/>
  <c r="G1421"/>
  <c r="E1421"/>
  <c r="S23" i="24" s="1"/>
  <c r="C1421" i="18"/>
  <c r="AH1420"/>
  <c r="AG1420"/>
  <c r="AD1420"/>
  <c r="AC1420"/>
  <c r="K1420"/>
  <c r="G1420"/>
  <c r="E1420"/>
  <c r="S24" i="24" s="1"/>
  <c r="C1420" i="18"/>
  <c r="U1420" s="1"/>
  <c r="F1420" s="1"/>
  <c r="AH1419"/>
  <c r="AG1419"/>
  <c r="AD1419"/>
  <c r="AC1419"/>
  <c r="K1419"/>
  <c r="G1419"/>
  <c r="E1419"/>
  <c r="C1419"/>
  <c r="U1419" s="1"/>
  <c r="F1419" s="1"/>
  <c r="AH1418"/>
  <c r="AG1418"/>
  <c r="AD1418"/>
  <c r="AC1418"/>
  <c r="K1418"/>
  <c r="G1418"/>
  <c r="E1418"/>
  <c r="S25" i="24" s="1"/>
  <c r="C1418" i="18"/>
  <c r="D1418" s="1"/>
  <c r="T25" i="24" s="1"/>
  <c r="AH1417" i="18"/>
  <c r="AG1417"/>
  <c r="AD1417"/>
  <c r="AC1417"/>
  <c r="K1417"/>
  <c r="G1417"/>
  <c r="E1417"/>
  <c r="C1417"/>
  <c r="AH1416"/>
  <c r="AG1416"/>
  <c r="AD1416"/>
  <c r="AC1416"/>
  <c r="K1416"/>
  <c r="H1416"/>
  <c r="G1416"/>
  <c r="E1416"/>
  <c r="C1416"/>
  <c r="U1416" s="1"/>
  <c r="F1416" s="1"/>
  <c r="AH1415"/>
  <c r="AG1415"/>
  <c r="AD1415"/>
  <c r="AC1415"/>
  <c r="K1415"/>
  <c r="G1415"/>
  <c r="E1415"/>
  <c r="C1415"/>
  <c r="D1415" s="1"/>
  <c r="AH1414"/>
  <c r="AG1414"/>
  <c r="AD1414"/>
  <c r="AC1414"/>
  <c r="K1414"/>
  <c r="G1414"/>
  <c r="E1414"/>
  <c r="C1414"/>
  <c r="D1414" s="1"/>
  <c r="AH1413"/>
  <c r="AG1413"/>
  <c r="AD1413"/>
  <c r="AC1413"/>
  <c r="K1413"/>
  <c r="G1413"/>
  <c r="E1413"/>
  <c r="C1413"/>
  <c r="AH1412"/>
  <c r="AG1412"/>
  <c r="AD1412"/>
  <c r="AC1412"/>
  <c r="K1412"/>
  <c r="H1412"/>
  <c r="G1412"/>
  <c r="E1412"/>
  <c r="C1412"/>
  <c r="U1412" s="1"/>
  <c r="F1412" s="1"/>
  <c r="AH1411"/>
  <c r="AG1411"/>
  <c r="AD1411"/>
  <c r="AC1411"/>
  <c r="K1411"/>
  <c r="G1411"/>
  <c r="E1411"/>
  <c r="C1411"/>
  <c r="U1411" s="1"/>
  <c r="F1411" s="1"/>
  <c r="AH1410"/>
  <c r="AG1410"/>
  <c r="AD1410"/>
  <c r="AC1410"/>
  <c r="K1410"/>
  <c r="G1410"/>
  <c r="E1410"/>
  <c r="C1410"/>
  <c r="D1410" s="1"/>
  <c r="AH1409"/>
  <c r="AG1409"/>
  <c r="AD1409"/>
  <c r="AC1409"/>
  <c r="K1409"/>
  <c r="G1409"/>
  <c r="E1409"/>
  <c r="C1409"/>
  <c r="U1409" s="1"/>
  <c r="F1409" s="1"/>
  <c r="AH1408"/>
  <c r="H1408" s="1"/>
  <c r="AG1408"/>
  <c r="AD1408"/>
  <c r="AC1408"/>
  <c r="K1408"/>
  <c r="G1408"/>
  <c r="E1408"/>
  <c r="C1408"/>
  <c r="U1408" s="1"/>
  <c r="F1408" s="1"/>
  <c r="AH1407"/>
  <c r="H1407" s="1"/>
  <c r="AG1407"/>
  <c r="AD1407"/>
  <c r="AC1407"/>
  <c r="K1407"/>
  <c r="G1407"/>
  <c r="E1407"/>
  <c r="C1407"/>
  <c r="U1407" s="1"/>
  <c r="F1407" s="1"/>
  <c r="AH1406"/>
  <c r="AG1406"/>
  <c r="AD1406"/>
  <c r="AC1406"/>
  <c r="K1406"/>
  <c r="G1406"/>
  <c r="E1406"/>
  <c r="C1406"/>
  <c r="AH1405"/>
  <c r="AG1405"/>
  <c r="AD1405"/>
  <c r="AC1405"/>
  <c r="K1405"/>
  <c r="G1405"/>
  <c r="E1405"/>
  <c r="C1405"/>
  <c r="D1405" s="1"/>
  <c r="AH1404"/>
  <c r="H1404" s="1"/>
  <c r="AG1404"/>
  <c r="AD1404"/>
  <c r="AC1404"/>
  <c r="K1404"/>
  <c r="G1404"/>
  <c r="E1404"/>
  <c r="C1404"/>
  <c r="U1404" s="1"/>
  <c r="F1404" s="1"/>
  <c r="AH1403"/>
  <c r="AG1403"/>
  <c r="AD1403"/>
  <c r="AC1403"/>
  <c r="K1403"/>
  <c r="G1403"/>
  <c r="E1403"/>
  <c r="C1403"/>
  <c r="U1403" s="1"/>
  <c r="F1403" s="1"/>
  <c r="AH1402"/>
  <c r="AG1402"/>
  <c r="AD1402"/>
  <c r="AC1402"/>
  <c r="K1402"/>
  <c r="G1402"/>
  <c r="E1402"/>
  <c r="C1402"/>
  <c r="AH1401"/>
  <c r="AG1401"/>
  <c r="AD1401"/>
  <c r="AC1401"/>
  <c r="K1401"/>
  <c r="G1401"/>
  <c r="E1401"/>
  <c r="C1401"/>
  <c r="AH1400"/>
  <c r="H1400" s="1"/>
  <c r="AG1400"/>
  <c r="AD1400"/>
  <c r="AC1400"/>
  <c r="K1400"/>
  <c r="G1400"/>
  <c r="E1400"/>
  <c r="C1400"/>
  <c r="U1400" s="1"/>
  <c r="F1400" s="1"/>
  <c r="AH1399"/>
  <c r="AG1399"/>
  <c r="AD1399"/>
  <c r="AC1399"/>
  <c r="K1399"/>
  <c r="G1399"/>
  <c r="E1399"/>
  <c r="C1399"/>
  <c r="AH1398"/>
  <c r="AG1398"/>
  <c r="AD1398"/>
  <c r="AC1398"/>
  <c r="K1398"/>
  <c r="G1398"/>
  <c r="E1398"/>
  <c r="C1398"/>
  <c r="AH1397"/>
  <c r="AG1397"/>
  <c r="AD1397"/>
  <c r="AC1397"/>
  <c r="K1397"/>
  <c r="G1397"/>
  <c r="E1397"/>
  <c r="C1397"/>
  <c r="AH1396"/>
  <c r="AG1396"/>
  <c r="AD1396"/>
  <c r="AC1396"/>
  <c r="K1396"/>
  <c r="G1396"/>
  <c r="E1396"/>
  <c r="C1396"/>
  <c r="D1396" s="1"/>
  <c r="AH1395"/>
  <c r="AG1395"/>
  <c r="AD1395"/>
  <c r="AC1395"/>
  <c r="K1395"/>
  <c r="G1395"/>
  <c r="E1395"/>
  <c r="C1395"/>
  <c r="U1395" s="1"/>
  <c r="F1395" s="1"/>
  <c r="AH1394"/>
  <c r="AG1394"/>
  <c r="AD1394"/>
  <c r="AC1394"/>
  <c r="K1394"/>
  <c r="G1394"/>
  <c r="E1394"/>
  <c r="S26" i="24" s="1"/>
  <c r="C1394" i="18"/>
  <c r="AH1393"/>
  <c r="AG1393"/>
  <c r="AD1393"/>
  <c r="AC1393"/>
  <c r="K1393"/>
  <c r="G1393"/>
  <c r="E1393"/>
  <c r="C1393"/>
  <c r="AH1392"/>
  <c r="H1392" s="1"/>
  <c r="AG1392"/>
  <c r="AD1392"/>
  <c r="AC1392"/>
  <c r="K1392"/>
  <c r="G1392"/>
  <c r="E1392"/>
  <c r="C1392"/>
  <c r="D1392" s="1"/>
  <c r="AH1391"/>
  <c r="AG1391"/>
  <c r="AD1391"/>
  <c r="AC1391"/>
  <c r="K1391"/>
  <c r="H1391"/>
  <c r="G1391"/>
  <c r="E1391"/>
  <c r="C1391"/>
  <c r="AH1390"/>
  <c r="AG1390"/>
  <c r="AD1390"/>
  <c r="AC1390"/>
  <c r="K1390"/>
  <c r="G1390"/>
  <c r="E1390"/>
  <c r="C1390"/>
  <c r="AH1389"/>
  <c r="AG1389"/>
  <c r="AD1389"/>
  <c r="AC1389"/>
  <c r="K1389"/>
  <c r="G1389"/>
  <c r="E1389"/>
  <c r="C1389"/>
  <c r="AH1388"/>
  <c r="AG1388"/>
  <c r="AD1388"/>
  <c r="AC1388"/>
  <c r="K1388"/>
  <c r="G1388"/>
  <c r="E1388"/>
  <c r="C1388"/>
  <c r="U1388" s="1"/>
  <c r="F1388" s="1"/>
  <c r="AH1387"/>
  <c r="AG1387"/>
  <c r="AD1387"/>
  <c r="AC1387"/>
  <c r="K1387"/>
  <c r="G1387"/>
  <c r="E1387"/>
  <c r="C1387"/>
  <c r="U1387" s="1"/>
  <c r="F1387" s="1"/>
  <c r="AH1386"/>
  <c r="AG1386"/>
  <c r="AD1386"/>
  <c r="AC1386"/>
  <c r="K1386"/>
  <c r="G1386"/>
  <c r="E1386"/>
  <c r="C1386"/>
  <c r="U1386" s="1"/>
  <c r="F1386" s="1"/>
  <c r="AH1385"/>
  <c r="AG1385"/>
  <c r="AD1385"/>
  <c r="AC1385"/>
  <c r="K1385"/>
  <c r="G1385"/>
  <c r="E1385"/>
  <c r="C1385"/>
  <c r="U1385" s="1"/>
  <c r="F1385" s="1"/>
  <c r="AH1384"/>
  <c r="AG1384"/>
  <c r="AD1384"/>
  <c r="AC1384"/>
  <c r="K1384"/>
  <c r="G1384"/>
  <c r="E1384"/>
  <c r="C1384"/>
  <c r="U1384" s="1"/>
  <c r="F1384" s="1"/>
  <c r="AH1383"/>
  <c r="AG1383"/>
  <c r="AD1383"/>
  <c r="AC1383"/>
  <c r="K1383"/>
  <c r="G1383"/>
  <c r="E1383"/>
  <c r="S27" i="24" s="1"/>
  <c r="C1383" i="18"/>
  <c r="D1383" s="1"/>
  <c r="T27" i="24" s="1"/>
  <c r="AH1382" i="18"/>
  <c r="AG1382"/>
  <c r="AD1382"/>
  <c r="AC1382"/>
  <c r="K1382"/>
  <c r="G1382"/>
  <c r="E1382"/>
  <c r="C1382"/>
  <c r="D1382" s="1"/>
  <c r="AH1381"/>
  <c r="AG1381"/>
  <c r="AD1381"/>
  <c r="AC1381"/>
  <c r="K1381"/>
  <c r="G1381"/>
  <c r="E1381"/>
  <c r="C1381"/>
  <c r="D1381" s="1"/>
  <c r="AH1380"/>
  <c r="AG1380"/>
  <c r="AD1380"/>
  <c r="AC1380"/>
  <c r="K1380"/>
  <c r="G1380"/>
  <c r="E1380"/>
  <c r="C1380"/>
  <c r="U1380" s="1"/>
  <c r="F1380" s="1"/>
  <c r="AH1379"/>
  <c r="AG1379"/>
  <c r="AD1379"/>
  <c r="AC1379"/>
  <c r="K1379"/>
  <c r="G1379"/>
  <c r="E1379"/>
  <c r="C1379"/>
  <c r="U1379" s="1"/>
  <c r="F1379" s="1"/>
  <c r="AH1378"/>
  <c r="AG1378"/>
  <c r="AD1378"/>
  <c r="AC1378"/>
  <c r="K1378"/>
  <c r="G1378"/>
  <c r="E1378"/>
  <c r="C1378"/>
  <c r="D1378" s="1"/>
  <c r="AH1377"/>
  <c r="AG1377"/>
  <c r="AD1377"/>
  <c r="AC1377"/>
  <c r="K1377"/>
  <c r="G1377"/>
  <c r="E1377"/>
  <c r="C1377"/>
  <c r="AH1376"/>
  <c r="AG1376"/>
  <c r="AD1376"/>
  <c r="AC1376"/>
  <c r="K1376"/>
  <c r="G1376"/>
  <c r="E1376"/>
  <c r="S28" i="24" s="1"/>
  <c r="C1376" i="18"/>
  <c r="U1376" s="1"/>
  <c r="F1376" s="1"/>
  <c r="AH1375"/>
  <c r="AG1375"/>
  <c r="AD1375"/>
  <c r="AC1375"/>
  <c r="K1375"/>
  <c r="G1375"/>
  <c r="E1375"/>
  <c r="C1375"/>
  <c r="AH1374"/>
  <c r="AG1374"/>
  <c r="AD1374"/>
  <c r="AC1374"/>
  <c r="K1374"/>
  <c r="G1374"/>
  <c r="E1374"/>
  <c r="C1374"/>
  <c r="U1374" s="1"/>
  <c r="F1374" s="1"/>
  <c r="AH1373"/>
  <c r="AG1373"/>
  <c r="H1373" s="1"/>
  <c r="AD1373"/>
  <c r="AC1373"/>
  <c r="K1373"/>
  <c r="G1373"/>
  <c r="E1373"/>
  <c r="S29" i="24" s="1"/>
  <c r="C1373" i="18"/>
  <c r="AH1372"/>
  <c r="AG1372"/>
  <c r="AD1372"/>
  <c r="AC1372"/>
  <c r="K1372"/>
  <c r="H1372"/>
  <c r="G1372"/>
  <c r="E1372"/>
  <c r="C1372"/>
  <c r="AH1371"/>
  <c r="AG1371"/>
  <c r="AD1371"/>
  <c r="AC1371"/>
  <c r="K1371"/>
  <c r="G1371"/>
  <c r="E1371"/>
  <c r="C1371"/>
  <c r="AH1370"/>
  <c r="AG1370"/>
  <c r="AD1370"/>
  <c r="AC1370"/>
  <c r="K1370"/>
  <c r="G1370"/>
  <c r="E1370"/>
  <c r="C1370"/>
  <c r="U1370" s="1"/>
  <c r="F1370" s="1"/>
  <c r="AH1369"/>
  <c r="AG1369"/>
  <c r="AD1369"/>
  <c r="AC1369"/>
  <c r="K1369"/>
  <c r="G1369"/>
  <c r="E1369"/>
  <c r="S30" i="24" s="1"/>
  <c r="C1369" i="18"/>
  <c r="U1369" s="1"/>
  <c r="F1369" s="1"/>
  <c r="AH1368"/>
  <c r="AG1368"/>
  <c r="AD1368"/>
  <c r="AC1368"/>
  <c r="K1368"/>
  <c r="H1368"/>
  <c r="G1368"/>
  <c r="E1368"/>
  <c r="C1368"/>
  <c r="AH1367"/>
  <c r="H1367" s="1"/>
  <c r="AG1367"/>
  <c r="AD1367"/>
  <c r="AC1367"/>
  <c r="K1367"/>
  <c r="G1367"/>
  <c r="E1367"/>
  <c r="C1367"/>
  <c r="AH1366"/>
  <c r="H1366" s="1"/>
  <c r="AG1366"/>
  <c r="AD1366"/>
  <c r="AC1366"/>
  <c r="K1366"/>
  <c r="G1366"/>
  <c r="E1366"/>
  <c r="C1366"/>
  <c r="U1366" s="1"/>
  <c r="F1366" s="1"/>
  <c r="AH1365"/>
  <c r="AG1365"/>
  <c r="AD1365"/>
  <c r="AC1365"/>
  <c r="K1365"/>
  <c r="G1365"/>
  <c r="E1365"/>
  <c r="C1365"/>
  <c r="AH1364"/>
  <c r="H1364" s="1"/>
  <c r="AG1364"/>
  <c r="AD1364"/>
  <c r="AC1364"/>
  <c r="K1364"/>
  <c r="G1364"/>
  <c r="E1364"/>
  <c r="C1364"/>
  <c r="AH1363"/>
  <c r="AG1363"/>
  <c r="AD1363"/>
  <c r="AC1363"/>
  <c r="K1363"/>
  <c r="G1363"/>
  <c r="E1363"/>
  <c r="C1363"/>
  <c r="AH1362"/>
  <c r="H1362" s="1"/>
  <c r="AG1362"/>
  <c r="AD1362"/>
  <c r="AC1362"/>
  <c r="K1362"/>
  <c r="G1362"/>
  <c r="E1362"/>
  <c r="S33" i="24" s="1"/>
  <c r="C1362" i="18"/>
  <c r="D1362" s="1"/>
  <c r="T33" i="24" s="1"/>
  <c r="AH1361" i="18"/>
  <c r="AG1361"/>
  <c r="AD1361"/>
  <c r="AC1361"/>
  <c r="K1361"/>
  <c r="G1361"/>
  <c r="E1361"/>
  <c r="C1361"/>
  <c r="AH1360"/>
  <c r="AG1360"/>
  <c r="AD1360"/>
  <c r="AC1360"/>
  <c r="K1360"/>
  <c r="G1360"/>
  <c r="E1360"/>
  <c r="C1360"/>
  <c r="AH1359"/>
  <c r="AG1359"/>
  <c r="AD1359"/>
  <c r="AC1359"/>
  <c r="K1359"/>
  <c r="G1359"/>
  <c r="E1359"/>
  <c r="S34" i="24" s="1"/>
  <c r="C1359" i="18"/>
  <c r="U1359" s="1"/>
  <c r="F1359" s="1"/>
  <c r="AH1358"/>
  <c r="H1358" s="1"/>
  <c r="AG1358"/>
  <c r="AD1358"/>
  <c r="AC1358"/>
  <c r="K1358"/>
  <c r="G1358"/>
  <c r="E1358"/>
  <c r="C1358"/>
  <c r="U1358" s="1"/>
  <c r="F1358" s="1"/>
  <c r="AH1357"/>
  <c r="AG1357"/>
  <c r="AD1357"/>
  <c r="AC1357"/>
  <c r="K1357"/>
  <c r="G1357"/>
  <c r="E1357"/>
  <c r="C1357"/>
  <c r="AH1356"/>
  <c r="AG1356"/>
  <c r="AD1356"/>
  <c r="AC1356"/>
  <c r="K1356"/>
  <c r="G1356"/>
  <c r="E1356"/>
  <c r="C1356"/>
  <c r="U1356" s="1"/>
  <c r="F1356" s="1"/>
  <c r="AH1355"/>
  <c r="AG1355"/>
  <c r="AD1355"/>
  <c r="AC1355"/>
  <c r="K1355"/>
  <c r="G1355"/>
  <c r="E1355"/>
  <c r="C1355"/>
  <c r="U1355" s="1"/>
  <c r="F1355" s="1"/>
  <c r="AH1354"/>
  <c r="H1354" s="1"/>
  <c r="AG1354"/>
  <c r="AD1354"/>
  <c r="AC1354"/>
  <c r="K1354"/>
  <c r="G1354"/>
  <c r="E1354"/>
  <c r="C1354"/>
  <c r="AH1353"/>
  <c r="AG1353"/>
  <c r="AD1353"/>
  <c r="AC1353"/>
  <c r="K1353"/>
  <c r="G1353"/>
  <c r="E1353"/>
  <c r="C1353"/>
  <c r="AH1352"/>
  <c r="AG1352"/>
  <c r="AD1352"/>
  <c r="AC1352"/>
  <c r="K1352"/>
  <c r="G1352"/>
  <c r="E1352"/>
  <c r="S35" i="24" s="1"/>
  <c r="C1352" i="18"/>
  <c r="U1352" s="1"/>
  <c r="F1352" s="1"/>
  <c r="AH1351"/>
  <c r="AG1351"/>
  <c r="AD1351"/>
  <c r="AC1351"/>
  <c r="K1351"/>
  <c r="G1351"/>
  <c r="E1351"/>
  <c r="C1351"/>
  <c r="AH1350"/>
  <c r="AG1350"/>
  <c r="AD1350"/>
  <c r="AC1350"/>
  <c r="K1350"/>
  <c r="G1350"/>
  <c r="E1350"/>
  <c r="C1350"/>
  <c r="AH1349"/>
  <c r="AG1349"/>
  <c r="AD1349"/>
  <c r="AC1349"/>
  <c r="K1349"/>
  <c r="G1349"/>
  <c r="E1349"/>
  <c r="C1349"/>
  <c r="AH1348"/>
  <c r="AG1348"/>
  <c r="AD1348"/>
  <c r="AC1348"/>
  <c r="K1348"/>
  <c r="G1348"/>
  <c r="E1348"/>
  <c r="C1348"/>
  <c r="U1348" s="1"/>
  <c r="F1348" s="1"/>
  <c r="AH1347"/>
  <c r="AG1347"/>
  <c r="AD1347"/>
  <c r="AC1347"/>
  <c r="K1347"/>
  <c r="G1347"/>
  <c r="E1347"/>
  <c r="C1347"/>
  <c r="U1347" s="1"/>
  <c r="F1347" s="1"/>
  <c r="AH1346"/>
  <c r="AG1346"/>
  <c r="AD1346"/>
  <c r="AC1346"/>
  <c r="K1346"/>
  <c r="G1346"/>
  <c r="E1346"/>
  <c r="C1346"/>
  <c r="AH1345"/>
  <c r="AG1345"/>
  <c r="AD1345"/>
  <c r="AC1345"/>
  <c r="K1345"/>
  <c r="G1345"/>
  <c r="E1345"/>
  <c r="C1345"/>
  <c r="AH1344"/>
  <c r="AG1344"/>
  <c r="AD1344"/>
  <c r="AC1344"/>
  <c r="K1344"/>
  <c r="G1344"/>
  <c r="E1344"/>
  <c r="C1344"/>
  <c r="U1344" s="1"/>
  <c r="F1344" s="1"/>
  <c r="AH1343"/>
  <c r="AG1343"/>
  <c r="AD1343"/>
  <c r="AC1343"/>
  <c r="K1343"/>
  <c r="G1343"/>
  <c r="E1343"/>
  <c r="C1343"/>
  <c r="U1343" s="1"/>
  <c r="F1343" s="1"/>
  <c r="AH1342"/>
  <c r="H1342" s="1"/>
  <c r="AG1342"/>
  <c r="AD1342"/>
  <c r="AC1342"/>
  <c r="K1342"/>
  <c r="G1342"/>
  <c r="E1342"/>
  <c r="C1342"/>
  <c r="U1342" s="1"/>
  <c r="F1342" s="1"/>
  <c r="AH1341"/>
  <c r="AG1341"/>
  <c r="AD1341"/>
  <c r="AC1341"/>
  <c r="K1341"/>
  <c r="G1341"/>
  <c r="E1341"/>
  <c r="C1341"/>
  <c r="D1341" s="1"/>
  <c r="AH1340"/>
  <c r="AG1340"/>
  <c r="AD1340"/>
  <c r="AC1340"/>
  <c r="K1340"/>
  <c r="G1340"/>
  <c r="E1340"/>
  <c r="C1340"/>
  <c r="AH1339"/>
  <c r="AG1339"/>
  <c r="AD1339"/>
  <c r="AC1339"/>
  <c r="K1339"/>
  <c r="G1339"/>
  <c r="E1339"/>
  <c r="C1339"/>
  <c r="AH1338"/>
  <c r="H1338" s="1"/>
  <c r="AG1338"/>
  <c r="AD1338"/>
  <c r="AC1338"/>
  <c r="K1338"/>
  <c r="G1338"/>
  <c r="E1338"/>
  <c r="C1338"/>
  <c r="D1338" s="1"/>
  <c r="AH1337"/>
  <c r="AG1337"/>
  <c r="AD1337"/>
  <c r="AC1337"/>
  <c r="K1337"/>
  <c r="G1337"/>
  <c r="E1337"/>
  <c r="C1337"/>
  <c r="U1337" s="1"/>
  <c r="F1337" s="1"/>
  <c r="AH1336"/>
  <c r="AG1336"/>
  <c r="AD1336"/>
  <c r="AC1336"/>
  <c r="K1336"/>
  <c r="G1336"/>
  <c r="E1336"/>
  <c r="C1336"/>
  <c r="AH1335"/>
  <c r="AG1335"/>
  <c r="AD1335"/>
  <c r="AC1335"/>
  <c r="K1335"/>
  <c r="G1335"/>
  <c r="E1335"/>
  <c r="C1335"/>
  <c r="AH1334"/>
  <c r="AG1334"/>
  <c r="AD1334"/>
  <c r="AC1334"/>
  <c r="K1334"/>
  <c r="G1334"/>
  <c r="E1334"/>
  <c r="C1334"/>
  <c r="D1334" s="1"/>
  <c r="AH1333"/>
  <c r="AG1333"/>
  <c r="AD1333"/>
  <c r="AC1333"/>
  <c r="K1333"/>
  <c r="G1333"/>
  <c r="E1333"/>
  <c r="C1333"/>
  <c r="AH1332"/>
  <c r="AG1332"/>
  <c r="AD1332"/>
  <c r="AC1332"/>
  <c r="K1332"/>
  <c r="G1332"/>
  <c r="E1332"/>
  <c r="C1332"/>
  <c r="AH1331"/>
  <c r="AG1331"/>
  <c r="AD1331"/>
  <c r="AC1331"/>
  <c r="K1331"/>
  <c r="G1331"/>
  <c r="E1331"/>
  <c r="C1331"/>
  <c r="AH1330"/>
  <c r="AG1330"/>
  <c r="AD1330"/>
  <c r="AC1330"/>
  <c r="K1330"/>
  <c r="G1330"/>
  <c r="E1330"/>
  <c r="C1330"/>
  <c r="U1330" s="1"/>
  <c r="F1330" s="1"/>
  <c r="AH1329"/>
  <c r="AG1329"/>
  <c r="AD1329"/>
  <c r="AC1329"/>
  <c r="K1329"/>
  <c r="G1329"/>
  <c r="E1329"/>
  <c r="C1329"/>
  <c r="U1329" s="1"/>
  <c r="F1329" s="1"/>
  <c r="AH1328"/>
  <c r="AG1328"/>
  <c r="AD1328"/>
  <c r="AC1328"/>
  <c r="K1328"/>
  <c r="G1328"/>
  <c r="E1328"/>
  <c r="C1328"/>
  <c r="AH1327"/>
  <c r="AG1327"/>
  <c r="AD1327"/>
  <c r="AC1327"/>
  <c r="K1327"/>
  <c r="G1327"/>
  <c r="E1327"/>
  <c r="C1327"/>
  <c r="U1327" s="1"/>
  <c r="F1327" s="1"/>
  <c r="AH1326"/>
  <c r="AG1326"/>
  <c r="AD1326"/>
  <c r="AC1326"/>
  <c r="K1326"/>
  <c r="G1326"/>
  <c r="E1326"/>
  <c r="S36" i="24" s="1"/>
  <c r="C1326" i="18"/>
  <c r="D1326" s="1"/>
  <c r="T36" i="24" s="1"/>
  <c r="AH1325" i="18"/>
  <c r="AG1325"/>
  <c r="AD1325"/>
  <c r="AC1325"/>
  <c r="K1325"/>
  <c r="G1325"/>
  <c r="E1325"/>
  <c r="C1325"/>
  <c r="AH1324"/>
  <c r="AG1324"/>
  <c r="AD1324"/>
  <c r="AC1324"/>
  <c r="K1324"/>
  <c r="G1324"/>
  <c r="E1324"/>
  <c r="C1324"/>
  <c r="U1324" s="1"/>
  <c r="F1324" s="1"/>
  <c r="AH1323"/>
  <c r="AG1323"/>
  <c r="AD1323"/>
  <c r="AC1323"/>
  <c r="K1323"/>
  <c r="G1323"/>
  <c r="E1323"/>
  <c r="C1323"/>
  <c r="U1323" s="1"/>
  <c r="F1323" s="1"/>
  <c r="AH1322"/>
  <c r="AG1322"/>
  <c r="AD1322"/>
  <c r="AC1322"/>
  <c r="K1322"/>
  <c r="G1322"/>
  <c r="E1322"/>
  <c r="C1322"/>
  <c r="AH1321"/>
  <c r="AG1321"/>
  <c r="AD1321"/>
  <c r="AC1321"/>
  <c r="K1321"/>
  <c r="G1321"/>
  <c r="E1321"/>
  <c r="C1321"/>
  <c r="AH1320"/>
  <c r="AG1320"/>
  <c r="AD1320"/>
  <c r="AC1320"/>
  <c r="K1320"/>
  <c r="G1320"/>
  <c r="E1320"/>
  <c r="C1320"/>
  <c r="U1320" s="1"/>
  <c r="F1320" s="1"/>
  <c r="AH1319"/>
  <c r="AG1319"/>
  <c r="AD1319"/>
  <c r="AC1319"/>
  <c r="K1319"/>
  <c r="G1319"/>
  <c r="E1319"/>
  <c r="S37" i="24" s="1"/>
  <c r="C1319" i="18"/>
  <c r="U1319" s="1"/>
  <c r="F1319" s="1"/>
  <c r="AH1318"/>
  <c r="AG1318"/>
  <c r="AD1318"/>
  <c r="AC1318"/>
  <c r="K1318"/>
  <c r="G1318"/>
  <c r="E1318"/>
  <c r="C1318"/>
  <c r="AH1317"/>
  <c r="AG1317"/>
  <c r="AD1317"/>
  <c r="AC1317"/>
  <c r="K1317"/>
  <c r="G1317"/>
  <c r="E1317"/>
  <c r="C1317"/>
  <c r="AH1316"/>
  <c r="AG1316"/>
  <c r="AD1316"/>
  <c r="AC1316"/>
  <c r="K1316"/>
  <c r="G1316"/>
  <c r="E1316"/>
  <c r="C1316"/>
  <c r="U1316" s="1"/>
  <c r="F1316" s="1"/>
  <c r="AH1315"/>
  <c r="AG1315"/>
  <c r="AD1315"/>
  <c r="AC1315"/>
  <c r="K1315"/>
  <c r="G1315"/>
  <c r="E1315"/>
  <c r="C1315"/>
  <c r="AH1314"/>
  <c r="AG1314"/>
  <c r="AD1314"/>
  <c r="AC1314"/>
  <c r="K1314"/>
  <c r="G1314"/>
  <c r="E1314"/>
  <c r="C1314"/>
  <c r="U1314" s="1"/>
  <c r="F1314" s="1"/>
  <c r="AH1313"/>
  <c r="AG1313"/>
  <c r="AD1313"/>
  <c r="AC1313"/>
  <c r="K1313"/>
  <c r="H1313"/>
  <c r="G1313"/>
  <c r="E1313"/>
  <c r="C1313"/>
  <c r="D1313" s="1"/>
  <c r="AH1312"/>
  <c r="AG1312"/>
  <c r="AD1312"/>
  <c r="AC1312"/>
  <c r="K1312"/>
  <c r="G1312"/>
  <c r="E1312"/>
  <c r="C1312"/>
  <c r="AH1311"/>
  <c r="AG1311"/>
  <c r="AD1311"/>
  <c r="AC1311"/>
  <c r="K1311"/>
  <c r="G1311"/>
  <c r="E1311"/>
  <c r="C1311"/>
  <c r="U1311" s="1"/>
  <c r="F1311" s="1"/>
  <c r="AH1310"/>
  <c r="AG1310"/>
  <c r="AD1310"/>
  <c r="AC1310"/>
  <c r="K1310"/>
  <c r="G1310"/>
  <c r="E1310"/>
  <c r="C1310"/>
  <c r="AH1309"/>
  <c r="AG1309"/>
  <c r="AD1309"/>
  <c r="AC1309"/>
  <c r="K1309"/>
  <c r="G1309"/>
  <c r="E1309"/>
  <c r="C1309"/>
  <c r="AH1308"/>
  <c r="AG1308"/>
  <c r="AD1308"/>
  <c r="AC1308"/>
  <c r="K1308"/>
  <c r="G1308"/>
  <c r="E1308"/>
  <c r="C1308"/>
  <c r="AH1307"/>
  <c r="AG1307"/>
  <c r="AD1307"/>
  <c r="AC1307"/>
  <c r="K1307"/>
  <c r="G1307"/>
  <c r="E1307"/>
  <c r="S40" i="24" s="1"/>
  <c r="C1307" i="18"/>
  <c r="D1307" s="1"/>
  <c r="T40" i="24" s="1"/>
  <c r="AH1306" i="18"/>
  <c r="AG1306"/>
  <c r="AD1306"/>
  <c r="AC1306"/>
  <c r="K1306"/>
  <c r="G1306"/>
  <c r="E1306"/>
  <c r="S41" i="24" s="1"/>
  <c r="C1306" i="18"/>
  <c r="AH1305"/>
  <c r="AG1305"/>
  <c r="AD1305"/>
  <c r="AC1305"/>
  <c r="K1305"/>
  <c r="G1305"/>
  <c r="E1305"/>
  <c r="S42" i="24" s="1"/>
  <c r="C1305" i="18"/>
  <c r="D1305" s="1"/>
  <c r="T42" i="24" s="1"/>
  <c r="AH1304" i="18"/>
  <c r="AG1304"/>
  <c r="AD1304"/>
  <c r="AC1304"/>
  <c r="K1304"/>
  <c r="G1304"/>
  <c r="E1304"/>
  <c r="C1304"/>
  <c r="AH1303"/>
  <c r="AG1303"/>
  <c r="AD1303"/>
  <c r="AC1303"/>
  <c r="K1303"/>
  <c r="G1303"/>
  <c r="E1303"/>
  <c r="C1303"/>
  <c r="AH1302"/>
  <c r="AG1302"/>
  <c r="AD1302"/>
  <c r="AC1302"/>
  <c r="K1302"/>
  <c r="G1302"/>
  <c r="E1302"/>
  <c r="C1302"/>
  <c r="M19" i="2" s="1"/>
  <c r="AH1301" i="18"/>
  <c r="AG1301"/>
  <c r="AD1301"/>
  <c r="AC1301"/>
  <c r="K1301"/>
  <c r="G1301"/>
  <c r="E1301"/>
  <c r="C1301"/>
  <c r="AH1300"/>
  <c r="AG1300"/>
  <c r="AD1300"/>
  <c r="AC1300"/>
  <c r="K1300"/>
  <c r="G1300"/>
  <c r="E1300"/>
  <c r="C1300"/>
  <c r="AH1299"/>
  <c r="AG1299"/>
  <c r="AD1299"/>
  <c r="AC1299"/>
  <c r="K1299"/>
  <c r="G1299"/>
  <c r="E1299"/>
  <c r="C1299"/>
  <c r="U1299" s="1"/>
  <c r="F1299" s="1"/>
  <c r="AH1298"/>
  <c r="AG1298"/>
  <c r="AD1298"/>
  <c r="AC1298"/>
  <c r="K1298"/>
  <c r="G1298"/>
  <c r="E1298"/>
  <c r="C1298"/>
  <c r="AH1297"/>
  <c r="AG1297"/>
  <c r="AD1297"/>
  <c r="AC1297"/>
  <c r="K1297"/>
  <c r="G1297"/>
  <c r="E1297"/>
  <c r="S43" i="24" s="1"/>
  <c r="C1297" i="18"/>
  <c r="AH1296"/>
  <c r="AG1296"/>
  <c r="AD1296"/>
  <c r="AC1296"/>
  <c r="K1296"/>
  <c r="G1296"/>
  <c r="E1296"/>
  <c r="C1296"/>
  <c r="AH1295"/>
  <c r="AG1295"/>
  <c r="AD1295"/>
  <c r="AC1295"/>
  <c r="K1295"/>
  <c r="G1295"/>
  <c r="E1295"/>
  <c r="S44" i="24" s="1"/>
  <c r="C1295" i="18"/>
  <c r="U1295" s="1"/>
  <c r="F1295" s="1"/>
  <c r="AH1294"/>
  <c r="AG1294"/>
  <c r="AD1294"/>
  <c r="AC1294"/>
  <c r="K1294"/>
  <c r="G1294"/>
  <c r="E1294"/>
  <c r="C1294"/>
  <c r="AH1293"/>
  <c r="AG1293"/>
  <c r="AD1293"/>
  <c r="AC1293"/>
  <c r="K1293"/>
  <c r="G1293"/>
  <c r="E1293"/>
  <c r="C1293"/>
  <c r="D1293" s="1"/>
  <c r="AH1292"/>
  <c r="AG1292"/>
  <c r="AD1292"/>
  <c r="AC1292"/>
  <c r="K1292"/>
  <c r="G1292"/>
  <c r="E1292"/>
  <c r="C1292"/>
  <c r="AH1291"/>
  <c r="AG1291"/>
  <c r="H1291" s="1"/>
  <c r="AD1291"/>
  <c r="AC1291"/>
  <c r="K1291"/>
  <c r="G1291"/>
  <c r="E1291"/>
  <c r="C1291"/>
  <c r="U1291" s="1"/>
  <c r="F1291" s="1"/>
  <c r="AH1290"/>
  <c r="AG1290"/>
  <c r="AD1290"/>
  <c r="AC1290"/>
  <c r="K1290"/>
  <c r="H1290"/>
  <c r="G1290"/>
  <c r="E1290"/>
  <c r="C1290"/>
  <c r="AH1289"/>
  <c r="AG1289"/>
  <c r="AD1289"/>
  <c r="AC1289"/>
  <c r="K1289"/>
  <c r="G1289"/>
  <c r="E1289"/>
  <c r="C1289"/>
  <c r="U1289" s="1"/>
  <c r="F1289" s="1"/>
  <c r="AH1288"/>
  <c r="AG1288"/>
  <c r="AD1288"/>
  <c r="AC1288"/>
  <c r="K1288"/>
  <c r="G1288"/>
  <c r="E1288"/>
  <c r="C1288"/>
  <c r="AH1287"/>
  <c r="AG1287"/>
  <c r="AD1287"/>
  <c r="AC1287"/>
  <c r="K1287"/>
  <c r="G1287"/>
  <c r="E1287"/>
  <c r="C1287"/>
  <c r="U1287" s="1"/>
  <c r="F1287" s="1"/>
  <c r="AH1286"/>
  <c r="AG1286"/>
  <c r="AD1286"/>
  <c r="AC1286"/>
  <c r="K1286"/>
  <c r="G1286"/>
  <c r="E1286"/>
  <c r="C1286"/>
  <c r="AH1285"/>
  <c r="AG1285"/>
  <c r="AD1285"/>
  <c r="AC1285"/>
  <c r="K1285"/>
  <c r="G1285"/>
  <c r="E1285"/>
  <c r="C1285"/>
  <c r="AH1284"/>
  <c r="AG1284"/>
  <c r="AD1284"/>
  <c r="AC1284"/>
  <c r="K1284"/>
  <c r="G1284"/>
  <c r="E1284"/>
  <c r="C1284"/>
  <c r="AH1283"/>
  <c r="AG1283"/>
  <c r="AD1283"/>
  <c r="AC1283"/>
  <c r="K1283"/>
  <c r="G1283"/>
  <c r="E1283"/>
  <c r="C1283"/>
  <c r="AH1282"/>
  <c r="AG1282"/>
  <c r="AD1282"/>
  <c r="AC1282"/>
  <c r="K1282"/>
  <c r="G1282"/>
  <c r="E1282"/>
  <c r="C1282"/>
  <c r="U1282" s="1"/>
  <c r="F1282" s="1"/>
  <c r="AH1281"/>
  <c r="AG1281"/>
  <c r="AD1281"/>
  <c r="AC1281"/>
  <c r="K1281"/>
  <c r="G1281"/>
  <c r="E1281"/>
  <c r="S47" i="24" s="1"/>
  <c r="C1281" i="18"/>
  <c r="AH1280"/>
  <c r="AG1280"/>
  <c r="AD1280"/>
  <c r="AC1280"/>
  <c r="K1280"/>
  <c r="G1280"/>
  <c r="E1280"/>
  <c r="C1280"/>
  <c r="AH1279"/>
  <c r="AG1279"/>
  <c r="H1279" s="1"/>
  <c r="AD1279"/>
  <c r="AC1279"/>
  <c r="K1279"/>
  <c r="G1279"/>
  <c r="E1279"/>
  <c r="C1279"/>
  <c r="AH1278"/>
  <c r="AG1278"/>
  <c r="AD1278"/>
  <c r="AC1278"/>
  <c r="K1278"/>
  <c r="H1278"/>
  <c r="G1278"/>
  <c r="E1278"/>
  <c r="C1278"/>
  <c r="U1278" s="1"/>
  <c r="F1278" s="1"/>
  <c r="AH1277"/>
  <c r="H1277" s="1"/>
  <c r="AG1277"/>
  <c r="AD1277"/>
  <c r="AC1277"/>
  <c r="K1277"/>
  <c r="G1277"/>
  <c r="E1277"/>
  <c r="C1277"/>
  <c r="D1277" s="1"/>
  <c r="AH1276"/>
  <c r="AG1276"/>
  <c r="AD1276"/>
  <c r="AC1276"/>
  <c r="K1276"/>
  <c r="G1276"/>
  <c r="E1276"/>
  <c r="C1276"/>
  <c r="U1276" s="1"/>
  <c r="F1276" s="1"/>
  <c r="AH1275"/>
  <c r="AG1275"/>
  <c r="AD1275"/>
  <c r="AC1275"/>
  <c r="K1275"/>
  <c r="G1275"/>
  <c r="E1275"/>
  <c r="C1275"/>
  <c r="U1275" s="1"/>
  <c r="F1275" s="1"/>
  <c r="AH1274"/>
  <c r="H1274" s="1"/>
  <c r="AG1274"/>
  <c r="AD1274"/>
  <c r="AC1274"/>
  <c r="K1274"/>
  <c r="G1274"/>
  <c r="E1274"/>
  <c r="S48" i="24" s="1"/>
  <c r="C1274" i="18"/>
  <c r="U1274" s="1"/>
  <c r="F1274" s="1"/>
  <c r="AH1273"/>
  <c r="H1273" s="1"/>
  <c r="AG1273"/>
  <c r="AD1273"/>
  <c r="AC1273"/>
  <c r="K1273"/>
  <c r="G1273"/>
  <c r="E1273"/>
  <c r="C1273"/>
  <c r="AH1272"/>
  <c r="AG1272"/>
  <c r="AD1272"/>
  <c r="AC1272"/>
  <c r="K1272"/>
  <c r="G1272"/>
  <c r="E1272"/>
  <c r="C1272"/>
  <c r="AH1271"/>
  <c r="AG1271"/>
  <c r="AD1271"/>
  <c r="AC1271"/>
  <c r="K1271"/>
  <c r="G1271"/>
  <c r="E1271"/>
  <c r="C1271"/>
  <c r="U1271" s="1"/>
  <c r="F1271" s="1"/>
  <c r="AH1270"/>
  <c r="H1270" s="1"/>
  <c r="AG1270"/>
  <c r="AD1270"/>
  <c r="AC1270"/>
  <c r="K1270"/>
  <c r="G1270"/>
  <c r="E1270"/>
  <c r="C1270"/>
  <c r="AH1269"/>
  <c r="H1269" s="1"/>
  <c r="AG1269"/>
  <c r="AD1269"/>
  <c r="AC1269"/>
  <c r="K1269"/>
  <c r="G1269"/>
  <c r="E1269"/>
  <c r="C1269"/>
  <c r="D1269" s="1"/>
  <c r="AH1268"/>
  <c r="AG1268"/>
  <c r="AD1268"/>
  <c r="AC1268"/>
  <c r="K1268"/>
  <c r="G1268"/>
  <c r="E1268"/>
  <c r="C1268"/>
  <c r="AH1267"/>
  <c r="AG1267"/>
  <c r="AD1267"/>
  <c r="AC1267"/>
  <c r="K1267"/>
  <c r="G1267"/>
  <c r="E1267"/>
  <c r="C1267"/>
  <c r="AH1266"/>
  <c r="H1266" s="1"/>
  <c r="AG1266"/>
  <c r="AD1266"/>
  <c r="AC1266"/>
  <c r="K1266"/>
  <c r="G1266"/>
  <c r="E1266"/>
  <c r="C1266"/>
  <c r="AH1265"/>
  <c r="H1265" s="1"/>
  <c r="AG1265"/>
  <c r="AD1265"/>
  <c r="AC1265"/>
  <c r="K1265"/>
  <c r="G1265"/>
  <c r="E1265"/>
  <c r="C1265"/>
  <c r="U1265" s="1"/>
  <c r="F1265" s="1"/>
  <c r="AH1264"/>
  <c r="AG1264"/>
  <c r="AD1264"/>
  <c r="AC1264"/>
  <c r="K1264"/>
  <c r="G1264"/>
  <c r="E1264"/>
  <c r="C1264"/>
  <c r="AH1263"/>
  <c r="AG1263"/>
  <c r="AD1263"/>
  <c r="AC1263"/>
  <c r="K1263"/>
  <c r="G1263"/>
  <c r="E1263"/>
  <c r="S49" i="24" s="1"/>
  <c r="C1263" i="18"/>
  <c r="U1263" s="1"/>
  <c r="F1263" s="1"/>
  <c r="AH1262"/>
  <c r="H1262" s="1"/>
  <c r="AG1262"/>
  <c r="AD1262"/>
  <c r="AC1262"/>
  <c r="K1262"/>
  <c r="G1262"/>
  <c r="E1262"/>
  <c r="C1262"/>
  <c r="AH1261"/>
  <c r="AG1261"/>
  <c r="AD1261"/>
  <c r="AC1261"/>
  <c r="K1261"/>
  <c r="G1261"/>
  <c r="E1261"/>
  <c r="C1261"/>
  <c r="AH1260"/>
  <c r="AG1260"/>
  <c r="AD1260"/>
  <c r="AC1260"/>
  <c r="K1260"/>
  <c r="G1260"/>
  <c r="E1260"/>
  <c r="S50" i="24" s="1"/>
  <c r="C1260" i="18"/>
  <c r="AH1259"/>
  <c r="AG1259"/>
  <c r="AD1259"/>
  <c r="AC1259"/>
  <c r="K1259"/>
  <c r="G1259"/>
  <c r="E1259"/>
  <c r="C1259"/>
  <c r="U1259" s="1"/>
  <c r="F1259" s="1"/>
  <c r="AH1258"/>
  <c r="H1258" s="1"/>
  <c r="AG1258"/>
  <c r="AD1258"/>
  <c r="AC1258"/>
  <c r="K1258"/>
  <c r="G1258"/>
  <c r="E1258"/>
  <c r="C1258"/>
  <c r="AH1257"/>
  <c r="AG1257"/>
  <c r="AD1257"/>
  <c r="AC1257"/>
  <c r="K1257"/>
  <c r="G1257"/>
  <c r="E1257"/>
  <c r="C1257"/>
  <c r="U1257" s="1"/>
  <c r="F1257" s="1"/>
  <c r="AH1256"/>
  <c r="AG1256"/>
  <c r="AD1256"/>
  <c r="AC1256"/>
  <c r="K1256"/>
  <c r="G1256"/>
  <c r="E1256"/>
  <c r="S51" i="24" s="1"/>
  <c r="C1256" i="18"/>
  <c r="AH1255"/>
  <c r="AG1255"/>
  <c r="AD1255"/>
  <c r="AC1255"/>
  <c r="K1255"/>
  <c r="G1255"/>
  <c r="E1255"/>
  <c r="C1255"/>
  <c r="U1255" s="1"/>
  <c r="F1255" s="1"/>
  <c r="AH1254"/>
  <c r="AG1254"/>
  <c r="AD1254"/>
  <c r="AC1254"/>
  <c r="K1254"/>
  <c r="G1254"/>
  <c r="E1254"/>
  <c r="C1254"/>
  <c r="AH1253"/>
  <c r="AG1253"/>
  <c r="AD1253"/>
  <c r="AC1253"/>
  <c r="K1253"/>
  <c r="G1253"/>
  <c r="E1253"/>
  <c r="C1253"/>
  <c r="D1253" s="1"/>
  <c r="AH1252"/>
  <c r="AG1252"/>
  <c r="AD1252"/>
  <c r="AC1252"/>
  <c r="K1252"/>
  <c r="G1252"/>
  <c r="E1252"/>
  <c r="C1252"/>
  <c r="AH1251"/>
  <c r="AG1251"/>
  <c r="AD1251"/>
  <c r="AC1251"/>
  <c r="K1251"/>
  <c r="G1251"/>
  <c r="E1251"/>
  <c r="C1251"/>
  <c r="U1251" s="1"/>
  <c r="F1251" s="1"/>
  <c r="AH1250"/>
  <c r="AG1250"/>
  <c r="AD1250"/>
  <c r="AC1250"/>
  <c r="K1250"/>
  <c r="G1250"/>
  <c r="E1250"/>
  <c r="C1250"/>
  <c r="AH1249"/>
  <c r="AG1249"/>
  <c r="AD1249"/>
  <c r="AC1249"/>
  <c r="K1249"/>
  <c r="G1249"/>
  <c r="E1249"/>
  <c r="C1249"/>
  <c r="U1249" s="1"/>
  <c r="F1249" s="1"/>
  <c r="AH1248"/>
  <c r="AG1248"/>
  <c r="AD1248"/>
  <c r="AC1248"/>
  <c r="K1248"/>
  <c r="G1248"/>
  <c r="E1248"/>
  <c r="C1248"/>
  <c r="AH1247"/>
  <c r="AG1247"/>
  <c r="AD1247"/>
  <c r="AC1247"/>
  <c r="K1247"/>
  <c r="G1247"/>
  <c r="E1247"/>
  <c r="C1247"/>
  <c r="U1247" s="1"/>
  <c r="F1247" s="1"/>
  <c r="AH1246"/>
  <c r="AG1246"/>
  <c r="AD1246"/>
  <c r="AC1246"/>
  <c r="K1246"/>
  <c r="G1246"/>
  <c r="E1246"/>
  <c r="C1246"/>
  <c r="AH1245"/>
  <c r="AG1245"/>
  <c r="AD1245"/>
  <c r="AC1245"/>
  <c r="K1245"/>
  <c r="G1245"/>
  <c r="E1245"/>
  <c r="C1245"/>
  <c r="D1245" s="1"/>
  <c r="AH1244"/>
  <c r="AG1244"/>
  <c r="AD1244"/>
  <c r="AC1244"/>
  <c r="K1244"/>
  <c r="G1244"/>
  <c r="E1244"/>
  <c r="C1244"/>
  <c r="AH1243"/>
  <c r="AG1243"/>
  <c r="AD1243"/>
  <c r="AC1243"/>
  <c r="K1243"/>
  <c r="G1243"/>
  <c r="E1243"/>
  <c r="C1243"/>
  <c r="U1243" s="1"/>
  <c r="F1243" s="1"/>
  <c r="AH1242"/>
  <c r="AG1242"/>
  <c r="AD1242"/>
  <c r="AC1242"/>
  <c r="K1242"/>
  <c r="G1242"/>
  <c r="E1242"/>
  <c r="C1242"/>
  <c r="AH1241"/>
  <c r="AG1241"/>
  <c r="AD1241"/>
  <c r="AC1241"/>
  <c r="K1241"/>
  <c r="H1241"/>
  <c r="G1241"/>
  <c r="E1241"/>
  <c r="C1241"/>
  <c r="AH1240"/>
  <c r="AG1240"/>
  <c r="AD1240"/>
  <c r="AC1240"/>
  <c r="K1240"/>
  <c r="G1240"/>
  <c r="E1240"/>
  <c r="C1240"/>
  <c r="AH1239"/>
  <c r="AG1239"/>
  <c r="AD1239"/>
  <c r="AC1239"/>
  <c r="K1239"/>
  <c r="G1239"/>
  <c r="E1239"/>
  <c r="C1239"/>
  <c r="U1239" s="1"/>
  <c r="F1239" s="1"/>
  <c r="AH1238"/>
  <c r="AG1238"/>
  <c r="AD1238"/>
  <c r="AC1238"/>
  <c r="K1238"/>
  <c r="G1238"/>
  <c r="E1238"/>
  <c r="C1238"/>
  <c r="AH1237"/>
  <c r="AG1237"/>
  <c r="AD1237"/>
  <c r="AC1237"/>
  <c r="K1237"/>
  <c r="G1237"/>
  <c r="E1237"/>
  <c r="C1237"/>
  <c r="D1237" s="1"/>
  <c r="AH1236"/>
  <c r="AG1236"/>
  <c r="AD1236"/>
  <c r="AC1236"/>
  <c r="K1236"/>
  <c r="G1236"/>
  <c r="E1236"/>
  <c r="C1236"/>
  <c r="AH1235"/>
  <c r="AG1235"/>
  <c r="AD1235"/>
  <c r="AC1235"/>
  <c r="K1235"/>
  <c r="G1235"/>
  <c r="E1235"/>
  <c r="C1235"/>
  <c r="AH1234"/>
  <c r="AG1234"/>
  <c r="AD1234"/>
  <c r="AC1234"/>
  <c r="K1234"/>
  <c r="G1234"/>
  <c r="E1234"/>
  <c r="C1234"/>
  <c r="AH1233"/>
  <c r="AG1233"/>
  <c r="AD1233"/>
  <c r="AC1233"/>
  <c r="K1233"/>
  <c r="G1233"/>
  <c r="E1233"/>
  <c r="C1233"/>
  <c r="U1233" s="1"/>
  <c r="F1233" s="1"/>
  <c r="AH1232"/>
  <c r="AG1232"/>
  <c r="AD1232"/>
  <c r="AC1232"/>
  <c r="K1232"/>
  <c r="G1232"/>
  <c r="E1232"/>
  <c r="C1232"/>
  <c r="AH1231"/>
  <c r="AG1231"/>
  <c r="AD1231"/>
  <c r="AC1231"/>
  <c r="K1231"/>
  <c r="G1231"/>
  <c r="E1231"/>
  <c r="C1231"/>
  <c r="U1231" s="1"/>
  <c r="F1231" s="1"/>
  <c r="AH1230"/>
  <c r="AG1230"/>
  <c r="AD1230"/>
  <c r="AC1230"/>
  <c r="K1230"/>
  <c r="G1230"/>
  <c r="E1230"/>
  <c r="S52" i="24" s="1"/>
  <c r="C1230" i="18"/>
  <c r="AH1229"/>
  <c r="AG1229"/>
  <c r="AD1229"/>
  <c r="AC1229"/>
  <c r="K1229"/>
  <c r="G1229"/>
  <c r="E1229"/>
  <c r="C1229"/>
  <c r="AH1228"/>
  <c r="AG1228"/>
  <c r="AD1228"/>
  <c r="AC1228"/>
  <c r="K1228"/>
  <c r="G1228"/>
  <c r="E1228"/>
  <c r="C1228"/>
  <c r="AH1227"/>
  <c r="AG1227"/>
  <c r="AD1227"/>
  <c r="AC1227"/>
  <c r="K1227"/>
  <c r="G1227"/>
  <c r="E1227"/>
  <c r="C1227"/>
  <c r="U1227" s="1"/>
  <c r="F1227" s="1"/>
  <c r="AH1226"/>
  <c r="AG1226"/>
  <c r="AD1226"/>
  <c r="AC1226"/>
  <c r="K1226"/>
  <c r="H1226"/>
  <c r="G1226"/>
  <c r="E1226"/>
  <c r="C1226"/>
  <c r="AH1225"/>
  <c r="AG1225"/>
  <c r="AD1225"/>
  <c r="AC1225"/>
  <c r="K1225"/>
  <c r="G1225"/>
  <c r="E1225"/>
  <c r="C1225"/>
  <c r="U1225" s="1"/>
  <c r="F1225" s="1"/>
  <c r="AH1224"/>
  <c r="AG1224"/>
  <c r="AD1224"/>
  <c r="AC1224"/>
  <c r="K1224"/>
  <c r="G1224"/>
  <c r="E1224"/>
  <c r="S53" i="24" s="1"/>
  <c r="C1224" i="18"/>
  <c r="AH1223"/>
  <c r="AG1223"/>
  <c r="AD1223"/>
  <c r="AC1223"/>
  <c r="K1223"/>
  <c r="G1223"/>
  <c r="E1223"/>
  <c r="C1223"/>
  <c r="U1223" s="1"/>
  <c r="F1223" s="1"/>
  <c r="AH1222"/>
  <c r="AG1222"/>
  <c r="AD1222"/>
  <c r="AC1222"/>
  <c r="K1222"/>
  <c r="G1222"/>
  <c r="E1222"/>
  <c r="S54" i="24" s="1"/>
  <c r="C1222" i="18"/>
  <c r="AH1221"/>
  <c r="AG1221"/>
  <c r="AD1221"/>
  <c r="AC1221"/>
  <c r="K1221"/>
  <c r="G1221"/>
  <c r="E1221"/>
  <c r="S55" i="24" s="1"/>
  <c r="C1221" i="18"/>
  <c r="D1221" s="1"/>
  <c r="AH1220"/>
  <c r="AG1220"/>
  <c r="AD1220"/>
  <c r="AC1220"/>
  <c r="K1220"/>
  <c r="G1220"/>
  <c r="E1220"/>
  <c r="C1220"/>
  <c r="AH1219"/>
  <c r="AG1219"/>
  <c r="AD1219"/>
  <c r="AC1219"/>
  <c r="K1219"/>
  <c r="G1219"/>
  <c r="E1219"/>
  <c r="C1219"/>
  <c r="U1219" s="1"/>
  <c r="F1219" s="1"/>
  <c r="AH1218"/>
  <c r="AG1218"/>
  <c r="AD1218"/>
  <c r="AC1218"/>
  <c r="K1218"/>
  <c r="G1218"/>
  <c r="E1218"/>
  <c r="S59" i="24" s="1"/>
  <c r="C1218" i="18"/>
  <c r="AH1217"/>
  <c r="AG1217"/>
  <c r="AD1217"/>
  <c r="AC1217"/>
  <c r="K1217"/>
  <c r="G1217"/>
  <c r="E1217"/>
  <c r="C1217"/>
  <c r="U1217" s="1"/>
  <c r="F1217" s="1"/>
  <c r="AH1216"/>
  <c r="AG1216"/>
  <c r="AD1216"/>
  <c r="AC1216"/>
  <c r="K1216"/>
  <c r="G1216"/>
  <c r="E1216"/>
  <c r="C1216"/>
  <c r="AH1215"/>
  <c r="AG1215"/>
  <c r="AD1215"/>
  <c r="AC1215"/>
  <c r="K1215"/>
  <c r="G1215"/>
  <c r="E1215"/>
  <c r="C1215"/>
  <c r="AH1214"/>
  <c r="AG1214"/>
  <c r="AD1214"/>
  <c r="AC1214"/>
  <c r="K1214"/>
  <c r="G1214"/>
  <c r="E1214"/>
  <c r="C1214"/>
  <c r="AH1213"/>
  <c r="AG1213"/>
  <c r="AD1213"/>
  <c r="AC1213"/>
  <c r="K1213"/>
  <c r="G1213"/>
  <c r="E1213"/>
  <c r="C1213"/>
  <c r="D1213" s="1"/>
  <c r="AH1212"/>
  <c r="AG1212"/>
  <c r="AD1212"/>
  <c r="AC1212"/>
  <c r="K1212"/>
  <c r="G1212"/>
  <c r="E1212"/>
  <c r="C1212"/>
  <c r="AH1211"/>
  <c r="AG1211"/>
  <c r="AD1211"/>
  <c r="AC1211"/>
  <c r="K1211"/>
  <c r="G1211"/>
  <c r="E1211"/>
  <c r="C1211"/>
  <c r="U1211" s="1"/>
  <c r="F1211" s="1"/>
  <c r="AH1210"/>
  <c r="AG1210"/>
  <c r="AD1210"/>
  <c r="AC1210"/>
  <c r="K1210"/>
  <c r="G1210"/>
  <c r="E1210"/>
  <c r="S60" i="24" s="1"/>
  <c r="C1210" i="18"/>
  <c r="AH1209"/>
  <c r="AG1209"/>
  <c r="AD1209"/>
  <c r="AC1209"/>
  <c r="K1209"/>
  <c r="G1209"/>
  <c r="E1209"/>
  <c r="C1209"/>
  <c r="AH1208"/>
  <c r="AG1208"/>
  <c r="AD1208"/>
  <c r="AC1208"/>
  <c r="K1208"/>
  <c r="G1208"/>
  <c r="E1208"/>
  <c r="C1208"/>
  <c r="AH1207"/>
  <c r="AG1207"/>
  <c r="AD1207"/>
  <c r="AC1207"/>
  <c r="K1207"/>
  <c r="G1207"/>
  <c r="E1207"/>
  <c r="C1207"/>
  <c r="U1207" s="1"/>
  <c r="F1207" s="1"/>
  <c r="AH1206"/>
  <c r="AG1206"/>
  <c r="AD1206"/>
  <c r="AC1206"/>
  <c r="K1206"/>
  <c r="H1206"/>
  <c r="G1206"/>
  <c r="E1206"/>
  <c r="C1206"/>
  <c r="N28" i="23" s="1"/>
  <c r="AH1205" i="18"/>
  <c r="AG1205"/>
  <c r="AD1205"/>
  <c r="AC1205"/>
  <c r="K1205"/>
  <c r="G1205"/>
  <c r="E1205"/>
  <c r="C1205"/>
  <c r="D1205" s="1"/>
  <c r="AH1204"/>
  <c r="AG1204"/>
  <c r="AD1204"/>
  <c r="AC1204"/>
  <c r="K1204"/>
  <c r="G1204"/>
  <c r="E1204"/>
  <c r="C1204"/>
  <c r="AH1203"/>
  <c r="AG1203"/>
  <c r="AD1203"/>
  <c r="AC1203"/>
  <c r="K1203"/>
  <c r="G1203"/>
  <c r="E1203"/>
  <c r="C1203"/>
  <c r="AH1202"/>
  <c r="H1202" s="1"/>
  <c r="AG1202"/>
  <c r="AD1202"/>
  <c r="AC1202"/>
  <c r="K1202"/>
  <c r="G1202"/>
  <c r="E1202"/>
  <c r="C1202"/>
  <c r="AH1201"/>
  <c r="H1201" s="1"/>
  <c r="AG1201"/>
  <c r="AD1201"/>
  <c r="AC1201"/>
  <c r="K1201"/>
  <c r="G1201"/>
  <c r="E1201"/>
  <c r="C1201"/>
  <c r="U1201" s="1"/>
  <c r="F1201" s="1"/>
  <c r="AH1200"/>
  <c r="AG1200"/>
  <c r="AD1200"/>
  <c r="AC1200"/>
  <c r="K1200"/>
  <c r="G1200"/>
  <c r="E1200"/>
  <c r="C1200"/>
  <c r="AH1199"/>
  <c r="AG1199"/>
  <c r="AD1199"/>
  <c r="AC1199"/>
  <c r="K1199"/>
  <c r="G1199"/>
  <c r="E1199"/>
  <c r="C1199"/>
  <c r="AH1198"/>
  <c r="H1198" s="1"/>
  <c r="AG1198"/>
  <c r="AD1198"/>
  <c r="AC1198"/>
  <c r="K1198"/>
  <c r="G1198"/>
  <c r="E1198"/>
  <c r="S61" i="24" s="1"/>
  <c r="C1198" i="18"/>
  <c r="AH1197"/>
  <c r="AG1197"/>
  <c r="AD1197"/>
  <c r="AC1197"/>
  <c r="K1197"/>
  <c r="G1197"/>
  <c r="E1197"/>
  <c r="C1197"/>
  <c r="AH1196"/>
  <c r="AG1196"/>
  <c r="AD1196"/>
  <c r="AC1196"/>
  <c r="K1196"/>
  <c r="G1196"/>
  <c r="E1196"/>
  <c r="C1196"/>
  <c r="AH1195"/>
  <c r="AG1195"/>
  <c r="AD1195"/>
  <c r="AC1195"/>
  <c r="K1195"/>
  <c r="G1195"/>
  <c r="E1195"/>
  <c r="C1195"/>
  <c r="U1195" s="1"/>
  <c r="F1195" s="1"/>
  <c r="AH1194"/>
  <c r="H1194" s="1"/>
  <c r="AG1194"/>
  <c r="AD1194"/>
  <c r="AC1194"/>
  <c r="K1194"/>
  <c r="G1194"/>
  <c r="E1194"/>
  <c r="C1194"/>
  <c r="AH1193"/>
  <c r="H1193" s="1"/>
  <c r="AG1193"/>
  <c r="AD1193"/>
  <c r="AC1193"/>
  <c r="K1193"/>
  <c r="G1193"/>
  <c r="E1193"/>
  <c r="C1193"/>
  <c r="U1193" s="1"/>
  <c r="F1193" s="1"/>
  <c r="AH1192"/>
  <c r="AG1192"/>
  <c r="AD1192"/>
  <c r="AC1192"/>
  <c r="K1192"/>
  <c r="G1192"/>
  <c r="E1192"/>
  <c r="S62" i="24" s="1"/>
  <c r="C1192" i="18"/>
  <c r="AH1191"/>
  <c r="AG1191"/>
  <c r="AD1191"/>
  <c r="AC1191"/>
  <c r="K1191"/>
  <c r="G1191"/>
  <c r="E1191"/>
  <c r="C1191"/>
  <c r="U1191" s="1"/>
  <c r="F1191" s="1"/>
  <c r="AH1190"/>
  <c r="AG1190"/>
  <c r="AD1190"/>
  <c r="AC1190"/>
  <c r="K1190"/>
  <c r="G1190"/>
  <c r="E1190"/>
  <c r="C1190"/>
  <c r="AH1189"/>
  <c r="AG1189"/>
  <c r="AD1189"/>
  <c r="AC1189"/>
  <c r="K1189"/>
  <c r="G1189"/>
  <c r="E1189"/>
  <c r="C1189"/>
  <c r="D1189" s="1"/>
  <c r="AH1188"/>
  <c r="AG1188"/>
  <c r="AD1188"/>
  <c r="AC1188"/>
  <c r="K1188"/>
  <c r="G1188"/>
  <c r="E1188"/>
  <c r="C1188"/>
  <c r="AH1187"/>
  <c r="AG1187"/>
  <c r="AD1187"/>
  <c r="AC1187"/>
  <c r="K1187"/>
  <c r="G1187"/>
  <c r="E1187"/>
  <c r="C1187"/>
  <c r="U1187" s="1"/>
  <c r="F1187" s="1"/>
  <c r="AH1186"/>
  <c r="AG1186"/>
  <c r="AD1186"/>
  <c r="AC1186"/>
  <c r="K1186"/>
  <c r="G1186"/>
  <c r="E1186"/>
  <c r="C1186"/>
  <c r="AH1185"/>
  <c r="AG1185"/>
  <c r="AD1185"/>
  <c r="AC1185"/>
  <c r="K1185"/>
  <c r="G1185"/>
  <c r="E1185"/>
  <c r="S63" i="24" s="1"/>
  <c r="C1185" i="18"/>
  <c r="U1185" s="1"/>
  <c r="F1185" s="1"/>
  <c r="AH1184"/>
  <c r="AG1184"/>
  <c r="AD1184"/>
  <c r="AC1184"/>
  <c r="K1184"/>
  <c r="G1184"/>
  <c r="E1184"/>
  <c r="C1184"/>
  <c r="AH1183"/>
  <c r="AG1183"/>
  <c r="AD1183"/>
  <c r="AC1183"/>
  <c r="K1183"/>
  <c r="G1183"/>
  <c r="E1183"/>
  <c r="C1183"/>
  <c r="U1183" s="1"/>
  <c r="F1183" s="1"/>
  <c r="AH1182"/>
  <c r="AG1182"/>
  <c r="AD1182"/>
  <c r="AC1182"/>
  <c r="K1182"/>
  <c r="G1182"/>
  <c r="E1182"/>
  <c r="S64" i="24" s="1"/>
  <c r="C1182" i="18"/>
  <c r="AH1181"/>
  <c r="AG1181"/>
  <c r="AD1181"/>
  <c r="AC1181"/>
  <c r="K1181"/>
  <c r="G1181"/>
  <c r="E1181"/>
  <c r="C1181"/>
  <c r="D1181" s="1"/>
  <c r="AH1180"/>
  <c r="AG1180"/>
  <c r="AD1180"/>
  <c r="AC1180"/>
  <c r="K1180"/>
  <c r="G1180"/>
  <c r="E1180"/>
  <c r="C1180"/>
  <c r="AH1179"/>
  <c r="AG1179"/>
  <c r="AD1179"/>
  <c r="AC1179"/>
  <c r="K1179"/>
  <c r="G1179"/>
  <c r="E1179"/>
  <c r="C1179"/>
  <c r="U1179" s="1"/>
  <c r="F1179" s="1"/>
  <c r="AH1178"/>
  <c r="AG1178"/>
  <c r="AD1178"/>
  <c r="AC1178"/>
  <c r="K1178"/>
  <c r="G1178"/>
  <c r="E1178"/>
  <c r="C1178"/>
  <c r="AH1177"/>
  <c r="AG1177"/>
  <c r="AD1177"/>
  <c r="AC1177"/>
  <c r="K1177"/>
  <c r="G1177"/>
  <c r="E1177"/>
  <c r="C1177"/>
  <c r="AH1176"/>
  <c r="AG1176"/>
  <c r="AD1176"/>
  <c r="AC1176"/>
  <c r="K1176"/>
  <c r="G1176"/>
  <c r="E1176"/>
  <c r="S65" i="24" s="1"/>
  <c r="C1176" i="18"/>
  <c r="AH1175"/>
  <c r="AG1175"/>
  <c r="AD1175"/>
  <c r="AC1175"/>
  <c r="K1175"/>
  <c r="G1175"/>
  <c r="E1175"/>
  <c r="S66" i="24" s="1"/>
  <c r="C1175" i="18"/>
  <c r="U1175" s="1"/>
  <c r="F1175" s="1"/>
  <c r="AH1174"/>
  <c r="AG1174"/>
  <c r="AD1174"/>
  <c r="AC1174"/>
  <c r="K1174"/>
  <c r="G1174"/>
  <c r="E1174"/>
  <c r="C1174"/>
  <c r="AH1173"/>
  <c r="AG1173"/>
  <c r="AD1173"/>
  <c r="AC1173"/>
  <c r="K1173"/>
  <c r="G1173"/>
  <c r="E1173"/>
  <c r="C1173"/>
  <c r="D1173" s="1"/>
  <c r="AH1172"/>
  <c r="AG1172"/>
  <c r="AD1172"/>
  <c r="AC1172"/>
  <c r="K1172"/>
  <c r="G1172"/>
  <c r="E1172"/>
  <c r="C1172"/>
  <c r="AH1171"/>
  <c r="AG1171"/>
  <c r="AD1171"/>
  <c r="AC1171"/>
  <c r="K1171"/>
  <c r="G1171"/>
  <c r="E1171"/>
  <c r="C1171"/>
  <c r="AH1170"/>
  <c r="AG1170"/>
  <c r="AD1170"/>
  <c r="AC1170"/>
  <c r="K1170"/>
  <c r="G1170"/>
  <c r="E1170"/>
  <c r="C1170"/>
  <c r="AH1169"/>
  <c r="AG1169"/>
  <c r="AD1169"/>
  <c r="AC1169"/>
  <c r="K1169"/>
  <c r="G1169"/>
  <c r="E1169"/>
  <c r="C1169"/>
  <c r="U1169" s="1"/>
  <c r="F1169" s="1"/>
  <c r="AH1168"/>
  <c r="AG1168"/>
  <c r="AD1168"/>
  <c r="AC1168"/>
  <c r="K1168"/>
  <c r="G1168"/>
  <c r="E1168"/>
  <c r="C1168"/>
  <c r="AH1167"/>
  <c r="AG1167"/>
  <c r="AD1167"/>
  <c r="AC1167"/>
  <c r="K1167"/>
  <c r="H1167"/>
  <c r="G1167"/>
  <c r="E1167"/>
  <c r="C1167"/>
  <c r="U1167" s="1"/>
  <c r="F1167" s="1"/>
  <c r="AH1166"/>
  <c r="AG1166"/>
  <c r="AD1166"/>
  <c r="AC1166"/>
  <c r="K1166"/>
  <c r="G1166"/>
  <c r="E1166"/>
  <c r="C1166"/>
  <c r="AH1165"/>
  <c r="AG1165"/>
  <c r="AD1165"/>
  <c r="AC1165"/>
  <c r="K1165"/>
  <c r="G1165"/>
  <c r="E1165"/>
  <c r="S67" i="24" s="1"/>
  <c r="C1165" i="18"/>
  <c r="AH1164"/>
  <c r="AG1164"/>
  <c r="AD1164"/>
  <c r="AC1164"/>
  <c r="K1164"/>
  <c r="G1164"/>
  <c r="E1164"/>
  <c r="C1164"/>
  <c r="AH1163"/>
  <c r="AG1163"/>
  <c r="AD1163"/>
  <c r="AC1163"/>
  <c r="K1163"/>
  <c r="G1163"/>
  <c r="E1163"/>
  <c r="C1163"/>
  <c r="U1163" s="1"/>
  <c r="F1163" s="1"/>
  <c r="AH1162"/>
  <c r="AG1162"/>
  <c r="AD1162"/>
  <c r="AC1162"/>
  <c r="K1162"/>
  <c r="G1162"/>
  <c r="E1162"/>
  <c r="C1162"/>
  <c r="AH1161"/>
  <c r="AG1161"/>
  <c r="AD1161"/>
  <c r="AC1161"/>
  <c r="K1161"/>
  <c r="G1161"/>
  <c r="E1161"/>
  <c r="C1161"/>
  <c r="U1161" s="1"/>
  <c r="F1161" s="1"/>
  <c r="AH1160"/>
  <c r="AG1160"/>
  <c r="AD1160"/>
  <c r="AC1160"/>
  <c r="K1160"/>
  <c r="G1160"/>
  <c r="E1160"/>
  <c r="C1160"/>
  <c r="AH1159"/>
  <c r="AG1159"/>
  <c r="AD1159"/>
  <c r="AC1159"/>
  <c r="K1159"/>
  <c r="G1159"/>
  <c r="E1159"/>
  <c r="C1159"/>
  <c r="U1159" s="1"/>
  <c r="F1159" s="1"/>
  <c r="AH1158"/>
  <c r="AG1158"/>
  <c r="AD1158"/>
  <c r="AC1158"/>
  <c r="K1158"/>
  <c r="G1158"/>
  <c r="E1158"/>
  <c r="S68" i="24" s="1"/>
  <c r="C1158" i="18"/>
  <c r="AH1157"/>
  <c r="AG1157"/>
  <c r="AD1157"/>
  <c r="AC1157"/>
  <c r="K1157"/>
  <c r="G1157"/>
  <c r="E1157"/>
  <c r="S69" i="24" s="1"/>
  <c r="C1157" i="18"/>
  <c r="D1157" s="1"/>
  <c r="T69" i="24" s="1"/>
  <c r="AH1156" i="18"/>
  <c r="AG1156"/>
  <c r="AD1156"/>
  <c r="AC1156"/>
  <c r="K1156"/>
  <c r="G1156"/>
  <c r="E1156"/>
  <c r="C1156"/>
  <c r="AH1155"/>
  <c r="AG1155"/>
  <c r="AD1155"/>
  <c r="AC1155"/>
  <c r="K1155"/>
  <c r="G1155"/>
  <c r="E1155"/>
  <c r="C1155"/>
  <c r="U1155" s="1"/>
  <c r="F1155" s="1"/>
  <c r="AH1154"/>
  <c r="AG1154"/>
  <c r="AD1154"/>
  <c r="AC1154"/>
  <c r="K1154"/>
  <c r="G1154"/>
  <c r="E1154"/>
  <c r="C1154"/>
  <c r="AH1153"/>
  <c r="AG1153"/>
  <c r="AD1153"/>
  <c r="AC1153"/>
  <c r="K1153"/>
  <c r="G1153"/>
  <c r="E1153"/>
  <c r="C1153"/>
  <c r="U1153" s="1"/>
  <c r="F1153" s="1"/>
  <c r="AH1152"/>
  <c r="AG1152"/>
  <c r="AD1152"/>
  <c r="AC1152"/>
  <c r="K1152"/>
  <c r="G1152"/>
  <c r="E1152"/>
  <c r="C1152"/>
  <c r="AH1151"/>
  <c r="AG1151"/>
  <c r="AD1151"/>
  <c r="AC1151"/>
  <c r="K1151"/>
  <c r="G1151"/>
  <c r="E1151"/>
  <c r="C1151"/>
  <c r="U1151" s="1"/>
  <c r="F1151" s="1"/>
  <c r="AH1150"/>
  <c r="AG1150"/>
  <c r="AD1150"/>
  <c r="AC1150"/>
  <c r="K1150"/>
  <c r="G1150"/>
  <c r="E1150"/>
  <c r="C1150"/>
  <c r="AH1149"/>
  <c r="AG1149"/>
  <c r="AD1149"/>
  <c r="AC1149"/>
  <c r="K1149"/>
  <c r="G1149"/>
  <c r="E1149"/>
  <c r="C1149"/>
  <c r="D1149" s="1"/>
  <c r="AH1148"/>
  <c r="AG1148"/>
  <c r="AD1148"/>
  <c r="AC1148"/>
  <c r="K1148"/>
  <c r="G1148"/>
  <c r="E1148"/>
  <c r="C1148"/>
  <c r="AH1147"/>
  <c r="AG1147"/>
  <c r="AD1147"/>
  <c r="AC1147"/>
  <c r="K1147"/>
  <c r="G1147"/>
  <c r="E1147"/>
  <c r="C1147"/>
  <c r="U1147" s="1"/>
  <c r="F1147" s="1"/>
  <c r="AH1146"/>
  <c r="AG1146"/>
  <c r="AD1146"/>
  <c r="AC1146"/>
  <c r="K1146"/>
  <c r="G1146"/>
  <c r="E1146"/>
  <c r="C1146"/>
  <c r="N27" i="23" s="1"/>
  <c r="AH1145" i="18"/>
  <c r="AG1145"/>
  <c r="AD1145"/>
  <c r="AC1145"/>
  <c r="K1145"/>
  <c r="G1145"/>
  <c r="E1145"/>
  <c r="C1145"/>
  <c r="AH1144"/>
  <c r="AG1144"/>
  <c r="AD1144"/>
  <c r="AC1144"/>
  <c r="K1144"/>
  <c r="G1144"/>
  <c r="E1144"/>
  <c r="C1144"/>
  <c r="AH1143"/>
  <c r="AG1143"/>
  <c r="AD1143"/>
  <c r="AC1143"/>
  <c r="K1143"/>
  <c r="G1143"/>
  <c r="E1143"/>
  <c r="C1143"/>
  <c r="U1143" s="1"/>
  <c r="F1143" s="1"/>
  <c r="AH1142"/>
  <c r="AG1142"/>
  <c r="AD1142"/>
  <c r="AC1142"/>
  <c r="K1142"/>
  <c r="G1142"/>
  <c r="E1142"/>
  <c r="C1142"/>
  <c r="AH1141"/>
  <c r="AG1141"/>
  <c r="AD1141"/>
  <c r="AC1141"/>
  <c r="K1141"/>
  <c r="G1141"/>
  <c r="E1141"/>
  <c r="C1141"/>
  <c r="D1141" s="1"/>
  <c r="AH1140"/>
  <c r="AG1140"/>
  <c r="AD1140"/>
  <c r="AC1140"/>
  <c r="K1140"/>
  <c r="G1140"/>
  <c r="E1140"/>
  <c r="C1140"/>
  <c r="AH1139"/>
  <c r="AG1139"/>
  <c r="AD1139"/>
  <c r="AC1139"/>
  <c r="K1139"/>
  <c r="H1139"/>
  <c r="G1139"/>
  <c r="E1139"/>
  <c r="C1139"/>
  <c r="U1139" s="1"/>
  <c r="F1139" s="1"/>
  <c r="AH1138"/>
  <c r="AG1138"/>
  <c r="AD1138"/>
  <c r="AC1138"/>
  <c r="K1138"/>
  <c r="G1138"/>
  <c r="E1138"/>
  <c r="C1138"/>
  <c r="AH1137"/>
  <c r="AG1137"/>
  <c r="AD1137"/>
  <c r="AC1137"/>
  <c r="K1137"/>
  <c r="G1137"/>
  <c r="E1137"/>
  <c r="C1137"/>
  <c r="U1137" s="1"/>
  <c r="F1137" s="1"/>
  <c r="AH1136"/>
  <c r="AG1136"/>
  <c r="AD1136"/>
  <c r="AC1136"/>
  <c r="K1136"/>
  <c r="G1136"/>
  <c r="E1136"/>
  <c r="C1136"/>
  <c r="AH1135"/>
  <c r="AG1135"/>
  <c r="AD1135"/>
  <c r="AC1135"/>
  <c r="K1135"/>
  <c r="G1135"/>
  <c r="E1135"/>
  <c r="C1135"/>
  <c r="U1135" s="1"/>
  <c r="F1135" s="1"/>
  <c r="AH1134"/>
  <c r="AG1134"/>
  <c r="AD1134"/>
  <c r="AC1134"/>
  <c r="K1134"/>
  <c r="G1134"/>
  <c r="E1134"/>
  <c r="C1134"/>
  <c r="AH1133"/>
  <c r="AG1133"/>
  <c r="AD1133"/>
  <c r="AC1133"/>
  <c r="K1133"/>
  <c r="G1133"/>
  <c r="E1133"/>
  <c r="C1133"/>
  <c r="D1133" s="1"/>
  <c r="AH1132"/>
  <c r="AG1132"/>
  <c r="AD1132"/>
  <c r="AC1132"/>
  <c r="K1132"/>
  <c r="G1132"/>
  <c r="E1132"/>
  <c r="C1132"/>
  <c r="AH1131"/>
  <c r="AG1131"/>
  <c r="AD1131"/>
  <c r="AC1131"/>
  <c r="K1131"/>
  <c r="G1131"/>
  <c r="E1131"/>
  <c r="C1131"/>
  <c r="U1131" s="1"/>
  <c r="F1131" s="1"/>
  <c r="AH1130"/>
  <c r="AG1130"/>
  <c r="AD1130"/>
  <c r="AC1130"/>
  <c r="K1130"/>
  <c r="G1130"/>
  <c r="E1130"/>
  <c r="C1130"/>
  <c r="AH1129"/>
  <c r="AG1129"/>
  <c r="AD1129"/>
  <c r="AC1129"/>
  <c r="K1129"/>
  <c r="G1129"/>
  <c r="E1129"/>
  <c r="C1129"/>
  <c r="U1129" s="1"/>
  <c r="F1129" s="1"/>
  <c r="AH1128"/>
  <c r="AG1128"/>
  <c r="AD1128"/>
  <c r="AC1128"/>
  <c r="K1128"/>
  <c r="G1128"/>
  <c r="E1128"/>
  <c r="S72" i="24" s="1"/>
  <c r="C1128" i="18"/>
  <c r="AH1127"/>
  <c r="AG1127"/>
  <c r="AD1127"/>
  <c r="AC1127"/>
  <c r="K1127"/>
  <c r="G1127"/>
  <c r="E1127"/>
  <c r="C1127"/>
  <c r="U1127" s="1"/>
  <c r="F1127" s="1"/>
  <c r="AH1126"/>
  <c r="AG1126"/>
  <c r="AD1126"/>
  <c r="AC1126"/>
  <c r="K1126"/>
  <c r="G1126"/>
  <c r="E1126"/>
  <c r="C1126"/>
  <c r="AH1125"/>
  <c r="AG1125"/>
  <c r="AD1125"/>
  <c r="AC1125"/>
  <c r="K1125"/>
  <c r="G1125"/>
  <c r="E1125"/>
  <c r="C1125"/>
  <c r="D1125" s="1"/>
  <c r="AH1124"/>
  <c r="AG1124"/>
  <c r="AD1124"/>
  <c r="AC1124"/>
  <c r="K1124"/>
  <c r="G1124"/>
  <c r="E1124"/>
  <c r="C1124"/>
  <c r="AH1123"/>
  <c r="AG1123"/>
  <c r="AD1123"/>
  <c r="AC1123"/>
  <c r="K1123"/>
  <c r="G1123"/>
  <c r="E1123"/>
  <c r="C1123"/>
  <c r="AH1122"/>
  <c r="AG1122"/>
  <c r="AD1122"/>
  <c r="AC1122"/>
  <c r="K1122"/>
  <c r="G1122"/>
  <c r="E1122"/>
  <c r="C1122"/>
  <c r="AH1121"/>
  <c r="AG1121"/>
  <c r="AD1121"/>
  <c r="AC1121"/>
  <c r="K1121"/>
  <c r="G1121"/>
  <c r="E1121"/>
  <c r="C1121"/>
  <c r="U1121" s="1"/>
  <c r="F1121" s="1"/>
  <c r="AH1120"/>
  <c r="AG1120"/>
  <c r="AD1120"/>
  <c r="AC1120"/>
  <c r="K1120"/>
  <c r="G1120"/>
  <c r="E1120"/>
  <c r="C1120"/>
  <c r="AH1119"/>
  <c r="AG1119"/>
  <c r="AD1119"/>
  <c r="AC1119"/>
  <c r="K1119"/>
  <c r="G1119"/>
  <c r="E1119"/>
  <c r="C1119"/>
  <c r="U1119" s="1"/>
  <c r="F1119" s="1"/>
  <c r="AH1118"/>
  <c r="AG1118"/>
  <c r="AD1118"/>
  <c r="AC1118"/>
  <c r="K1118"/>
  <c r="G1118"/>
  <c r="E1118"/>
  <c r="C1118"/>
  <c r="AH1117"/>
  <c r="AG1117"/>
  <c r="AD1117"/>
  <c r="AC1117"/>
  <c r="K1117"/>
  <c r="G1117"/>
  <c r="E1117"/>
  <c r="C1117"/>
  <c r="U1117" s="1"/>
  <c r="F1117" s="1"/>
  <c r="AH1116"/>
  <c r="AG1116"/>
  <c r="AD1116"/>
  <c r="AC1116"/>
  <c r="K1116"/>
  <c r="G1116"/>
  <c r="E1116"/>
  <c r="C1116"/>
  <c r="AH1115"/>
  <c r="AG1115"/>
  <c r="AD1115"/>
  <c r="AC1115"/>
  <c r="K1115"/>
  <c r="G1115"/>
  <c r="E1115"/>
  <c r="C1115"/>
  <c r="U1115" s="1"/>
  <c r="F1115" s="1"/>
  <c r="AH1114"/>
  <c r="AG1114"/>
  <c r="AD1114"/>
  <c r="AC1114"/>
  <c r="K1114"/>
  <c r="G1114"/>
  <c r="E1114"/>
  <c r="C1114"/>
  <c r="AH1113"/>
  <c r="AG1113"/>
  <c r="AD1113"/>
  <c r="AC1113"/>
  <c r="K1113"/>
  <c r="G1113"/>
  <c r="E1113"/>
  <c r="S75" i="24" s="1"/>
  <c r="C1113" i="18"/>
  <c r="U1113" s="1"/>
  <c r="F1113" s="1"/>
  <c r="AH1112"/>
  <c r="AG1112"/>
  <c r="AD1112"/>
  <c r="AC1112"/>
  <c r="K1112"/>
  <c r="G1112"/>
  <c r="E1112"/>
  <c r="C1112"/>
  <c r="AH1111"/>
  <c r="AG1111"/>
  <c r="AD1111"/>
  <c r="AC1111"/>
  <c r="K1111"/>
  <c r="G1111"/>
  <c r="E1111"/>
  <c r="C1111"/>
  <c r="U1111" s="1"/>
  <c r="F1111" s="1"/>
  <c r="AH1110"/>
  <c r="AG1110"/>
  <c r="AD1110"/>
  <c r="AC1110"/>
  <c r="K1110"/>
  <c r="G1110"/>
  <c r="E1110"/>
  <c r="C1110"/>
  <c r="AH1109"/>
  <c r="AG1109"/>
  <c r="AD1109"/>
  <c r="AC1109"/>
  <c r="K1109"/>
  <c r="G1109"/>
  <c r="E1109"/>
  <c r="C1109"/>
  <c r="D1109" s="1"/>
  <c r="AH1108"/>
  <c r="AG1108"/>
  <c r="AD1108"/>
  <c r="AC1108"/>
  <c r="K1108"/>
  <c r="G1108"/>
  <c r="E1108"/>
  <c r="C1108"/>
  <c r="AH1107"/>
  <c r="AG1107"/>
  <c r="AD1107"/>
  <c r="AC1107"/>
  <c r="K1107"/>
  <c r="G1107"/>
  <c r="E1107"/>
  <c r="C1107"/>
  <c r="U1107" s="1"/>
  <c r="F1107" s="1"/>
  <c r="AH1106"/>
  <c r="AG1106"/>
  <c r="AD1106"/>
  <c r="AC1106"/>
  <c r="K1106"/>
  <c r="G1106"/>
  <c r="E1106"/>
  <c r="C1106"/>
  <c r="AH1105"/>
  <c r="AG1105"/>
  <c r="AD1105"/>
  <c r="AC1105"/>
  <c r="K1105"/>
  <c r="G1105"/>
  <c r="E1105"/>
  <c r="C1105"/>
  <c r="AH1104"/>
  <c r="AG1104"/>
  <c r="AD1104"/>
  <c r="AC1104"/>
  <c r="K1104"/>
  <c r="H1104"/>
  <c r="G1104"/>
  <c r="E1104"/>
  <c r="C1104"/>
  <c r="AH1103"/>
  <c r="AG1103"/>
  <c r="AD1103"/>
  <c r="AC1103"/>
  <c r="K1103"/>
  <c r="G1103"/>
  <c r="E1103"/>
  <c r="C1103"/>
  <c r="U1103" s="1"/>
  <c r="F1103" s="1"/>
  <c r="AH1102"/>
  <c r="AG1102"/>
  <c r="AD1102"/>
  <c r="AC1102"/>
  <c r="K1102"/>
  <c r="G1102"/>
  <c r="E1102"/>
  <c r="C1102"/>
  <c r="AH1101"/>
  <c r="H1101" s="1"/>
  <c r="AG1101"/>
  <c r="AD1101"/>
  <c r="AC1101"/>
  <c r="K1101"/>
  <c r="G1101"/>
  <c r="E1101"/>
  <c r="C1101"/>
  <c r="D1101" s="1"/>
  <c r="AH1100"/>
  <c r="H1100" s="1"/>
  <c r="AG1100"/>
  <c r="AD1100"/>
  <c r="AC1100"/>
  <c r="K1100"/>
  <c r="G1100"/>
  <c r="E1100"/>
  <c r="C1100"/>
  <c r="AH1099"/>
  <c r="AG1099"/>
  <c r="AD1099"/>
  <c r="AC1099"/>
  <c r="K1099"/>
  <c r="G1099"/>
  <c r="E1099"/>
  <c r="C1099"/>
  <c r="AH1098"/>
  <c r="AG1098"/>
  <c r="AD1098"/>
  <c r="AC1098"/>
  <c r="K1098"/>
  <c r="G1098"/>
  <c r="E1098"/>
  <c r="C1098"/>
  <c r="AH1097"/>
  <c r="H1097" s="1"/>
  <c r="AG1097"/>
  <c r="AD1097"/>
  <c r="AC1097"/>
  <c r="K1097"/>
  <c r="G1097"/>
  <c r="E1097"/>
  <c r="C1097"/>
  <c r="U1097" s="1"/>
  <c r="F1097" s="1"/>
  <c r="AH1096"/>
  <c r="H1096" s="1"/>
  <c r="AG1096"/>
  <c r="AD1096"/>
  <c r="AC1096"/>
  <c r="K1096"/>
  <c r="G1096"/>
  <c r="E1096"/>
  <c r="C1096"/>
  <c r="AH1095"/>
  <c r="AG1095"/>
  <c r="AD1095"/>
  <c r="AC1095"/>
  <c r="K1095"/>
  <c r="G1095"/>
  <c r="E1095"/>
  <c r="C1095"/>
  <c r="U1095" s="1"/>
  <c r="F1095" s="1"/>
  <c r="AH1094"/>
  <c r="AG1094"/>
  <c r="AD1094"/>
  <c r="AC1094"/>
  <c r="K1094"/>
  <c r="G1094"/>
  <c r="E1094"/>
  <c r="C1094"/>
  <c r="AH1093"/>
  <c r="AG1093"/>
  <c r="AD1093"/>
  <c r="AC1093"/>
  <c r="K1093"/>
  <c r="G1093"/>
  <c r="E1093"/>
  <c r="C1093"/>
  <c r="D1093" s="1"/>
  <c r="AH1092"/>
  <c r="H1092" s="1"/>
  <c r="AG1092"/>
  <c r="AD1092"/>
  <c r="AC1092"/>
  <c r="K1092"/>
  <c r="G1092"/>
  <c r="E1092"/>
  <c r="C1092"/>
  <c r="AH1091"/>
  <c r="AG1091"/>
  <c r="AD1091"/>
  <c r="AC1091"/>
  <c r="K1091"/>
  <c r="G1091"/>
  <c r="E1091"/>
  <c r="C1091"/>
  <c r="U1091" s="1"/>
  <c r="F1091" s="1"/>
  <c r="AH1090"/>
  <c r="AG1090"/>
  <c r="AD1090"/>
  <c r="AC1090"/>
  <c r="K1090"/>
  <c r="G1090"/>
  <c r="E1090"/>
  <c r="C1090"/>
  <c r="AH1089"/>
  <c r="AG1089"/>
  <c r="AD1089"/>
  <c r="AC1089"/>
  <c r="K1089"/>
  <c r="G1089"/>
  <c r="E1089"/>
  <c r="C1089"/>
  <c r="U1089" s="1"/>
  <c r="F1089" s="1"/>
  <c r="AH1088"/>
  <c r="H1088" s="1"/>
  <c r="AG1088"/>
  <c r="AD1088"/>
  <c r="AC1088"/>
  <c r="K1088"/>
  <c r="G1088"/>
  <c r="E1088"/>
  <c r="C1088"/>
  <c r="AH1087"/>
  <c r="AG1087"/>
  <c r="AD1087"/>
  <c r="AC1087"/>
  <c r="K1087"/>
  <c r="G1087"/>
  <c r="E1087"/>
  <c r="C1087"/>
  <c r="U1087" s="1"/>
  <c r="F1087" s="1"/>
  <c r="AH1086"/>
  <c r="AG1086"/>
  <c r="AD1086"/>
  <c r="AC1086"/>
  <c r="K1086"/>
  <c r="G1086"/>
  <c r="E1086"/>
  <c r="C1086"/>
  <c r="AH1085"/>
  <c r="AG1085"/>
  <c r="AD1085"/>
  <c r="AC1085"/>
  <c r="K1085"/>
  <c r="G1085"/>
  <c r="E1085"/>
  <c r="C1085"/>
  <c r="D1085" s="1"/>
  <c r="AH1084"/>
  <c r="H1084" s="1"/>
  <c r="AG1084"/>
  <c r="AD1084"/>
  <c r="AC1084"/>
  <c r="K1084"/>
  <c r="G1084"/>
  <c r="E1084"/>
  <c r="C1084"/>
  <c r="AH1083"/>
  <c r="AG1083"/>
  <c r="AD1083"/>
  <c r="AC1083"/>
  <c r="K1083"/>
  <c r="G1083"/>
  <c r="E1083"/>
  <c r="C1083"/>
  <c r="U1083" s="1"/>
  <c r="F1083" s="1"/>
  <c r="AH1082"/>
  <c r="AG1082"/>
  <c r="AD1082"/>
  <c r="AC1082"/>
  <c r="K1082"/>
  <c r="G1082"/>
  <c r="E1082"/>
  <c r="C1082"/>
  <c r="AH1081"/>
  <c r="AG1081"/>
  <c r="AD1081"/>
  <c r="AC1081"/>
  <c r="K1081"/>
  <c r="G1081"/>
  <c r="E1081"/>
  <c r="C1081"/>
  <c r="AH1080"/>
  <c r="AG1080"/>
  <c r="AD1080"/>
  <c r="AC1080"/>
  <c r="K1080"/>
  <c r="G1080"/>
  <c r="E1080"/>
  <c r="S79" i="24" s="1"/>
  <c r="C1080" i="18"/>
  <c r="AH1079"/>
  <c r="AG1079"/>
  <c r="AD1079"/>
  <c r="AC1079"/>
  <c r="K1079"/>
  <c r="G1079"/>
  <c r="E1079"/>
  <c r="C1079"/>
  <c r="M12" i="2" s="1"/>
  <c r="AH1078" i="18"/>
  <c r="AG1078"/>
  <c r="AD1078"/>
  <c r="AC1078"/>
  <c r="K1078"/>
  <c r="G1078"/>
  <c r="E1078"/>
  <c r="C1078"/>
  <c r="AH1077"/>
  <c r="AG1077"/>
  <c r="AD1077"/>
  <c r="AC1077"/>
  <c r="K1077"/>
  <c r="G1077"/>
  <c r="E1077"/>
  <c r="C1077"/>
  <c r="D1077" s="1"/>
  <c r="AH1076"/>
  <c r="H1076" s="1"/>
  <c r="AG1076"/>
  <c r="AD1076"/>
  <c r="AC1076"/>
  <c r="K1076"/>
  <c r="G1076"/>
  <c r="E1076"/>
  <c r="C1076"/>
  <c r="AH1075"/>
  <c r="AG1075"/>
  <c r="AD1075"/>
  <c r="AC1075"/>
  <c r="K1075"/>
  <c r="G1075"/>
  <c r="E1075"/>
  <c r="C1075"/>
  <c r="U1075" s="1"/>
  <c r="F1075" s="1"/>
  <c r="AH1074"/>
  <c r="AG1074"/>
  <c r="AD1074"/>
  <c r="AC1074"/>
  <c r="K1074"/>
  <c r="G1074"/>
  <c r="E1074"/>
  <c r="C1074"/>
  <c r="AH1073"/>
  <c r="AG1073"/>
  <c r="AD1073"/>
  <c r="AC1073"/>
  <c r="K1073"/>
  <c r="G1073"/>
  <c r="E1073"/>
  <c r="C1073"/>
  <c r="U1073" s="1"/>
  <c r="F1073" s="1"/>
  <c r="AH1072"/>
  <c r="AG1072"/>
  <c r="AD1072"/>
  <c r="AC1072"/>
  <c r="K1072"/>
  <c r="G1072"/>
  <c r="E1072"/>
  <c r="C1072"/>
  <c r="AH1071"/>
  <c r="AG1071"/>
  <c r="AD1071"/>
  <c r="AC1071"/>
  <c r="K1071"/>
  <c r="G1071"/>
  <c r="E1071"/>
  <c r="C1071"/>
  <c r="U1071" s="1"/>
  <c r="F1071" s="1"/>
  <c r="AH1070"/>
  <c r="AG1070"/>
  <c r="AD1070"/>
  <c r="AC1070"/>
  <c r="K1070"/>
  <c r="G1070"/>
  <c r="E1070"/>
  <c r="C1070"/>
  <c r="AH1069"/>
  <c r="AG1069"/>
  <c r="AD1069"/>
  <c r="AC1069"/>
  <c r="K1069"/>
  <c r="G1069"/>
  <c r="E1069"/>
  <c r="C1069"/>
  <c r="U1069" s="1"/>
  <c r="F1069" s="1"/>
  <c r="AH1068"/>
  <c r="AG1068"/>
  <c r="AD1068"/>
  <c r="AC1068"/>
  <c r="K1068"/>
  <c r="G1068"/>
  <c r="E1068"/>
  <c r="C1068"/>
  <c r="AH1067"/>
  <c r="AG1067"/>
  <c r="AD1067"/>
  <c r="AC1067"/>
  <c r="K1067"/>
  <c r="G1067"/>
  <c r="E1067"/>
  <c r="C1067"/>
  <c r="U1067" s="1"/>
  <c r="F1067" s="1"/>
  <c r="AH1066"/>
  <c r="AG1066"/>
  <c r="AD1066"/>
  <c r="AC1066"/>
  <c r="K1066"/>
  <c r="G1066"/>
  <c r="E1066"/>
  <c r="C1066"/>
  <c r="AH1065"/>
  <c r="AG1065"/>
  <c r="AD1065"/>
  <c r="AC1065"/>
  <c r="K1065"/>
  <c r="G1065"/>
  <c r="E1065"/>
  <c r="C1065"/>
  <c r="AH1064"/>
  <c r="AG1064"/>
  <c r="AD1064"/>
  <c r="AC1064"/>
  <c r="K1064"/>
  <c r="G1064"/>
  <c r="E1064"/>
  <c r="C1064"/>
  <c r="AH1063"/>
  <c r="AG1063"/>
  <c r="AD1063"/>
  <c r="AC1063"/>
  <c r="K1063"/>
  <c r="G1063"/>
  <c r="E1063"/>
  <c r="C1063"/>
  <c r="U1063" s="1"/>
  <c r="F1063" s="1"/>
  <c r="AH1062"/>
  <c r="AG1062"/>
  <c r="AD1062"/>
  <c r="AC1062"/>
  <c r="K1062"/>
  <c r="G1062"/>
  <c r="E1062"/>
  <c r="C1062"/>
  <c r="AH1061"/>
  <c r="AG1061"/>
  <c r="AD1061"/>
  <c r="AC1061"/>
  <c r="K1061"/>
  <c r="G1061"/>
  <c r="E1061"/>
  <c r="C1061"/>
  <c r="U1061" s="1"/>
  <c r="F1061" s="1"/>
  <c r="AH1060"/>
  <c r="AG1060"/>
  <c r="AD1060"/>
  <c r="AC1060"/>
  <c r="K1060"/>
  <c r="G1060"/>
  <c r="E1060"/>
  <c r="C1060"/>
  <c r="AH1059"/>
  <c r="AG1059"/>
  <c r="AD1059"/>
  <c r="AC1059"/>
  <c r="K1059"/>
  <c r="G1059"/>
  <c r="E1059"/>
  <c r="C1059"/>
  <c r="U1059" s="1"/>
  <c r="F1059" s="1"/>
  <c r="AH1058"/>
  <c r="AG1058"/>
  <c r="AD1058"/>
  <c r="AC1058"/>
  <c r="K1058"/>
  <c r="G1058"/>
  <c r="E1058"/>
  <c r="C1058"/>
  <c r="AH1057"/>
  <c r="AG1057"/>
  <c r="AD1057"/>
  <c r="AC1057"/>
  <c r="K1057"/>
  <c r="G1057"/>
  <c r="E1057"/>
  <c r="C1057"/>
  <c r="AH1056"/>
  <c r="AG1056"/>
  <c r="AD1056"/>
  <c r="AC1056"/>
  <c r="K1056"/>
  <c r="G1056"/>
  <c r="E1056"/>
  <c r="C1056"/>
  <c r="AH1055"/>
  <c r="AG1055"/>
  <c r="AD1055"/>
  <c r="AC1055"/>
  <c r="K1055"/>
  <c r="G1055"/>
  <c r="E1055"/>
  <c r="C1055"/>
  <c r="U1055" s="1"/>
  <c r="F1055" s="1"/>
  <c r="AH1054"/>
  <c r="AG1054"/>
  <c r="AD1054"/>
  <c r="AC1054"/>
  <c r="K1054"/>
  <c r="G1054"/>
  <c r="E1054"/>
  <c r="S80" i="24" s="1"/>
  <c r="C1054" i="18"/>
  <c r="AH1053"/>
  <c r="AG1053"/>
  <c r="AD1053"/>
  <c r="AC1053"/>
  <c r="K1053"/>
  <c r="G1053"/>
  <c r="E1053"/>
  <c r="C1053"/>
  <c r="U1053" s="1"/>
  <c r="F1053" s="1"/>
  <c r="AH1052"/>
  <c r="AG1052"/>
  <c r="AD1052"/>
  <c r="AC1052"/>
  <c r="K1052"/>
  <c r="G1052"/>
  <c r="E1052"/>
  <c r="C1052"/>
  <c r="AH1051"/>
  <c r="AG1051"/>
  <c r="AD1051"/>
  <c r="AC1051"/>
  <c r="K1051"/>
  <c r="G1051"/>
  <c r="E1051"/>
  <c r="C1051"/>
  <c r="AH1050"/>
  <c r="AG1050"/>
  <c r="AD1050"/>
  <c r="AC1050"/>
  <c r="K1050"/>
  <c r="G1050"/>
  <c r="E1050"/>
  <c r="C1050"/>
  <c r="AH1049"/>
  <c r="AG1049"/>
  <c r="AD1049"/>
  <c r="AC1049"/>
  <c r="K1049"/>
  <c r="G1049"/>
  <c r="E1049"/>
  <c r="C1049"/>
  <c r="D1049" s="1"/>
  <c r="AH1048"/>
  <c r="AG1048"/>
  <c r="AD1048"/>
  <c r="AC1048"/>
  <c r="K1048"/>
  <c r="G1048"/>
  <c r="E1048"/>
  <c r="C1048"/>
  <c r="AH1047"/>
  <c r="AG1047"/>
  <c r="AD1047"/>
  <c r="AC1047"/>
  <c r="K1047"/>
  <c r="G1047"/>
  <c r="E1047"/>
  <c r="S81" i="24" s="1"/>
  <c r="C1047" i="18"/>
  <c r="U1047" s="1"/>
  <c r="F1047" s="1"/>
  <c r="AH1046"/>
  <c r="AG1046"/>
  <c r="AD1046"/>
  <c r="AC1046"/>
  <c r="K1046"/>
  <c r="G1046"/>
  <c r="E1046"/>
  <c r="C1046"/>
  <c r="AH1045"/>
  <c r="AG1045"/>
  <c r="AD1045"/>
  <c r="AC1045"/>
  <c r="K1045"/>
  <c r="G1045"/>
  <c r="E1045"/>
  <c r="C1045"/>
  <c r="AH1044"/>
  <c r="AG1044"/>
  <c r="AD1044"/>
  <c r="AC1044"/>
  <c r="K1044"/>
  <c r="H1044"/>
  <c r="G1044"/>
  <c r="E1044"/>
  <c r="S82" i="24" s="1"/>
  <c r="C1044" i="18"/>
  <c r="AH1043"/>
  <c r="AG1043"/>
  <c r="AD1043"/>
  <c r="AC1043"/>
  <c r="K1043"/>
  <c r="G1043"/>
  <c r="E1043"/>
  <c r="S83" i="24" s="1"/>
  <c r="C1043" i="18"/>
  <c r="U1043" s="1"/>
  <c r="F1043" s="1"/>
  <c r="AH1042"/>
  <c r="AG1042"/>
  <c r="AD1042"/>
  <c r="AC1042"/>
  <c r="K1042"/>
  <c r="G1042"/>
  <c r="E1042"/>
  <c r="C1042"/>
  <c r="AH1041"/>
  <c r="AG1041"/>
  <c r="AD1041"/>
  <c r="AC1041"/>
  <c r="K1041"/>
  <c r="G1041"/>
  <c r="E1041"/>
  <c r="C1041"/>
  <c r="AH1040"/>
  <c r="AG1040"/>
  <c r="AD1040"/>
  <c r="AC1040"/>
  <c r="K1040"/>
  <c r="G1040"/>
  <c r="E1040"/>
  <c r="C1040"/>
  <c r="AH1039"/>
  <c r="AG1039"/>
  <c r="AD1039"/>
  <c r="AC1039"/>
  <c r="K1039"/>
  <c r="G1039"/>
  <c r="E1039"/>
  <c r="C1039"/>
  <c r="AH1038"/>
  <c r="AG1038"/>
  <c r="AD1038"/>
  <c r="AC1038"/>
  <c r="K1038"/>
  <c r="G1038"/>
  <c r="E1038"/>
  <c r="C1038"/>
  <c r="AH1037"/>
  <c r="AG1037"/>
  <c r="AD1037"/>
  <c r="AC1037"/>
  <c r="K1037"/>
  <c r="G1037"/>
  <c r="E1037"/>
  <c r="C1037"/>
  <c r="U1037" s="1"/>
  <c r="F1037" s="1"/>
  <c r="AH1036"/>
  <c r="AG1036"/>
  <c r="AD1036"/>
  <c r="AC1036"/>
  <c r="K1036"/>
  <c r="G1036"/>
  <c r="E1036"/>
  <c r="C1036"/>
  <c r="AH1035"/>
  <c r="AG1035"/>
  <c r="AD1035"/>
  <c r="AC1035"/>
  <c r="K1035"/>
  <c r="G1035"/>
  <c r="E1035"/>
  <c r="C1035"/>
  <c r="U1035" s="1"/>
  <c r="F1035" s="1"/>
  <c r="AH1034"/>
  <c r="AG1034"/>
  <c r="AD1034"/>
  <c r="AC1034"/>
  <c r="K1034"/>
  <c r="G1034"/>
  <c r="E1034"/>
  <c r="S84" i="24" s="1"/>
  <c r="C1034" i="18"/>
  <c r="AH1033"/>
  <c r="AG1033"/>
  <c r="AD1033"/>
  <c r="AC1033"/>
  <c r="K1033"/>
  <c r="G1033"/>
  <c r="E1033"/>
  <c r="C1033"/>
  <c r="D1033" s="1"/>
  <c r="AH1032"/>
  <c r="AG1032"/>
  <c r="AD1032"/>
  <c r="AC1032"/>
  <c r="K1032"/>
  <c r="G1032"/>
  <c r="E1032"/>
  <c r="C1032"/>
  <c r="AH1031"/>
  <c r="AG1031"/>
  <c r="AD1031"/>
  <c r="AC1031"/>
  <c r="K1031"/>
  <c r="G1031"/>
  <c r="E1031"/>
  <c r="C1031"/>
  <c r="D1031" s="1"/>
  <c r="AH1030"/>
  <c r="AG1030"/>
  <c r="AD1030"/>
  <c r="AC1030"/>
  <c r="K1030"/>
  <c r="G1030"/>
  <c r="E1030"/>
  <c r="C1030"/>
  <c r="AH1029"/>
  <c r="AG1029"/>
  <c r="AD1029"/>
  <c r="AC1029"/>
  <c r="K1029"/>
  <c r="G1029"/>
  <c r="E1029"/>
  <c r="C1029"/>
  <c r="AH1028"/>
  <c r="AG1028"/>
  <c r="AD1028"/>
  <c r="AC1028"/>
  <c r="K1028"/>
  <c r="G1028"/>
  <c r="E1028"/>
  <c r="S85" i="24" s="1"/>
  <c r="C1028" i="18"/>
  <c r="AH1027"/>
  <c r="AG1027"/>
  <c r="AD1027"/>
  <c r="AC1027"/>
  <c r="K1027"/>
  <c r="G1027"/>
  <c r="E1027"/>
  <c r="C1027"/>
  <c r="U1027" s="1"/>
  <c r="F1027" s="1"/>
  <c r="AH1026"/>
  <c r="AG1026"/>
  <c r="AD1026"/>
  <c r="AC1026"/>
  <c r="K1026"/>
  <c r="G1026"/>
  <c r="E1026"/>
  <c r="C1026"/>
  <c r="AH1025"/>
  <c r="AG1025"/>
  <c r="AD1025"/>
  <c r="AC1025"/>
  <c r="K1025"/>
  <c r="G1025"/>
  <c r="E1025"/>
  <c r="S86" i="24" s="1"/>
  <c r="C1025" i="18"/>
  <c r="AH1024"/>
  <c r="AG1024"/>
  <c r="AD1024"/>
  <c r="AC1024"/>
  <c r="K1024"/>
  <c r="H1024"/>
  <c r="G1024"/>
  <c r="E1024"/>
  <c r="C1024"/>
  <c r="AH1023"/>
  <c r="AG1023"/>
  <c r="AD1023"/>
  <c r="AC1023"/>
  <c r="K1023"/>
  <c r="G1023"/>
  <c r="E1023"/>
  <c r="C1023"/>
  <c r="U1023" s="1"/>
  <c r="F1023" s="1"/>
  <c r="AH1022"/>
  <c r="AG1022"/>
  <c r="AD1022"/>
  <c r="AC1022"/>
  <c r="K1022"/>
  <c r="G1022"/>
  <c r="E1022"/>
  <c r="C1022"/>
  <c r="AH1021"/>
  <c r="AG1021"/>
  <c r="AD1021"/>
  <c r="AC1021"/>
  <c r="K1021"/>
  <c r="G1021"/>
  <c r="E1021"/>
  <c r="C1021"/>
  <c r="U1021" s="1"/>
  <c r="F1021" s="1"/>
  <c r="AH1020"/>
  <c r="AG1020"/>
  <c r="AD1020"/>
  <c r="AC1020"/>
  <c r="K1020"/>
  <c r="G1020"/>
  <c r="E1020"/>
  <c r="C1020"/>
  <c r="N38" i="23" s="1"/>
  <c r="AH1019" i="18"/>
  <c r="AG1019"/>
  <c r="AD1019"/>
  <c r="AC1019"/>
  <c r="K1019"/>
  <c r="G1019"/>
  <c r="E1019"/>
  <c r="C1019"/>
  <c r="AH1018"/>
  <c r="AG1018"/>
  <c r="AD1018"/>
  <c r="AC1018"/>
  <c r="K1018"/>
  <c r="G1018"/>
  <c r="E1018"/>
  <c r="C1018"/>
  <c r="AH1017"/>
  <c r="AG1017"/>
  <c r="AD1017"/>
  <c r="AC1017"/>
  <c r="K1017"/>
  <c r="G1017"/>
  <c r="E1017"/>
  <c r="C1017"/>
  <c r="D1017" s="1"/>
  <c r="AH1016"/>
  <c r="AG1016"/>
  <c r="AD1016"/>
  <c r="AC1016"/>
  <c r="K1016"/>
  <c r="G1016"/>
  <c r="E1016"/>
  <c r="C1016"/>
  <c r="AH1015"/>
  <c r="AG1015"/>
  <c r="AD1015"/>
  <c r="AC1015"/>
  <c r="K1015"/>
  <c r="G1015"/>
  <c r="E1015"/>
  <c r="C1015"/>
  <c r="U1015" s="1"/>
  <c r="F1015" s="1"/>
  <c r="AH1014"/>
  <c r="AG1014"/>
  <c r="AD1014"/>
  <c r="AC1014"/>
  <c r="K1014"/>
  <c r="G1014"/>
  <c r="E1014"/>
  <c r="C1014"/>
  <c r="AH1013"/>
  <c r="AG1013"/>
  <c r="AD1013"/>
  <c r="AC1013"/>
  <c r="K1013"/>
  <c r="G1013"/>
  <c r="E1013"/>
  <c r="C1013"/>
  <c r="M8" i="2" s="1"/>
  <c r="AH1012" i="18"/>
  <c r="AG1012"/>
  <c r="AD1012"/>
  <c r="AC1012"/>
  <c r="K1012"/>
  <c r="G1012"/>
  <c r="E1012"/>
  <c r="C1012"/>
  <c r="AH1011"/>
  <c r="AG1011"/>
  <c r="AD1011"/>
  <c r="AC1011"/>
  <c r="K1011"/>
  <c r="G1011"/>
  <c r="E1011"/>
  <c r="C1011"/>
  <c r="D1011" s="1"/>
  <c r="AH1010"/>
  <c r="AG1010"/>
  <c r="AD1010"/>
  <c r="AC1010"/>
  <c r="K1010"/>
  <c r="G1010"/>
  <c r="E1010"/>
  <c r="C1010"/>
  <c r="AH1009"/>
  <c r="AG1009"/>
  <c r="AD1009"/>
  <c r="AC1009"/>
  <c r="K1009"/>
  <c r="G1009"/>
  <c r="E1009"/>
  <c r="C1009"/>
  <c r="U1009" s="1"/>
  <c r="F1009" s="1"/>
  <c r="AH1008"/>
  <c r="AG1008"/>
  <c r="AD1008"/>
  <c r="AC1008"/>
  <c r="K1008"/>
  <c r="G1008"/>
  <c r="E1008"/>
  <c r="C1008"/>
  <c r="AH1007"/>
  <c r="AG1007"/>
  <c r="AD1007"/>
  <c r="AC1007"/>
  <c r="K1007"/>
  <c r="G1007"/>
  <c r="E1007"/>
  <c r="C1007"/>
  <c r="U1007" s="1"/>
  <c r="F1007" s="1"/>
  <c r="AH1006"/>
  <c r="AG1006"/>
  <c r="AD1006"/>
  <c r="AC1006"/>
  <c r="K1006"/>
  <c r="G1006"/>
  <c r="E1006"/>
  <c r="C1006"/>
  <c r="AH1005"/>
  <c r="AG1005"/>
  <c r="AD1005"/>
  <c r="AC1005"/>
  <c r="K1005"/>
  <c r="G1005"/>
  <c r="E1005"/>
  <c r="S89" i="24" s="1"/>
  <c r="C1005" i="18"/>
  <c r="D1005" s="1"/>
  <c r="T89" i="24" s="1"/>
  <c r="AH1004" i="18"/>
  <c r="AG1004"/>
  <c r="AD1004"/>
  <c r="AC1004"/>
  <c r="K1004"/>
  <c r="G1004"/>
  <c r="E1004"/>
  <c r="C1004"/>
  <c r="AH1003"/>
  <c r="AG1003"/>
  <c r="AD1003"/>
  <c r="AC1003"/>
  <c r="K1003"/>
  <c r="G1003"/>
  <c r="E1003"/>
  <c r="C1003"/>
  <c r="D1003" s="1"/>
  <c r="AH1002"/>
  <c r="AG1002"/>
  <c r="AD1002"/>
  <c r="AC1002"/>
  <c r="K1002"/>
  <c r="G1002"/>
  <c r="E1002"/>
  <c r="C1002"/>
  <c r="AH1001"/>
  <c r="AG1001"/>
  <c r="AD1001"/>
  <c r="AC1001"/>
  <c r="K1001"/>
  <c r="G1001"/>
  <c r="E1001"/>
  <c r="C1001"/>
  <c r="U1001" s="1"/>
  <c r="F1001" s="1"/>
  <c r="AH1000"/>
  <c r="AG1000"/>
  <c r="AD1000"/>
  <c r="AC1000"/>
  <c r="K1000"/>
  <c r="H1000"/>
  <c r="G1000"/>
  <c r="E1000"/>
  <c r="S92" i="24" s="1"/>
  <c r="C1000" i="18"/>
  <c r="AH999"/>
  <c r="AG999"/>
  <c r="AD999"/>
  <c r="AC999"/>
  <c r="K999"/>
  <c r="G999"/>
  <c r="E999"/>
  <c r="C999"/>
  <c r="AH998"/>
  <c r="AG998"/>
  <c r="AD998"/>
  <c r="AC998"/>
  <c r="K998"/>
  <c r="G998"/>
  <c r="E998"/>
  <c r="C998"/>
  <c r="AH997"/>
  <c r="AG997"/>
  <c r="AD997"/>
  <c r="AC997"/>
  <c r="K997"/>
  <c r="G997"/>
  <c r="E997"/>
  <c r="S93" i="24" s="1"/>
  <c r="C997" i="18"/>
  <c r="AH996"/>
  <c r="H996" s="1"/>
  <c r="AG996"/>
  <c r="AD996"/>
  <c r="AC996"/>
  <c r="K996"/>
  <c r="G996"/>
  <c r="E996"/>
  <c r="C996"/>
  <c r="U996" s="1"/>
  <c r="F996" s="1"/>
  <c r="AH995"/>
  <c r="AG995"/>
  <c r="AD995"/>
  <c r="AC995"/>
  <c r="K995"/>
  <c r="G995"/>
  <c r="E995"/>
  <c r="C995"/>
  <c r="AH994"/>
  <c r="AG994"/>
  <c r="AD994"/>
  <c r="AC994"/>
  <c r="K994"/>
  <c r="G994"/>
  <c r="E994"/>
  <c r="C994"/>
  <c r="U994" s="1"/>
  <c r="F994" s="1"/>
  <c r="AH993"/>
  <c r="H993" s="1"/>
  <c r="AG993"/>
  <c r="AD993"/>
  <c r="AC993"/>
  <c r="K993"/>
  <c r="G993"/>
  <c r="E993"/>
  <c r="C993"/>
  <c r="AH992"/>
  <c r="H992" s="1"/>
  <c r="AG992"/>
  <c r="AD992"/>
  <c r="AC992"/>
  <c r="K992"/>
  <c r="G992"/>
  <c r="E992"/>
  <c r="C992"/>
  <c r="U992" s="1"/>
  <c r="F992" s="1"/>
  <c r="AH991"/>
  <c r="AG991"/>
  <c r="AD991"/>
  <c r="AC991"/>
  <c r="K991"/>
  <c r="G991"/>
  <c r="E991"/>
  <c r="C991"/>
  <c r="AH990"/>
  <c r="AG990"/>
  <c r="AD990"/>
  <c r="AC990"/>
  <c r="K990"/>
  <c r="G990"/>
  <c r="E990"/>
  <c r="C990"/>
  <c r="AH989"/>
  <c r="AG989"/>
  <c r="AD989"/>
  <c r="AC989"/>
  <c r="K989"/>
  <c r="G989"/>
  <c r="E989"/>
  <c r="C989"/>
  <c r="AH988"/>
  <c r="H988" s="1"/>
  <c r="AG988"/>
  <c r="AD988"/>
  <c r="AC988"/>
  <c r="K988"/>
  <c r="G988"/>
  <c r="E988"/>
  <c r="C988"/>
  <c r="AH987"/>
  <c r="AG987"/>
  <c r="AD987"/>
  <c r="AC987"/>
  <c r="K987"/>
  <c r="G987"/>
  <c r="E987"/>
  <c r="C987"/>
  <c r="AH986"/>
  <c r="AG986"/>
  <c r="AD986"/>
  <c r="AC986"/>
  <c r="K986"/>
  <c r="G986"/>
  <c r="E986"/>
  <c r="C986"/>
  <c r="D986" s="1"/>
  <c r="AH985"/>
  <c r="AG985"/>
  <c r="AD985"/>
  <c r="AC985"/>
  <c r="K985"/>
  <c r="G985"/>
  <c r="E985"/>
  <c r="C985"/>
  <c r="AH984"/>
  <c r="H984" s="1"/>
  <c r="AG984"/>
  <c r="AD984"/>
  <c r="AC984"/>
  <c r="K984"/>
  <c r="G984"/>
  <c r="E984"/>
  <c r="C984"/>
  <c r="U984" s="1"/>
  <c r="F984" s="1"/>
  <c r="AH983"/>
  <c r="AG983"/>
  <c r="AD983"/>
  <c r="AC983"/>
  <c r="K983"/>
  <c r="G983"/>
  <c r="E983"/>
  <c r="C983"/>
  <c r="AH982"/>
  <c r="AG982"/>
  <c r="AD982"/>
  <c r="AC982"/>
  <c r="K982"/>
  <c r="G982"/>
  <c r="E982"/>
  <c r="S94" i="24" s="1"/>
  <c r="C982" i="18"/>
  <c r="AH981"/>
  <c r="AG981"/>
  <c r="AD981"/>
  <c r="AC981"/>
  <c r="K981"/>
  <c r="G981"/>
  <c r="E981"/>
  <c r="C981"/>
  <c r="AH980"/>
  <c r="H980" s="1"/>
  <c r="AG980"/>
  <c r="AD980"/>
  <c r="AC980"/>
  <c r="K980"/>
  <c r="G980"/>
  <c r="E980"/>
  <c r="C980"/>
  <c r="AH979"/>
  <c r="AG979"/>
  <c r="AD979"/>
  <c r="AC979"/>
  <c r="K979"/>
  <c r="G979"/>
  <c r="E979"/>
  <c r="C979"/>
  <c r="M9" i="2" s="1"/>
  <c r="AH978" i="18"/>
  <c r="AG978"/>
  <c r="AD978"/>
  <c r="AC978"/>
  <c r="K978"/>
  <c r="G978"/>
  <c r="E978"/>
  <c r="C978"/>
  <c r="D978" s="1"/>
  <c r="AH977"/>
  <c r="AG977"/>
  <c r="AD977"/>
  <c r="AC977"/>
  <c r="K977"/>
  <c r="G977"/>
  <c r="E977"/>
  <c r="C977"/>
  <c r="AH976"/>
  <c r="AG976"/>
  <c r="AD976"/>
  <c r="AC976"/>
  <c r="K976"/>
  <c r="G976"/>
  <c r="E976"/>
  <c r="C976"/>
  <c r="U976" s="1"/>
  <c r="F976" s="1"/>
  <c r="AH975"/>
  <c r="AG975"/>
  <c r="AD975"/>
  <c r="AC975"/>
  <c r="K975"/>
  <c r="G975"/>
  <c r="E975"/>
  <c r="C975"/>
  <c r="AH974"/>
  <c r="AG974"/>
  <c r="AD974"/>
  <c r="AC974"/>
  <c r="K974"/>
  <c r="G974"/>
  <c r="E974"/>
  <c r="S95" i="24" s="1"/>
  <c r="C974" i="18"/>
  <c r="D974" s="1"/>
  <c r="AH973"/>
  <c r="AG973"/>
  <c r="AD973"/>
  <c r="AC973"/>
  <c r="K973"/>
  <c r="G973"/>
  <c r="E973"/>
  <c r="C973"/>
  <c r="AH972"/>
  <c r="AG972"/>
  <c r="AD972"/>
  <c r="AC972"/>
  <c r="K972"/>
  <c r="G972"/>
  <c r="E972"/>
  <c r="C972"/>
  <c r="U972" s="1"/>
  <c r="F972" s="1"/>
  <c r="AH971"/>
  <c r="AG971"/>
  <c r="AD971"/>
  <c r="AC971"/>
  <c r="K971"/>
  <c r="G971"/>
  <c r="E971"/>
  <c r="S96" i="24" s="1"/>
  <c r="C971" i="18"/>
  <c r="AH970"/>
  <c r="AG970"/>
  <c r="AD970"/>
  <c r="AC970"/>
  <c r="K970"/>
  <c r="G970"/>
  <c r="E970"/>
  <c r="C970"/>
  <c r="D970" s="1"/>
  <c r="AH969"/>
  <c r="AG969"/>
  <c r="AD969"/>
  <c r="AC969"/>
  <c r="K969"/>
  <c r="G969"/>
  <c r="E969"/>
  <c r="C969"/>
  <c r="AH968"/>
  <c r="AG968"/>
  <c r="AD968"/>
  <c r="AC968"/>
  <c r="K968"/>
  <c r="G968"/>
  <c r="E968"/>
  <c r="C968"/>
  <c r="U968" s="1"/>
  <c r="F968" s="1"/>
  <c r="AH967"/>
  <c r="AG967"/>
  <c r="AD967"/>
  <c r="AC967"/>
  <c r="K967"/>
  <c r="G967"/>
  <c r="E967"/>
  <c r="C967"/>
  <c r="AH966"/>
  <c r="AG966"/>
  <c r="AD966"/>
  <c r="AC966"/>
  <c r="K966"/>
  <c r="G966"/>
  <c r="E966"/>
  <c r="C966"/>
  <c r="D966" s="1"/>
  <c r="AH965"/>
  <c r="AG965"/>
  <c r="AD965"/>
  <c r="AC965"/>
  <c r="K965"/>
  <c r="G965"/>
  <c r="E965"/>
  <c r="C965"/>
  <c r="AH964"/>
  <c r="AG964"/>
  <c r="AD964"/>
  <c r="AC964"/>
  <c r="K964"/>
  <c r="G964"/>
  <c r="E964"/>
  <c r="S97" i="24" s="1"/>
  <c r="C964" i="18"/>
  <c r="U964" s="1"/>
  <c r="F964" s="1"/>
  <c r="AH963"/>
  <c r="AG963"/>
  <c r="AD963"/>
  <c r="AC963"/>
  <c r="K963"/>
  <c r="G963"/>
  <c r="E963"/>
  <c r="C963"/>
  <c r="AH962"/>
  <c r="AG962"/>
  <c r="AD962"/>
  <c r="AC962"/>
  <c r="K962"/>
  <c r="G962"/>
  <c r="E962"/>
  <c r="C962"/>
  <c r="N26" i="23" s="1"/>
  <c r="AH961" i="18"/>
  <c r="AG961"/>
  <c r="AD961"/>
  <c r="AC961"/>
  <c r="K961"/>
  <c r="G961"/>
  <c r="E961"/>
  <c r="C961"/>
  <c r="AH960"/>
  <c r="AG960"/>
  <c r="AD960"/>
  <c r="AC960"/>
  <c r="K960"/>
  <c r="G960"/>
  <c r="E960"/>
  <c r="C960"/>
  <c r="AH959"/>
  <c r="AG959"/>
  <c r="AD959"/>
  <c r="AC959"/>
  <c r="K959"/>
  <c r="G959"/>
  <c r="E959"/>
  <c r="C959"/>
  <c r="AH958"/>
  <c r="AG958"/>
  <c r="AD958"/>
  <c r="AC958"/>
  <c r="K958"/>
  <c r="G958"/>
  <c r="E958"/>
  <c r="C958"/>
  <c r="D958" s="1"/>
  <c r="AH957"/>
  <c r="AG957"/>
  <c r="AD957"/>
  <c r="AC957"/>
  <c r="K957"/>
  <c r="G957"/>
  <c r="E957"/>
  <c r="C957"/>
  <c r="AH956"/>
  <c r="AG956"/>
  <c r="AD956"/>
  <c r="AC956"/>
  <c r="K956"/>
  <c r="H956"/>
  <c r="G956"/>
  <c r="E956"/>
  <c r="C956"/>
  <c r="U956" s="1"/>
  <c r="F956" s="1"/>
  <c r="AH955"/>
  <c r="AG955"/>
  <c r="AD955"/>
  <c r="AC955"/>
  <c r="K955"/>
  <c r="G955"/>
  <c r="E955"/>
  <c r="C955"/>
  <c r="AH954"/>
  <c r="AG954"/>
  <c r="AD954"/>
  <c r="AC954"/>
  <c r="K954"/>
  <c r="G954"/>
  <c r="E954"/>
  <c r="C954"/>
  <c r="AH953"/>
  <c r="AG953"/>
  <c r="AD953"/>
  <c r="AC953"/>
  <c r="K953"/>
  <c r="G953"/>
  <c r="E953"/>
  <c r="S98" i="24" s="1"/>
  <c r="C953" i="18"/>
  <c r="AH952"/>
  <c r="AG952"/>
  <c r="AD952"/>
  <c r="AC952"/>
  <c r="K952"/>
  <c r="G952"/>
  <c r="E952"/>
  <c r="C952"/>
  <c r="AH951"/>
  <c r="AG951"/>
  <c r="AD951"/>
  <c r="AC951"/>
  <c r="K951"/>
  <c r="G951"/>
  <c r="E951"/>
  <c r="C951"/>
  <c r="AH950"/>
  <c r="AG950"/>
  <c r="AD950"/>
  <c r="AC950"/>
  <c r="K950"/>
  <c r="G950"/>
  <c r="E950"/>
  <c r="S99" i="24" s="1"/>
  <c r="C950" i="18"/>
  <c r="D950" s="1"/>
  <c r="T99" i="24" s="1"/>
  <c r="AH949" i="18"/>
  <c r="AG949"/>
  <c r="AD949"/>
  <c r="AC949"/>
  <c r="K949"/>
  <c r="G949"/>
  <c r="E949"/>
  <c r="C949"/>
  <c r="AH948"/>
  <c r="AG948"/>
  <c r="AD948"/>
  <c r="AC948"/>
  <c r="K948"/>
  <c r="G948"/>
  <c r="E948"/>
  <c r="S100" i="24" s="1"/>
  <c r="C948" i="18"/>
  <c r="U948" s="1"/>
  <c r="F948" s="1"/>
  <c r="AH947"/>
  <c r="AG947"/>
  <c r="AD947"/>
  <c r="AC947"/>
  <c r="K947"/>
  <c r="G947"/>
  <c r="E947"/>
  <c r="C947"/>
  <c r="AH946"/>
  <c r="AG946"/>
  <c r="AD946"/>
  <c r="AC946"/>
  <c r="K946"/>
  <c r="G946"/>
  <c r="E946"/>
  <c r="C946"/>
  <c r="D946" s="1"/>
  <c r="AH945"/>
  <c r="AG945"/>
  <c r="AD945"/>
  <c r="AC945"/>
  <c r="K945"/>
  <c r="G945"/>
  <c r="E945"/>
  <c r="C945"/>
  <c r="AH944"/>
  <c r="AG944"/>
  <c r="AD944"/>
  <c r="AC944"/>
  <c r="K944"/>
  <c r="G944"/>
  <c r="E944"/>
  <c r="C944"/>
  <c r="U944" s="1"/>
  <c r="F944" s="1"/>
  <c r="AH943"/>
  <c r="AG943"/>
  <c r="AD943"/>
  <c r="AC943"/>
  <c r="K943"/>
  <c r="G943"/>
  <c r="E943"/>
  <c r="C943"/>
  <c r="AH942"/>
  <c r="AG942"/>
  <c r="AD942"/>
  <c r="AC942"/>
  <c r="K942"/>
  <c r="G942"/>
  <c r="E942"/>
  <c r="C942"/>
  <c r="D942" s="1"/>
  <c r="AH941"/>
  <c r="AG941"/>
  <c r="AD941"/>
  <c r="AC941"/>
  <c r="K941"/>
  <c r="G941"/>
  <c r="E941"/>
  <c r="C941"/>
  <c r="AH940"/>
  <c r="AG940"/>
  <c r="AD940"/>
  <c r="AC940"/>
  <c r="K940"/>
  <c r="G940"/>
  <c r="E940"/>
  <c r="C940"/>
  <c r="U940" s="1"/>
  <c r="F940" s="1"/>
  <c r="AH939"/>
  <c r="AG939"/>
  <c r="AD939"/>
  <c r="AC939"/>
  <c r="K939"/>
  <c r="G939"/>
  <c r="E939"/>
  <c r="C939"/>
  <c r="N25" i="23" s="1"/>
  <c r="AH938" i="18"/>
  <c r="AG938"/>
  <c r="H938" s="1"/>
  <c r="AD938"/>
  <c r="AC938"/>
  <c r="K938"/>
  <c r="G938"/>
  <c r="E938"/>
  <c r="C938"/>
  <c r="D938" s="1"/>
  <c r="AH937"/>
  <c r="AG937"/>
  <c r="AD937"/>
  <c r="AC937"/>
  <c r="K937"/>
  <c r="G937"/>
  <c r="E937"/>
  <c r="C937"/>
  <c r="AH936"/>
  <c r="AG936"/>
  <c r="AD936"/>
  <c r="AC936"/>
  <c r="K936"/>
  <c r="H936"/>
  <c r="G936"/>
  <c r="E936"/>
  <c r="C936"/>
  <c r="N37" i="23" s="1"/>
  <c r="AH935" i="18"/>
  <c r="AG935"/>
  <c r="AD935"/>
  <c r="AC935"/>
  <c r="K935"/>
  <c r="G935"/>
  <c r="E935"/>
  <c r="C935"/>
  <c r="AH934"/>
  <c r="AG934"/>
  <c r="AD934"/>
  <c r="AC934"/>
  <c r="K934"/>
  <c r="G934"/>
  <c r="E934"/>
  <c r="C934"/>
  <c r="D934" s="1"/>
  <c r="AH933"/>
  <c r="AG933"/>
  <c r="AD933"/>
  <c r="AC933"/>
  <c r="K933"/>
  <c r="G933"/>
  <c r="E933"/>
  <c r="C933"/>
  <c r="AH932"/>
  <c r="AG932"/>
  <c r="AD932"/>
  <c r="AC932"/>
  <c r="K932"/>
  <c r="G932"/>
  <c r="E932"/>
  <c r="C932"/>
  <c r="AH931"/>
  <c r="AG931"/>
  <c r="AD931"/>
  <c r="AC931"/>
  <c r="K931"/>
  <c r="G931"/>
  <c r="E931"/>
  <c r="C931"/>
  <c r="AH930"/>
  <c r="AG930"/>
  <c r="AD930"/>
  <c r="AC930"/>
  <c r="K930"/>
  <c r="G930"/>
  <c r="E930"/>
  <c r="C930"/>
  <c r="D930" s="1"/>
  <c r="AH929"/>
  <c r="AG929"/>
  <c r="AD929"/>
  <c r="AC929"/>
  <c r="K929"/>
  <c r="G929"/>
  <c r="E929"/>
  <c r="C929"/>
  <c r="AH928"/>
  <c r="AG928"/>
  <c r="AD928"/>
  <c r="AC928"/>
  <c r="K928"/>
  <c r="G928"/>
  <c r="E928"/>
  <c r="C928"/>
  <c r="U928" s="1"/>
  <c r="F928" s="1"/>
  <c r="AH927"/>
  <c r="AG927"/>
  <c r="AD927"/>
  <c r="AC927"/>
  <c r="K927"/>
  <c r="G927"/>
  <c r="E927"/>
  <c r="C927"/>
  <c r="AH926"/>
  <c r="AG926"/>
  <c r="AD926"/>
  <c r="AC926"/>
  <c r="K926"/>
  <c r="G926"/>
  <c r="E926"/>
  <c r="C926"/>
  <c r="D926" s="1"/>
  <c r="AH925"/>
  <c r="AG925"/>
  <c r="AD925"/>
  <c r="AC925"/>
  <c r="K925"/>
  <c r="G925"/>
  <c r="E925"/>
  <c r="C925"/>
  <c r="AH924"/>
  <c r="AG924"/>
  <c r="AD924"/>
  <c r="AC924"/>
  <c r="K924"/>
  <c r="G924"/>
  <c r="E924"/>
  <c r="S103" i="24" s="1"/>
  <c r="C924" i="18"/>
  <c r="U924" s="1"/>
  <c r="F924" s="1"/>
  <c r="AH923"/>
  <c r="AG923"/>
  <c r="AD923"/>
  <c r="AC923"/>
  <c r="K923"/>
  <c r="G923"/>
  <c r="E923"/>
  <c r="C923"/>
  <c r="AH922"/>
  <c r="AG922"/>
  <c r="AD922"/>
  <c r="AC922"/>
  <c r="K922"/>
  <c r="H922"/>
  <c r="G922"/>
  <c r="E922"/>
  <c r="C922"/>
  <c r="AH921"/>
  <c r="AG921"/>
  <c r="AD921"/>
  <c r="AC921"/>
  <c r="K921"/>
  <c r="G921"/>
  <c r="E921"/>
  <c r="C921"/>
  <c r="AH920"/>
  <c r="H920" s="1"/>
  <c r="AG920"/>
  <c r="AD920"/>
  <c r="AC920"/>
  <c r="K920"/>
  <c r="G920"/>
  <c r="E920"/>
  <c r="C920"/>
  <c r="U920" s="1"/>
  <c r="F920" s="1"/>
  <c r="AH919"/>
  <c r="H919" s="1"/>
  <c r="AG919"/>
  <c r="AD919"/>
  <c r="AC919"/>
  <c r="K919"/>
  <c r="G919"/>
  <c r="E919"/>
  <c r="C919"/>
  <c r="AH918"/>
  <c r="AG918"/>
  <c r="AD918"/>
  <c r="AC918"/>
  <c r="K918"/>
  <c r="G918"/>
  <c r="E918"/>
  <c r="C918"/>
  <c r="D918" s="1"/>
  <c r="AH917"/>
  <c r="AG917"/>
  <c r="AD917"/>
  <c r="AC917"/>
  <c r="K917"/>
  <c r="G917"/>
  <c r="E917"/>
  <c r="C917"/>
  <c r="AH916"/>
  <c r="AG916"/>
  <c r="AD916"/>
  <c r="AC916"/>
  <c r="K916"/>
  <c r="G916"/>
  <c r="E916"/>
  <c r="S106" i="24" s="1"/>
  <c r="C916" i="18"/>
  <c r="U916" s="1"/>
  <c r="F916" s="1"/>
  <c r="AH915"/>
  <c r="H915" s="1"/>
  <c r="AG915"/>
  <c r="AD915"/>
  <c r="AC915"/>
  <c r="K915"/>
  <c r="G915"/>
  <c r="E915"/>
  <c r="C915"/>
  <c r="AH914"/>
  <c r="AG914"/>
  <c r="AD914"/>
  <c r="AC914"/>
  <c r="K914"/>
  <c r="G914"/>
  <c r="E914"/>
  <c r="S107" i="24" s="1"/>
  <c r="C914" i="18"/>
  <c r="D914" s="1"/>
  <c r="T107" i="24" s="1"/>
  <c r="AH913" i="18"/>
  <c r="AG913"/>
  <c r="AD913"/>
  <c r="AC913"/>
  <c r="K913"/>
  <c r="G913"/>
  <c r="E913"/>
  <c r="C913"/>
  <c r="AH912"/>
  <c r="AG912"/>
  <c r="AD912"/>
  <c r="AC912"/>
  <c r="K912"/>
  <c r="G912"/>
  <c r="E912"/>
  <c r="C912"/>
  <c r="U912" s="1"/>
  <c r="F912" s="1"/>
  <c r="AH911"/>
  <c r="H911" s="1"/>
  <c r="AG911"/>
  <c r="AD911"/>
  <c r="AC911"/>
  <c r="K911"/>
  <c r="G911"/>
  <c r="E911"/>
  <c r="C911"/>
  <c r="AH910"/>
  <c r="AG910"/>
  <c r="AD910"/>
  <c r="AC910"/>
  <c r="K910"/>
  <c r="G910"/>
  <c r="E910"/>
  <c r="C910"/>
  <c r="AH909"/>
  <c r="AG909"/>
  <c r="AD909"/>
  <c r="AC909"/>
  <c r="K909"/>
  <c r="G909"/>
  <c r="E909"/>
  <c r="C909"/>
  <c r="AH908"/>
  <c r="AG908"/>
  <c r="AD908"/>
  <c r="AC908"/>
  <c r="K908"/>
  <c r="G908"/>
  <c r="E908"/>
  <c r="C908"/>
  <c r="U908" s="1"/>
  <c r="F908" s="1"/>
  <c r="AH907"/>
  <c r="AG907"/>
  <c r="AD907"/>
  <c r="AC907"/>
  <c r="K907"/>
  <c r="G907"/>
  <c r="E907"/>
  <c r="C907"/>
  <c r="AH906"/>
  <c r="H906" s="1"/>
  <c r="AG906"/>
  <c r="AD906"/>
  <c r="AC906"/>
  <c r="K906"/>
  <c r="G906"/>
  <c r="E906"/>
  <c r="C906"/>
  <c r="D906" s="1"/>
  <c r="AH905"/>
  <c r="AG905"/>
  <c r="AD905"/>
  <c r="AC905"/>
  <c r="K905"/>
  <c r="G905"/>
  <c r="E905"/>
  <c r="C905"/>
  <c r="AH904"/>
  <c r="AG904"/>
  <c r="AD904"/>
  <c r="AC904"/>
  <c r="K904"/>
  <c r="G904"/>
  <c r="E904"/>
  <c r="C904"/>
  <c r="U904" s="1"/>
  <c r="F904" s="1"/>
  <c r="AH903"/>
  <c r="AG903"/>
  <c r="AD903"/>
  <c r="AC903"/>
  <c r="K903"/>
  <c r="G903"/>
  <c r="E903"/>
  <c r="C903"/>
  <c r="AH902"/>
  <c r="AG902"/>
  <c r="AD902"/>
  <c r="AC902"/>
  <c r="K902"/>
  <c r="G902"/>
  <c r="E902"/>
  <c r="C902"/>
  <c r="AH901"/>
  <c r="AG901"/>
  <c r="AD901"/>
  <c r="AC901"/>
  <c r="K901"/>
  <c r="G901"/>
  <c r="E901"/>
  <c r="C901"/>
  <c r="AH900"/>
  <c r="AG900"/>
  <c r="AD900"/>
  <c r="AC900"/>
  <c r="K900"/>
  <c r="G900"/>
  <c r="E900"/>
  <c r="C900"/>
  <c r="U900" s="1"/>
  <c r="F900" s="1"/>
  <c r="AH899"/>
  <c r="AG899"/>
  <c r="AD899"/>
  <c r="AC899"/>
  <c r="K899"/>
  <c r="G899"/>
  <c r="E899"/>
  <c r="C899"/>
  <c r="U899" s="1"/>
  <c r="F899" s="1"/>
  <c r="AH898"/>
  <c r="AG898"/>
  <c r="AD898"/>
  <c r="AC898"/>
  <c r="K898"/>
  <c r="G898"/>
  <c r="E898"/>
  <c r="C898"/>
  <c r="AH897"/>
  <c r="AG897"/>
  <c r="AD897"/>
  <c r="AC897"/>
  <c r="K897"/>
  <c r="G897"/>
  <c r="E897"/>
  <c r="C897"/>
  <c r="AH896"/>
  <c r="AG896"/>
  <c r="AD896"/>
  <c r="AC896"/>
  <c r="K896"/>
  <c r="G896"/>
  <c r="E896"/>
  <c r="C896"/>
  <c r="AH895"/>
  <c r="AG895"/>
  <c r="AD895"/>
  <c r="AC895"/>
  <c r="K895"/>
  <c r="G895"/>
  <c r="E895"/>
  <c r="C895"/>
  <c r="U895" s="1"/>
  <c r="F895" s="1"/>
  <c r="AH894"/>
  <c r="AG894"/>
  <c r="AD894"/>
  <c r="AC894"/>
  <c r="K894"/>
  <c r="G894"/>
  <c r="E894"/>
  <c r="S108" i="24" s="1"/>
  <c r="C894" i="18"/>
  <c r="AH893"/>
  <c r="AG893"/>
  <c r="AD893"/>
  <c r="AC893"/>
  <c r="K893"/>
  <c r="G893"/>
  <c r="E893"/>
  <c r="C893"/>
  <c r="U893" s="1"/>
  <c r="F893" s="1"/>
  <c r="AH892"/>
  <c r="AG892"/>
  <c r="AD892"/>
  <c r="AC892"/>
  <c r="K892"/>
  <c r="G892"/>
  <c r="E892"/>
  <c r="S109" i="24" s="1"/>
  <c r="C892" i="18"/>
  <c r="AH891"/>
  <c r="AG891"/>
  <c r="AD891"/>
  <c r="AC891"/>
  <c r="K891"/>
  <c r="G891"/>
  <c r="E891"/>
  <c r="C891"/>
  <c r="AH890"/>
  <c r="AG890"/>
  <c r="AD890"/>
  <c r="AC890"/>
  <c r="K890"/>
  <c r="H890"/>
  <c r="G890"/>
  <c r="E890"/>
  <c r="C890"/>
  <c r="AH889"/>
  <c r="AG889"/>
  <c r="AD889"/>
  <c r="AC889"/>
  <c r="K889"/>
  <c r="G889"/>
  <c r="E889"/>
  <c r="C889"/>
  <c r="U889" s="1"/>
  <c r="F889" s="1"/>
  <c r="AH888"/>
  <c r="AG888"/>
  <c r="AD888"/>
  <c r="AC888"/>
  <c r="K888"/>
  <c r="G888"/>
  <c r="E888"/>
  <c r="C888"/>
  <c r="AH887"/>
  <c r="AG887"/>
  <c r="AD887"/>
  <c r="AC887"/>
  <c r="K887"/>
  <c r="G887"/>
  <c r="E887"/>
  <c r="C887"/>
  <c r="U887" s="1"/>
  <c r="F887" s="1"/>
  <c r="AH886"/>
  <c r="AG886"/>
  <c r="AD886"/>
  <c r="AC886"/>
  <c r="K886"/>
  <c r="G886"/>
  <c r="E886"/>
  <c r="C886"/>
  <c r="AH885"/>
  <c r="AG885"/>
  <c r="AD885"/>
  <c r="AC885"/>
  <c r="K885"/>
  <c r="G885"/>
  <c r="E885"/>
  <c r="C885"/>
  <c r="U885" s="1"/>
  <c r="F885" s="1"/>
  <c r="AH884"/>
  <c r="AG884"/>
  <c r="AD884"/>
  <c r="AC884"/>
  <c r="K884"/>
  <c r="G884"/>
  <c r="E884"/>
  <c r="C884"/>
  <c r="AH883"/>
  <c r="AG883"/>
  <c r="AD883"/>
  <c r="AC883"/>
  <c r="K883"/>
  <c r="G883"/>
  <c r="E883"/>
  <c r="C883"/>
  <c r="U883" s="1"/>
  <c r="F883" s="1"/>
  <c r="AH882"/>
  <c r="AG882"/>
  <c r="AD882"/>
  <c r="AC882"/>
  <c r="K882"/>
  <c r="G882"/>
  <c r="E882"/>
  <c r="C882"/>
  <c r="AH881"/>
  <c r="AG881"/>
  <c r="AD881"/>
  <c r="AC881"/>
  <c r="K881"/>
  <c r="G881"/>
  <c r="E881"/>
  <c r="C881"/>
  <c r="U881" s="1"/>
  <c r="F881" s="1"/>
  <c r="AH880"/>
  <c r="AG880"/>
  <c r="AD880"/>
  <c r="AC880"/>
  <c r="K880"/>
  <c r="G880"/>
  <c r="E880"/>
  <c r="C880"/>
  <c r="AH879"/>
  <c r="AG879"/>
  <c r="AD879"/>
  <c r="AC879"/>
  <c r="K879"/>
  <c r="G879"/>
  <c r="E879"/>
  <c r="C879"/>
  <c r="U879" s="1"/>
  <c r="F879" s="1"/>
  <c r="AH878"/>
  <c r="AG878"/>
  <c r="AD878"/>
  <c r="AC878"/>
  <c r="K878"/>
  <c r="G878"/>
  <c r="E878"/>
  <c r="C878"/>
  <c r="AH877"/>
  <c r="AG877"/>
  <c r="AD877"/>
  <c r="AC877"/>
  <c r="K877"/>
  <c r="G877"/>
  <c r="E877"/>
  <c r="C877"/>
  <c r="U877" s="1"/>
  <c r="F877" s="1"/>
  <c r="AH876"/>
  <c r="AG876"/>
  <c r="AD876"/>
  <c r="AC876"/>
  <c r="K876"/>
  <c r="G876"/>
  <c r="E876"/>
  <c r="C876"/>
  <c r="AH875"/>
  <c r="AG875"/>
  <c r="AD875"/>
  <c r="AC875"/>
  <c r="K875"/>
  <c r="G875"/>
  <c r="E875"/>
  <c r="C875"/>
  <c r="U875" s="1"/>
  <c r="F875" s="1"/>
  <c r="AH874"/>
  <c r="AG874"/>
  <c r="AD874"/>
  <c r="AC874"/>
  <c r="K874"/>
  <c r="H874"/>
  <c r="G874"/>
  <c r="E874"/>
  <c r="C874"/>
  <c r="AH873"/>
  <c r="AG873"/>
  <c r="AD873"/>
  <c r="AC873"/>
  <c r="K873"/>
  <c r="G873"/>
  <c r="E873"/>
  <c r="C873"/>
  <c r="D873" s="1"/>
  <c r="AH872"/>
  <c r="AG872"/>
  <c r="AD872"/>
  <c r="AC872"/>
  <c r="K872"/>
  <c r="G872"/>
  <c r="E872"/>
  <c r="C872"/>
  <c r="AH871"/>
  <c r="AG871"/>
  <c r="AD871"/>
  <c r="AC871"/>
  <c r="K871"/>
  <c r="G871"/>
  <c r="E871"/>
  <c r="C871"/>
  <c r="U871" s="1"/>
  <c r="F871" s="1"/>
  <c r="AH870"/>
  <c r="AG870"/>
  <c r="AD870"/>
  <c r="AC870"/>
  <c r="K870"/>
  <c r="G870"/>
  <c r="E870"/>
  <c r="S110" i="24" s="1"/>
  <c r="C870" i="18"/>
  <c r="AH869"/>
  <c r="AG869"/>
  <c r="AD869"/>
  <c r="AC869"/>
  <c r="K869"/>
  <c r="G869"/>
  <c r="E869"/>
  <c r="S111" i="24" s="1"/>
  <c r="C869" i="18"/>
  <c r="U869" s="1"/>
  <c r="F869" s="1"/>
  <c r="AH868"/>
  <c r="AG868"/>
  <c r="AD868"/>
  <c r="AC868"/>
  <c r="K868"/>
  <c r="G868"/>
  <c r="E868"/>
  <c r="C868"/>
  <c r="AH867"/>
  <c r="AG867"/>
  <c r="AD867"/>
  <c r="AC867"/>
  <c r="K867"/>
  <c r="G867"/>
  <c r="E867"/>
  <c r="S112" i="24" s="1"/>
  <c r="C867" i="18"/>
  <c r="U867" s="1"/>
  <c r="F867" s="1"/>
  <c r="AH866"/>
  <c r="AG866"/>
  <c r="AD866"/>
  <c r="AC866"/>
  <c r="K866"/>
  <c r="G866"/>
  <c r="E866"/>
  <c r="C866"/>
  <c r="AH865"/>
  <c r="AG865"/>
  <c r="AD865"/>
  <c r="AC865"/>
  <c r="K865"/>
  <c r="G865"/>
  <c r="E865"/>
  <c r="C865"/>
  <c r="D865" s="1"/>
  <c r="AH864"/>
  <c r="AG864"/>
  <c r="AD864"/>
  <c r="AC864"/>
  <c r="K864"/>
  <c r="G864"/>
  <c r="E864"/>
  <c r="C864"/>
  <c r="AH863"/>
  <c r="AG863"/>
  <c r="AD863"/>
  <c r="AC863"/>
  <c r="K863"/>
  <c r="H863"/>
  <c r="G863"/>
  <c r="E863"/>
  <c r="C863"/>
  <c r="U863" s="1"/>
  <c r="F863" s="1"/>
  <c r="AH862"/>
  <c r="AG862"/>
  <c r="AD862"/>
  <c r="AC862"/>
  <c r="K862"/>
  <c r="G862"/>
  <c r="E862"/>
  <c r="C862"/>
  <c r="AH861"/>
  <c r="AG861"/>
  <c r="AD861"/>
  <c r="AC861"/>
  <c r="K861"/>
  <c r="G861"/>
  <c r="E861"/>
  <c r="C861"/>
  <c r="U861" s="1"/>
  <c r="F861" s="1"/>
  <c r="AH860"/>
  <c r="H860" s="1"/>
  <c r="AG860"/>
  <c r="AD860"/>
  <c r="AC860"/>
  <c r="K860"/>
  <c r="G860"/>
  <c r="E860"/>
  <c r="C860"/>
  <c r="AH859"/>
  <c r="H859" s="1"/>
  <c r="AG859"/>
  <c r="AD859"/>
  <c r="AC859"/>
  <c r="K859"/>
  <c r="G859"/>
  <c r="E859"/>
  <c r="C859"/>
  <c r="U859" s="1"/>
  <c r="F859" s="1"/>
  <c r="AH858"/>
  <c r="H858" s="1"/>
  <c r="AG858"/>
  <c r="AD858"/>
  <c r="AC858"/>
  <c r="K858"/>
  <c r="G858"/>
  <c r="E858"/>
  <c r="C858"/>
  <c r="AH857"/>
  <c r="AG857"/>
  <c r="AD857"/>
  <c r="AC857"/>
  <c r="K857"/>
  <c r="G857"/>
  <c r="E857"/>
  <c r="C857"/>
  <c r="D857" s="1"/>
  <c r="AH856"/>
  <c r="H856" s="1"/>
  <c r="AG856"/>
  <c r="AD856"/>
  <c r="AC856"/>
  <c r="K856"/>
  <c r="G856"/>
  <c r="E856"/>
  <c r="S115" i="24" s="1"/>
  <c r="C856" i="18"/>
  <c r="AH855"/>
  <c r="H855" s="1"/>
  <c r="AG855"/>
  <c r="AD855"/>
  <c r="AC855"/>
  <c r="K855"/>
  <c r="G855"/>
  <c r="E855"/>
  <c r="S116" i="24" s="1"/>
  <c r="C855" i="18"/>
  <c r="U855" s="1"/>
  <c r="F855" s="1"/>
  <c r="AH854"/>
  <c r="AG854"/>
  <c r="AD854"/>
  <c r="AC854"/>
  <c r="K854"/>
  <c r="G854"/>
  <c r="E854"/>
  <c r="C854"/>
  <c r="AH853"/>
  <c r="AG853"/>
  <c r="AD853"/>
  <c r="AC853"/>
  <c r="K853"/>
  <c r="G853"/>
  <c r="E853"/>
  <c r="C853"/>
  <c r="U853" s="1"/>
  <c r="F853" s="1"/>
  <c r="AH852"/>
  <c r="H852" s="1"/>
  <c r="AG852"/>
  <c r="AD852"/>
  <c r="AC852"/>
  <c r="K852"/>
  <c r="G852"/>
  <c r="E852"/>
  <c r="S117" i="24" s="1"/>
  <c r="C852" i="18"/>
  <c r="AH851"/>
  <c r="AG851"/>
  <c r="AD851"/>
  <c r="AC851"/>
  <c r="K851"/>
  <c r="G851"/>
  <c r="E851"/>
  <c r="C851"/>
  <c r="U851" s="1"/>
  <c r="F851" s="1"/>
  <c r="AH850"/>
  <c r="AG850"/>
  <c r="AD850"/>
  <c r="AC850"/>
  <c r="K850"/>
  <c r="G850"/>
  <c r="E850"/>
  <c r="C850"/>
  <c r="AH849"/>
  <c r="AG849"/>
  <c r="AD849"/>
  <c r="AC849"/>
  <c r="K849"/>
  <c r="G849"/>
  <c r="E849"/>
  <c r="C849"/>
  <c r="D849" s="1"/>
  <c r="AH848"/>
  <c r="AG848"/>
  <c r="AD848"/>
  <c r="AC848"/>
  <c r="K848"/>
  <c r="G848"/>
  <c r="E848"/>
  <c r="C848"/>
  <c r="AH847"/>
  <c r="AG847"/>
  <c r="AD847"/>
  <c r="AC847"/>
  <c r="K847"/>
  <c r="G847"/>
  <c r="E847"/>
  <c r="S118" i="24" s="1"/>
  <c r="C847" i="18"/>
  <c r="U847" s="1"/>
  <c r="F847" s="1"/>
  <c r="AH846"/>
  <c r="AG846"/>
  <c r="AD846"/>
  <c r="AC846"/>
  <c r="K846"/>
  <c r="G846"/>
  <c r="E846"/>
  <c r="C846"/>
  <c r="AH845"/>
  <c r="AG845"/>
  <c r="AD845"/>
  <c r="AC845"/>
  <c r="K845"/>
  <c r="G845"/>
  <c r="E845"/>
  <c r="C845"/>
  <c r="U845" s="1"/>
  <c r="F845" s="1"/>
  <c r="AH844"/>
  <c r="AG844"/>
  <c r="AD844"/>
  <c r="AC844"/>
  <c r="K844"/>
  <c r="G844"/>
  <c r="E844"/>
  <c r="C844"/>
  <c r="N24" i="23" s="1"/>
  <c r="AH843" i="18"/>
  <c r="AG843"/>
  <c r="AD843"/>
  <c r="AC843"/>
  <c r="K843"/>
  <c r="H843"/>
  <c r="G843"/>
  <c r="E843"/>
  <c r="C843"/>
  <c r="U843" s="1"/>
  <c r="F843" s="1"/>
  <c r="AH842"/>
  <c r="AG842"/>
  <c r="AD842"/>
  <c r="AC842"/>
  <c r="K842"/>
  <c r="G842"/>
  <c r="E842"/>
  <c r="S119" i="24" s="1"/>
  <c r="C842" i="18"/>
  <c r="AH841"/>
  <c r="AG841"/>
  <c r="AD841"/>
  <c r="AC841"/>
  <c r="K841"/>
  <c r="G841"/>
  <c r="E841"/>
  <c r="C841"/>
  <c r="D841" s="1"/>
  <c r="AH840"/>
  <c r="AG840"/>
  <c r="AD840"/>
  <c r="AC840"/>
  <c r="K840"/>
  <c r="G840"/>
  <c r="E840"/>
  <c r="C840"/>
  <c r="AH839"/>
  <c r="AG839"/>
  <c r="AD839"/>
  <c r="AC839"/>
  <c r="K839"/>
  <c r="G839"/>
  <c r="E839"/>
  <c r="S120" i="24" s="1"/>
  <c r="C839" i="18"/>
  <c r="U839" s="1"/>
  <c r="F839" s="1"/>
  <c r="AH838"/>
  <c r="AG838"/>
  <c r="AD838"/>
  <c r="AC838"/>
  <c r="K838"/>
  <c r="G838"/>
  <c r="E838"/>
  <c r="C838"/>
  <c r="AH837"/>
  <c r="AG837"/>
  <c r="AD837"/>
  <c r="AC837"/>
  <c r="K837"/>
  <c r="G837"/>
  <c r="E837"/>
  <c r="C837"/>
  <c r="U837" s="1"/>
  <c r="F837" s="1"/>
  <c r="AH836"/>
  <c r="AG836"/>
  <c r="AD836"/>
  <c r="AC836"/>
  <c r="K836"/>
  <c r="G836"/>
  <c r="E836"/>
  <c r="C836"/>
  <c r="AH835"/>
  <c r="AG835"/>
  <c r="AD835"/>
  <c r="AC835"/>
  <c r="K835"/>
  <c r="G835"/>
  <c r="E835"/>
  <c r="C835"/>
  <c r="U835" s="1"/>
  <c r="F835" s="1"/>
  <c r="AH834"/>
  <c r="AG834"/>
  <c r="AD834"/>
  <c r="AC834"/>
  <c r="K834"/>
  <c r="G834"/>
  <c r="E834"/>
  <c r="C834"/>
  <c r="AH833"/>
  <c r="AG833"/>
  <c r="AD833"/>
  <c r="AC833"/>
  <c r="K833"/>
  <c r="G833"/>
  <c r="E833"/>
  <c r="C833"/>
  <c r="D833" s="1"/>
  <c r="AH832"/>
  <c r="AG832"/>
  <c r="AD832"/>
  <c r="AC832"/>
  <c r="K832"/>
  <c r="G832"/>
  <c r="E832"/>
  <c r="C832"/>
  <c r="AH831"/>
  <c r="AG831"/>
  <c r="AD831"/>
  <c r="AC831"/>
  <c r="K831"/>
  <c r="H831"/>
  <c r="G831"/>
  <c r="E831"/>
  <c r="S121" i="24" s="1"/>
  <c r="C831" i="18"/>
  <c r="U831" s="1"/>
  <c r="F831" s="1"/>
  <c r="AH830"/>
  <c r="AG830"/>
  <c r="AD830"/>
  <c r="AC830"/>
  <c r="K830"/>
  <c r="G830"/>
  <c r="E830"/>
  <c r="C830"/>
  <c r="AH829"/>
  <c r="AG829"/>
  <c r="H829" s="1"/>
  <c r="AD829"/>
  <c r="AC829"/>
  <c r="K829"/>
  <c r="G829"/>
  <c r="E829"/>
  <c r="C829"/>
  <c r="U829" s="1"/>
  <c r="F829" s="1"/>
  <c r="AH828"/>
  <c r="AG828"/>
  <c r="AD828"/>
  <c r="AC828"/>
  <c r="K828"/>
  <c r="H828"/>
  <c r="G828"/>
  <c r="E828"/>
  <c r="C828"/>
  <c r="AH827"/>
  <c r="H827" s="1"/>
  <c r="AG827"/>
  <c r="AD827"/>
  <c r="AC827"/>
  <c r="K827"/>
  <c r="G827"/>
  <c r="E827"/>
  <c r="C827"/>
  <c r="U827" s="1"/>
  <c r="F827" s="1"/>
  <c r="AH826"/>
  <c r="H826" s="1"/>
  <c r="AG826"/>
  <c r="AD826"/>
  <c r="AC826"/>
  <c r="K826"/>
  <c r="G826"/>
  <c r="E826"/>
  <c r="S122" i="24" s="1"/>
  <c r="C826" i="18"/>
  <c r="AH825"/>
  <c r="AG825"/>
  <c r="AD825"/>
  <c r="AC825"/>
  <c r="K825"/>
  <c r="G825"/>
  <c r="E825"/>
  <c r="C825"/>
  <c r="D825" s="1"/>
  <c r="AH824"/>
  <c r="H824" s="1"/>
  <c r="AG824"/>
  <c r="AD824"/>
  <c r="AC824"/>
  <c r="K824"/>
  <c r="G824"/>
  <c r="E824"/>
  <c r="S123" i="24" s="1"/>
  <c r="C824" i="18"/>
  <c r="AH823"/>
  <c r="H823" s="1"/>
  <c r="AG823"/>
  <c r="AD823"/>
  <c r="AC823"/>
  <c r="K823"/>
  <c r="G823"/>
  <c r="E823"/>
  <c r="C823"/>
  <c r="U823" s="1"/>
  <c r="F823" s="1"/>
  <c r="AH822"/>
  <c r="AG822"/>
  <c r="AD822"/>
  <c r="AC822"/>
  <c r="K822"/>
  <c r="G822"/>
  <c r="E822"/>
  <c r="S124" i="24" s="1"/>
  <c r="C822" i="18"/>
  <c r="AH821"/>
  <c r="AG821"/>
  <c r="AD821"/>
  <c r="AC821"/>
  <c r="K821"/>
  <c r="G821"/>
  <c r="E821"/>
  <c r="S125" i="24" s="1"/>
  <c r="C821" i="18"/>
  <c r="U821" s="1"/>
  <c r="F821" s="1"/>
  <c r="AH820"/>
  <c r="H820" s="1"/>
  <c r="AG820"/>
  <c r="AD820"/>
  <c r="AC820"/>
  <c r="K820"/>
  <c r="G820"/>
  <c r="E820"/>
  <c r="C820"/>
  <c r="AH819"/>
  <c r="AG819"/>
  <c r="AD819"/>
  <c r="AC819"/>
  <c r="K819"/>
  <c r="G819"/>
  <c r="E819"/>
  <c r="C819"/>
  <c r="U819" s="1"/>
  <c r="F819" s="1"/>
  <c r="AH818"/>
  <c r="AG818"/>
  <c r="AD818"/>
  <c r="AC818"/>
  <c r="K818"/>
  <c r="G818"/>
  <c r="E818"/>
  <c r="C818"/>
  <c r="AH817"/>
  <c r="AG817"/>
  <c r="AD817"/>
  <c r="AC817"/>
  <c r="K817"/>
  <c r="G817"/>
  <c r="E817"/>
  <c r="C817"/>
  <c r="D817" s="1"/>
  <c r="AH816"/>
  <c r="AG816"/>
  <c r="AD816"/>
  <c r="AC816"/>
  <c r="K816"/>
  <c r="G816"/>
  <c r="E816"/>
  <c r="C816"/>
  <c r="AH815"/>
  <c r="AG815"/>
  <c r="AD815"/>
  <c r="AC815"/>
  <c r="K815"/>
  <c r="G815"/>
  <c r="E815"/>
  <c r="C815"/>
  <c r="N23" i="23" s="1"/>
  <c r="AH814" i="18"/>
  <c r="AG814"/>
  <c r="AD814"/>
  <c r="AC814"/>
  <c r="K814"/>
  <c r="G814"/>
  <c r="E814"/>
  <c r="C814"/>
  <c r="AH813"/>
  <c r="AG813"/>
  <c r="AD813"/>
  <c r="AC813"/>
  <c r="K813"/>
  <c r="G813"/>
  <c r="E813"/>
  <c r="C813"/>
  <c r="U813" s="1"/>
  <c r="F813" s="1"/>
  <c r="AH812"/>
  <c r="AG812"/>
  <c r="AD812"/>
  <c r="AC812"/>
  <c r="K812"/>
  <c r="G812"/>
  <c r="E812"/>
  <c r="C812"/>
  <c r="AH811"/>
  <c r="AG811"/>
  <c r="AD811"/>
  <c r="AC811"/>
  <c r="K811"/>
  <c r="H811"/>
  <c r="G811"/>
  <c r="E811"/>
  <c r="C811"/>
  <c r="U811" s="1"/>
  <c r="F811" s="1"/>
  <c r="AH810"/>
  <c r="AG810"/>
  <c r="AD810"/>
  <c r="AC810"/>
  <c r="K810"/>
  <c r="G810"/>
  <c r="E810"/>
  <c r="C810"/>
  <c r="AH809"/>
  <c r="AG809"/>
  <c r="AD809"/>
  <c r="AC809"/>
  <c r="K809"/>
  <c r="G809"/>
  <c r="E809"/>
  <c r="C809"/>
  <c r="D809" s="1"/>
  <c r="AH808"/>
  <c r="AG808"/>
  <c r="AD808"/>
  <c r="AC808"/>
  <c r="K808"/>
  <c r="G808"/>
  <c r="E808"/>
  <c r="C808"/>
  <c r="AH807"/>
  <c r="AG807"/>
  <c r="AD807"/>
  <c r="AC807"/>
  <c r="K807"/>
  <c r="H807"/>
  <c r="G807"/>
  <c r="E807"/>
  <c r="C807"/>
  <c r="U807" s="1"/>
  <c r="F807" s="1"/>
  <c r="AH806"/>
  <c r="AG806"/>
  <c r="AD806"/>
  <c r="AC806"/>
  <c r="K806"/>
  <c r="G806"/>
  <c r="E806"/>
  <c r="C806"/>
  <c r="AH805"/>
  <c r="AG805"/>
  <c r="AD805"/>
  <c r="AC805"/>
  <c r="K805"/>
  <c r="G805"/>
  <c r="E805"/>
  <c r="S126" i="24" s="1"/>
  <c r="C805" i="18"/>
  <c r="U805" s="1"/>
  <c r="F805" s="1"/>
  <c r="AH804"/>
  <c r="AG804"/>
  <c r="AD804"/>
  <c r="AC804"/>
  <c r="K804"/>
  <c r="G804"/>
  <c r="E804"/>
  <c r="C804"/>
  <c r="AH803"/>
  <c r="AG803"/>
  <c r="AD803"/>
  <c r="AC803"/>
  <c r="K803"/>
  <c r="G803"/>
  <c r="E803"/>
  <c r="C803"/>
  <c r="U803" s="1"/>
  <c r="F803" s="1"/>
  <c r="AH802"/>
  <c r="AG802"/>
  <c r="AD802"/>
  <c r="AC802"/>
  <c r="K802"/>
  <c r="G802"/>
  <c r="E802"/>
  <c r="C802"/>
  <c r="AH801"/>
  <c r="AG801"/>
  <c r="AD801"/>
  <c r="AC801"/>
  <c r="K801"/>
  <c r="G801"/>
  <c r="E801"/>
  <c r="C801"/>
  <c r="D801" s="1"/>
  <c r="AH800"/>
  <c r="AG800"/>
  <c r="AD800"/>
  <c r="AC800"/>
  <c r="K800"/>
  <c r="G800"/>
  <c r="E800"/>
  <c r="C800"/>
  <c r="AH799"/>
  <c r="AG799"/>
  <c r="AD799"/>
  <c r="AC799"/>
  <c r="K799"/>
  <c r="H799"/>
  <c r="G799"/>
  <c r="E799"/>
  <c r="C799"/>
  <c r="U799" s="1"/>
  <c r="F799" s="1"/>
  <c r="AH798"/>
  <c r="AG798"/>
  <c r="AD798"/>
  <c r="AC798"/>
  <c r="K798"/>
  <c r="G798"/>
  <c r="E798"/>
  <c r="C798"/>
  <c r="AH797"/>
  <c r="AG797"/>
  <c r="AD797"/>
  <c r="AC797"/>
  <c r="K797"/>
  <c r="G797"/>
  <c r="E797"/>
  <c r="C797"/>
  <c r="U797" s="1"/>
  <c r="F797" s="1"/>
  <c r="AH796"/>
  <c r="H796" s="1"/>
  <c r="AG796"/>
  <c r="AD796"/>
  <c r="AC796"/>
  <c r="K796"/>
  <c r="G796"/>
  <c r="E796"/>
  <c r="C796"/>
  <c r="AH795"/>
  <c r="H795" s="1"/>
  <c r="AG795"/>
  <c r="AD795"/>
  <c r="AC795"/>
  <c r="K795"/>
  <c r="G795"/>
  <c r="E795"/>
  <c r="C795"/>
  <c r="U795" s="1"/>
  <c r="F795" s="1"/>
  <c r="AH794"/>
  <c r="H794" s="1"/>
  <c r="AG794"/>
  <c r="AD794"/>
  <c r="AC794"/>
  <c r="K794"/>
  <c r="G794"/>
  <c r="E794"/>
  <c r="C794"/>
  <c r="AH793"/>
  <c r="AG793"/>
  <c r="AD793"/>
  <c r="AC793"/>
  <c r="K793"/>
  <c r="G793"/>
  <c r="E793"/>
  <c r="C793"/>
  <c r="D793" s="1"/>
  <c r="AH792"/>
  <c r="H792" s="1"/>
  <c r="AG792"/>
  <c r="AD792"/>
  <c r="AC792"/>
  <c r="K792"/>
  <c r="G792"/>
  <c r="E792"/>
  <c r="C792"/>
  <c r="AH791"/>
  <c r="H791" s="1"/>
  <c r="AG791"/>
  <c r="AD791"/>
  <c r="AC791"/>
  <c r="K791"/>
  <c r="G791"/>
  <c r="E791"/>
  <c r="S130" i="24" s="1"/>
  <c r="C791" i="18"/>
  <c r="U791" s="1"/>
  <c r="F791" s="1"/>
  <c r="AH790"/>
  <c r="AG790"/>
  <c r="AD790"/>
  <c r="AC790"/>
  <c r="K790"/>
  <c r="G790"/>
  <c r="E790"/>
  <c r="C790"/>
  <c r="AH789"/>
  <c r="AG789"/>
  <c r="AD789"/>
  <c r="AC789"/>
  <c r="K789"/>
  <c r="G789"/>
  <c r="E789"/>
  <c r="C789"/>
  <c r="U789" s="1"/>
  <c r="F789" s="1"/>
  <c r="AH788"/>
  <c r="H788" s="1"/>
  <c r="AG788"/>
  <c r="AD788"/>
  <c r="AC788"/>
  <c r="K788"/>
  <c r="G788"/>
  <c r="E788"/>
  <c r="C788"/>
  <c r="AH787"/>
  <c r="AG787"/>
  <c r="AD787"/>
  <c r="AC787"/>
  <c r="K787"/>
  <c r="H787"/>
  <c r="G787"/>
  <c r="E787"/>
  <c r="C787"/>
  <c r="U787" s="1"/>
  <c r="F787" s="1"/>
  <c r="AH786"/>
  <c r="AG786"/>
  <c r="AD786"/>
  <c r="AC786"/>
  <c r="K786"/>
  <c r="G786"/>
  <c r="E786"/>
  <c r="C786"/>
  <c r="AH785"/>
  <c r="AG785"/>
  <c r="AD785"/>
  <c r="AC785"/>
  <c r="K785"/>
  <c r="G785"/>
  <c r="E785"/>
  <c r="S131" i="24" s="1"/>
  <c r="C785" i="18"/>
  <c r="D785" s="1"/>
  <c r="T131" i="24" s="1"/>
  <c r="AH784" i="18"/>
  <c r="AG784"/>
  <c r="AD784"/>
  <c r="AC784"/>
  <c r="K784"/>
  <c r="G784"/>
  <c r="E784"/>
  <c r="S132" i="24" s="1"/>
  <c r="C784" i="18"/>
  <c r="AH783"/>
  <c r="AG783"/>
  <c r="AD783"/>
  <c r="AC783"/>
  <c r="K783"/>
  <c r="G783"/>
  <c r="E783"/>
  <c r="S133" i="24" s="1"/>
  <c r="C783" i="18"/>
  <c r="U783" s="1"/>
  <c r="F783" s="1"/>
  <c r="AH782"/>
  <c r="AG782"/>
  <c r="AD782"/>
  <c r="AC782"/>
  <c r="K782"/>
  <c r="G782"/>
  <c r="E782"/>
  <c r="C782"/>
  <c r="AH781"/>
  <c r="AG781"/>
  <c r="AD781"/>
  <c r="AC781"/>
  <c r="K781"/>
  <c r="G781"/>
  <c r="E781"/>
  <c r="C781"/>
  <c r="U781" s="1"/>
  <c r="F781" s="1"/>
  <c r="AH780"/>
  <c r="AG780"/>
  <c r="AD780"/>
  <c r="AC780"/>
  <c r="K780"/>
  <c r="G780"/>
  <c r="E780"/>
  <c r="S134" i="24" s="1"/>
  <c r="C780" i="18"/>
  <c r="AH779"/>
  <c r="AG779"/>
  <c r="AD779"/>
  <c r="AC779"/>
  <c r="K779"/>
  <c r="H779"/>
  <c r="G779"/>
  <c r="E779"/>
  <c r="C779"/>
  <c r="U779" s="1"/>
  <c r="F779" s="1"/>
  <c r="AH778"/>
  <c r="AG778"/>
  <c r="AD778"/>
  <c r="AC778"/>
  <c r="K778"/>
  <c r="G778"/>
  <c r="E778"/>
  <c r="C778"/>
  <c r="AH777"/>
  <c r="AG777"/>
  <c r="AD777"/>
  <c r="AC777"/>
  <c r="K777"/>
  <c r="G777"/>
  <c r="E777"/>
  <c r="C777"/>
  <c r="D777" s="1"/>
  <c r="AH776"/>
  <c r="AG776"/>
  <c r="AD776"/>
  <c r="AC776"/>
  <c r="K776"/>
  <c r="G776"/>
  <c r="E776"/>
  <c r="C776"/>
  <c r="AH775"/>
  <c r="AG775"/>
  <c r="AD775"/>
  <c r="AC775"/>
  <c r="K775"/>
  <c r="G775"/>
  <c r="E775"/>
  <c r="C775"/>
  <c r="U775" s="1"/>
  <c r="F775" s="1"/>
  <c r="AH774"/>
  <c r="AG774"/>
  <c r="AD774"/>
  <c r="AC774"/>
  <c r="K774"/>
  <c r="G774"/>
  <c r="E774"/>
  <c r="C774"/>
  <c r="AH773"/>
  <c r="AG773"/>
  <c r="AD773"/>
  <c r="AC773"/>
  <c r="K773"/>
  <c r="G773"/>
  <c r="E773"/>
  <c r="S135" i="24" s="1"/>
  <c r="C773" i="18"/>
  <c r="U773" s="1"/>
  <c r="F773" s="1"/>
  <c r="AH772"/>
  <c r="AG772"/>
  <c r="AD772"/>
  <c r="AC772"/>
  <c r="K772"/>
  <c r="G772"/>
  <c r="E772"/>
  <c r="C772"/>
  <c r="AH771"/>
  <c r="AG771"/>
  <c r="AD771"/>
  <c r="AC771"/>
  <c r="K771"/>
  <c r="G771"/>
  <c r="E771"/>
  <c r="C771"/>
  <c r="U771" s="1"/>
  <c r="F771" s="1"/>
  <c r="AH770"/>
  <c r="AG770"/>
  <c r="AD770"/>
  <c r="AC770"/>
  <c r="K770"/>
  <c r="G770"/>
  <c r="E770"/>
  <c r="C770"/>
  <c r="AH769"/>
  <c r="AG769"/>
  <c r="AD769"/>
  <c r="AC769"/>
  <c r="K769"/>
  <c r="G769"/>
  <c r="E769"/>
  <c r="C769"/>
  <c r="D769" s="1"/>
  <c r="AH768"/>
  <c r="AG768"/>
  <c r="AD768"/>
  <c r="AC768"/>
  <c r="K768"/>
  <c r="G768"/>
  <c r="E768"/>
  <c r="C768"/>
  <c r="AH767"/>
  <c r="AG767"/>
  <c r="AD767"/>
  <c r="AC767"/>
  <c r="K767"/>
  <c r="G767"/>
  <c r="E767"/>
  <c r="S136" i="24" s="1"/>
  <c r="C767" i="18"/>
  <c r="U767" s="1"/>
  <c r="F767" s="1"/>
  <c r="AH766"/>
  <c r="AG766"/>
  <c r="AD766"/>
  <c r="AC766"/>
  <c r="K766"/>
  <c r="H766"/>
  <c r="G766"/>
  <c r="E766"/>
  <c r="C766"/>
  <c r="AH765"/>
  <c r="AG765"/>
  <c r="AD765"/>
  <c r="AC765"/>
  <c r="K765"/>
  <c r="G765"/>
  <c r="E765"/>
  <c r="C765"/>
  <c r="U765" s="1"/>
  <c r="F765" s="1"/>
  <c r="AH764"/>
  <c r="AG764"/>
  <c r="AD764"/>
  <c r="AC764"/>
  <c r="K764"/>
  <c r="G764"/>
  <c r="E764"/>
  <c r="C764"/>
  <c r="AH763"/>
  <c r="H763" s="1"/>
  <c r="AG763"/>
  <c r="AD763"/>
  <c r="AC763"/>
  <c r="K763"/>
  <c r="G763"/>
  <c r="E763"/>
  <c r="C763"/>
  <c r="U763" s="1"/>
  <c r="F763" s="1"/>
  <c r="AH762"/>
  <c r="AG762"/>
  <c r="AD762"/>
  <c r="AC762"/>
  <c r="K762"/>
  <c r="H762"/>
  <c r="G762"/>
  <c r="E762"/>
  <c r="C762"/>
  <c r="AH761"/>
  <c r="AG761"/>
  <c r="AD761"/>
  <c r="AC761"/>
  <c r="K761"/>
  <c r="G761"/>
  <c r="E761"/>
  <c r="S137" i="24" s="1"/>
  <c r="C761" i="18"/>
  <c r="D761" s="1"/>
  <c r="AH760"/>
  <c r="AG760"/>
  <c r="AD760"/>
  <c r="AC760"/>
  <c r="K760"/>
  <c r="G760"/>
  <c r="E760"/>
  <c r="C760"/>
  <c r="AH759"/>
  <c r="AG759"/>
  <c r="AD759"/>
  <c r="AC759"/>
  <c r="K759"/>
  <c r="G759"/>
  <c r="E759"/>
  <c r="C759"/>
  <c r="U759" s="1"/>
  <c r="F759" s="1"/>
  <c r="AH758"/>
  <c r="AG758"/>
  <c r="AD758"/>
  <c r="AC758"/>
  <c r="K758"/>
  <c r="G758"/>
  <c r="E758"/>
  <c r="C758"/>
  <c r="AH757"/>
  <c r="AG757"/>
  <c r="AD757"/>
  <c r="AC757"/>
  <c r="K757"/>
  <c r="G757"/>
  <c r="E757"/>
  <c r="C757"/>
  <c r="AH756"/>
  <c r="AG756"/>
  <c r="H756" s="1"/>
  <c r="AD756"/>
  <c r="AC756"/>
  <c r="K756"/>
  <c r="G756"/>
  <c r="E756"/>
  <c r="C756"/>
  <c r="AH755"/>
  <c r="AG755"/>
  <c r="AD755"/>
  <c r="AC755"/>
  <c r="K755"/>
  <c r="H755"/>
  <c r="G755"/>
  <c r="E755"/>
  <c r="C755"/>
  <c r="U755" s="1"/>
  <c r="F755" s="1"/>
  <c r="AH754"/>
  <c r="AG754"/>
  <c r="AD754"/>
  <c r="AC754"/>
  <c r="K754"/>
  <c r="H754"/>
  <c r="G754"/>
  <c r="E754"/>
  <c r="C754"/>
  <c r="AH753"/>
  <c r="AG753"/>
  <c r="AD753"/>
  <c r="AC753"/>
  <c r="K753"/>
  <c r="G753"/>
  <c r="E753"/>
  <c r="C753"/>
  <c r="D753" s="1"/>
  <c r="AH752"/>
  <c r="AG752"/>
  <c r="AD752"/>
  <c r="AC752"/>
  <c r="K752"/>
  <c r="G752"/>
  <c r="E752"/>
  <c r="C752"/>
  <c r="AH751"/>
  <c r="AG751"/>
  <c r="AD751"/>
  <c r="AC751"/>
  <c r="K751"/>
  <c r="G751"/>
  <c r="E751"/>
  <c r="C751"/>
  <c r="U751" s="1"/>
  <c r="F751" s="1"/>
  <c r="AH750"/>
  <c r="H750" s="1"/>
  <c r="AG750"/>
  <c r="AD750"/>
  <c r="AC750"/>
  <c r="K750"/>
  <c r="G750"/>
  <c r="E750"/>
  <c r="C750"/>
  <c r="AH749"/>
  <c r="AG749"/>
  <c r="AD749"/>
  <c r="AC749"/>
  <c r="K749"/>
  <c r="G749"/>
  <c r="E749"/>
  <c r="C749"/>
  <c r="D749" s="1"/>
  <c r="AH748"/>
  <c r="AG748"/>
  <c r="AD748"/>
  <c r="AC748"/>
  <c r="K748"/>
  <c r="G748"/>
  <c r="E748"/>
  <c r="C748"/>
  <c r="AH747"/>
  <c r="AG747"/>
  <c r="AD747"/>
  <c r="AC747"/>
  <c r="K747"/>
  <c r="G747"/>
  <c r="E747"/>
  <c r="C747"/>
  <c r="U747" s="1"/>
  <c r="F747" s="1"/>
  <c r="AH746"/>
  <c r="AG746"/>
  <c r="AD746"/>
  <c r="AC746"/>
  <c r="K746"/>
  <c r="H746"/>
  <c r="G746"/>
  <c r="E746"/>
  <c r="C746"/>
  <c r="AH745"/>
  <c r="AG745"/>
  <c r="AD745"/>
  <c r="AC745"/>
  <c r="K745"/>
  <c r="G745"/>
  <c r="E745"/>
  <c r="C745"/>
  <c r="D745" s="1"/>
  <c r="AH744"/>
  <c r="AG744"/>
  <c r="AD744"/>
  <c r="AC744"/>
  <c r="K744"/>
  <c r="G744"/>
  <c r="E744"/>
  <c r="C744"/>
  <c r="AH743"/>
  <c r="AG743"/>
  <c r="AD743"/>
  <c r="AC743"/>
  <c r="K743"/>
  <c r="G743"/>
  <c r="E743"/>
  <c r="C743"/>
  <c r="U743" s="1"/>
  <c r="F743" s="1"/>
  <c r="AH742"/>
  <c r="AG742"/>
  <c r="AD742"/>
  <c r="AC742"/>
  <c r="K742"/>
  <c r="H742"/>
  <c r="G742"/>
  <c r="E742"/>
  <c r="C742"/>
  <c r="AH741"/>
  <c r="AG741"/>
  <c r="AD741"/>
  <c r="AC741"/>
  <c r="K741"/>
  <c r="G741"/>
  <c r="E741"/>
  <c r="C741"/>
  <c r="D741" s="1"/>
  <c r="AH740"/>
  <c r="AG740"/>
  <c r="H740" s="1"/>
  <c r="AD740"/>
  <c r="AC740"/>
  <c r="K740"/>
  <c r="G740"/>
  <c r="E740"/>
  <c r="C740"/>
  <c r="AH739"/>
  <c r="AG739"/>
  <c r="AD739"/>
  <c r="AC739"/>
  <c r="K739"/>
  <c r="H739"/>
  <c r="G739"/>
  <c r="E739"/>
  <c r="C739"/>
  <c r="U739" s="1"/>
  <c r="F739" s="1"/>
  <c r="AH738"/>
  <c r="H738" s="1"/>
  <c r="AG738"/>
  <c r="AD738"/>
  <c r="AC738"/>
  <c r="K738"/>
  <c r="G738"/>
  <c r="E738"/>
  <c r="C738"/>
  <c r="AH737"/>
  <c r="AG737"/>
  <c r="AD737"/>
  <c r="AC737"/>
  <c r="K737"/>
  <c r="G737"/>
  <c r="E737"/>
  <c r="C737"/>
  <c r="D737" s="1"/>
  <c r="AH736"/>
  <c r="AG736"/>
  <c r="AD736"/>
  <c r="AC736"/>
  <c r="K736"/>
  <c r="G736"/>
  <c r="E736"/>
  <c r="C736"/>
  <c r="AH735"/>
  <c r="AG735"/>
  <c r="AD735"/>
  <c r="AC735"/>
  <c r="K735"/>
  <c r="G735"/>
  <c r="E735"/>
  <c r="C735"/>
  <c r="U735" s="1"/>
  <c r="F735" s="1"/>
  <c r="AH734"/>
  <c r="H734" s="1"/>
  <c r="AG734"/>
  <c r="AD734"/>
  <c r="AC734"/>
  <c r="K734"/>
  <c r="G734"/>
  <c r="E734"/>
  <c r="C734"/>
  <c r="AH733"/>
  <c r="AG733"/>
  <c r="AD733"/>
  <c r="AC733"/>
  <c r="K733"/>
  <c r="G733"/>
  <c r="E733"/>
  <c r="C733"/>
  <c r="D733" s="1"/>
  <c r="AH732"/>
  <c r="AG732"/>
  <c r="AD732"/>
  <c r="AC732"/>
  <c r="K732"/>
  <c r="G732"/>
  <c r="E732"/>
  <c r="C732"/>
  <c r="AH731"/>
  <c r="H731" s="1"/>
  <c r="AG731"/>
  <c r="AD731"/>
  <c r="AC731"/>
  <c r="K731"/>
  <c r="G731"/>
  <c r="E731"/>
  <c r="C731"/>
  <c r="U731" s="1"/>
  <c r="F731" s="1"/>
  <c r="AH730"/>
  <c r="AG730"/>
  <c r="AD730"/>
  <c r="AC730"/>
  <c r="K730"/>
  <c r="H730"/>
  <c r="G730"/>
  <c r="E730"/>
  <c r="C730"/>
  <c r="AH729"/>
  <c r="AG729"/>
  <c r="AD729"/>
  <c r="AC729"/>
  <c r="K729"/>
  <c r="G729"/>
  <c r="E729"/>
  <c r="C729"/>
  <c r="D729" s="1"/>
  <c r="AH728"/>
  <c r="AG728"/>
  <c r="AD728"/>
  <c r="AC728"/>
  <c r="K728"/>
  <c r="G728"/>
  <c r="E728"/>
  <c r="C728"/>
  <c r="AH727"/>
  <c r="AG727"/>
  <c r="AD727"/>
  <c r="AC727"/>
  <c r="K727"/>
  <c r="G727"/>
  <c r="E727"/>
  <c r="C727"/>
  <c r="U727" s="1"/>
  <c r="F727" s="1"/>
  <c r="AH726"/>
  <c r="AG726"/>
  <c r="AD726"/>
  <c r="AC726"/>
  <c r="K726"/>
  <c r="G726"/>
  <c r="E726"/>
  <c r="C726"/>
  <c r="AH725"/>
  <c r="AG725"/>
  <c r="AD725"/>
  <c r="AC725"/>
  <c r="K725"/>
  <c r="G725"/>
  <c r="E725"/>
  <c r="C725"/>
  <c r="D725" s="1"/>
  <c r="AH724"/>
  <c r="AG724"/>
  <c r="H724" s="1"/>
  <c r="AD724"/>
  <c r="AC724"/>
  <c r="K724"/>
  <c r="G724"/>
  <c r="E724"/>
  <c r="C724"/>
  <c r="AH723"/>
  <c r="AG723"/>
  <c r="AD723"/>
  <c r="AC723"/>
  <c r="K723"/>
  <c r="H723"/>
  <c r="G723"/>
  <c r="E723"/>
  <c r="C723"/>
  <c r="U723" s="1"/>
  <c r="F723" s="1"/>
  <c r="AH722"/>
  <c r="H722" s="1"/>
  <c r="AG722"/>
  <c r="AD722"/>
  <c r="AC722"/>
  <c r="K722"/>
  <c r="G722"/>
  <c r="E722"/>
  <c r="C722"/>
  <c r="AH721"/>
  <c r="AG721"/>
  <c r="AD721"/>
  <c r="AC721"/>
  <c r="K721"/>
  <c r="G721"/>
  <c r="E721"/>
  <c r="C721"/>
  <c r="D721" s="1"/>
  <c r="AH720"/>
  <c r="AG720"/>
  <c r="AD720"/>
  <c r="AC720"/>
  <c r="K720"/>
  <c r="G720"/>
  <c r="E720"/>
  <c r="C720"/>
  <c r="AH719"/>
  <c r="AG719"/>
  <c r="AD719"/>
  <c r="AC719"/>
  <c r="K719"/>
  <c r="G719"/>
  <c r="E719"/>
  <c r="C719"/>
  <c r="U719" s="1"/>
  <c r="F719" s="1"/>
  <c r="AH718"/>
  <c r="H718" s="1"/>
  <c r="AG718"/>
  <c r="AD718"/>
  <c r="AC718"/>
  <c r="K718"/>
  <c r="G718"/>
  <c r="E718"/>
  <c r="S140" i="24" s="1"/>
  <c r="C718" i="18"/>
  <c r="AH717"/>
  <c r="AG717"/>
  <c r="AD717"/>
  <c r="AC717"/>
  <c r="K717"/>
  <c r="G717"/>
  <c r="E717"/>
  <c r="C717"/>
  <c r="D717" s="1"/>
  <c r="AH716"/>
  <c r="AG716"/>
  <c r="AD716"/>
  <c r="AC716"/>
  <c r="K716"/>
  <c r="G716"/>
  <c r="E716"/>
  <c r="C716"/>
  <c r="AH715"/>
  <c r="AG715"/>
  <c r="AD715"/>
  <c r="AC715"/>
  <c r="K715"/>
  <c r="G715"/>
  <c r="E715"/>
  <c r="C715"/>
  <c r="AH714"/>
  <c r="AG714"/>
  <c r="AD714"/>
  <c r="AC714"/>
  <c r="K714"/>
  <c r="H714"/>
  <c r="G714"/>
  <c r="E714"/>
  <c r="C714"/>
  <c r="AH713"/>
  <c r="AG713"/>
  <c r="AD713"/>
  <c r="AC713"/>
  <c r="K713"/>
  <c r="G713"/>
  <c r="E713"/>
  <c r="C713"/>
  <c r="D713" s="1"/>
  <c r="AH712"/>
  <c r="AG712"/>
  <c r="AD712"/>
  <c r="AC712"/>
  <c r="K712"/>
  <c r="G712"/>
  <c r="E712"/>
  <c r="S141" i="24" s="1"/>
  <c r="C712" i="18"/>
  <c r="AH711"/>
  <c r="AG711"/>
  <c r="AD711"/>
  <c r="AC711"/>
  <c r="K711"/>
  <c r="G711"/>
  <c r="E711"/>
  <c r="C711"/>
  <c r="U711" s="1"/>
  <c r="F711" s="1"/>
  <c r="AH710"/>
  <c r="AG710"/>
  <c r="AD710"/>
  <c r="AC710"/>
  <c r="K710"/>
  <c r="H710"/>
  <c r="G710"/>
  <c r="E710"/>
  <c r="C710"/>
  <c r="AH709"/>
  <c r="AG709"/>
  <c r="AD709"/>
  <c r="AC709"/>
  <c r="K709"/>
  <c r="G709"/>
  <c r="E709"/>
  <c r="C709"/>
  <c r="D709" s="1"/>
  <c r="AH708"/>
  <c r="AG708"/>
  <c r="AD708"/>
  <c r="AC708"/>
  <c r="K708"/>
  <c r="G708"/>
  <c r="E708"/>
  <c r="C708"/>
  <c r="AH707"/>
  <c r="H707" s="1"/>
  <c r="AG707"/>
  <c r="AD707"/>
  <c r="AC707"/>
  <c r="K707"/>
  <c r="G707"/>
  <c r="E707"/>
  <c r="C707"/>
  <c r="AH706"/>
  <c r="H706" s="1"/>
  <c r="AG706"/>
  <c r="AD706"/>
  <c r="AC706"/>
  <c r="K706"/>
  <c r="G706"/>
  <c r="E706"/>
  <c r="C706"/>
  <c r="AH705"/>
  <c r="AG705"/>
  <c r="AD705"/>
  <c r="AC705"/>
  <c r="K705"/>
  <c r="G705"/>
  <c r="E705"/>
  <c r="C705"/>
  <c r="AH704"/>
  <c r="AG704"/>
  <c r="AD704"/>
  <c r="AC704"/>
  <c r="K704"/>
  <c r="G704"/>
  <c r="E704"/>
  <c r="S142" i="24" s="1"/>
  <c r="C704" i="18"/>
  <c r="AH703"/>
  <c r="AG703"/>
  <c r="AD703"/>
  <c r="AC703"/>
  <c r="K703"/>
  <c r="G703"/>
  <c r="E703"/>
  <c r="C703"/>
  <c r="AH702"/>
  <c r="H702" s="1"/>
  <c r="AG702"/>
  <c r="AD702"/>
  <c r="AC702"/>
  <c r="K702"/>
  <c r="G702"/>
  <c r="E702"/>
  <c r="C702"/>
  <c r="AH701"/>
  <c r="AG701"/>
  <c r="AD701"/>
  <c r="AC701"/>
  <c r="K701"/>
  <c r="G701"/>
  <c r="E701"/>
  <c r="C701"/>
  <c r="AH700"/>
  <c r="AG700"/>
  <c r="H700" s="1"/>
  <c r="AD700"/>
  <c r="AC700"/>
  <c r="K700"/>
  <c r="G700"/>
  <c r="E700"/>
  <c r="C700"/>
  <c r="AH699"/>
  <c r="AG699"/>
  <c r="AD699"/>
  <c r="AC699"/>
  <c r="K699"/>
  <c r="H699"/>
  <c r="G699"/>
  <c r="E699"/>
  <c r="C699"/>
  <c r="AH698"/>
  <c r="AG698"/>
  <c r="AD698"/>
  <c r="AC698"/>
  <c r="K698"/>
  <c r="H698"/>
  <c r="G698"/>
  <c r="E698"/>
  <c r="C698"/>
  <c r="AH697"/>
  <c r="H697" s="1"/>
  <c r="AG697"/>
  <c r="AD697"/>
  <c r="AC697"/>
  <c r="K697"/>
  <c r="G697"/>
  <c r="E697"/>
  <c r="C697"/>
  <c r="AH696"/>
  <c r="AG696"/>
  <c r="AD696"/>
  <c r="AC696"/>
  <c r="K696"/>
  <c r="G696"/>
  <c r="E696"/>
  <c r="C696"/>
  <c r="M20" i="2" s="1"/>
  <c r="AH695" i="18"/>
  <c r="H695" s="1"/>
  <c r="AG695"/>
  <c r="AD695"/>
  <c r="AC695"/>
  <c r="K695"/>
  <c r="G695"/>
  <c r="E695"/>
  <c r="C695"/>
  <c r="AH694"/>
  <c r="H694" s="1"/>
  <c r="AG694"/>
  <c r="AD694"/>
  <c r="AC694"/>
  <c r="K694"/>
  <c r="G694"/>
  <c r="E694"/>
  <c r="C694"/>
  <c r="AH693"/>
  <c r="AG693"/>
  <c r="AD693"/>
  <c r="AC693"/>
  <c r="K693"/>
  <c r="G693"/>
  <c r="E693"/>
  <c r="C693"/>
  <c r="AH692"/>
  <c r="AG692"/>
  <c r="AD692"/>
  <c r="AC692"/>
  <c r="K692"/>
  <c r="G692"/>
  <c r="E692"/>
  <c r="C692"/>
  <c r="AH691"/>
  <c r="H691" s="1"/>
  <c r="AG691"/>
  <c r="AD691"/>
  <c r="AC691"/>
  <c r="K691"/>
  <c r="G691"/>
  <c r="E691"/>
  <c r="S143" i="24" s="1"/>
  <c r="C691" i="18"/>
  <c r="AH690"/>
  <c r="H690" s="1"/>
  <c r="AG690"/>
  <c r="AD690"/>
  <c r="AC690"/>
  <c r="K690"/>
  <c r="G690"/>
  <c r="E690"/>
  <c r="C690"/>
  <c r="AH689"/>
  <c r="AG689"/>
  <c r="AD689"/>
  <c r="AC689"/>
  <c r="K689"/>
  <c r="G689"/>
  <c r="E689"/>
  <c r="C689"/>
  <c r="AH688"/>
  <c r="AG688"/>
  <c r="AD688"/>
  <c r="AC688"/>
  <c r="K688"/>
  <c r="G688"/>
  <c r="E688"/>
  <c r="C688"/>
  <c r="AH687"/>
  <c r="AG687"/>
  <c r="AD687"/>
  <c r="AC687"/>
  <c r="K687"/>
  <c r="G687"/>
  <c r="E687"/>
  <c r="C687"/>
  <c r="AH686"/>
  <c r="AG686"/>
  <c r="AD686"/>
  <c r="AC686"/>
  <c r="K686"/>
  <c r="H686"/>
  <c r="G686"/>
  <c r="E686"/>
  <c r="C686"/>
  <c r="AH685"/>
  <c r="AG685"/>
  <c r="AD685"/>
  <c r="AC685"/>
  <c r="K685"/>
  <c r="G685"/>
  <c r="E685"/>
  <c r="C685"/>
  <c r="AH684"/>
  <c r="AG684"/>
  <c r="AD684"/>
  <c r="AC684"/>
  <c r="K684"/>
  <c r="G684"/>
  <c r="E684"/>
  <c r="C684"/>
  <c r="AH683"/>
  <c r="AG683"/>
  <c r="AD683"/>
  <c r="AC683"/>
  <c r="K683"/>
  <c r="G683"/>
  <c r="E683"/>
  <c r="C683"/>
  <c r="AH682"/>
  <c r="AG682"/>
  <c r="AD682"/>
  <c r="AC682"/>
  <c r="K682"/>
  <c r="H682"/>
  <c r="G682"/>
  <c r="E682"/>
  <c r="C682"/>
  <c r="M18" i="2" s="1"/>
  <c r="AH681" i="18"/>
  <c r="AG681"/>
  <c r="AD681"/>
  <c r="AC681"/>
  <c r="K681"/>
  <c r="G681"/>
  <c r="E681"/>
  <c r="C681"/>
  <c r="AH680"/>
  <c r="AG680"/>
  <c r="AD680"/>
  <c r="AC680"/>
  <c r="K680"/>
  <c r="G680"/>
  <c r="E680"/>
  <c r="C680"/>
  <c r="AH679"/>
  <c r="AG679"/>
  <c r="AD679"/>
  <c r="AC679"/>
  <c r="K679"/>
  <c r="G679"/>
  <c r="E679"/>
  <c r="C679"/>
  <c r="AH678"/>
  <c r="AG678"/>
  <c r="AD678"/>
  <c r="AC678"/>
  <c r="K678"/>
  <c r="H678"/>
  <c r="G678"/>
  <c r="E678"/>
  <c r="S146" i="24" s="1"/>
  <c r="C678" i="18"/>
  <c r="AH677"/>
  <c r="AG677"/>
  <c r="AD677"/>
  <c r="AC677"/>
  <c r="K677"/>
  <c r="G677"/>
  <c r="E677"/>
  <c r="C677"/>
  <c r="AH676"/>
  <c r="AG676"/>
  <c r="AD676"/>
  <c r="AC676"/>
  <c r="K676"/>
  <c r="G676"/>
  <c r="E676"/>
  <c r="S147" i="24" s="1"/>
  <c r="C676" i="18"/>
  <c r="AH675"/>
  <c r="H675" s="1"/>
  <c r="AG675"/>
  <c r="AD675"/>
  <c r="AC675"/>
  <c r="K675"/>
  <c r="G675"/>
  <c r="E675"/>
  <c r="C675"/>
  <c r="AH674"/>
  <c r="AG674"/>
  <c r="AD674"/>
  <c r="AC674"/>
  <c r="K674"/>
  <c r="G674"/>
  <c r="E674"/>
  <c r="C674"/>
  <c r="AH673"/>
  <c r="AG673"/>
  <c r="AD673"/>
  <c r="AC673"/>
  <c r="K673"/>
  <c r="G673"/>
  <c r="E673"/>
  <c r="S149" i="24" s="1"/>
  <c r="C673" i="18"/>
  <c r="AH672"/>
  <c r="AG672"/>
  <c r="AD672"/>
  <c r="AC672"/>
  <c r="K672"/>
  <c r="G672"/>
  <c r="E672"/>
  <c r="C672"/>
  <c r="AH671"/>
  <c r="AG671"/>
  <c r="AD671"/>
  <c r="AC671"/>
  <c r="K671"/>
  <c r="G671"/>
  <c r="E671"/>
  <c r="C671"/>
  <c r="AH670"/>
  <c r="AG670"/>
  <c r="AD670"/>
  <c r="AC670"/>
  <c r="K670"/>
  <c r="H670"/>
  <c r="G670"/>
  <c r="E670"/>
  <c r="C670"/>
  <c r="AH669"/>
  <c r="AG669"/>
  <c r="AD669"/>
  <c r="AC669"/>
  <c r="K669"/>
  <c r="G669"/>
  <c r="E669"/>
  <c r="C669"/>
  <c r="AH668"/>
  <c r="AG668"/>
  <c r="AD668"/>
  <c r="AC668"/>
  <c r="K668"/>
  <c r="G668"/>
  <c r="E668"/>
  <c r="C668"/>
  <c r="AH667"/>
  <c r="H667" s="1"/>
  <c r="AG667"/>
  <c r="AD667"/>
  <c r="AC667"/>
  <c r="K667"/>
  <c r="G667"/>
  <c r="E667"/>
  <c r="C667"/>
  <c r="AH666"/>
  <c r="AG666"/>
  <c r="AD666"/>
  <c r="AC666"/>
  <c r="K666"/>
  <c r="G666"/>
  <c r="E666"/>
  <c r="C666"/>
  <c r="AH665"/>
  <c r="AG665"/>
  <c r="AD665"/>
  <c r="AC665"/>
  <c r="K665"/>
  <c r="G665"/>
  <c r="E665"/>
  <c r="C665"/>
  <c r="AH664"/>
  <c r="AG664"/>
  <c r="AD664"/>
  <c r="AC664"/>
  <c r="K664"/>
  <c r="G664"/>
  <c r="E664"/>
  <c r="C664"/>
  <c r="AH663"/>
  <c r="AG663"/>
  <c r="AD663"/>
  <c r="AC663"/>
  <c r="K663"/>
  <c r="G663"/>
  <c r="E663"/>
  <c r="C663"/>
  <c r="AH662"/>
  <c r="AG662"/>
  <c r="AD662"/>
  <c r="AC662"/>
  <c r="K662"/>
  <c r="G662"/>
  <c r="E662"/>
  <c r="C662"/>
  <c r="AH661"/>
  <c r="AG661"/>
  <c r="AD661"/>
  <c r="AC661"/>
  <c r="K661"/>
  <c r="G661"/>
  <c r="E661"/>
  <c r="S150" i="24" s="1"/>
  <c r="C661" i="18"/>
  <c r="AH660"/>
  <c r="AG660"/>
  <c r="H660" s="1"/>
  <c r="AD660"/>
  <c r="AC660"/>
  <c r="K660"/>
  <c r="G660"/>
  <c r="E660"/>
  <c r="C660"/>
  <c r="AH659"/>
  <c r="AG659"/>
  <c r="AD659"/>
  <c r="AC659"/>
  <c r="K659"/>
  <c r="H659"/>
  <c r="G659"/>
  <c r="E659"/>
  <c r="C659"/>
  <c r="AH658"/>
  <c r="H658" s="1"/>
  <c r="AG658"/>
  <c r="AD658"/>
  <c r="AC658"/>
  <c r="K658"/>
  <c r="G658"/>
  <c r="E658"/>
  <c r="C658"/>
  <c r="AH657"/>
  <c r="AG657"/>
  <c r="AD657"/>
  <c r="AC657"/>
  <c r="K657"/>
  <c r="G657"/>
  <c r="E657"/>
  <c r="C657"/>
  <c r="AH656"/>
  <c r="AG656"/>
  <c r="AD656"/>
  <c r="AC656"/>
  <c r="K656"/>
  <c r="G656"/>
  <c r="E656"/>
  <c r="C656"/>
  <c r="AH655"/>
  <c r="AG655"/>
  <c r="AD655"/>
  <c r="AC655"/>
  <c r="K655"/>
  <c r="G655"/>
  <c r="E655"/>
  <c r="C655"/>
  <c r="AH654"/>
  <c r="AG654"/>
  <c r="AD654"/>
  <c r="AC654"/>
  <c r="K654"/>
  <c r="G654"/>
  <c r="E654"/>
  <c r="S151" i="24" s="1"/>
  <c r="C654" i="18"/>
  <c r="AH653"/>
  <c r="AG653"/>
  <c r="AD653"/>
  <c r="AC653"/>
  <c r="K653"/>
  <c r="G653"/>
  <c r="E653"/>
  <c r="S152" i="24" s="1"/>
  <c r="C653" i="18"/>
  <c r="AH652"/>
  <c r="AG652"/>
  <c r="AD652"/>
  <c r="AC652"/>
  <c r="K652"/>
  <c r="G652"/>
  <c r="E652"/>
  <c r="C652"/>
  <c r="AH651"/>
  <c r="AG651"/>
  <c r="AD651"/>
  <c r="AC651"/>
  <c r="K651"/>
  <c r="G651"/>
  <c r="E651"/>
  <c r="C651"/>
  <c r="AH650"/>
  <c r="AG650"/>
  <c r="AD650"/>
  <c r="AC650"/>
  <c r="K650"/>
  <c r="H650"/>
  <c r="G650"/>
  <c r="E650"/>
  <c r="C650"/>
  <c r="AH649"/>
  <c r="AG649"/>
  <c r="AD649"/>
  <c r="AC649"/>
  <c r="K649"/>
  <c r="G649"/>
  <c r="E649"/>
  <c r="C649"/>
  <c r="AH648"/>
  <c r="AG648"/>
  <c r="AD648"/>
  <c r="AC648"/>
  <c r="K648"/>
  <c r="G648"/>
  <c r="E648"/>
  <c r="S153" i="24" s="1"/>
  <c r="C648" i="18"/>
  <c r="AH647"/>
  <c r="AG647"/>
  <c r="AD647"/>
  <c r="AC647"/>
  <c r="K647"/>
  <c r="G647"/>
  <c r="E647"/>
  <c r="C647"/>
  <c r="AH646"/>
  <c r="H646" s="1"/>
  <c r="AG646"/>
  <c r="AD646"/>
  <c r="AC646"/>
  <c r="K646"/>
  <c r="G646"/>
  <c r="E646"/>
  <c r="C646"/>
  <c r="AH645"/>
  <c r="AG645"/>
  <c r="AD645"/>
  <c r="AC645"/>
  <c r="K645"/>
  <c r="G645"/>
  <c r="E645"/>
  <c r="C645"/>
  <c r="AH644"/>
  <c r="AG644"/>
  <c r="AD644"/>
  <c r="AC644"/>
  <c r="K644"/>
  <c r="G644"/>
  <c r="E644"/>
  <c r="C644"/>
  <c r="AH643"/>
  <c r="H643" s="1"/>
  <c r="AG643"/>
  <c r="AD643"/>
  <c r="AC643"/>
  <c r="K643"/>
  <c r="G643"/>
  <c r="E643"/>
  <c r="C643"/>
  <c r="AH642"/>
  <c r="H642" s="1"/>
  <c r="AG642"/>
  <c r="AD642"/>
  <c r="AC642"/>
  <c r="K642"/>
  <c r="G642"/>
  <c r="E642"/>
  <c r="C642"/>
  <c r="AH641"/>
  <c r="AG641"/>
  <c r="AD641"/>
  <c r="AC641"/>
  <c r="K641"/>
  <c r="G641"/>
  <c r="E641"/>
  <c r="C641"/>
  <c r="AH640"/>
  <c r="AG640"/>
  <c r="AD640"/>
  <c r="AC640"/>
  <c r="K640"/>
  <c r="G640"/>
  <c r="E640"/>
  <c r="C640"/>
  <c r="AH639"/>
  <c r="AG639"/>
  <c r="AD639"/>
  <c r="AC639"/>
  <c r="K639"/>
  <c r="G639"/>
  <c r="E639"/>
  <c r="C639"/>
  <c r="M4" i="2" s="1"/>
  <c r="AH638" i="18"/>
  <c r="H638" s="1"/>
  <c r="AG638"/>
  <c r="AD638"/>
  <c r="AC638"/>
  <c r="K638"/>
  <c r="G638"/>
  <c r="E638"/>
  <c r="C638"/>
  <c r="AH637"/>
  <c r="AG637"/>
  <c r="AD637"/>
  <c r="AC637"/>
  <c r="K637"/>
  <c r="G637"/>
  <c r="E637"/>
  <c r="C637"/>
  <c r="AH636"/>
  <c r="AG636"/>
  <c r="AD636"/>
  <c r="AC636"/>
  <c r="K636"/>
  <c r="G636"/>
  <c r="E636"/>
  <c r="C636"/>
  <c r="AH635"/>
  <c r="H635" s="1"/>
  <c r="AG635"/>
  <c r="AD635"/>
  <c r="AC635"/>
  <c r="K635"/>
  <c r="G635"/>
  <c r="E635"/>
  <c r="C635"/>
  <c r="AH634"/>
  <c r="AG634"/>
  <c r="AD634"/>
  <c r="AC634"/>
  <c r="K634"/>
  <c r="G634"/>
  <c r="E634"/>
  <c r="C634"/>
  <c r="AH633"/>
  <c r="AG633"/>
  <c r="AD633"/>
  <c r="AC633"/>
  <c r="K633"/>
  <c r="G633"/>
  <c r="E633"/>
  <c r="C633"/>
  <c r="AH632"/>
  <c r="AG632"/>
  <c r="AD632"/>
  <c r="AC632"/>
  <c r="K632"/>
  <c r="G632"/>
  <c r="E632"/>
  <c r="C632"/>
  <c r="AH631"/>
  <c r="AG631"/>
  <c r="AD631"/>
  <c r="AC631"/>
  <c r="K631"/>
  <c r="G631"/>
  <c r="E631"/>
  <c r="C631"/>
  <c r="AH630"/>
  <c r="AG630"/>
  <c r="AD630"/>
  <c r="AC630"/>
  <c r="K630"/>
  <c r="G630"/>
  <c r="E630"/>
  <c r="S158" i="24" s="1"/>
  <c r="C630" i="18"/>
  <c r="AH629"/>
  <c r="AG629"/>
  <c r="AD629"/>
  <c r="AC629"/>
  <c r="K629"/>
  <c r="G629"/>
  <c r="E629"/>
  <c r="C629"/>
  <c r="AH628"/>
  <c r="AG628"/>
  <c r="H628" s="1"/>
  <c r="AD628"/>
  <c r="AC628"/>
  <c r="K628"/>
  <c r="G628"/>
  <c r="E628"/>
  <c r="C628"/>
  <c r="AH627"/>
  <c r="AG627"/>
  <c r="AD627"/>
  <c r="AC627"/>
  <c r="K627"/>
  <c r="H627"/>
  <c r="G627"/>
  <c r="E627"/>
  <c r="C627"/>
  <c r="AH626"/>
  <c r="AG626"/>
  <c r="AD626"/>
  <c r="AC626"/>
  <c r="K626"/>
  <c r="H626"/>
  <c r="G626"/>
  <c r="E626"/>
  <c r="C626"/>
  <c r="AH625"/>
  <c r="H625" s="1"/>
  <c r="AG625"/>
  <c r="AD625"/>
  <c r="AC625"/>
  <c r="K625"/>
  <c r="G625"/>
  <c r="E625"/>
  <c r="C625"/>
  <c r="AH624"/>
  <c r="AG624"/>
  <c r="AD624"/>
  <c r="AC624"/>
  <c r="K624"/>
  <c r="G624"/>
  <c r="E624"/>
  <c r="C624"/>
  <c r="AH623"/>
  <c r="AG623"/>
  <c r="AD623"/>
  <c r="AC623"/>
  <c r="K623"/>
  <c r="G623"/>
  <c r="E623"/>
  <c r="C623"/>
  <c r="AH622"/>
  <c r="H622" s="1"/>
  <c r="AG622"/>
  <c r="AD622"/>
  <c r="AC622"/>
  <c r="K622"/>
  <c r="G622"/>
  <c r="E622"/>
  <c r="C622"/>
  <c r="AH621"/>
  <c r="AG621"/>
  <c r="AD621"/>
  <c r="AC621"/>
  <c r="K621"/>
  <c r="G621"/>
  <c r="E621"/>
  <c r="C621"/>
  <c r="AH620"/>
  <c r="AG620"/>
  <c r="AD620"/>
  <c r="AC620"/>
  <c r="K620"/>
  <c r="G620"/>
  <c r="E620"/>
  <c r="C620"/>
  <c r="AH619"/>
  <c r="H619" s="1"/>
  <c r="AG619"/>
  <c r="AD619"/>
  <c r="AC619"/>
  <c r="K619"/>
  <c r="G619"/>
  <c r="E619"/>
  <c r="C619"/>
  <c r="AH618"/>
  <c r="H618" s="1"/>
  <c r="AG618"/>
  <c r="AD618"/>
  <c r="AC618"/>
  <c r="K618"/>
  <c r="G618"/>
  <c r="E618"/>
  <c r="C618"/>
  <c r="AH617"/>
  <c r="AG617"/>
  <c r="AD617"/>
  <c r="AC617"/>
  <c r="K617"/>
  <c r="G617"/>
  <c r="E617"/>
  <c r="C617"/>
  <c r="AH616"/>
  <c r="AG616"/>
  <c r="AD616"/>
  <c r="AC616"/>
  <c r="K616"/>
  <c r="G616"/>
  <c r="E616"/>
  <c r="C616"/>
  <c r="AH615"/>
  <c r="AG615"/>
  <c r="AD615"/>
  <c r="AC615"/>
  <c r="K615"/>
  <c r="G615"/>
  <c r="E615"/>
  <c r="C615"/>
  <c r="AH614"/>
  <c r="H614" s="1"/>
  <c r="AG614"/>
  <c r="AD614"/>
  <c r="AC614"/>
  <c r="K614"/>
  <c r="G614"/>
  <c r="E614"/>
  <c r="S159" i="24" s="1"/>
  <c r="C614" i="18"/>
  <c r="AH613"/>
  <c r="AG613"/>
  <c r="AD613"/>
  <c r="AC613"/>
  <c r="K613"/>
  <c r="G613"/>
  <c r="E613"/>
  <c r="C613"/>
  <c r="AH612"/>
  <c r="AG612"/>
  <c r="AD612"/>
  <c r="AC612"/>
  <c r="K612"/>
  <c r="G612"/>
  <c r="E612"/>
  <c r="C612"/>
  <c r="AH611"/>
  <c r="AG611"/>
  <c r="AD611"/>
  <c r="AC611"/>
  <c r="K611"/>
  <c r="G611"/>
  <c r="E611"/>
  <c r="C611"/>
  <c r="AH610"/>
  <c r="AG610"/>
  <c r="AD610"/>
  <c r="AC610"/>
  <c r="K610"/>
  <c r="G610"/>
  <c r="E610"/>
  <c r="S160" i="24" s="1"/>
  <c r="C610" i="18"/>
  <c r="AH609"/>
  <c r="AG609"/>
  <c r="AD609"/>
  <c r="AC609"/>
  <c r="K609"/>
  <c r="G609"/>
  <c r="E609"/>
  <c r="C609"/>
  <c r="AH608"/>
  <c r="AG608"/>
  <c r="AD608"/>
  <c r="AC608"/>
  <c r="K608"/>
  <c r="G608"/>
  <c r="E608"/>
  <c r="C608"/>
  <c r="AH607"/>
  <c r="AG607"/>
  <c r="AD607"/>
  <c r="AC607"/>
  <c r="K607"/>
  <c r="G607"/>
  <c r="E607"/>
  <c r="C607"/>
  <c r="AH606"/>
  <c r="H606" s="1"/>
  <c r="AG606"/>
  <c r="AD606"/>
  <c r="AC606"/>
  <c r="K606"/>
  <c r="G606"/>
  <c r="E606"/>
  <c r="C606"/>
  <c r="AH605"/>
  <c r="AG605"/>
  <c r="AD605"/>
  <c r="AC605"/>
  <c r="K605"/>
  <c r="G605"/>
  <c r="E605"/>
  <c r="C605"/>
  <c r="AH604"/>
  <c r="AG604"/>
  <c r="AD604"/>
  <c r="AC604"/>
  <c r="K604"/>
  <c r="G604"/>
  <c r="E604"/>
  <c r="C604"/>
  <c r="AH603"/>
  <c r="AG603"/>
  <c r="AD603"/>
  <c r="AC603"/>
  <c r="K603"/>
  <c r="G603"/>
  <c r="E603"/>
  <c r="C603"/>
  <c r="AH602"/>
  <c r="AG602"/>
  <c r="AD602"/>
  <c r="AC602"/>
  <c r="K602"/>
  <c r="G602"/>
  <c r="E602"/>
  <c r="S163" i="24" s="1"/>
  <c r="C602" i="18"/>
  <c r="AH601"/>
  <c r="AG601"/>
  <c r="AD601"/>
  <c r="AC601"/>
  <c r="K601"/>
  <c r="G601"/>
  <c r="E601"/>
  <c r="C601"/>
  <c r="AH600"/>
  <c r="AG600"/>
  <c r="AD600"/>
  <c r="AC600"/>
  <c r="K600"/>
  <c r="G600"/>
  <c r="E600"/>
  <c r="C600"/>
  <c r="AH599"/>
  <c r="AG599"/>
  <c r="AD599"/>
  <c r="AC599"/>
  <c r="K599"/>
  <c r="G599"/>
  <c r="E599"/>
  <c r="C599"/>
  <c r="AH598"/>
  <c r="AG598"/>
  <c r="AD598"/>
  <c r="AC598"/>
  <c r="K598"/>
  <c r="G598"/>
  <c r="E598"/>
  <c r="C598"/>
  <c r="AH597"/>
  <c r="AG597"/>
  <c r="AD597"/>
  <c r="AC597"/>
  <c r="K597"/>
  <c r="G597"/>
  <c r="E597"/>
  <c r="C597"/>
  <c r="AH596"/>
  <c r="AG596"/>
  <c r="AD596"/>
  <c r="AC596"/>
  <c r="K596"/>
  <c r="G596"/>
  <c r="E596"/>
  <c r="C596"/>
  <c r="AH595"/>
  <c r="AG595"/>
  <c r="AD595"/>
  <c r="AC595"/>
  <c r="K595"/>
  <c r="G595"/>
  <c r="E595"/>
  <c r="C595"/>
  <c r="AH594"/>
  <c r="AG594"/>
  <c r="AD594"/>
  <c r="AC594"/>
  <c r="K594"/>
  <c r="H594"/>
  <c r="G594"/>
  <c r="E594"/>
  <c r="C594"/>
  <c r="AH593"/>
  <c r="AG593"/>
  <c r="AD593"/>
  <c r="AC593"/>
  <c r="K593"/>
  <c r="G593"/>
  <c r="E593"/>
  <c r="C593"/>
  <c r="AH592"/>
  <c r="AG592"/>
  <c r="H592" s="1"/>
  <c r="AD592"/>
  <c r="AC592"/>
  <c r="K592"/>
  <c r="G592"/>
  <c r="E592"/>
  <c r="C592"/>
  <c r="AH591"/>
  <c r="AG591"/>
  <c r="H591" s="1"/>
  <c r="AD591"/>
  <c r="AC591"/>
  <c r="K591"/>
  <c r="G591"/>
  <c r="E591"/>
  <c r="C591"/>
  <c r="AH590"/>
  <c r="AG590"/>
  <c r="AD590"/>
  <c r="AC590"/>
  <c r="K590"/>
  <c r="H590"/>
  <c r="G590"/>
  <c r="E590"/>
  <c r="C590"/>
  <c r="AH589"/>
  <c r="AG589"/>
  <c r="AD589"/>
  <c r="AC589"/>
  <c r="K589"/>
  <c r="G589"/>
  <c r="E589"/>
  <c r="S164" i="24" s="1"/>
  <c r="C589" i="18"/>
  <c r="AH588"/>
  <c r="AG588"/>
  <c r="AD588"/>
  <c r="AC588"/>
  <c r="K588"/>
  <c r="G588"/>
  <c r="E588"/>
  <c r="C588"/>
  <c r="AH587"/>
  <c r="AG587"/>
  <c r="AD587"/>
  <c r="AC587"/>
  <c r="K587"/>
  <c r="G587"/>
  <c r="E587"/>
  <c r="C587"/>
  <c r="AH586"/>
  <c r="H586" s="1"/>
  <c r="AG586"/>
  <c r="AD586"/>
  <c r="AC586"/>
  <c r="K586"/>
  <c r="G586"/>
  <c r="E586"/>
  <c r="C586"/>
  <c r="AH585"/>
  <c r="H585" s="1"/>
  <c r="AG585"/>
  <c r="AD585"/>
  <c r="AC585"/>
  <c r="K585"/>
  <c r="G585"/>
  <c r="E585"/>
  <c r="C585"/>
  <c r="AH584"/>
  <c r="AG584"/>
  <c r="AD584"/>
  <c r="AC584"/>
  <c r="K584"/>
  <c r="G584"/>
  <c r="E584"/>
  <c r="C584"/>
  <c r="AH583"/>
  <c r="H583" s="1"/>
  <c r="AG583"/>
  <c r="AD583"/>
  <c r="AC583"/>
  <c r="K583"/>
  <c r="G583"/>
  <c r="E583"/>
  <c r="C583"/>
  <c r="AH582"/>
  <c r="H582" s="1"/>
  <c r="AG582"/>
  <c r="AD582"/>
  <c r="AC582"/>
  <c r="K582"/>
  <c r="G582"/>
  <c r="E582"/>
  <c r="C582"/>
  <c r="AH581"/>
  <c r="AG581"/>
  <c r="AD581"/>
  <c r="AC581"/>
  <c r="K581"/>
  <c r="G581"/>
  <c r="E581"/>
  <c r="C581"/>
  <c r="AH580"/>
  <c r="AG580"/>
  <c r="AD580"/>
  <c r="AC580"/>
  <c r="K580"/>
  <c r="G580"/>
  <c r="E580"/>
  <c r="C580"/>
  <c r="AH579"/>
  <c r="AG579"/>
  <c r="AD579"/>
  <c r="AC579"/>
  <c r="K579"/>
  <c r="G579"/>
  <c r="E579"/>
  <c r="C579"/>
  <c r="AH578"/>
  <c r="H578" s="1"/>
  <c r="AG578"/>
  <c r="AD578"/>
  <c r="AC578"/>
  <c r="K578"/>
  <c r="G578"/>
  <c r="E578"/>
  <c r="C578"/>
  <c r="AH577"/>
  <c r="AG577"/>
  <c r="AD577"/>
  <c r="AC577"/>
  <c r="K577"/>
  <c r="G577"/>
  <c r="E577"/>
  <c r="C577"/>
  <c r="AH576"/>
  <c r="AG576"/>
  <c r="AD576"/>
  <c r="AC576"/>
  <c r="K576"/>
  <c r="G576"/>
  <c r="E576"/>
  <c r="C576"/>
  <c r="AH575"/>
  <c r="H575" s="1"/>
  <c r="AG575"/>
  <c r="AD575"/>
  <c r="AC575"/>
  <c r="K575"/>
  <c r="G575"/>
  <c r="E575"/>
  <c r="C575"/>
  <c r="AH574"/>
  <c r="AG574"/>
  <c r="AD574"/>
  <c r="AC574"/>
  <c r="K574"/>
  <c r="G574"/>
  <c r="E574"/>
  <c r="C574"/>
  <c r="AH573"/>
  <c r="AG573"/>
  <c r="AD573"/>
  <c r="AC573"/>
  <c r="K573"/>
  <c r="G573"/>
  <c r="E573"/>
  <c r="C573"/>
  <c r="AH572"/>
  <c r="AG572"/>
  <c r="AD572"/>
  <c r="AC572"/>
  <c r="K572"/>
  <c r="G572"/>
  <c r="E572"/>
  <c r="C572"/>
  <c r="AH571"/>
  <c r="AG571"/>
  <c r="AD571"/>
  <c r="AC571"/>
  <c r="K571"/>
  <c r="G571"/>
  <c r="E571"/>
  <c r="S165" i="24" s="1"/>
  <c r="C571" i="18"/>
  <c r="AH570"/>
  <c r="AG570"/>
  <c r="AD570"/>
  <c r="AC570"/>
  <c r="K570"/>
  <c r="G570"/>
  <c r="E570"/>
  <c r="C570"/>
  <c r="AH569"/>
  <c r="AG569"/>
  <c r="AD569"/>
  <c r="AC569"/>
  <c r="K569"/>
  <c r="G569"/>
  <c r="E569"/>
  <c r="C569"/>
  <c r="AH568"/>
  <c r="AG568"/>
  <c r="AD568"/>
  <c r="AC568"/>
  <c r="K568"/>
  <c r="G568"/>
  <c r="E568"/>
  <c r="C568"/>
  <c r="M15" i="2" s="1"/>
  <c r="AH567" i="18"/>
  <c r="AG567"/>
  <c r="AD567"/>
  <c r="AC567"/>
  <c r="K567"/>
  <c r="G567"/>
  <c r="E567"/>
  <c r="C567"/>
  <c r="AH566"/>
  <c r="AG566"/>
  <c r="AD566"/>
  <c r="AC566"/>
  <c r="K566"/>
  <c r="G566"/>
  <c r="E566"/>
  <c r="S166" i="24" s="1"/>
  <c r="C566" i="18"/>
  <c r="AH565"/>
  <c r="AG565"/>
  <c r="AD565"/>
  <c r="AC565"/>
  <c r="K565"/>
  <c r="G565"/>
  <c r="E565"/>
  <c r="S167" i="24" s="1"/>
  <c r="C565" i="18"/>
  <c r="AH564"/>
  <c r="AG564"/>
  <c r="H564" s="1"/>
  <c r="AD564"/>
  <c r="AC564"/>
  <c r="K564"/>
  <c r="G564"/>
  <c r="E564"/>
  <c r="C564"/>
  <c r="AH563"/>
  <c r="AG563"/>
  <c r="AD563"/>
  <c r="AC563"/>
  <c r="K563"/>
  <c r="H563"/>
  <c r="G563"/>
  <c r="E563"/>
  <c r="C563"/>
  <c r="N22" i="23" s="1"/>
  <c r="AH562" i="18"/>
  <c r="AG562"/>
  <c r="AD562"/>
  <c r="AC562"/>
  <c r="K562"/>
  <c r="H562"/>
  <c r="G562"/>
  <c r="E562"/>
  <c r="C562"/>
  <c r="AH561"/>
  <c r="AG561"/>
  <c r="AD561"/>
  <c r="AC561"/>
  <c r="K561"/>
  <c r="G561"/>
  <c r="E561"/>
  <c r="C561"/>
  <c r="AH560"/>
  <c r="AG560"/>
  <c r="AD560"/>
  <c r="AC560"/>
  <c r="K560"/>
  <c r="G560"/>
  <c r="E560"/>
  <c r="C560"/>
  <c r="N21" i="23" s="1"/>
  <c r="AH559" i="18"/>
  <c r="H559" s="1"/>
  <c r="AG559"/>
  <c r="AD559"/>
  <c r="AC559"/>
  <c r="K559"/>
  <c r="G559"/>
  <c r="E559"/>
  <c r="C559"/>
  <c r="AH558"/>
  <c r="H558" s="1"/>
  <c r="AG558"/>
  <c r="AD558"/>
  <c r="AC558"/>
  <c r="K558"/>
  <c r="G558"/>
  <c r="E558"/>
  <c r="C558"/>
  <c r="AH557"/>
  <c r="AG557"/>
  <c r="AD557"/>
  <c r="AC557"/>
  <c r="K557"/>
  <c r="G557"/>
  <c r="E557"/>
  <c r="C557"/>
  <c r="AH556"/>
  <c r="AG556"/>
  <c r="AD556"/>
  <c r="AC556"/>
  <c r="K556"/>
  <c r="G556"/>
  <c r="E556"/>
  <c r="C556"/>
  <c r="AH555"/>
  <c r="AG555"/>
  <c r="AD555"/>
  <c r="AC555"/>
  <c r="K555"/>
  <c r="G555"/>
  <c r="E555"/>
  <c r="S168" i="24" s="1"/>
  <c r="C555" i="18"/>
  <c r="AH554"/>
  <c r="H554" s="1"/>
  <c r="AG554"/>
  <c r="AD554"/>
  <c r="AC554"/>
  <c r="K554"/>
  <c r="G554"/>
  <c r="E554"/>
  <c r="C554"/>
  <c r="AH553"/>
  <c r="AG553"/>
  <c r="AD553"/>
  <c r="AC553"/>
  <c r="K553"/>
  <c r="G553"/>
  <c r="E553"/>
  <c r="C553"/>
  <c r="AH552"/>
  <c r="AG552"/>
  <c r="AD552"/>
  <c r="AC552"/>
  <c r="K552"/>
  <c r="G552"/>
  <c r="E552"/>
  <c r="C552"/>
  <c r="AH551"/>
  <c r="AG551"/>
  <c r="AD551"/>
  <c r="AC551"/>
  <c r="K551"/>
  <c r="G551"/>
  <c r="E551"/>
  <c r="C551"/>
  <c r="AH550"/>
  <c r="H550" s="1"/>
  <c r="AG550"/>
  <c r="AD550"/>
  <c r="AC550"/>
  <c r="K550"/>
  <c r="G550"/>
  <c r="E550"/>
  <c r="C550"/>
  <c r="AH549"/>
  <c r="AG549"/>
  <c r="AD549"/>
  <c r="AC549"/>
  <c r="K549"/>
  <c r="G549"/>
  <c r="E549"/>
  <c r="C549"/>
  <c r="N20" i="23" s="1"/>
  <c r="AH548" i="18"/>
  <c r="AG548"/>
  <c r="AD548"/>
  <c r="AC548"/>
  <c r="K548"/>
  <c r="G548"/>
  <c r="E548"/>
  <c r="C548"/>
  <c r="AH547"/>
  <c r="AG547"/>
  <c r="AD547"/>
  <c r="AC547"/>
  <c r="K547"/>
  <c r="G547"/>
  <c r="E547"/>
  <c r="C547"/>
  <c r="AH546"/>
  <c r="AG546"/>
  <c r="AD546"/>
  <c r="AC546"/>
  <c r="K546"/>
  <c r="G546"/>
  <c r="E546"/>
  <c r="C546"/>
  <c r="AH545"/>
  <c r="AG545"/>
  <c r="AD545"/>
  <c r="AC545"/>
  <c r="K545"/>
  <c r="G545"/>
  <c r="E545"/>
  <c r="C545"/>
  <c r="AH544"/>
  <c r="AG544"/>
  <c r="AD544"/>
  <c r="AC544"/>
  <c r="K544"/>
  <c r="G544"/>
  <c r="E544"/>
  <c r="C544"/>
  <c r="AH543"/>
  <c r="H543" s="1"/>
  <c r="AG543"/>
  <c r="AD543"/>
  <c r="AC543"/>
  <c r="K543"/>
  <c r="G543"/>
  <c r="E543"/>
  <c r="C543"/>
  <c r="AH542"/>
  <c r="AG542"/>
  <c r="AD542"/>
  <c r="AC542"/>
  <c r="K542"/>
  <c r="G542"/>
  <c r="E542"/>
  <c r="S169" i="24" s="1"/>
  <c r="C542" i="18"/>
  <c r="AH541"/>
  <c r="AG541"/>
  <c r="AD541"/>
  <c r="AC541"/>
  <c r="K541"/>
  <c r="G541"/>
  <c r="E541"/>
  <c r="C541"/>
  <c r="AH540"/>
  <c r="AG540"/>
  <c r="AD540"/>
  <c r="AC540"/>
  <c r="K540"/>
  <c r="G540"/>
  <c r="E540"/>
  <c r="C540"/>
  <c r="AH539"/>
  <c r="AG539"/>
  <c r="AD539"/>
  <c r="AC539"/>
  <c r="K539"/>
  <c r="G539"/>
  <c r="E539"/>
  <c r="C539"/>
  <c r="AH538"/>
  <c r="AG538"/>
  <c r="AD538"/>
  <c r="AC538"/>
  <c r="K538"/>
  <c r="G538"/>
  <c r="E538"/>
  <c r="C538"/>
  <c r="AH537"/>
  <c r="AG537"/>
  <c r="AD537"/>
  <c r="AC537"/>
  <c r="K537"/>
  <c r="G537"/>
  <c r="E537"/>
  <c r="C537"/>
  <c r="AH536"/>
  <c r="AG536"/>
  <c r="AD536"/>
  <c r="AC536"/>
  <c r="K536"/>
  <c r="G536"/>
  <c r="E536"/>
  <c r="C536"/>
  <c r="AH535"/>
  <c r="AG535"/>
  <c r="AD535"/>
  <c r="AC535"/>
  <c r="K535"/>
  <c r="H535"/>
  <c r="G535"/>
  <c r="E535"/>
  <c r="C535"/>
  <c r="AH534"/>
  <c r="AG534"/>
  <c r="AD534"/>
  <c r="AC534"/>
  <c r="K534"/>
  <c r="H534"/>
  <c r="G534"/>
  <c r="E534"/>
  <c r="C534"/>
  <c r="AH533"/>
  <c r="AG533"/>
  <c r="AD533"/>
  <c r="AC533"/>
  <c r="K533"/>
  <c r="G533"/>
  <c r="E533"/>
  <c r="C533"/>
  <c r="AH532"/>
  <c r="AG532"/>
  <c r="AD532"/>
  <c r="AC532"/>
  <c r="K532"/>
  <c r="G532"/>
  <c r="E532"/>
  <c r="C532"/>
  <c r="AH531"/>
  <c r="AG531"/>
  <c r="AD531"/>
  <c r="AC531"/>
  <c r="K531"/>
  <c r="G531"/>
  <c r="E531"/>
  <c r="S172" i="24" s="1"/>
  <c r="C531" i="18"/>
  <c r="AH530"/>
  <c r="H530" s="1"/>
  <c r="AG530"/>
  <c r="AD530"/>
  <c r="AC530"/>
  <c r="K530"/>
  <c r="G530"/>
  <c r="E530"/>
  <c r="C530"/>
  <c r="AH529"/>
  <c r="AG529"/>
  <c r="AD529"/>
  <c r="AC529"/>
  <c r="K529"/>
  <c r="G529"/>
  <c r="E529"/>
  <c r="C529"/>
  <c r="AH528"/>
  <c r="AG528"/>
  <c r="AD528"/>
  <c r="AC528"/>
  <c r="K528"/>
  <c r="G528"/>
  <c r="E528"/>
  <c r="C528"/>
  <c r="AH527"/>
  <c r="AG527"/>
  <c r="AD527"/>
  <c r="AC527"/>
  <c r="K527"/>
  <c r="G527"/>
  <c r="E527"/>
  <c r="C527"/>
  <c r="AH526"/>
  <c r="H526" s="1"/>
  <c r="AG526"/>
  <c r="AD526"/>
  <c r="AC526"/>
  <c r="K526"/>
  <c r="G526"/>
  <c r="E526"/>
  <c r="C526"/>
  <c r="N19" i="23" s="1"/>
  <c r="AH525" i="18"/>
  <c r="AG525"/>
  <c r="AD525"/>
  <c r="AC525"/>
  <c r="K525"/>
  <c r="G525"/>
  <c r="E525"/>
  <c r="C525"/>
  <c r="AH524"/>
  <c r="AG524"/>
  <c r="AD524"/>
  <c r="AC524"/>
  <c r="K524"/>
  <c r="G524"/>
  <c r="E524"/>
  <c r="C524"/>
  <c r="AH523"/>
  <c r="AG523"/>
  <c r="AD523"/>
  <c r="AC523"/>
  <c r="K523"/>
  <c r="G523"/>
  <c r="E523"/>
  <c r="C523"/>
  <c r="AH522"/>
  <c r="H522" s="1"/>
  <c r="AG522"/>
  <c r="AD522"/>
  <c r="AC522"/>
  <c r="K522"/>
  <c r="G522"/>
  <c r="E522"/>
  <c r="C522"/>
  <c r="AH521"/>
  <c r="AG521"/>
  <c r="AD521"/>
  <c r="AC521"/>
  <c r="K521"/>
  <c r="G521"/>
  <c r="E521"/>
  <c r="C521"/>
  <c r="AH520"/>
  <c r="AG520"/>
  <c r="AD520"/>
  <c r="AC520"/>
  <c r="K520"/>
  <c r="G520"/>
  <c r="E520"/>
  <c r="C520"/>
  <c r="AH519"/>
  <c r="AG519"/>
  <c r="AD519"/>
  <c r="AC519"/>
  <c r="K519"/>
  <c r="G519"/>
  <c r="E519"/>
  <c r="C519"/>
  <c r="AH518"/>
  <c r="H518" s="1"/>
  <c r="AG518"/>
  <c r="AD518"/>
  <c r="AC518"/>
  <c r="K518"/>
  <c r="G518"/>
  <c r="E518"/>
  <c r="C518"/>
  <c r="AH517"/>
  <c r="AG517"/>
  <c r="AD517"/>
  <c r="AC517"/>
  <c r="K517"/>
  <c r="G517"/>
  <c r="E517"/>
  <c r="C517"/>
  <c r="AH516"/>
  <c r="AG516"/>
  <c r="AD516"/>
  <c r="AC516"/>
  <c r="K516"/>
  <c r="G516"/>
  <c r="E516"/>
  <c r="C516"/>
  <c r="AH515"/>
  <c r="AG515"/>
  <c r="AD515"/>
  <c r="AC515"/>
  <c r="K515"/>
  <c r="G515"/>
  <c r="E515"/>
  <c r="C515"/>
  <c r="AH514"/>
  <c r="H514" s="1"/>
  <c r="AG514"/>
  <c r="AD514"/>
  <c r="AC514"/>
  <c r="K514"/>
  <c r="G514"/>
  <c r="E514"/>
  <c r="C514"/>
  <c r="AH513"/>
  <c r="AG513"/>
  <c r="AD513"/>
  <c r="AC513"/>
  <c r="K513"/>
  <c r="G513"/>
  <c r="E513"/>
  <c r="C513"/>
  <c r="AH512"/>
  <c r="AG512"/>
  <c r="AD512"/>
  <c r="AC512"/>
  <c r="K512"/>
  <c r="G512"/>
  <c r="E512"/>
  <c r="C512"/>
  <c r="AH511"/>
  <c r="AG511"/>
  <c r="AD511"/>
  <c r="AC511"/>
  <c r="K511"/>
  <c r="G511"/>
  <c r="E511"/>
  <c r="C511"/>
  <c r="AH510"/>
  <c r="AG510"/>
  <c r="AD510"/>
  <c r="AC510"/>
  <c r="K510"/>
  <c r="G510"/>
  <c r="E510"/>
  <c r="C510"/>
  <c r="AH509"/>
  <c r="AG509"/>
  <c r="AD509"/>
  <c r="AC509"/>
  <c r="K509"/>
  <c r="G509"/>
  <c r="E509"/>
  <c r="C509"/>
  <c r="AH508"/>
  <c r="AG508"/>
  <c r="AD508"/>
  <c r="AC508"/>
  <c r="K508"/>
  <c r="G508"/>
  <c r="E508"/>
  <c r="S177" i="24" s="1"/>
  <c r="C508" i="18"/>
  <c r="AH507"/>
  <c r="AG507"/>
  <c r="AD507"/>
  <c r="AC507"/>
  <c r="K507"/>
  <c r="G507"/>
  <c r="E507"/>
  <c r="C507"/>
  <c r="AH506"/>
  <c r="H506" s="1"/>
  <c r="AG506"/>
  <c r="AD506"/>
  <c r="AC506"/>
  <c r="K506"/>
  <c r="G506"/>
  <c r="E506"/>
  <c r="C506"/>
  <c r="AH505"/>
  <c r="AG505"/>
  <c r="AD505"/>
  <c r="AC505"/>
  <c r="K505"/>
  <c r="G505"/>
  <c r="E505"/>
  <c r="C505"/>
  <c r="AH504"/>
  <c r="AG504"/>
  <c r="AD504"/>
  <c r="AC504"/>
  <c r="K504"/>
  <c r="G504"/>
  <c r="E504"/>
  <c r="S178" i="24" s="1"/>
  <c r="C504" i="18"/>
  <c r="AH503"/>
  <c r="AG503"/>
  <c r="AD503"/>
  <c r="AC503"/>
  <c r="K503"/>
  <c r="G503"/>
  <c r="E503"/>
  <c r="S179" i="24" s="1"/>
  <c r="C503" i="18"/>
  <c r="AH502"/>
  <c r="AG502"/>
  <c r="AD502"/>
  <c r="AC502"/>
  <c r="K502"/>
  <c r="G502"/>
  <c r="E502"/>
  <c r="C502"/>
  <c r="AH501"/>
  <c r="AG501"/>
  <c r="AD501"/>
  <c r="AC501"/>
  <c r="K501"/>
  <c r="G501"/>
  <c r="E501"/>
  <c r="C501"/>
  <c r="AH500"/>
  <c r="AG500"/>
  <c r="AD500"/>
  <c r="AC500"/>
  <c r="K500"/>
  <c r="G500"/>
  <c r="E500"/>
  <c r="C500"/>
  <c r="AH499"/>
  <c r="AG499"/>
  <c r="AD499"/>
  <c r="AC499"/>
  <c r="K499"/>
  <c r="G499"/>
  <c r="E499"/>
  <c r="S180" i="24" s="1"/>
  <c r="C499" i="18"/>
  <c r="AH498"/>
  <c r="AG498"/>
  <c r="AD498"/>
  <c r="AC498"/>
  <c r="K498"/>
  <c r="G498"/>
  <c r="E498"/>
  <c r="C498"/>
  <c r="AH497"/>
  <c r="AG497"/>
  <c r="AD497"/>
  <c r="AC497"/>
  <c r="K497"/>
  <c r="G497"/>
  <c r="E497"/>
  <c r="C497"/>
  <c r="AH496"/>
  <c r="AG496"/>
  <c r="AD496"/>
  <c r="AC496"/>
  <c r="K496"/>
  <c r="G496"/>
  <c r="E496"/>
  <c r="C496"/>
  <c r="AH495"/>
  <c r="AG495"/>
  <c r="AD495"/>
  <c r="AC495"/>
  <c r="K495"/>
  <c r="G495"/>
  <c r="E495"/>
  <c r="C495"/>
  <c r="AH494"/>
  <c r="AG494"/>
  <c r="AD494"/>
  <c r="AC494"/>
  <c r="K494"/>
  <c r="H494"/>
  <c r="G494"/>
  <c r="E494"/>
  <c r="C494"/>
  <c r="AH493"/>
  <c r="AG493"/>
  <c r="AD493"/>
  <c r="AC493"/>
  <c r="K493"/>
  <c r="G493"/>
  <c r="E493"/>
  <c r="C493"/>
  <c r="AH492"/>
  <c r="AG492"/>
  <c r="AD492"/>
  <c r="AC492"/>
  <c r="K492"/>
  <c r="G492"/>
  <c r="E492"/>
  <c r="S181" i="24" s="1"/>
  <c r="C492" i="18"/>
  <c r="AH491"/>
  <c r="AG491"/>
  <c r="AD491"/>
  <c r="AC491"/>
  <c r="K491"/>
  <c r="H491"/>
  <c r="G491"/>
  <c r="E491"/>
  <c r="C491"/>
  <c r="AH490"/>
  <c r="H490" s="1"/>
  <c r="AG490"/>
  <c r="AD490"/>
  <c r="AC490"/>
  <c r="K490"/>
  <c r="G490"/>
  <c r="E490"/>
  <c r="C490"/>
  <c r="AH489"/>
  <c r="H489" s="1"/>
  <c r="AG489"/>
  <c r="AD489"/>
  <c r="AC489"/>
  <c r="K489"/>
  <c r="G489"/>
  <c r="E489"/>
  <c r="C489"/>
  <c r="AH488"/>
  <c r="AG488"/>
  <c r="AD488"/>
  <c r="AC488"/>
  <c r="K488"/>
  <c r="G488"/>
  <c r="E488"/>
  <c r="C488"/>
  <c r="AH487"/>
  <c r="H487" s="1"/>
  <c r="AG487"/>
  <c r="AD487"/>
  <c r="AC487"/>
  <c r="K487"/>
  <c r="G487"/>
  <c r="E487"/>
  <c r="C487"/>
  <c r="AH486"/>
  <c r="H486" s="1"/>
  <c r="AG486"/>
  <c r="AD486"/>
  <c r="AC486"/>
  <c r="K486"/>
  <c r="G486"/>
  <c r="E486"/>
  <c r="C486"/>
  <c r="AH485"/>
  <c r="AG485"/>
  <c r="AD485"/>
  <c r="AC485"/>
  <c r="K485"/>
  <c r="G485"/>
  <c r="E485"/>
  <c r="C485"/>
  <c r="AH484"/>
  <c r="AG484"/>
  <c r="AD484"/>
  <c r="AC484"/>
  <c r="K484"/>
  <c r="G484"/>
  <c r="E484"/>
  <c r="C484"/>
  <c r="AH483"/>
  <c r="H483" s="1"/>
  <c r="AG483"/>
  <c r="AD483"/>
  <c r="AC483"/>
  <c r="K483"/>
  <c r="G483"/>
  <c r="E483"/>
  <c r="C483"/>
  <c r="AH482"/>
  <c r="AG482"/>
  <c r="AD482"/>
  <c r="AC482"/>
  <c r="K482"/>
  <c r="G482"/>
  <c r="E482"/>
  <c r="C482"/>
  <c r="N18" i="23" s="1"/>
  <c r="AH481" i="18"/>
  <c r="AG481"/>
  <c r="AD481"/>
  <c r="AC481"/>
  <c r="K481"/>
  <c r="G481"/>
  <c r="E481"/>
  <c r="C481"/>
  <c r="AH480"/>
  <c r="AG480"/>
  <c r="AD480"/>
  <c r="AC480"/>
  <c r="K480"/>
  <c r="G480"/>
  <c r="E480"/>
  <c r="C480"/>
  <c r="AH479"/>
  <c r="AG479"/>
  <c r="AD479"/>
  <c r="AC479"/>
  <c r="K479"/>
  <c r="G479"/>
  <c r="E479"/>
  <c r="C479"/>
  <c r="AH478"/>
  <c r="H478" s="1"/>
  <c r="AG478"/>
  <c r="AD478"/>
  <c r="AC478"/>
  <c r="K478"/>
  <c r="G478"/>
  <c r="E478"/>
  <c r="C478"/>
  <c r="AH477"/>
  <c r="AG477"/>
  <c r="AD477"/>
  <c r="AC477"/>
  <c r="K477"/>
  <c r="G477"/>
  <c r="E477"/>
  <c r="S186" i="24" s="1"/>
  <c r="C477" i="18"/>
  <c r="AH476"/>
  <c r="AG476"/>
  <c r="AD476"/>
  <c r="AC476"/>
  <c r="K476"/>
  <c r="G476"/>
  <c r="E476"/>
  <c r="C476"/>
  <c r="AH475"/>
  <c r="AG475"/>
  <c r="AD475"/>
  <c r="AC475"/>
  <c r="K475"/>
  <c r="G475"/>
  <c r="E475"/>
  <c r="C475"/>
  <c r="AH474"/>
  <c r="AG474"/>
  <c r="AD474"/>
  <c r="AC474"/>
  <c r="K474"/>
  <c r="G474"/>
  <c r="E474"/>
  <c r="C474"/>
  <c r="AH473"/>
  <c r="AG473"/>
  <c r="AD473"/>
  <c r="AC473"/>
  <c r="K473"/>
  <c r="G473"/>
  <c r="E473"/>
  <c r="C473"/>
  <c r="AH472"/>
  <c r="AG472"/>
  <c r="AD472"/>
  <c r="AC472"/>
  <c r="K472"/>
  <c r="G472"/>
  <c r="E472"/>
  <c r="C472"/>
  <c r="AH471"/>
  <c r="AG471"/>
  <c r="AD471"/>
  <c r="AC471"/>
  <c r="K471"/>
  <c r="G471"/>
  <c r="E471"/>
  <c r="S189" i="24" s="1"/>
  <c r="C471" i="18"/>
  <c r="AH470"/>
  <c r="AG470"/>
  <c r="AD470"/>
  <c r="AC470"/>
  <c r="K470"/>
  <c r="H470"/>
  <c r="G470"/>
  <c r="E470"/>
  <c r="C470"/>
  <c r="AH469"/>
  <c r="AG469"/>
  <c r="AD469"/>
  <c r="AC469"/>
  <c r="K469"/>
  <c r="G469"/>
  <c r="E469"/>
  <c r="C469"/>
  <c r="AH468"/>
  <c r="AG468"/>
  <c r="H468" s="1"/>
  <c r="AD468"/>
  <c r="AC468"/>
  <c r="K468"/>
  <c r="G468"/>
  <c r="E468"/>
  <c r="C468"/>
  <c r="AH467"/>
  <c r="AG467"/>
  <c r="H467" s="1"/>
  <c r="AD467"/>
  <c r="AC467"/>
  <c r="K467"/>
  <c r="G467"/>
  <c r="E467"/>
  <c r="C467"/>
  <c r="AH466"/>
  <c r="AG466"/>
  <c r="AD466"/>
  <c r="AC466"/>
  <c r="K466"/>
  <c r="H466"/>
  <c r="G466"/>
  <c r="E466"/>
  <c r="C466"/>
  <c r="AH465"/>
  <c r="AG465"/>
  <c r="AD465"/>
  <c r="AC465"/>
  <c r="K465"/>
  <c r="G465"/>
  <c r="E465"/>
  <c r="C465"/>
  <c r="AH464"/>
  <c r="AG464"/>
  <c r="AD464"/>
  <c r="AC464"/>
  <c r="K464"/>
  <c r="G464"/>
  <c r="E464"/>
  <c r="C464"/>
  <c r="AH463"/>
  <c r="AG463"/>
  <c r="AD463"/>
  <c r="AC463"/>
  <c r="K463"/>
  <c r="G463"/>
  <c r="E463"/>
  <c r="C463"/>
  <c r="AH462"/>
  <c r="H462" s="1"/>
  <c r="AG462"/>
  <c r="AD462"/>
  <c r="AC462"/>
  <c r="K462"/>
  <c r="G462"/>
  <c r="E462"/>
  <c r="S192" i="24" s="1"/>
  <c r="C462" i="18"/>
  <c r="AH461"/>
  <c r="H461" s="1"/>
  <c r="AG461"/>
  <c r="AD461"/>
  <c r="AC461"/>
  <c r="K461"/>
  <c r="G461"/>
  <c r="E461"/>
  <c r="C461"/>
  <c r="AH460"/>
  <c r="AG460"/>
  <c r="AD460"/>
  <c r="AC460"/>
  <c r="K460"/>
  <c r="G460"/>
  <c r="E460"/>
  <c r="C460"/>
  <c r="AH459"/>
  <c r="AG459"/>
  <c r="AD459"/>
  <c r="AC459"/>
  <c r="K459"/>
  <c r="G459"/>
  <c r="E459"/>
  <c r="C459"/>
  <c r="AH458"/>
  <c r="H458" s="1"/>
  <c r="AG458"/>
  <c r="AD458"/>
  <c r="AC458"/>
  <c r="K458"/>
  <c r="G458"/>
  <c r="E458"/>
  <c r="C458"/>
  <c r="AH457"/>
  <c r="AG457"/>
  <c r="AD457"/>
  <c r="AC457"/>
  <c r="K457"/>
  <c r="G457"/>
  <c r="E457"/>
  <c r="C457"/>
  <c r="AH456"/>
  <c r="AG456"/>
  <c r="AD456"/>
  <c r="AC456"/>
  <c r="K456"/>
  <c r="G456"/>
  <c r="E456"/>
  <c r="C456"/>
  <c r="AH455"/>
  <c r="AG455"/>
  <c r="AD455"/>
  <c r="AC455"/>
  <c r="K455"/>
  <c r="G455"/>
  <c r="E455"/>
  <c r="C455"/>
  <c r="AH454"/>
  <c r="H454" s="1"/>
  <c r="AG454"/>
  <c r="AD454"/>
  <c r="AC454"/>
  <c r="K454"/>
  <c r="G454"/>
  <c r="E454"/>
  <c r="C454"/>
  <c r="AH453"/>
  <c r="AG453"/>
  <c r="AD453"/>
  <c r="AC453"/>
  <c r="K453"/>
  <c r="G453"/>
  <c r="E453"/>
  <c r="S193" i="24" s="1"/>
  <c r="C453" i="18"/>
  <c r="AH452"/>
  <c r="AG452"/>
  <c r="AD452"/>
  <c r="AC452"/>
  <c r="K452"/>
  <c r="G452"/>
  <c r="E452"/>
  <c r="S194" i="24" s="1"/>
  <c r="C452" i="18"/>
  <c r="AH451"/>
  <c r="AG451"/>
  <c r="AD451"/>
  <c r="AC451"/>
  <c r="K451"/>
  <c r="G451"/>
  <c r="E451"/>
  <c r="C451"/>
  <c r="AH450"/>
  <c r="H450" s="1"/>
  <c r="AG450"/>
  <c r="AD450"/>
  <c r="AC450"/>
  <c r="K450"/>
  <c r="G450"/>
  <c r="E450"/>
  <c r="C450"/>
  <c r="AH449"/>
  <c r="AG449"/>
  <c r="AD449"/>
  <c r="AC449"/>
  <c r="K449"/>
  <c r="G449"/>
  <c r="E449"/>
  <c r="C449"/>
  <c r="AH448"/>
  <c r="AG448"/>
  <c r="AD448"/>
  <c r="AC448"/>
  <c r="K448"/>
  <c r="G448"/>
  <c r="E448"/>
  <c r="C448"/>
  <c r="AH447"/>
  <c r="AG447"/>
  <c r="AD447"/>
  <c r="AC447"/>
  <c r="K447"/>
  <c r="G447"/>
  <c r="E447"/>
  <c r="S197" i="24" s="1"/>
  <c r="C447" i="18"/>
  <c r="AH446"/>
  <c r="H446" s="1"/>
  <c r="AG446"/>
  <c r="AD446"/>
  <c r="AC446"/>
  <c r="K446"/>
  <c r="G446"/>
  <c r="E446"/>
  <c r="C446"/>
  <c r="AH445"/>
  <c r="AG445"/>
  <c r="AD445"/>
  <c r="AC445"/>
  <c r="K445"/>
  <c r="G445"/>
  <c r="E445"/>
  <c r="C445"/>
  <c r="AH444"/>
  <c r="AG444"/>
  <c r="AD444"/>
  <c r="AC444"/>
  <c r="K444"/>
  <c r="G444"/>
  <c r="E444"/>
  <c r="C444"/>
  <c r="AH443"/>
  <c r="AG443"/>
  <c r="AD443"/>
  <c r="AC443"/>
  <c r="K443"/>
  <c r="G443"/>
  <c r="E443"/>
  <c r="C443"/>
  <c r="AH442"/>
  <c r="AG442"/>
  <c r="AD442"/>
  <c r="AC442"/>
  <c r="K442"/>
  <c r="G442"/>
  <c r="E442"/>
  <c r="C442"/>
  <c r="AH441"/>
  <c r="AG441"/>
  <c r="AD441"/>
  <c r="AC441"/>
  <c r="K441"/>
  <c r="G441"/>
  <c r="E441"/>
  <c r="C441"/>
  <c r="AH440"/>
  <c r="AG440"/>
  <c r="AD440"/>
  <c r="AC440"/>
  <c r="K440"/>
  <c r="G440"/>
  <c r="E440"/>
  <c r="C440"/>
  <c r="AH439"/>
  <c r="AG439"/>
  <c r="AD439"/>
  <c r="AC439"/>
  <c r="K439"/>
  <c r="G439"/>
  <c r="E439"/>
  <c r="C439"/>
  <c r="AH438"/>
  <c r="AG438"/>
  <c r="AD438"/>
  <c r="AC438"/>
  <c r="K438"/>
  <c r="G438"/>
  <c r="E438"/>
  <c r="C438"/>
  <c r="AH437"/>
  <c r="AG437"/>
  <c r="AD437"/>
  <c r="AC437"/>
  <c r="K437"/>
  <c r="G437"/>
  <c r="E437"/>
  <c r="C437"/>
  <c r="AH436"/>
  <c r="AG436"/>
  <c r="AD436"/>
  <c r="AC436"/>
  <c r="K436"/>
  <c r="G436"/>
  <c r="E436"/>
  <c r="C436"/>
  <c r="AH435"/>
  <c r="AG435"/>
  <c r="AD435"/>
  <c r="AC435"/>
  <c r="K435"/>
  <c r="G435"/>
  <c r="E435"/>
  <c r="C435"/>
  <c r="AH434"/>
  <c r="AG434"/>
  <c r="AD434"/>
  <c r="AC434"/>
  <c r="K434"/>
  <c r="G434"/>
  <c r="E434"/>
  <c r="C434"/>
  <c r="AH433"/>
  <c r="AG433"/>
  <c r="AD433"/>
  <c r="AC433"/>
  <c r="K433"/>
  <c r="G433"/>
  <c r="E433"/>
  <c r="C433"/>
  <c r="AH432"/>
  <c r="AG432"/>
  <c r="AD432"/>
  <c r="AC432"/>
  <c r="K432"/>
  <c r="G432"/>
  <c r="E432"/>
  <c r="C432"/>
  <c r="AH431"/>
  <c r="AG431"/>
  <c r="AD431"/>
  <c r="AC431"/>
  <c r="K431"/>
  <c r="G431"/>
  <c r="E431"/>
  <c r="C431"/>
  <c r="AH430"/>
  <c r="AG430"/>
  <c r="AD430"/>
  <c r="AC430"/>
  <c r="K430"/>
  <c r="G430"/>
  <c r="E430"/>
  <c r="C430"/>
  <c r="AH429"/>
  <c r="AG429"/>
  <c r="AD429"/>
  <c r="AC429"/>
  <c r="K429"/>
  <c r="G429"/>
  <c r="E429"/>
  <c r="C429"/>
  <c r="AH428"/>
  <c r="AG428"/>
  <c r="AD428"/>
  <c r="AC428"/>
  <c r="K428"/>
  <c r="G428"/>
  <c r="E428"/>
  <c r="C428"/>
  <c r="AH427"/>
  <c r="AG427"/>
  <c r="AD427"/>
  <c r="AC427"/>
  <c r="K427"/>
  <c r="G427"/>
  <c r="E427"/>
  <c r="C427"/>
  <c r="AH426"/>
  <c r="AG426"/>
  <c r="AD426"/>
  <c r="AC426"/>
  <c r="K426"/>
  <c r="G426"/>
  <c r="E426"/>
  <c r="C426"/>
  <c r="AH425"/>
  <c r="AG425"/>
  <c r="AD425"/>
  <c r="AC425"/>
  <c r="K425"/>
  <c r="G425"/>
  <c r="E425"/>
  <c r="S200" i="24" s="1"/>
  <c r="C425" i="18"/>
  <c r="AH424"/>
  <c r="AG424"/>
  <c r="AD424"/>
  <c r="AC424"/>
  <c r="K424"/>
  <c r="G424"/>
  <c r="E424"/>
  <c r="C424"/>
  <c r="AH423"/>
  <c r="AG423"/>
  <c r="H423" s="1"/>
  <c r="AD423"/>
  <c r="AC423"/>
  <c r="K423"/>
  <c r="G423"/>
  <c r="E423"/>
  <c r="C423"/>
  <c r="AH422"/>
  <c r="AG422"/>
  <c r="AD422"/>
  <c r="AC422"/>
  <c r="K422"/>
  <c r="H422"/>
  <c r="G422"/>
  <c r="E422"/>
  <c r="C422"/>
  <c r="AH421"/>
  <c r="AG421"/>
  <c r="AD421"/>
  <c r="AC421"/>
  <c r="K421"/>
  <c r="G421"/>
  <c r="E421"/>
  <c r="C421"/>
  <c r="AH420"/>
  <c r="AG420"/>
  <c r="AD420"/>
  <c r="AC420"/>
  <c r="K420"/>
  <c r="G420"/>
  <c r="E420"/>
  <c r="C420"/>
  <c r="AH419"/>
  <c r="AG419"/>
  <c r="H419" s="1"/>
  <c r="AD419"/>
  <c r="AC419"/>
  <c r="K419"/>
  <c r="G419"/>
  <c r="E419"/>
  <c r="C419"/>
  <c r="N17" i="23" s="1"/>
  <c r="AH418" i="18"/>
  <c r="AG418"/>
  <c r="AD418"/>
  <c r="AC418"/>
  <c r="K418"/>
  <c r="H418"/>
  <c r="G418"/>
  <c r="E418"/>
  <c r="S201" i="24" s="1"/>
  <c r="C418" i="18"/>
  <c r="AH417"/>
  <c r="AG417"/>
  <c r="AD417"/>
  <c r="AC417"/>
  <c r="K417"/>
  <c r="G417"/>
  <c r="E417"/>
  <c r="C417"/>
  <c r="AH416"/>
  <c r="AG416"/>
  <c r="AD416"/>
  <c r="AC416"/>
  <c r="K416"/>
  <c r="G416"/>
  <c r="E416"/>
  <c r="C416"/>
  <c r="N16" i="23" s="1"/>
  <c r="AH415" i="18"/>
  <c r="AG415"/>
  <c r="AD415"/>
  <c r="AC415"/>
  <c r="K415"/>
  <c r="G415"/>
  <c r="E415"/>
  <c r="C415"/>
  <c r="AH414"/>
  <c r="H414" s="1"/>
  <c r="AG414"/>
  <c r="AD414"/>
  <c r="AC414"/>
  <c r="K414"/>
  <c r="G414"/>
  <c r="E414"/>
  <c r="C414"/>
  <c r="AH413"/>
  <c r="H413" s="1"/>
  <c r="AG413"/>
  <c r="AD413"/>
  <c r="AC413"/>
  <c r="K413"/>
  <c r="G413"/>
  <c r="E413"/>
  <c r="C413"/>
  <c r="AH412"/>
  <c r="H412" s="1"/>
  <c r="AG412"/>
  <c r="AD412"/>
  <c r="AC412"/>
  <c r="K412"/>
  <c r="G412"/>
  <c r="E412"/>
  <c r="C412"/>
  <c r="AH411"/>
  <c r="AG411"/>
  <c r="AD411"/>
  <c r="AC411"/>
  <c r="K411"/>
  <c r="G411"/>
  <c r="E411"/>
  <c r="C411"/>
  <c r="AH410"/>
  <c r="H410" s="1"/>
  <c r="AG410"/>
  <c r="AD410"/>
  <c r="AC410"/>
  <c r="K410"/>
  <c r="G410"/>
  <c r="E410"/>
  <c r="C410"/>
  <c r="AH409"/>
  <c r="AG409"/>
  <c r="AD409"/>
  <c r="AC409"/>
  <c r="K409"/>
  <c r="G409"/>
  <c r="E409"/>
  <c r="S202" i="24" s="1"/>
  <c r="C409" i="18"/>
  <c r="AH408"/>
  <c r="AG408"/>
  <c r="AD408"/>
  <c r="AC408"/>
  <c r="K408"/>
  <c r="G408"/>
  <c r="E408"/>
  <c r="C408"/>
  <c r="AH407"/>
  <c r="AG407"/>
  <c r="AD407"/>
  <c r="AC407"/>
  <c r="K407"/>
  <c r="G407"/>
  <c r="E407"/>
  <c r="C407"/>
  <c r="AH406"/>
  <c r="H406" s="1"/>
  <c r="AG406"/>
  <c r="AD406"/>
  <c r="AC406"/>
  <c r="K406"/>
  <c r="G406"/>
  <c r="E406"/>
  <c r="C406"/>
  <c r="AH405"/>
  <c r="AG405"/>
  <c r="AD405"/>
  <c r="AC405"/>
  <c r="K405"/>
  <c r="G405"/>
  <c r="E405"/>
  <c r="C405"/>
  <c r="AH404"/>
  <c r="AG404"/>
  <c r="AD404"/>
  <c r="AC404"/>
  <c r="K404"/>
  <c r="G404"/>
  <c r="E404"/>
  <c r="C404"/>
  <c r="AH403"/>
  <c r="AG403"/>
  <c r="AD403"/>
  <c r="AC403"/>
  <c r="K403"/>
  <c r="G403"/>
  <c r="E403"/>
  <c r="C403"/>
  <c r="AH402"/>
  <c r="H402" s="1"/>
  <c r="AG402"/>
  <c r="AD402"/>
  <c r="AC402"/>
  <c r="K402"/>
  <c r="G402"/>
  <c r="E402"/>
  <c r="C402"/>
  <c r="AH401"/>
  <c r="AG401"/>
  <c r="AD401"/>
  <c r="AC401"/>
  <c r="K401"/>
  <c r="G401"/>
  <c r="E401"/>
  <c r="S205" i="24" s="1"/>
  <c r="C401" i="18"/>
  <c r="AH400"/>
  <c r="AG400"/>
  <c r="AD400"/>
  <c r="AC400"/>
  <c r="K400"/>
  <c r="G400"/>
  <c r="E400"/>
  <c r="S206" i="24" s="1"/>
  <c r="C400" i="18"/>
  <c r="AH399"/>
  <c r="AG399"/>
  <c r="AD399"/>
  <c r="AC399"/>
  <c r="K399"/>
  <c r="G399"/>
  <c r="E399"/>
  <c r="C399"/>
  <c r="AH398"/>
  <c r="H398" s="1"/>
  <c r="AG398"/>
  <c r="AD398"/>
  <c r="AC398"/>
  <c r="K398"/>
  <c r="G398"/>
  <c r="E398"/>
  <c r="C398"/>
  <c r="AH397"/>
  <c r="AG397"/>
  <c r="AD397"/>
  <c r="AC397"/>
  <c r="K397"/>
  <c r="G397"/>
  <c r="E397"/>
  <c r="C397"/>
  <c r="AH396"/>
  <c r="AG396"/>
  <c r="AD396"/>
  <c r="AC396"/>
  <c r="K396"/>
  <c r="G396"/>
  <c r="E396"/>
  <c r="C396"/>
  <c r="AH395"/>
  <c r="AG395"/>
  <c r="AD395"/>
  <c r="AC395"/>
  <c r="K395"/>
  <c r="G395"/>
  <c r="E395"/>
  <c r="C395"/>
  <c r="AH394"/>
  <c r="AG394"/>
  <c r="AD394"/>
  <c r="AC394"/>
  <c r="K394"/>
  <c r="G394"/>
  <c r="E394"/>
  <c r="C394"/>
  <c r="AH393"/>
  <c r="AG393"/>
  <c r="AD393"/>
  <c r="AC393"/>
  <c r="K393"/>
  <c r="G393"/>
  <c r="E393"/>
  <c r="C393"/>
  <c r="AH392"/>
  <c r="AG392"/>
  <c r="AD392"/>
  <c r="AC392"/>
  <c r="K392"/>
  <c r="G392"/>
  <c r="E392"/>
  <c r="S207" i="24" s="1"/>
  <c r="C392" i="18"/>
  <c r="AH391"/>
  <c r="AG391"/>
  <c r="AD391"/>
  <c r="AC391"/>
  <c r="K391"/>
  <c r="G391"/>
  <c r="E391"/>
  <c r="C391"/>
  <c r="AH390"/>
  <c r="AG390"/>
  <c r="AD390"/>
  <c r="AC390"/>
  <c r="K390"/>
  <c r="G390"/>
  <c r="E390"/>
  <c r="C390"/>
  <c r="N15" i="23" s="1"/>
  <c r="AH389" i="18"/>
  <c r="AG389"/>
  <c r="AD389"/>
  <c r="AC389"/>
  <c r="K389"/>
  <c r="G389"/>
  <c r="E389"/>
  <c r="C389"/>
  <c r="AH388"/>
  <c r="AG388"/>
  <c r="AD388"/>
  <c r="AC388"/>
  <c r="K388"/>
  <c r="G388"/>
  <c r="E388"/>
  <c r="C388"/>
  <c r="U388" s="1"/>
  <c r="F388" s="1"/>
  <c r="AH387"/>
  <c r="AG387"/>
  <c r="AD387"/>
  <c r="AC387"/>
  <c r="K387"/>
  <c r="G387"/>
  <c r="E387"/>
  <c r="S209" i="24" s="1"/>
  <c r="C387" i="18"/>
  <c r="AH386"/>
  <c r="AG386"/>
  <c r="AD386"/>
  <c r="AC386"/>
  <c r="K386"/>
  <c r="G386"/>
  <c r="E386"/>
  <c r="C386"/>
  <c r="U386" s="1"/>
  <c r="F386" s="1"/>
  <c r="AH385"/>
  <c r="AG385"/>
  <c r="AD385"/>
  <c r="AC385"/>
  <c r="K385"/>
  <c r="G385"/>
  <c r="E385"/>
  <c r="S210" i="24" s="1"/>
  <c r="C385" i="18"/>
  <c r="AH384"/>
  <c r="AG384"/>
  <c r="AD384"/>
  <c r="AC384"/>
  <c r="K384"/>
  <c r="G384"/>
  <c r="E384"/>
  <c r="C384"/>
  <c r="D384" s="1"/>
  <c r="AH383"/>
  <c r="AG383"/>
  <c r="H383" s="1"/>
  <c r="AD383"/>
  <c r="AC383"/>
  <c r="K383"/>
  <c r="G383"/>
  <c r="E383"/>
  <c r="C383"/>
  <c r="AH382"/>
  <c r="AG382"/>
  <c r="AD382"/>
  <c r="AC382"/>
  <c r="K382"/>
  <c r="H382"/>
  <c r="G382"/>
  <c r="E382"/>
  <c r="C382"/>
  <c r="U382" s="1"/>
  <c r="F382" s="1"/>
  <c r="AH381"/>
  <c r="AG381"/>
  <c r="AD381"/>
  <c r="AC381"/>
  <c r="K381"/>
  <c r="G381"/>
  <c r="E381"/>
  <c r="C381"/>
  <c r="AH380"/>
  <c r="AG380"/>
  <c r="AD380"/>
  <c r="AC380"/>
  <c r="K380"/>
  <c r="G380"/>
  <c r="E380"/>
  <c r="C380"/>
  <c r="U380" s="1"/>
  <c r="F380" s="1"/>
  <c r="AH379"/>
  <c r="AG379"/>
  <c r="AD379"/>
  <c r="AC379"/>
  <c r="K379"/>
  <c r="G379"/>
  <c r="E379"/>
  <c r="C379"/>
  <c r="AH378"/>
  <c r="AG378"/>
  <c r="AD378"/>
  <c r="AC378"/>
  <c r="K378"/>
  <c r="G378"/>
  <c r="E378"/>
  <c r="C378"/>
  <c r="AH377"/>
  <c r="AG377"/>
  <c r="AD377"/>
  <c r="AC377"/>
  <c r="K377"/>
  <c r="G377"/>
  <c r="E377"/>
  <c r="C377"/>
  <c r="AH376"/>
  <c r="AG376"/>
  <c r="AD376"/>
  <c r="AC376"/>
  <c r="K376"/>
  <c r="G376"/>
  <c r="E376"/>
  <c r="S211" i="24" s="1"/>
  <c r="C376" i="18"/>
  <c r="D376" s="1"/>
  <c r="T211" i="24" s="1"/>
  <c r="AH375" i="18"/>
  <c r="AG375"/>
  <c r="H375" s="1"/>
  <c r="AD375"/>
  <c r="AC375"/>
  <c r="K375"/>
  <c r="G375"/>
  <c r="E375"/>
  <c r="C375"/>
  <c r="AH374"/>
  <c r="AG374"/>
  <c r="AD374"/>
  <c r="AC374"/>
  <c r="K374"/>
  <c r="H374"/>
  <c r="G374"/>
  <c r="E374"/>
  <c r="C374"/>
  <c r="U374" s="1"/>
  <c r="F374" s="1"/>
  <c r="AH373"/>
  <c r="AG373"/>
  <c r="AD373"/>
  <c r="AC373"/>
  <c r="K373"/>
  <c r="G373"/>
  <c r="E373"/>
  <c r="C373"/>
  <c r="AH372"/>
  <c r="AG372"/>
  <c r="AD372"/>
  <c r="AC372"/>
  <c r="K372"/>
  <c r="G372"/>
  <c r="E372"/>
  <c r="C372"/>
  <c r="AH371"/>
  <c r="AG371"/>
  <c r="AD371"/>
  <c r="AC371"/>
  <c r="K371"/>
  <c r="G371"/>
  <c r="E371"/>
  <c r="C371"/>
  <c r="AH370"/>
  <c r="H370" s="1"/>
  <c r="AG370"/>
  <c r="AD370"/>
  <c r="AC370"/>
  <c r="K370"/>
  <c r="G370"/>
  <c r="E370"/>
  <c r="S212" i="24" s="1"/>
  <c r="C370" i="18"/>
  <c r="U370" s="1"/>
  <c r="F370" s="1"/>
  <c r="AH369"/>
  <c r="H369" s="1"/>
  <c r="AG369"/>
  <c r="AD369"/>
  <c r="AC369"/>
  <c r="K369"/>
  <c r="G369"/>
  <c r="E369"/>
  <c r="C369"/>
  <c r="AH368"/>
  <c r="H368" s="1"/>
  <c r="AG368"/>
  <c r="AD368"/>
  <c r="AC368"/>
  <c r="K368"/>
  <c r="G368"/>
  <c r="E368"/>
  <c r="C368"/>
  <c r="D368" s="1"/>
  <c r="AH367"/>
  <c r="AG367"/>
  <c r="AD367"/>
  <c r="AC367"/>
  <c r="K367"/>
  <c r="G367"/>
  <c r="E367"/>
  <c r="C367"/>
  <c r="AH366"/>
  <c r="H366" s="1"/>
  <c r="AG366"/>
  <c r="AD366"/>
  <c r="AC366"/>
  <c r="K366"/>
  <c r="G366"/>
  <c r="E366"/>
  <c r="C366"/>
  <c r="U366" s="1"/>
  <c r="F366" s="1"/>
  <c r="AH365"/>
  <c r="H365" s="1"/>
  <c r="AG365"/>
  <c r="AD365"/>
  <c r="AC365"/>
  <c r="K365"/>
  <c r="G365"/>
  <c r="E365"/>
  <c r="C365"/>
  <c r="N14" i="23" s="1"/>
  <c r="AH364" i="18"/>
  <c r="H364" s="1"/>
  <c r="AG364"/>
  <c r="AD364"/>
  <c r="AC364"/>
  <c r="K364"/>
  <c r="G364"/>
  <c r="E364"/>
  <c r="C364"/>
  <c r="U364" s="1"/>
  <c r="F364" s="1"/>
  <c r="AH363"/>
  <c r="AG363"/>
  <c r="AD363"/>
  <c r="AC363"/>
  <c r="K363"/>
  <c r="G363"/>
  <c r="E363"/>
  <c r="C363"/>
  <c r="AH362"/>
  <c r="H362" s="1"/>
  <c r="AG362"/>
  <c r="AD362"/>
  <c r="AC362"/>
  <c r="K362"/>
  <c r="G362"/>
  <c r="E362"/>
  <c r="S213" i="24" s="1"/>
  <c r="C362" i="18"/>
  <c r="U362" s="1"/>
  <c r="F362" s="1"/>
  <c r="AH361"/>
  <c r="AG361"/>
  <c r="AD361"/>
  <c r="AC361"/>
  <c r="K361"/>
  <c r="G361"/>
  <c r="E361"/>
  <c r="C361"/>
  <c r="AH360"/>
  <c r="AG360"/>
  <c r="AD360"/>
  <c r="AC360"/>
  <c r="K360"/>
  <c r="G360"/>
  <c r="E360"/>
  <c r="C360"/>
  <c r="D360" s="1"/>
  <c r="AH359"/>
  <c r="H359" s="1"/>
  <c r="AG359"/>
  <c r="AD359"/>
  <c r="AC359"/>
  <c r="K359"/>
  <c r="G359"/>
  <c r="E359"/>
  <c r="S214" i="24" s="1"/>
  <c r="C359" i="18"/>
  <c r="AH358"/>
  <c r="AG358"/>
  <c r="AD358"/>
  <c r="AC358"/>
  <c r="K358"/>
  <c r="G358"/>
  <c r="E358"/>
  <c r="C358"/>
  <c r="U358" s="1"/>
  <c r="F358" s="1"/>
  <c r="AH357"/>
  <c r="AG357"/>
  <c r="AD357"/>
  <c r="AC357"/>
  <c r="K357"/>
  <c r="G357"/>
  <c r="E357"/>
  <c r="C357"/>
  <c r="AH356"/>
  <c r="AG356"/>
  <c r="AD356"/>
  <c r="AC356"/>
  <c r="K356"/>
  <c r="G356"/>
  <c r="E356"/>
  <c r="C356"/>
  <c r="U356" s="1"/>
  <c r="F356" s="1"/>
  <c r="AH355"/>
  <c r="H355" s="1"/>
  <c r="AG355"/>
  <c r="AD355"/>
  <c r="AC355"/>
  <c r="K355"/>
  <c r="G355"/>
  <c r="E355"/>
  <c r="C355"/>
  <c r="AH354"/>
  <c r="AG354"/>
  <c r="AD354"/>
  <c r="AC354"/>
  <c r="K354"/>
  <c r="G354"/>
  <c r="E354"/>
  <c r="C354"/>
  <c r="U354" s="1"/>
  <c r="F354" s="1"/>
  <c r="AH353"/>
  <c r="AG353"/>
  <c r="AD353"/>
  <c r="AC353"/>
  <c r="K353"/>
  <c r="G353"/>
  <c r="E353"/>
  <c r="C353"/>
  <c r="AH352"/>
  <c r="AG352"/>
  <c r="AD352"/>
  <c r="AC352"/>
  <c r="K352"/>
  <c r="G352"/>
  <c r="E352"/>
  <c r="C352"/>
  <c r="D352" s="1"/>
  <c r="AH351"/>
  <c r="AG351"/>
  <c r="AD351"/>
  <c r="AC351"/>
  <c r="K351"/>
  <c r="H351"/>
  <c r="G351"/>
  <c r="E351"/>
  <c r="C351"/>
  <c r="AH350"/>
  <c r="AG350"/>
  <c r="AD350"/>
  <c r="AC350"/>
  <c r="K350"/>
  <c r="H350"/>
  <c r="G350"/>
  <c r="E350"/>
  <c r="C350"/>
  <c r="M14" i="2" s="1"/>
  <c r="AH349" i="18"/>
  <c r="H349" s="1"/>
  <c r="AG349"/>
  <c r="AD349"/>
  <c r="AC349"/>
  <c r="K349"/>
  <c r="G349"/>
  <c r="E349"/>
  <c r="C349"/>
  <c r="AH348"/>
  <c r="H348" s="1"/>
  <c r="AG348"/>
  <c r="AD348"/>
  <c r="AC348"/>
  <c r="K348"/>
  <c r="G348"/>
  <c r="E348"/>
  <c r="C348"/>
  <c r="U348" s="1"/>
  <c r="F348" s="1"/>
  <c r="AH347"/>
  <c r="H347" s="1"/>
  <c r="AG347"/>
  <c r="AD347"/>
  <c r="AC347"/>
  <c r="K347"/>
  <c r="G347"/>
  <c r="E347"/>
  <c r="C347"/>
  <c r="AH346"/>
  <c r="H346" s="1"/>
  <c r="AG346"/>
  <c r="AD346"/>
  <c r="AC346"/>
  <c r="K346"/>
  <c r="G346"/>
  <c r="E346"/>
  <c r="C346"/>
  <c r="U346" s="1"/>
  <c r="F346" s="1"/>
  <c r="AH345"/>
  <c r="AG345"/>
  <c r="AD345"/>
  <c r="AC345"/>
  <c r="K345"/>
  <c r="G345"/>
  <c r="E345"/>
  <c r="C345"/>
  <c r="AH344"/>
  <c r="AG344"/>
  <c r="AD344"/>
  <c r="AC344"/>
  <c r="K344"/>
  <c r="G344"/>
  <c r="E344"/>
  <c r="C344"/>
  <c r="D344" s="1"/>
  <c r="AH343"/>
  <c r="H343" s="1"/>
  <c r="AG343"/>
  <c r="AD343"/>
  <c r="AC343"/>
  <c r="K343"/>
  <c r="G343"/>
  <c r="E343"/>
  <c r="C343"/>
  <c r="AH342"/>
  <c r="AG342"/>
  <c r="AD342"/>
  <c r="AC342"/>
  <c r="K342"/>
  <c r="G342"/>
  <c r="E342"/>
  <c r="C342"/>
  <c r="U342" s="1"/>
  <c r="F342" s="1"/>
  <c r="AH341"/>
  <c r="AG341"/>
  <c r="AD341"/>
  <c r="AC341"/>
  <c r="K341"/>
  <c r="G341"/>
  <c r="E341"/>
  <c r="C341"/>
  <c r="AH340"/>
  <c r="AG340"/>
  <c r="AD340"/>
  <c r="AC340"/>
  <c r="K340"/>
  <c r="G340"/>
  <c r="E340"/>
  <c r="C340"/>
  <c r="U340" s="1"/>
  <c r="F340" s="1"/>
  <c r="AH339"/>
  <c r="H339" s="1"/>
  <c r="AG339"/>
  <c r="AD339"/>
  <c r="AC339"/>
  <c r="K339"/>
  <c r="G339"/>
  <c r="E339"/>
  <c r="C339"/>
  <c r="AH338"/>
  <c r="AG338"/>
  <c r="AD338"/>
  <c r="AC338"/>
  <c r="K338"/>
  <c r="G338"/>
  <c r="E338"/>
  <c r="C338"/>
  <c r="U338" s="1"/>
  <c r="F338" s="1"/>
  <c r="AH337"/>
  <c r="AG337"/>
  <c r="AD337"/>
  <c r="AC337"/>
  <c r="K337"/>
  <c r="G337"/>
  <c r="E337"/>
  <c r="C337"/>
  <c r="AH336"/>
  <c r="AG336"/>
  <c r="AD336"/>
  <c r="AC336"/>
  <c r="K336"/>
  <c r="G336"/>
  <c r="E336"/>
  <c r="C336"/>
  <c r="D336" s="1"/>
  <c r="AH335"/>
  <c r="H335" s="1"/>
  <c r="AG335"/>
  <c r="AD335"/>
  <c r="AC335"/>
  <c r="K335"/>
  <c r="G335"/>
  <c r="E335"/>
  <c r="C335"/>
  <c r="AH334"/>
  <c r="AG334"/>
  <c r="AD334"/>
  <c r="AC334"/>
  <c r="K334"/>
  <c r="H334"/>
  <c r="G334"/>
  <c r="E334"/>
  <c r="C334"/>
  <c r="D334" s="1"/>
  <c r="AH333"/>
  <c r="AG333"/>
  <c r="AD333"/>
  <c r="AC333"/>
  <c r="K333"/>
  <c r="G333"/>
  <c r="E333"/>
  <c r="C333"/>
  <c r="AH332"/>
  <c r="AG332"/>
  <c r="AD332"/>
  <c r="AC332"/>
  <c r="K332"/>
  <c r="G332"/>
  <c r="E332"/>
  <c r="C332"/>
  <c r="U332" s="1"/>
  <c r="F332" s="1"/>
  <c r="AH331"/>
  <c r="AG331"/>
  <c r="AD331"/>
  <c r="AC331"/>
  <c r="K331"/>
  <c r="G331"/>
  <c r="E331"/>
  <c r="S219" i="24" s="1"/>
  <c r="C331" i="18"/>
  <c r="AH330"/>
  <c r="AG330"/>
  <c r="AD330"/>
  <c r="AC330"/>
  <c r="K330"/>
  <c r="G330"/>
  <c r="E330"/>
  <c r="C330"/>
  <c r="U330" s="1"/>
  <c r="F330" s="1"/>
  <c r="AH329"/>
  <c r="AG329"/>
  <c r="AD329"/>
  <c r="AC329"/>
  <c r="K329"/>
  <c r="G329"/>
  <c r="E329"/>
  <c r="C329"/>
  <c r="AH328"/>
  <c r="AG328"/>
  <c r="AD328"/>
  <c r="AC328"/>
  <c r="K328"/>
  <c r="G328"/>
  <c r="E328"/>
  <c r="C328"/>
  <c r="D328" s="1"/>
  <c r="AH327"/>
  <c r="AG327"/>
  <c r="AD327"/>
  <c r="AC327"/>
  <c r="K327"/>
  <c r="G327"/>
  <c r="E327"/>
  <c r="C327"/>
  <c r="AH326"/>
  <c r="AG326"/>
  <c r="AD326"/>
  <c r="AC326"/>
  <c r="K326"/>
  <c r="G326"/>
  <c r="E326"/>
  <c r="C326"/>
  <c r="U326" s="1"/>
  <c r="F326" s="1"/>
  <c r="AH325"/>
  <c r="AG325"/>
  <c r="AD325"/>
  <c r="AC325"/>
  <c r="K325"/>
  <c r="G325"/>
  <c r="E325"/>
  <c r="C325"/>
  <c r="AH324"/>
  <c r="AG324"/>
  <c r="AD324"/>
  <c r="AC324"/>
  <c r="K324"/>
  <c r="G324"/>
  <c r="E324"/>
  <c r="C324"/>
  <c r="U324" s="1"/>
  <c r="F324" s="1"/>
  <c r="AH323"/>
  <c r="AG323"/>
  <c r="AD323"/>
  <c r="AC323"/>
  <c r="K323"/>
  <c r="H323"/>
  <c r="G323"/>
  <c r="E323"/>
  <c r="C323"/>
  <c r="AH322"/>
  <c r="AG322"/>
  <c r="AD322"/>
  <c r="AC322"/>
  <c r="K322"/>
  <c r="G322"/>
  <c r="E322"/>
  <c r="C322"/>
  <c r="U322" s="1"/>
  <c r="F322" s="1"/>
  <c r="AH321"/>
  <c r="AG321"/>
  <c r="AD321"/>
  <c r="AC321"/>
  <c r="K321"/>
  <c r="G321"/>
  <c r="E321"/>
  <c r="C321"/>
  <c r="AH320"/>
  <c r="AG320"/>
  <c r="AD320"/>
  <c r="AC320"/>
  <c r="K320"/>
  <c r="G320"/>
  <c r="E320"/>
  <c r="C320"/>
  <c r="D320" s="1"/>
  <c r="AH319"/>
  <c r="H319" s="1"/>
  <c r="AG319"/>
  <c r="AD319"/>
  <c r="AC319"/>
  <c r="K319"/>
  <c r="G319"/>
  <c r="E319"/>
  <c r="C319"/>
  <c r="AH318"/>
  <c r="H318" s="1"/>
  <c r="AG318"/>
  <c r="AD318"/>
  <c r="AC318"/>
  <c r="K318"/>
  <c r="G318"/>
  <c r="E318"/>
  <c r="C318"/>
  <c r="AH317"/>
  <c r="H317" s="1"/>
  <c r="AG317"/>
  <c r="AD317"/>
  <c r="AC317"/>
  <c r="K317"/>
  <c r="G317"/>
  <c r="E317"/>
  <c r="C317"/>
  <c r="AH316"/>
  <c r="H316" s="1"/>
  <c r="AG316"/>
  <c r="AD316"/>
  <c r="AC316"/>
  <c r="K316"/>
  <c r="G316"/>
  <c r="E316"/>
  <c r="C316"/>
  <c r="U316" s="1"/>
  <c r="F316" s="1"/>
  <c r="AH315"/>
  <c r="AG315"/>
  <c r="AD315"/>
  <c r="AC315"/>
  <c r="K315"/>
  <c r="G315"/>
  <c r="E315"/>
  <c r="C315"/>
  <c r="AH314"/>
  <c r="H314" s="1"/>
  <c r="AG314"/>
  <c r="AD314"/>
  <c r="AC314"/>
  <c r="K314"/>
  <c r="G314"/>
  <c r="E314"/>
  <c r="C314"/>
  <c r="U314" s="1"/>
  <c r="F314" s="1"/>
  <c r="AH313"/>
  <c r="H313" s="1"/>
  <c r="AG313"/>
  <c r="AD313"/>
  <c r="AC313"/>
  <c r="K313"/>
  <c r="G313"/>
  <c r="E313"/>
  <c r="C313"/>
  <c r="AH312"/>
  <c r="H312" s="1"/>
  <c r="AG312"/>
  <c r="AD312"/>
  <c r="AC312"/>
  <c r="K312"/>
  <c r="G312"/>
  <c r="E312"/>
  <c r="C312"/>
  <c r="U312" s="1"/>
  <c r="F312" s="1"/>
  <c r="AH311"/>
  <c r="AG311"/>
  <c r="AD311"/>
  <c r="AC311"/>
  <c r="K311"/>
  <c r="G311"/>
  <c r="E311"/>
  <c r="C311"/>
  <c r="AH310"/>
  <c r="H310" s="1"/>
  <c r="AG310"/>
  <c r="AD310"/>
  <c r="AC310"/>
  <c r="K310"/>
  <c r="G310"/>
  <c r="E310"/>
  <c r="C310"/>
  <c r="U310" s="1"/>
  <c r="F310" s="1"/>
  <c r="AH309"/>
  <c r="AG309"/>
  <c r="AD309"/>
  <c r="AC309"/>
  <c r="K309"/>
  <c r="G309"/>
  <c r="E309"/>
  <c r="C309"/>
  <c r="AH308"/>
  <c r="AG308"/>
  <c r="AD308"/>
  <c r="AC308"/>
  <c r="K308"/>
  <c r="G308"/>
  <c r="E308"/>
  <c r="C308"/>
  <c r="D308" s="1"/>
  <c r="AH307"/>
  <c r="AG307"/>
  <c r="AD307"/>
  <c r="AC307"/>
  <c r="K307"/>
  <c r="G307"/>
  <c r="E307"/>
  <c r="C307"/>
  <c r="AH306"/>
  <c r="AG306"/>
  <c r="AD306"/>
  <c r="AC306"/>
  <c r="K306"/>
  <c r="G306"/>
  <c r="E306"/>
  <c r="C306"/>
  <c r="U306" s="1"/>
  <c r="F306" s="1"/>
  <c r="AH305"/>
  <c r="AG305"/>
  <c r="AD305"/>
  <c r="AC305"/>
  <c r="K305"/>
  <c r="G305"/>
  <c r="E305"/>
  <c r="C305"/>
  <c r="AH304"/>
  <c r="AG304"/>
  <c r="AD304"/>
  <c r="AC304"/>
  <c r="K304"/>
  <c r="G304"/>
  <c r="E304"/>
  <c r="C304"/>
  <c r="U304" s="1"/>
  <c r="F304" s="1"/>
  <c r="AH303"/>
  <c r="AG303"/>
  <c r="AD303"/>
  <c r="AC303"/>
  <c r="K303"/>
  <c r="G303"/>
  <c r="E303"/>
  <c r="C303"/>
  <c r="AH302"/>
  <c r="H302" s="1"/>
  <c r="AG302"/>
  <c r="AD302"/>
  <c r="AC302"/>
  <c r="K302"/>
  <c r="G302"/>
  <c r="E302"/>
  <c r="C302"/>
  <c r="U302" s="1"/>
  <c r="F302" s="1"/>
  <c r="AH301"/>
  <c r="AG301"/>
  <c r="AD301"/>
  <c r="AC301"/>
  <c r="K301"/>
  <c r="G301"/>
  <c r="E301"/>
  <c r="C301"/>
  <c r="AH300"/>
  <c r="AG300"/>
  <c r="AD300"/>
  <c r="AC300"/>
  <c r="K300"/>
  <c r="G300"/>
  <c r="E300"/>
  <c r="C300"/>
  <c r="D300" s="1"/>
  <c r="AH299"/>
  <c r="AG299"/>
  <c r="AD299"/>
  <c r="AC299"/>
  <c r="K299"/>
  <c r="G299"/>
  <c r="E299"/>
  <c r="C299"/>
  <c r="AH298"/>
  <c r="AG298"/>
  <c r="AD298"/>
  <c r="AC298"/>
  <c r="K298"/>
  <c r="G298"/>
  <c r="E298"/>
  <c r="C298"/>
  <c r="U298" s="1"/>
  <c r="F298" s="1"/>
  <c r="AH297"/>
  <c r="AG297"/>
  <c r="AD297"/>
  <c r="AC297"/>
  <c r="K297"/>
  <c r="G297"/>
  <c r="E297"/>
  <c r="C297"/>
  <c r="AH296"/>
  <c r="AG296"/>
  <c r="AD296"/>
  <c r="AC296"/>
  <c r="K296"/>
  <c r="G296"/>
  <c r="E296"/>
  <c r="C296"/>
  <c r="U296" s="1"/>
  <c r="F296" s="1"/>
  <c r="AH295"/>
  <c r="AG295"/>
  <c r="AD295"/>
  <c r="AC295"/>
  <c r="K295"/>
  <c r="G295"/>
  <c r="E295"/>
  <c r="C295"/>
  <c r="AH294"/>
  <c r="AG294"/>
  <c r="AD294"/>
  <c r="AC294"/>
  <c r="K294"/>
  <c r="H294"/>
  <c r="G294"/>
  <c r="E294"/>
  <c r="C294"/>
  <c r="U294" s="1"/>
  <c r="F294" s="1"/>
  <c r="AH293"/>
  <c r="AG293"/>
  <c r="AD293"/>
  <c r="AC293"/>
  <c r="K293"/>
  <c r="G293"/>
  <c r="E293"/>
  <c r="C293"/>
  <c r="AH292"/>
  <c r="AG292"/>
  <c r="AD292"/>
  <c r="AC292"/>
  <c r="K292"/>
  <c r="G292"/>
  <c r="E292"/>
  <c r="C292"/>
  <c r="D292" s="1"/>
  <c r="AH291"/>
  <c r="AG291"/>
  <c r="AD291"/>
  <c r="AC291"/>
  <c r="K291"/>
  <c r="G291"/>
  <c r="E291"/>
  <c r="C291"/>
  <c r="AH290"/>
  <c r="AG290"/>
  <c r="AD290"/>
  <c r="AC290"/>
  <c r="K290"/>
  <c r="H290"/>
  <c r="G290"/>
  <c r="E290"/>
  <c r="C290"/>
  <c r="U290" s="1"/>
  <c r="F290" s="1"/>
  <c r="AH289"/>
  <c r="H289" s="1"/>
  <c r="AG289"/>
  <c r="AD289"/>
  <c r="AC289"/>
  <c r="K289"/>
  <c r="G289"/>
  <c r="E289"/>
  <c r="C289"/>
  <c r="AH288"/>
  <c r="AG288"/>
  <c r="AD288"/>
  <c r="AC288"/>
  <c r="K288"/>
  <c r="G288"/>
  <c r="E288"/>
  <c r="C288"/>
  <c r="U288" s="1"/>
  <c r="F288" s="1"/>
  <c r="AH287"/>
  <c r="AG287"/>
  <c r="AD287"/>
  <c r="AC287"/>
  <c r="K287"/>
  <c r="G287"/>
  <c r="E287"/>
  <c r="S220" i="24" s="1"/>
  <c r="C287" i="18"/>
  <c r="AH286"/>
  <c r="H286" s="1"/>
  <c r="AG286"/>
  <c r="AD286"/>
  <c r="AC286"/>
  <c r="K286"/>
  <c r="G286"/>
  <c r="E286"/>
  <c r="C286"/>
  <c r="U286" s="1"/>
  <c r="F286" s="1"/>
  <c r="AH285"/>
  <c r="H285" s="1"/>
  <c r="AG285"/>
  <c r="AD285"/>
  <c r="AC285"/>
  <c r="K285"/>
  <c r="G285"/>
  <c r="E285"/>
  <c r="C285"/>
  <c r="AH284"/>
  <c r="AG284"/>
  <c r="AD284"/>
  <c r="AC284"/>
  <c r="K284"/>
  <c r="G284"/>
  <c r="E284"/>
  <c r="C284"/>
  <c r="D284" s="1"/>
  <c r="AH283"/>
  <c r="AG283"/>
  <c r="AD283"/>
  <c r="AC283"/>
  <c r="K283"/>
  <c r="G283"/>
  <c r="E283"/>
  <c r="C283"/>
  <c r="AH282"/>
  <c r="H282" s="1"/>
  <c r="AG282"/>
  <c r="AD282"/>
  <c r="AC282"/>
  <c r="K282"/>
  <c r="G282"/>
  <c r="E282"/>
  <c r="C282"/>
  <c r="N13" i="23" s="1"/>
  <c r="AH281" i="18"/>
  <c r="AG281"/>
  <c r="AD281"/>
  <c r="AC281"/>
  <c r="K281"/>
  <c r="G281"/>
  <c r="E281"/>
  <c r="C281"/>
  <c r="AH280"/>
  <c r="AG280"/>
  <c r="AD280"/>
  <c r="AC280"/>
  <c r="K280"/>
  <c r="G280"/>
  <c r="E280"/>
  <c r="C280"/>
  <c r="U280" s="1"/>
  <c r="F280" s="1"/>
  <c r="AH279"/>
  <c r="AG279"/>
  <c r="AD279"/>
  <c r="AC279"/>
  <c r="K279"/>
  <c r="G279"/>
  <c r="E279"/>
  <c r="C279"/>
  <c r="AH278"/>
  <c r="H278" s="1"/>
  <c r="AG278"/>
  <c r="AD278"/>
  <c r="AC278"/>
  <c r="K278"/>
  <c r="G278"/>
  <c r="E278"/>
  <c r="C278"/>
  <c r="U278" s="1"/>
  <c r="F278" s="1"/>
  <c r="AH277"/>
  <c r="AG277"/>
  <c r="AD277"/>
  <c r="AC277"/>
  <c r="K277"/>
  <c r="G277"/>
  <c r="E277"/>
  <c r="S224" i="24" s="1"/>
  <c r="C277" i="18"/>
  <c r="AH276"/>
  <c r="AG276"/>
  <c r="AD276"/>
  <c r="AC276"/>
  <c r="K276"/>
  <c r="G276"/>
  <c r="E276"/>
  <c r="C276"/>
  <c r="D276" s="1"/>
  <c r="AH275"/>
  <c r="AG275"/>
  <c r="AD275"/>
  <c r="AC275"/>
  <c r="K275"/>
  <c r="G275"/>
  <c r="E275"/>
  <c r="C275"/>
  <c r="AH274"/>
  <c r="H274" s="1"/>
  <c r="AG274"/>
  <c r="AD274"/>
  <c r="AC274"/>
  <c r="K274"/>
  <c r="G274"/>
  <c r="E274"/>
  <c r="C274"/>
  <c r="U274" s="1"/>
  <c r="F274" s="1"/>
  <c r="AH273"/>
  <c r="AG273"/>
  <c r="AD273"/>
  <c r="AC273"/>
  <c r="K273"/>
  <c r="G273"/>
  <c r="E273"/>
  <c r="C273"/>
  <c r="AH272"/>
  <c r="AG272"/>
  <c r="AD272"/>
  <c r="AC272"/>
  <c r="K272"/>
  <c r="G272"/>
  <c r="E272"/>
  <c r="C272"/>
  <c r="U272" s="1"/>
  <c r="F272" s="1"/>
  <c r="AH271"/>
  <c r="AG271"/>
  <c r="AD271"/>
  <c r="AC271"/>
  <c r="K271"/>
  <c r="G271"/>
  <c r="E271"/>
  <c r="C271"/>
  <c r="AH270"/>
  <c r="AG270"/>
  <c r="AD270"/>
  <c r="AC270"/>
  <c r="K270"/>
  <c r="H270"/>
  <c r="G270"/>
  <c r="E270"/>
  <c r="C270"/>
  <c r="U270" s="1"/>
  <c r="F270" s="1"/>
  <c r="AH269"/>
  <c r="AG269"/>
  <c r="AD269"/>
  <c r="AC269"/>
  <c r="K269"/>
  <c r="G269"/>
  <c r="E269"/>
  <c r="C269"/>
  <c r="AH268"/>
  <c r="AG268"/>
  <c r="AD268"/>
  <c r="AC268"/>
  <c r="K268"/>
  <c r="G268"/>
  <c r="E268"/>
  <c r="C268"/>
  <c r="D268" s="1"/>
  <c r="AH267"/>
  <c r="AG267"/>
  <c r="AD267"/>
  <c r="AC267"/>
  <c r="K267"/>
  <c r="G267"/>
  <c r="E267"/>
  <c r="C267"/>
  <c r="AH266"/>
  <c r="AG266"/>
  <c r="AD266"/>
  <c r="AC266"/>
  <c r="K266"/>
  <c r="G266"/>
  <c r="E266"/>
  <c r="C266"/>
  <c r="U266" s="1"/>
  <c r="F266" s="1"/>
  <c r="AH265"/>
  <c r="AG265"/>
  <c r="AD265"/>
  <c r="AC265"/>
  <c r="K265"/>
  <c r="G265"/>
  <c r="E265"/>
  <c r="C265"/>
  <c r="AH264"/>
  <c r="AG264"/>
  <c r="AD264"/>
  <c r="AC264"/>
  <c r="K264"/>
  <c r="G264"/>
  <c r="E264"/>
  <c r="C264"/>
  <c r="U264" s="1"/>
  <c r="F264" s="1"/>
  <c r="AH263"/>
  <c r="AG263"/>
  <c r="AD263"/>
  <c r="AC263"/>
  <c r="K263"/>
  <c r="G263"/>
  <c r="E263"/>
  <c r="C263"/>
  <c r="AH262"/>
  <c r="AG262"/>
  <c r="AD262"/>
  <c r="AC262"/>
  <c r="K262"/>
  <c r="H262"/>
  <c r="G262"/>
  <c r="E262"/>
  <c r="C262"/>
  <c r="U262" s="1"/>
  <c r="F262" s="1"/>
  <c r="AH261"/>
  <c r="AG261"/>
  <c r="AD261"/>
  <c r="AC261"/>
  <c r="K261"/>
  <c r="G261"/>
  <c r="E261"/>
  <c r="C261"/>
  <c r="AH260"/>
  <c r="AG260"/>
  <c r="AD260"/>
  <c r="AC260"/>
  <c r="K260"/>
  <c r="G260"/>
  <c r="E260"/>
  <c r="C260"/>
  <c r="D260" s="1"/>
  <c r="AH259"/>
  <c r="AG259"/>
  <c r="AD259"/>
  <c r="AC259"/>
  <c r="K259"/>
  <c r="G259"/>
  <c r="E259"/>
  <c r="C259"/>
  <c r="AH258"/>
  <c r="H258" s="1"/>
  <c r="AG258"/>
  <c r="AD258"/>
  <c r="AC258"/>
  <c r="K258"/>
  <c r="G258"/>
  <c r="E258"/>
  <c r="C258"/>
  <c r="U258" s="1"/>
  <c r="F258" s="1"/>
  <c r="AH257"/>
  <c r="AG257"/>
  <c r="AD257"/>
  <c r="AC257"/>
  <c r="K257"/>
  <c r="G257"/>
  <c r="E257"/>
  <c r="C257"/>
  <c r="AH256"/>
  <c r="AG256"/>
  <c r="AD256"/>
  <c r="AC256"/>
  <c r="K256"/>
  <c r="G256"/>
  <c r="E256"/>
  <c r="C256"/>
  <c r="U256" s="1"/>
  <c r="F256" s="1"/>
  <c r="AH255"/>
  <c r="AG255"/>
  <c r="AD255"/>
  <c r="AC255"/>
  <c r="K255"/>
  <c r="G255"/>
  <c r="E255"/>
  <c r="C255"/>
  <c r="AH254"/>
  <c r="H254" s="1"/>
  <c r="AG254"/>
  <c r="AD254"/>
  <c r="AC254"/>
  <c r="K254"/>
  <c r="G254"/>
  <c r="E254"/>
  <c r="C254"/>
  <c r="U254" s="1"/>
  <c r="F254" s="1"/>
  <c r="AH253"/>
  <c r="AG253"/>
  <c r="AD253"/>
  <c r="AC253"/>
  <c r="K253"/>
  <c r="G253"/>
  <c r="E253"/>
  <c r="C253"/>
  <c r="AH252"/>
  <c r="AG252"/>
  <c r="AD252"/>
  <c r="AC252"/>
  <c r="K252"/>
  <c r="G252"/>
  <c r="E252"/>
  <c r="S225" i="24" s="1"/>
  <c r="C252" i="18"/>
  <c r="D252" s="1"/>
  <c r="T225" i="24" s="1"/>
  <c r="AH251" i="18"/>
  <c r="AG251"/>
  <c r="AD251"/>
  <c r="AC251"/>
  <c r="K251"/>
  <c r="G251"/>
  <c r="E251"/>
  <c r="C251"/>
  <c r="AH250"/>
  <c r="AG250"/>
  <c r="AD250"/>
  <c r="AC250"/>
  <c r="K250"/>
  <c r="G250"/>
  <c r="E250"/>
  <c r="C250"/>
  <c r="U250" s="1"/>
  <c r="F250" s="1"/>
  <c r="AH249"/>
  <c r="AG249"/>
  <c r="AD249"/>
  <c r="AC249"/>
  <c r="K249"/>
  <c r="G249"/>
  <c r="E249"/>
  <c r="C249"/>
  <c r="AH248"/>
  <c r="AG248"/>
  <c r="AD248"/>
  <c r="AC248"/>
  <c r="K248"/>
  <c r="G248"/>
  <c r="E248"/>
  <c r="C248"/>
  <c r="U248" s="1"/>
  <c r="F248" s="1"/>
  <c r="AH247"/>
  <c r="AG247"/>
  <c r="AD247"/>
  <c r="AC247"/>
  <c r="K247"/>
  <c r="G247"/>
  <c r="E247"/>
  <c r="C247"/>
  <c r="AH246"/>
  <c r="AG246"/>
  <c r="AD246"/>
  <c r="AC246"/>
  <c r="K246"/>
  <c r="H246"/>
  <c r="G246"/>
  <c r="E246"/>
  <c r="C246"/>
  <c r="U246" s="1"/>
  <c r="F246" s="1"/>
  <c r="AH245"/>
  <c r="AG245"/>
  <c r="AD245"/>
  <c r="AC245"/>
  <c r="K245"/>
  <c r="G245"/>
  <c r="E245"/>
  <c r="C245"/>
  <c r="AH244"/>
  <c r="AG244"/>
  <c r="AD244"/>
  <c r="AC244"/>
  <c r="K244"/>
  <c r="G244"/>
  <c r="E244"/>
  <c r="C244"/>
  <c r="D244" s="1"/>
  <c r="AH243"/>
  <c r="AG243"/>
  <c r="AD243"/>
  <c r="AC243"/>
  <c r="K243"/>
  <c r="G243"/>
  <c r="E243"/>
  <c r="C243"/>
  <c r="AH242"/>
  <c r="AG242"/>
  <c r="AD242"/>
  <c r="AC242"/>
  <c r="K242"/>
  <c r="H242"/>
  <c r="G242"/>
  <c r="E242"/>
  <c r="C242"/>
  <c r="N12" i="23" s="1"/>
  <c r="AH241" i="18"/>
  <c r="AG241"/>
  <c r="AD241"/>
  <c r="AC241"/>
  <c r="K241"/>
  <c r="G241"/>
  <c r="E241"/>
  <c r="C241"/>
  <c r="N11" i="23" s="1"/>
  <c r="AH240" i="18"/>
  <c r="AG240"/>
  <c r="AD240"/>
  <c r="AC240"/>
  <c r="K240"/>
  <c r="G240"/>
  <c r="E240"/>
  <c r="C240"/>
  <c r="D240" s="1"/>
  <c r="AH239"/>
  <c r="AG239"/>
  <c r="AD239"/>
  <c r="AC239"/>
  <c r="K239"/>
  <c r="G239"/>
  <c r="E239"/>
  <c r="C239"/>
  <c r="U239" s="1"/>
  <c r="F239" s="1"/>
  <c r="AH238"/>
  <c r="H238" s="1"/>
  <c r="AG238"/>
  <c r="AD238"/>
  <c r="AC238"/>
  <c r="K238"/>
  <c r="G238"/>
  <c r="E238"/>
  <c r="C238"/>
  <c r="U238" s="1"/>
  <c r="F238" s="1"/>
  <c r="AH237"/>
  <c r="H237" s="1"/>
  <c r="AG237"/>
  <c r="AD237"/>
  <c r="AC237"/>
  <c r="K237"/>
  <c r="G237"/>
  <c r="E237"/>
  <c r="C237"/>
  <c r="U237" s="1"/>
  <c r="F237" s="1"/>
  <c r="AH236"/>
  <c r="AG236"/>
  <c r="AD236"/>
  <c r="AC236"/>
  <c r="K236"/>
  <c r="G236"/>
  <c r="E236"/>
  <c r="C236"/>
  <c r="U236" s="1"/>
  <c r="F236" s="1"/>
  <c r="AH235"/>
  <c r="AG235"/>
  <c r="AD235"/>
  <c r="AC235"/>
  <c r="K235"/>
  <c r="G235"/>
  <c r="E235"/>
  <c r="C235"/>
  <c r="D235" s="1"/>
  <c r="AH234"/>
  <c r="H234" s="1"/>
  <c r="AG234"/>
  <c r="AD234"/>
  <c r="AC234"/>
  <c r="K234"/>
  <c r="G234"/>
  <c r="E234"/>
  <c r="C234"/>
  <c r="U234" s="1"/>
  <c r="F234" s="1"/>
  <c r="AH233"/>
  <c r="AG233"/>
  <c r="AD233"/>
  <c r="AC233"/>
  <c r="K233"/>
  <c r="G233"/>
  <c r="E233"/>
  <c r="S226" i="24" s="1"/>
  <c r="C233" i="18"/>
  <c r="U233" s="1"/>
  <c r="F233" s="1"/>
  <c r="AH232"/>
  <c r="AG232"/>
  <c r="AD232"/>
  <c r="AC232"/>
  <c r="K232"/>
  <c r="G232"/>
  <c r="E232"/>
  <c r="C232"/>
  <c r="N10" i="23" s="1"/>
  <c r="AH231" i="18"/>
  <c r="AG231"/>
  <c r="AD231"/>
  <c r="AC231"/>
  <c r="K231"/>
  <c r="G231"/>
  <c r="E231"/>
  <c r="C231"/>
  <c r="N9" i="23" s="1"/>
  <c r="AH230" i="18"/>
  <c r="H230" s="1"/>
  <c r="AG230"/>
  <c r="AD230"/>
  <c r="AC230"/>
  <c r="K230"/>
  <c r="G230"/>
  <c r="E230"/>
  <c r="C230"/>
  <c r="U230" s="1"/>
  <c r="F230" s="1"/>
  <c r="AH229"/>
  <c r="AG229"/>
  <c r="AD229"/>
  <c r="AC229"/>
  <c r="K229"/>
  <c r="G229"/>
  <c r="E229"/>
  <c r="C229"/>
  <c r="U229" s="1"/>
  <c r="F229" s="1"/>
  <c r="AH228"/>
  <c r="AG228"/>
  <c r="AD228"/>
  <c r="AC228"/>
  <c r="K228"/>
  <c r="G228"/>
  <c r="E228"/>
  <c r="C228"/>
  <c r="U228" s="1"/>
  <c r="F228" s="1"/>
  <c r="AH227"/>
  <c r="AG227"/>
  <c r="AD227"/>
  <c r="AC227"/>
  <c r="K227"/>
  <c r="G227"/>
  <c r="E227"/>
  <c r="C227"/>
  <c r="D227" s="1"/>
  <c r="AH226"/>
  <c r="AG226"/>
  <c r="AD226"/>
  <c r="AC226"/>
  <c r="K226"/>
  <c r="H226"/>
  <c r="G226"/>
  <c r="E226"/>
  <c r="C226"/>
  <c r="U226" s="1"/>
  <c r="F226" s="1"/>
  <c r="AH225"/>
  <c r="AG225"/>
  <c r="AD225"/>
  <c r="AC225"/>
  <c r="K225"/>
  <c r="G225"/>
  <c r="E225"/>
  <c r="C225"/>
  <c r="D225" s="1"/>
  <c r="AH224"/>
  <c r="AG224"/>
  <c r="AD224"/>
  <c r="AC224"/>
  <c r="K224"/>
  <c r="G224"/>
  <c r="E224"/>
  <c r="C224"/>
  <c r="U224" s="1"/>
  <c r="F224" s="1"/>
  <c r="AH223"/>
  <c r="AG223"/>
  <c r="AD223"/>
  <c r="AC223"/>
  <c r="K223"/>
  <c r="G223"/>
  <c r="E223"/>
  <c r="S228" i="24" s="1"/>
  <c r="C223" i="18"/>
  <c r="U223" s="1"/>
  <c r="F223" s="1"/>
  <c r="AH222"/>
  <c r="AG222"/>
  <c r="AD222"/>
  <c r="AC222"/>
  <c r="K222"/>
  <c r="H222"/>
  <c r="G222"/>
  <c r="E222"/>
  <c r="C222"/>
  <c r="U222" s="1"/>
  <c r="F222" s="1"/>
  <c r="AH221"/>
  <c r="H221" s="1"/>
  <c r="AG221"/>
  <c r="AD221"/>
  <c r="AC221"/>
  <c r="K221"/>
  <c r="G221"/>
  <c r="E221"/>
  <c r="C221"/>
  <c r="D221" s="1"/>
  <c r="AH220"/>
  <c r="AG220"/>
  <c r="AD220"/>
  <c r="AC220"/>
  <c r="K220"/>
  <c r="G220"/>
  <c r="E220"/>
  <c r="C220"/>
  <c r="M6" i="2" s="1"/>
  <c r="AH219" i="18"/>
  <c r="AG219"/>
  <c r="AD219"/>
  <c r="AC219"/>
  <c r="K219"/>
  <c r="G219"/>
  <c r="E219"/>
  <c r="S229" i="24" s="1"/>
  <c r="C219" i="18"/>
  <c r="D219" s="1"/>
  <c r="T229" i="24" s="1"/>
  <c r="AH218" i="18"/>
  <c r="H218" s="1"/>
  <c r="AG218"/>
  <c r="AD218"/>
  <c r="AC218"/>
  <c r="K218"/>
  <c r="G218"/>
  <c r="E218"/>
  <c r="C218"/>
  <c r="U218" s="1"/>
  <c r="F218" s="1"/>
  <c r="AH217"/>
  <c r="AG217"/>
  <c r="AD217"/>
  <c r="AC217"/>
  <c r="K217"/>
  <c r="G217"/>
  <c r="E217"/>
  <c r="C217"/>
  <c r="D217" s="1"/>
  <c r="AH216"/>
  <c r="AG216"/>
  <c r="AD216"/>
  <c r="AC216"/>
  <c r="K216"/>
  <c r="G216"/>
  <c r="E216"/>
  <c r="C216"/>
  <c r="U216" s="1"/>
  <c r="F216" s="1"/>
  <c r="AH215"/>
  <c r="AG215"/>
  <c r="AD215"/>
  <c r="AC215"/>
  <c r="K215"/>
  <c r="G215"/>
  <c r="E215"/>
  <c r="C215"/>
  <c r="U215" s="1"/>
  <c r="F215" s="1"/>
  <c r="AH214"/>
  <c r="H214" s="1"/>
  <c r="AG214"/>
  <c r="AD214"/>
  <c r="AC214"/>
  <c r="K214"/>
  <c r="G214"/>
  <c r="E214"/>
  <c r="C214"/>
  <c r="U214" s="1"/>
  <c r="F214" s="1"/>
  <c r="AH213"/>
  <c r="H213" s="1"/>
  <c r="AG213"/>
  <c r="AD213"/>
  <c r="AC213"/>
  <c r="K213"/>
  <c r="G213"/>
  <c r="E213"/>
  <c r="C213"/>
  <c r="D213" s="1"/>
  <c r="AH212"/>
  <c r="AG212"/>
  <c r="AD212"/>
  <c r="AC212"/>
  <c r="K212"/>
  <c r="G212"/>
  <c r="E212"/>
  <c r="C212"/>
  <c r="U212" s="1"/>
  <c r="F212" s="1"/>
  <c r="AH211"/>
  <c r="AG211"/>
  <c r="AD211"/>
  <c r="AC211"/>
  <c r="K211"/>
  <c r="G211"/>
  <c r="E211"/>
  <c r="C211"/>
  <c r="U211" s="1"/>
  <c r="F211" s="1"/>
  <c r="AH210"/>
  <c r="H210" s="1"/>
  <c r="AG210"/>
  <c r="AD210"/>
  <c r="AC210"/>
  <c r="K210"/>
  <c r="G210"/>
  <c r="E210"/>
  <c r="C210"/>
  <c r="U210" s="1"/>
  <c r="F210" s="1"/>
  <c r="AH209"/>
  <c r="AG209"/>
  <c r="AD209"/>
  <c r="AC209"/>
  <c r="K209"/>
  <c r="G209"/>
  <c r="E209"/>
  <c r="C209"/>
  <c r="D209" s="1"/>
  <c r="AH208"/>
  <c r="AG208"/>
  <c r="AD208"/>
  <c r="AC208"/>
  <c r="K208"/>
  <c r="G208"/>
  <c r="E208"/>
  <c r="C208"/>
  <c r="U208" s="1"/>
  <c r="F208" s="1"/>
  <c r="AH207"/>
  <c r="AG207"/>
  <c r="AD207"/>
  <c r="AC207"/>
  <c r="K207"/>
  <c r="G207"/>
  <c r="E207"/>
  <c r="C207"/>
  <c r="U207" s="1"/>
  <c r="F207" s="1"/>
  <c r="AH206"/>
  <c r="H206" s="1"/>
  <c r="AG206"/>
  <c r="AD206"/>
  <c r="AC206"/>
  <c r="K206"/>
  <c r="G206"/>
  <c r="E206"/>
  <c r="C206"/>
  <c r="U206" s="1"/>
  <c r="F206" s="1"/>
  <c r="AH205"/>
  <c r="AG205"/>
  <c r="AD205"/>
  <c r="AC205"/>
  <c r="K205"/>
  <c r="G205"/>
  <c r="E205"/>
  <c r="C205"/>
  <c r="D205" s="1"/>
  <c r="AH204"/>
  <c r="AG204"/>
  <c r="AD204"/>
  <c r="AC204"/>
  <c r="K204"/>
  <c r="G204"/>
  <c r="E204"/>
  <c r="C204"/>
  <c r="U204" s="1"/>
  <c r="F204" s="1"/>
  <c r="AH203"/>
  <c r="AG203"/>
  <c r="AD203"/>
  <c r="AC203"/>
  <c r="K203"/>
  <c r="G203"/>
  <c r="E203"/>
  <c r="C203"/>
  <c r="D203" s="1"/>
  <c r="AH202"/>
  <c r="AG202"/>
  <c r="AD202"/>
  <c r="AC202"/>
  <c r="K202"/>
  <c r="G202"/>
  <c r="E202"/>
  <c r="C202"/>
  <c r="U202" s="1"/>
  <c r="F202" s="1"/>
  <c r="AH201"/>
  <c r="AG201"/>
  <c r="AD201"/>
  <c r="AC201"/>
  <c r="K201"/>
  <c r="G201"/>
  <c r="E201"/>
  <c r="C201"/>
  <c r="U201" s="1"/>
  <c r="F201" s="1"/>
  <c r="AH200"/>
  <c r="AG200"/>
  <c r="AD200"/>
  <c r="AC200"/>
  <c r="K200"/>
  <c r="G200"/>
  <c r="E200"/>
  <c r="C200"/>
  <c r="U200" s="1"/>
  <c r="F200" s="1"/>
  <c r="AH199"/>
  <c r="AG199"/>
  <c r="AD199"/>
  <c r="AC199"/>
  <c r="K199"/>
  <c r="G199"/>
  <c r="E199"/>
  <c r="C199"/>
  <c r="U199" s="1"/>
  <c r="F199" s="1"/>
  <c r="AH198"/>
  <c r="AG198"/>
  <c r="AD198"/>
  <c r="AC198"/>
  <c r="K198"/>
  <c r="H198"/>
  <c r="G198"/>
  <c r="E198"/>
  <c r="C198"/>
  <c r="U198" s="1"/>
  <c r="F198" s="1"/>
  <c r="AH197"/>
  <c r="AG197"/>
  <c r="AD197"/>
  <c r="AC197"/>
  <c r="K197"/>
  <c r="G197"/>
  <c r="E197"/>
  <c r="C197"/>
  <c r="D197" s="1"/>
  <c r="AH196"/>
  <c r="AG196"/>
  <c r="AD196"/>
  <c r="AC196"/>
  <c r="K196"/>
  <c r="G196"/>
  <c r="E196"/>
  <c r="S230" i="24" s="1"/>
  <c r="C196" i="18"/>
  <c r="U196" s="1"/>
  <c r="F196" s="1"/>
  <c r="AH195"/>
  <c r="AG195"/>
  <c r="AD195"/>
  <c r="AC195"/>
  <c r="K195"/>
  <c r="G195"/>
  <c r="E195"/>
  <c r="C195"/>
  <c r="D195" s="1"/>
  <c r="AH194"/>
  <c r="AG194"/>
  <c r="AD194"/>
  <c r="AC194"/>
  <c r="K194"/>
  <c r="G194"/>
  <c r="E194"/>
  <c r="C194"/>
  <c r="U194" s="1"/>
  <c r="F194" s="1"/>
  <c r="AH193"/>
  <c r="AG193"/>
  <c r="AD193"/>
  <c r="AC193"/>
  <c r="K193"/>
  <c r="G193"/>
  <c r="E193"/>
  <c r="S231" i="24" s="1"/>
  <c r="C193" i="18"/>
  <c r="U193" s="1"/>
  <c r="F193" s="1"/>
  <c r="AH192"/>
  <c r="AG192"/>
  <c r="AD192"/>
  <c r="AC192"/>
  <c r="K192"/>
  <c r="G192"/>
  <c r="E192"/>
  <c r="C192"/>
  <c r="U192" s="1"/>
  <c r="F192" s="1"/>
  <c r="AH191"/>
  <c r="AG191"/>
  <c r="AD191"/>
  <c r="AC191"/>
  <c r="K191"/>
  <c r="G191"/>
  <c r="E191"/>
  <c r="C191"/>
  <c r="D191" s="1"/>
  <c r="AH190"/>
  <c r="AG190"/>
  <c r="AD190"/>
  <c r="AC190"/>
  <c r="K190"/>
  <c r="H190"/>
  <c r="G190"/>
  <c r="E190"/>
  <c r="C190"/>
  <c r="U190" s="1"/>
  <c r="F190" s="1"/>
  <c r="AH189"/>
  <c r="H189" s="1"/>
  <c r="AG189"/>
  <c r="AD189"/>
  <c r="AC189"/>
  <c r="K189"/>
  <c r="G189"/>
  <c r="E189"/>
  <c r="C189"/>
  <c r="U189" s="1"/>
  <c r="F189" s="1"/>
  <c r="AH188"/>
  <c r="AG188"/>
  <c r="AD188"/>
  <c r="AC188"/>
  <c r="K188"/>
  <c r="G188"/>
  <c r="E188"/>
  <c r="C188"/>
  <c r="U188" s="1"/>
  <c r="F188" s="1"/>
  <c r="AH187"/>
  <c r="AG187"/>
  <c r="AD187"/>
  <c r="AC187"/>
  <c r="K187"/>
  <c r="G187"/>
  <c r="E187"/>
  <c r="C187"/>
  <c r="N8" i="23" s="1"/>
  <c r="AH186" i="18"/>
  <c r="H186" s="1"/>
  <c r="AG186"/>
  <c r="AD186"/>
  <c r="AC186"/>
  <c r="K186"/>
  <c r="G186"/>
  <c r="E186"/>
  <c r="C186"/>
  <c r="U186" s="1"/>
  <c r="F186" s="1"/>
  <c r="AH185"/>
  <c r="AG185"/>
  <c r="AD185"/>
  <c r="AC185"/>
  <c r="K185"/>
  <c r="G185"/>
  <c r="E185"/>
  <c r="C185"/>
  <c r="U185" s="1"/>
  <c r="F185" s="1"/>
  <c r="AH184"/>
  <c r="AG184"/>
  <c r="AD184"/>
  <c r="AC184"/>
  <c r="K184"/>
  <c r="G184"/>
  <c r="E184"/>
  <c r="C184"/>
  <c r="U184" s="1"/>
  <c r="F184" s="1"/>
  <c r="AH183"/>
  <c r="AG183"/>
  <c r="AD183"/>
  <c r="AC183"/>
  <c r="K183"/>
  <c r="G183"/>
  <c r="E183"/>
  <c r="C183"/>
  <c r="N7" i="23" s="1"/>
  <c r="AH182" i="18"/>
  <c r="H182" s="1"/>
  <c r="AG182"/>
  <c r="AD182"/>
  <c r="AC182"/>
  <c r="K182"/>
  <c r="G182"/>
  <c r="E182"/>
  <c r="C182"/>
  <c r="U182" s="1"/>
  <c r="F182" s="1"/>
  <c r="AH181"/>
  <c r="H181" s="1"/>
  <c r="AG181"/>
  <c r="AD181"/>
  <c r="AC181"/>
  <c r="K181"/>
  <c r="G181"/>
  <c r="E181"/>
  <c r="C181"/>
  <c r="U181" s="1"/>
  <c r="F181" s="1"/>
  <c r="AH180"/>
  <c r="AG180"/>
  <c r="AD180"/>
  <c r="AC180"/>
  <c r="K180"/>
  <c r="G180"/>
  <c r="E180"/>
  <c r="C180"/>
  <c r="U180" s="1"/>
  <c r="F180" s="1"/>
  <c r="AH179"/>
  <c r="AG179"/>
  <c r="AD179"/>
  <c r="AC179"/>
  <c r="K179"/>
  <c r="G179"/>
  <c r="E179"/>
  <c r="S234" i="24" s="1"/>
  <c r="C179" i="18"/>
  <c r="D179" s="1"/>
  <c r="T234" i="24" s="1"/>
  <c r="AH178" i="18"/>
  <c r="H178" s="1"/>
  <c r="AG178"/>
  <c r="AD178"/>
  <c r="AC178"/>
  <c r="K178"/>
  <c r="G178"/>
  <c r="E178"/>
  <c r="C178"/>
  <c r="N6" i="23" s="1"/>
  <c r="AH177" i="18"/>
  <c r="AG177"/>
  <c r="AD177"/>
  <c r="AC177"/>
  <c r="K177"/>
  <c r="G177"/>
  <c r="E177"/>
  <c r="C177"/>
  <c r="U177" s="1"/>
  <c r="F177" s="1"/>
  <c r="AH176"/>
  <c r="AG176"/>
  <c r="AD176"/>
  <c r="AC176"/>
  <c r="K176"/>
  <c r="G176"/>
  <c r="E176"/>
  <c r="C176"/>
  <c r="N5" i="23" s="1"/>
  <c r="AH175" i="18"/>
  <c r="AG175"/>
  <c r="AD175"/>
  <c r="AC175"/>
  <c r="K175"/>
  <c r="G175"/>
  <c r="E175"/>
  <c r="C175"/>
  <c r="D175" s="1"/>
  <c r="AH174"/>
  <c r="H174" s="1"/>
  <c r="AG174"/>
  <c r="AD174"/>
  <c r="AC174"/>
  <c r="K174"/>
  <c r="G174"/>
  <c r="E174"/>
  <c r="S236" i="24" s="1"/>
  <c r="C174" i="18"/>
  <c r="U174" s="1"/>
  <c r="F174" s="1"/>
  <c r="AH173"/>
  <c r="AG173"/>
  <c r="AD173"/>
  <c r="AC173"/>
  <c r="K173"/>
  <c r="G173"/>
  <c r="E173"/>
  <c r="C173"/>
  <c r="U173" s="1"/>
  <c r="F173" s="1"/>
  <c r="AH172"/>
  <c r="AG172"/>
  <c r="AD172"/>
  <c r="AC172"/>
  <c r="K172"/>
  <c r="G172"/>
  <c r="E172"/>
  <c r="C172"/>
  <c r="N4" i="23" s="1"/>
  <c r="AH171" i="18"/>
  <c r="AG171"/>
  <c r="AD171"/>
  <c r="AC171"/>
  <c r="K171"/>
  <c r="G171"/>
  <c r="E171"/>
  <c r="C171"/>
  <c r="D171" s="1"/>
  <c r="AH170"/>
  <c r="H170" s="1"/>
  <c r="AG170"/>
  <c r="AD170"/>
  <c r="AC170"/>
  <c r="K170"/>
  <c r="G170"/>
  <c r="E170"/>
  <c r="C170"/>
  <c r="U170" s="1"/>
  <c r="F170" s="1"/>
  <c r="AH169"/>
  <c r="AG169"/>
  <c r="AD169"/>
  <c r="AC169"/>
  <c r="K169"/>
  <c r="G169"/>
  <c r="E169"/>
  <c r="C169"/>
  <c r="AH168"/>
  <c r="AG168"/>
  <c r="AD168"/>
  <c r="AC168"/>
  <c r="K168"/>
  <c r="G168"/>
  <c r="E168"/>
  <c r="C168"/>
  <c r="U168" s="1"/>
  <c r="F168" s="1"/>
  <c r="AH167"/>
  <c r="AG167"/>
  <c r="AD167"/>
  <c r="AC167"/>
  <c r="K167"/>
  <c r="G167"/>
  <c r="E167"/>
  <c r="C167"/>
  <c r="D167" s="1"/>
  <c r="AH166"/>
  <c r="AG166"/>
  <c r="AD166"/>
  <c r="AC166"/>
  <c r="K166"/>
  <c r="G166"/>
  <c r="E166"/>
  <c r="C166"/>
  <c r="AH165"/>
  <c r="AG165"/>
  <c r="AD165"/>
  <c r="AC165"/>
  <c r="K165"/>
  <c r="G165"/>
  <c r="E165"/>
  <c r="C165"/>
  <c r="U165" s="1"/>
  <c r="F165" s="1"/>
  <c r="AH164"/>
  <c r="AG164"/>
  <c r="AD164"/>
  <c r="AC164"/>
  <c r="K164"/>
  <c r="G164"/>
  <c r="E164"/>
  <c r="C164"/>
  <c r="U164" s="1"/>
  <c r="F164" s="1"/>
  <c r="AH163"/>
  <c r="AG163"/>
  <c r="AD163"/>
  <c r="AC163"/>
  <c r="K163"/>
  <c r="G163"/>
  <c r="E163"/>
  <c r="C163"/>
  <c r="D163" s="1"/>
  <c r="AH162"/>
  <c r="AG162"/>
  <c r="AD162"/>
  <c r="AC162"/>
  <c r="K162"/>
  <c r="G162"/>
  <c r="E162"/>
  <c r="C162"/>
  <c r="U162" s="1"/>
  <c r="F162" s="1"/>
  <c r="AH161"/>
  <c r="AG161"/>
  <c r="AD161"/>
  <c r="AC161"/>
  <c r="K161"/>
  <c r="G161"/>
  <c r="E161"/>
  <c r="C161"/>
  <c r="U161" s="1"/>
  <c r="F161" s="1"/>
  <c r="AH160"/>
  <c r="AG160"/>
  <c r="AD160"/>
  <c r="AC160"/>
  <c r="K160"/>
  <c r="G160"/>
  <c r="E160"/>
  <c r="C160"/>
  <c r="U160" s="1"/>
  <c r="F160" s="1"/>
  <c r="AH159"/>
  <c r="AG159"/>
  <c r="AD159"/>
  <c r="AC159"/>
  <c r="K159"/>
  <c r="G159"/>
  <c r="E159"/>
  <c r="C159"/>
  <c r="AH158"/>
  <c r="AG158"/>
  <c r="AD158"/>
  <c r="AC158"/>
  <c r="K158"/>
  <c r="G158"/>
  <c r="E158"/>
  <c r="C158"/>
  <c r="U158" s="1"/>
  <c r="F158" s="1"/>
  <c r="AH157"/>
  <c r="AG157"/>
  <c r="AD157"/>
  <c r="AC157"/>
  <c r="K157"/>
  <c r="G157"/>
  <c r="E157"/>
  <c r="C157"/>
  <c r="U157" s="1"/>
  <c r="F157" s="1"/>
  <c r="AH156"/>
  <c r="AG156"/>
  <c r="AD156"/>
  <c r="AC156"/>
  <c r="K156"/>
  <c r="G156"/>
  <c r="E156"/>
  <c r="C156"/>
  <c r="U156" s="1"/>
  <c r="F156" s="1"/>
  <c r="AH155"/>
  <c r="AG155"/>
  <c r="H155" s="1"/>
  <c r="AD155"/>
  <c r="AC155"/>
  <c r="K155"/>
  <c r="G155"/>
  <c r="E155"/>
  <c r="C155"/>
  <c r="D155" s="1"/>
  <c r="AH154"/>
  <c r="AG154"/>
  <c r="AD154"/>
  <c r="AC154"/>
  <c r="K154"/>
  <c r="H154"/>
  <c r="G154"/>
  <c r="E154"/>
  <c r="S237" i="24" s="1"/>
  <c r="C154" i="18"/>
  <c r="U154" s="1"/>
  <c r="F154" s="1"/>
  <c r="AH153"/>
  <c r="AG153"/>
  <c r="AD153"/>
  <c r="AC153"/>
  <c r="K153"/>
  <c r="G153"/>
  <c r="E153"/>
  <c r="S238" i="24" s="1"/>
  <c r="C153" i="18"/>
  <c r="U153" s="1"/>
  <c r="F153" s="1"/>
  <c r="AH152"/>
  <c r="AG152"/>
  <c r="AD152"/>
  <c r="AC152"/>
  <c r="K152"/>
  <c r="G152"/>
  <c r="E152"/>
  <c r="C152"/>
  <c r="U152" s="1"/>
  <c r="F152" s="1"/>
  <c r="AH151"/>
  <c r="AG151"/>
  <c r="AD151"/>
  <c r="AC151"/>
  <c r="K151"/>
  <c r="G151"/>
  <c r="E151"/>
  <c r="C151"/>
  <c r="D151" s="1"/>
  <c r="AH150"/>
  <c r="AG150"/>
  <c r="AD150"/>
  <c r="AC150"/>
  <c r="K150"/>
  <c r="G150"/>
  <c r="E150"/>
  <c r="C150"/>
  <c r="U150" s="1"/>
  <c r="F150" s="1"/>
  <c r="AH149"/>
  <c r="AG149"/>
  <c r="AD149"/>
  <c r="AC149"/>
  <c r="K149"/>
  <c r="G149"/>
  <c r="E149"/>
  <c r="C149"/>
  <c r="U149" s="1"/>
  <c r="F149" s="1"/>
  <c r="AH148"/>
  <c r="AG148"/>
  <c r="AD148"/>
  <c r="AC148"/>
  <c r="K148"/>
  <c r="G148"/>
  <c r="E148"/>
  <c r="S241" i="24" s="1"/>
  <c r="C148" i="18"/>
  <c r="U148" s="1"/>
  <c r="F148" s="1"/>
  <c r="AH147"/>
  <c r="AG147"/>
  <c r="AD147"/>
  <c r="AC147"/>
  <c r="K147"/>
  <c r="G147"/>
  <c r="E147"/>
  <c r="C147"/>
  <c r="D147" s="1"/>
  <c r="AH146"/>
  <c r="AG146"/>
  <c r="AD146"/>
  <c r="AC146"/>
  <c r="K146"/>
  <c r="G146"/>
  <c r="E146"/>
  <c r="S242" i="24" s="1"/>
  <c r="C146" i="18"/>
  <c r="U146" s="1"/>
  <c r="F146" s="1"/>
  <c r="AH145"/>
  <c r="AG145"/>
  <c r="AD145"/>
  <c r="AC145"/>
  <c r="K145"/>
  <c r="G145"/>
  <c r="E145"/>
  <c r="S243" i="24" s="1"/>
  <c r="C145" i="18"/>
  <c r="D145" s="1"/>
  <c r="T243" i="24" s="1"/>
  <c r="AH144" i="18"/>
  <c r="AG144"/>
  <c r="AD144"/>
  <c r="AC144"/>
  <c r="K144"/>
  <c r="G144"/>
  <c r="E144"/>
  <c r="C144"/>
  <c r="U144" s="1"/>
  <c r="F144" s="1"/>
  <c r="AH143"/>
  <c r="AG143"/>
  <c r="AD143"/>
  <c r="AC143"/>
  <c r="K143"/>
  <c r="G143"/>
  <c r="E143"/>
  <c r="C143"/>
  <c r="U143" s="1"/>
  <c r="F143" s="1"/>
  <c r="AH142"/>
  <c r="AG142"/>
  <c r="AD142"/>
  <c r="AC142"/>
  <c r="K142"/>
  <c r="G142"/>
  <c r="E142"/>
  <c r="S244" i="24" s="1"/>
  <c r="C142" i="18"/>
  <c r="U142" s="1"/>
  <c r="F142" s="1"/>
  <c r="AH141"/>
  <c r="AG141"/>
  <c r="AD141"/>
  <c r="AC141"/>
  <c r="K141"/>
  <c r="G141"/>
  <c r="E141"/>
  <c r="C141"/>
  <c r="D141" s="1"/>
  <c r="AH140"/>
  <c r="AG140"/>
  <c r="AD140"/>
  <c r="AC140"/>
  <c r="K140"/>
  <c r="G140"/>
  <c r="E140"/>
  <c r="S245" i="24" s="1"/>
  <c r="C140" i="18"/>
  <c r="U140" s="1"/>
  <c r="F140" s="1"/>
  <c r="AH139"/>
  <c r="AG139"/>
  <c r="H139" s="1"/>
  <c r="AD139"/>
  <c r="AC139"/>
  <c r="K139"/>
  <c r="G139"/>
  <c r="E139"/>
  <c r="C139"/>
  <c r="U139" s="1"/>
  <c r="F139" s="1"/>
  <c r="AH138"/>
  <c r="AG138"/>
  <c r="AD138"/>
  <c r="AC138"/>
  <c r="K138"/>
  <c r="H138"/>
  <c r="G138"/>
  <c r="E138"/>
  <c r="C138"/>
  <c r="AH137"/>
  <c r="AG137"/>
  <c r="AD137"/>
  <c r="AC137"/>
  <c r="K137"/>
  <c r="G137"/>
  <c r="E137"/>
  <c r="C137"/>
  <c r="D137" s="1"/>
  <c r="AH136"/>
  <c r="AG136"/>
  <c r="AD136"/>
  <c r="AC136"/>
  <c r="K136"/>
  <c r="G136"/>
  <c r="E136"/>
  <c r="C136"/>
  <c r="U136" s="1"/>
  <c r="F136" s="1"/>
  <c r="AH135"/>
  <c r="AG135"/>
  <c r="AD135"/>
  <c r="AC135"/>
  <c r="K135"/>
  <c r="G135"/>
  <c r="E135"/>
  <c r="C135"/>
  <c r="D135" s="1"/>
  <c r="AH134"/>
  <c r="H134" s="1"/>
  <c r="AG134"/>
  <c r="AD134"/>
  <c r="AC134"/>
  <c r="K134"/>
  <c r="G134"/>
  <c r="E134"/>
  <c r="C134"/>
  <c r="U134" s="1"/>
  <c r="F134" s="1"/>
  <c r="AH133"/>
  <c r="AG133"/>
  <c r="AD133"/>
  <c r="AC133"/>
  <c r="K133"/>
  <c r="G133"/>
  <c r="E133"/>
  <c r="C133"/>
  <c r="D133" s="1"/>
  <c r="AH132"/>
  <c r="AG132"/>
  <c r="AD132"/>
  <c r="AC132"/>
  <c r="K132"/>
  <c r="G132"/>
  <c r="E132"/>
  <c r="C132"/>
  <c r="U132" s="1"/>
  <c r="F132" s="1"/>
  <c r="AH131"/>
  <c r="H131" s="1"/>
  <c r="AG131"/>
  <c r="AD131"/>
  <c r="AC131"/>
  <c r="K131"/>
  <c r="G131"/>
  <c r="E131"/>
  <c r="C131"/>
  <c r="U131" s="1"/>
  <c r="F131" s="1"/>
  <c r="AH130"/>
  <c r="AG130"/>
  <c r="AD130"/>
  <c r="AC130"/>
  <c r="K130"/>
  <c r="G130"/>
  <c r="E130"/>
  <c r="C130"/>
  <c r="U130" s="1"/>
  <c r="F130" s="1"/>
  <c r="AH129"/>
  <c r="AG129"/>
  <c r="AD129"/>
  <c r="AC129"/>
  <c r="K129"/>
  <c r="G129"/>
  <c r="E129"/>
  <c r="C129"/>
  <c r="D129" s="1"/>
  <c r="AH128"/>
  <c r="AG128"/>
  <c r="AD128"/>
  <c r="AC128"/>
  <c r="K128"/>
  <c r="G128"/>
  <c r="E128"/>
  <c r="C128"/>
  <c r="U128" s="1"/>
  <c r="F128" s="1"/>
  <c r="AH127"/>
  <c r="H127" s="1"/>
  <c r="AG127"/>
  <c r="AD127"/>
  <c r="AC127"/>
  <c r="K127"/>
  <c r="G127"/>
  <c r="E127"/>
  <c r="C127"/>
  <c r="D127" s="1"/>
  <c r="AH126"/>
  <c r="AG126"/>
  <c r="AD126"/>
  <c r="AC126"/>
  <c r="K126"/>
  <c r="G126"/>
  <c r="E126"/>
  <c r="S246" i="24" s="1"/>
  <c r="C126" i="18"/>
  <c r="U126" s="1"/>
  <c r="F126" s="1"/>
  <c r="AH125"/>
  <c r="H125" s="1"/>
  <c r="AG125"/>
  <c r="AD125"/>
  <c r="AC125"/>
  <c r="K125"/>
  <c r="G125"/>
  <c r="E125"/>
  <c r="C125"/>
  <c r="D125" s="1"/>
  <c r="AH124"/>
  <c r="AG124"/>
  <c r="AD124"/>
  <c r="AC124"/>
  <c r="K124"/>
  <c r="G124"/>
  <c r="E124"/>
  <c r="C124"/>
  <c r="U124" s="1"/>
  <c r="F124" s="1"/>
  <c r="AH123"/>
  <c r="AG123"/>
  <c r="AD123"/>
  <c r="AC123"/>
  <c r="K123"/>
  <c r="G123"/>
  <c r="E123"/>
  <c r="C123"/>
  <c r="U123" s="1"/>
  <c r="F123" s="1"/>
  <c r="AH122"/>
  <c r="AG122"/>
  <c r="AD122"/>
  <c r="AC122"/>
  <c r="K122"/>
  <c r="G122"/>
  <c r="E122"/>
  <c r="C122"/>
  <c r="U122" s="1"/>
  <c r="F122" s="1"/>
  <c r="AH121"/>
  <c r="H121" s="1"/>
  <c r="AG121"/>
  <c r="AD121"/>
  <c r="AC121"/>
  <c r="K121"/>
  <c r="G121"/>
  <c r="E121"/>
  <c r="C121"/>
  <c r="D121" s="1"/>
  <c r="AH120"/>
  <c r="AG120"/>
  <c r="AD120"/>
  <c r="AC120"/>
  <c r="K120"/>
  <c r="G120"/>
  <c r="E120"/>
  <c r="C120"/>
  <c r="U120" s="1"/>
  <c r="F120" s="1"/>
  <c r="AH119"/>
  <c r="AG119"/>
  <c r="AD119"/>
  <c r="AC119"/>
  <c r="K119"/>
  <c r="G119"/>
  <c r="E119"/>
  <c r="C119"/>
  <c r="D119" s="1"/>
  <c r="AH118"/>
  <c r="AG118"/>
  <c r="AD118"/>
  <c r="AC118"/>
  <c r="K118"/>
  <c r="G118"/>
  <c r="E118"/>
  <c r="C118"/>
  <c r="U118" s="1"/>
  <c r="F118" s="1"/>
  <c r="AH117"/>
  <c r="AG117"/>
  <c r="AD117"/>
  <c r="AC117"/>
  <c r="K117"/>
  <c r="G117"/>
  <c r="E117"/>
  <c r="C117"/>
  <c r="D117" s="1"/>
  <c r="AH116"/>
  <c r="AG116"/>
  <c r="AD116"/>
  <c r="AC116"/>
  <c r="K116"/>
  <c r="G116"/>
  <c r="E116"/>
  <c r="C116"/>
  <c r="U116" s="1"/>
  <c r="F116" s="1"/>
  <c r="AH115"/>
  <c r="AG115"/>
  <c r="AD115"/>
  <c r="AC115"/>
  <c r="K115"/>
  <c r="G115"/>
  <c r="E115"/>
  <c r="C115"/>
  <c r="U115" s="1"/>
  <c r="F115" s="1"/>
  <c r="AH114"/>
  <c r="AG114"/>
  <c r="AD114"/>
  <c r="AC114"/>
  <c r="K114"/>
  <c r="G114"/>
  <c r="E114"/>
  <c r="C114"/>
  <c r="U114" s="1"/>
  <c r="F114" s="1"/>
  <c r="AH113"/>
  <c r="H113" s="1"/>
  <c r="AG113"/>
  <c r="AD113"/>
  <c r="AC113"/>
  <c r="K113"/>
  <c r="G113"/>
  <c r="E113"/>
  <c r="C113"/>
  <c r="D113" s="1"/>
  <c r="AH112"/>
  <c r="AG112"/>
  <c r="AD112"/>
  <c r="AC112"/>
  <c r="K112"/>
  <c r="G112"/>
  <c r="E112"/>
  <c r="C112"/>
  <c r="U112" s="1"/>
  <c r="F112" s="1"/>
  <c r="AH111"/>
  <c r="AG111"/>
  <c r="AD111"/>
  <c r="AC111"/>
  <c r="K111"/>
  <c r="G111"/>
  <c r="E111"/>
  <c r="C111"/>
  <c r="D111" s="1"/>
  <c r="AH110"/>
  <c r="AG110"/>
  <c r="AD110"/>
  <c r="AC110"/>
  <c r="K110"/>
  <c r="G110"/>
  <c r="E110"/>
  <c r="C110"/>
  <c r="AH109"/>
  <c r="AG109"/>
  <c r="AD109"/>
  <c r="AC109"/>
  <c r="K109"/>
  <c r="G109"/>
  <c r="E109"/>
  <c r="S247" i="24" s="1"/>
  <c r="C109" i="18"/>
  <c r="D109" s="1"/>
  <c r="T247" i="24" s="1"/>
  <c r="AH108" i="18"/>
  <c r="AG108"/>
  <c r="AD108"/>
  <c r="AC108"/>
  <c r="K108"/>
  <c r="G108"/>
  <c r="E108"/>
  <c r="C108"/>
  <c r="U108" s="1"/>
  <c r="F108" s="1"/>
  <c r="AH107"/>
  <c r="AG107"/>
  <c r="AD107"/>
  <c r="AC107"/>
  <c r="K107"/>
  <c r="G107"/>
  <c r="E107"/>
  <c r="C107"/>
  <c r="U107" s="1"/>
  <c r="F107" s="1"/>
  <c r="AH106"/>
  <c r="AG106"/>
  <c r="AD106"/>
  <c r="AC106"/>
  <c r="K106"/>
  <c r="G106"/>
  <c r="E106"/>
  <c r="C106"/>
  <c r="N3" i="23" s="1"/>
  <c r="AH105" i="18"/>
  <c r="AG105"/>
  <c r="AD105"/>
  <c r="AC105"/>
  <c r="K105"/>
  <c r="G105"/>
  <c r="E105"/>
  <c r="C105"/>
  <c r="D105" s="1"/>
  <c r="AH104"/>
  <c r="AG104"/>
  <c r="AD104"/>
  <c r="AC104"/>
  <c r="K104"/>
  <c r="G104"/>
  <c r="E104"/>
  <c r="C104"/>
  <c r="U104" s="1"/>
  <c r="F104" s="1"/>
  <c r="AH103"/>
  <c r="AG103"/>
  <c r="AD103"/>
  <c r="AC103"/>
  <c r="K103"/>
  <c r="G103"/>
  <c r="E103"/>
  <c r="C103"/>
  <c r="U103" s="1"/>
  <c r="F103" s="1"/>
  <c r="AH102"/>
  <c r="AG102"/>
  <c r="AD102"/>
  <c r="AC102"/>
  <c r="K102"/>
  <c r="G102"/>
  <c r="E102"/>
  <c r="C102"/>
  <c r="U102" s="1"/>
  <c r="F102" s="1"/>
  <c r="AH101"/>
  <c r="AG101"/>
  <c r="AD101"/>
  <c r="AC101"/>
  <c r="K101"/>
  <c r="G101"/>
  <c r="E101"/>
  <c r="C101"/>
  <c r="D101" s="1"/>
  <c r="AH100"/>
  <c r="AG100"/>
  <c r="AD100"/>
  <c r="AC100"/>
  <c r="K100"/>
  <c r="G100"/>
  <c r="E100"/>
  <c r="C100"/>
  <c r="U100" s="1"/>
  <c r="F100" s="1"/>
  <c r="AH99"/>
  <c r="AG99"/>
  <c r="AD99"/>
  <c r="AC99"/>
  <c r="K99"/>
  <c r="G99"/>
  <c r="E99"/>
  <c r="C99"/>
  <c r="D99" s="1"/>
  <c r="AH98"/>
  <c r="AG98"/>
  <c r="AD98"/>
  <c r="AC98"/>
  <c r="K98"/>
  <c r="G98"/>
  <c r="E98"/>
  <c r="C98"/>
  <c r="U98" s="1"/>
  <c r="F98" s="1"/>
  <c r="AH97"/>
  <c r="AG97"/>
  <c r="AD97"/>
  <c r="AC97"/>
  <c r="K97"/>
  <c r="H97"/>
  <c r="G97"/>
  <c r="E97"/>
  <c r="C97"/>
  <c r="D97" s="1"/>
  <c r="AH96"/>
  <c r="AG96"/>
  <c r="AD96"/>
  <c r="AC96"/>
  <c r="K96"/>
  <c r="G96"/>
  <c r="E96"/>
  <c r="C96"/>
  <c r="U96" s="1"/>
  <c r="F96" s="1"/>
  <c r="AH95"/>
  <c r="AG95"/>
  <c r="AD95"/>
  <c r="AC95"/>
  <c r="K95"/>
  <c r="G95"/>
  <c r="E95"/>
  <c r="C95"/>
  <c r="U95" s="1"/>
  <c r="F95" s="1"/>
  <c r="AH94"/>
  <c r="AG94"/>
  <c r="AD94"/>
  <c r="AC94"/>
  <c r="K94"/>
  <c r="G94"/>
  <c r="E94"/>
  <c r="C94"/>
  <c r="U94" s="1"/>
  <c r="F94" s="1"/>
  <c r="AH93"/>
  <c r="AG93"/>
  <c r="AD93"/>
  <c r="AC93"/>
  <c r="K93"/>
  <c r="G93"/>
  <c r="E93"/>
  <c r="C93"/>
  <c r="D93" s="1"/>
  <c r="AH92"/>
  <c r="AG92"/>
  <c r="AD92"/>
  <c r="AC92"/>
  <c r="K92"/>
  <c r="G92"/>
  <c r="E92"/>
  <c r="C92"/>
  <c r="U92" s="1"/>
  <c r="F92" s="1"/>
  <c r="AH91"/>
  <c r="AG91"/>
  <c r="AD91"/>
  <c r="AC91"/>
  <c r="K91"/>
  <c r="G91"/>
  <c r="E91"/>
  <c r="C91"/>
  <c r="U91" s="1"/>
  <c r="F91" s="1"/>
  <c r="AH90"/>
  <c r="AG90"/>
  <c r="AD90"/>
  <c r="AC90"/>
  <c r="K90"/>
  <c r="G90"/>
  <c r="E90"/>
  <c r="C90"/>
  <c r="U90" s="1"/>
  <c r="F90" s="1"/>
  <c r="AH89"/>
  <c r="AG89"/>
  <c r="AD89"/>
  <c r="AC89"/>
  <c r="K89"/>
  <c r="G89"/>
  <c r="E89"/>
  <c r="C89"/>
  <c r="D89" s="1"/>
  <c r="AH88"/>
  <c r="AG88"/>
  <c r="AD88"/>
  <c r="AC88"/>
  <c r="K88"/>
  <c r="G88"/>
  <c r="E88"/>
  <c r="C88"/>
  <c r="U88" s="1"/>
  <c r="F88" s="1"/>
  <c r="AH87"/>
  <c r="AG87"/>
  <c r="AD87"/>
  <c r="AC87"/>
  <c r="K87"/>
  <c r="G87"/>
  <c r="E87"/>
  <c r="C87"/>
  <c r="U87" s="1"/>
  <c r="F87" s="1"/>
  <c r="AH86"/>
  <c r="AG86"/>
  <c r="AD86"/>
  <c r="AC86"/>
  <c r="K86"/>
  <c r="G86"/>
  <c r="E86"/>
  <c r="C86"/>
  <c r="U86" s="1"/>
  <c r="F86" s="1"/>
  <c r="AH85"/>
  <c r="AG85"/>
  <c r="AD85"/>
  <c r="AC85"/>
  <c r="K85"/>
  <c r="G85"/>
  <c r="E85"/>
  <c r="C85"/>
  <c r="D85" s="1"/>
  <c r="AH84"/>
  <c r="AG84"/>
  <c r="AD84"/>
  <c r="AC84"/>
  <c r="K84"/>
  <c r="G84"/>
  <c r="E84"/>
  <c r="C84"/>
  <c r="U84" s="1"/>
  <c r="F84" s="1"/>
  <c r="AH83"/>
  <c r="AG83"/>
  <c r="AD83"/>
  <c r="AC83"/>
  <c r="K83"/>
  <c r="G83"/>
  <c r="E83"/>
  <c r="C83"/>
  <c r="D83" s="1"/>
  <c r="AH82"/>
  <c r="AG82"/>
  <c r="AD82"/>
  <c r="AC82"/>
  <c r="K82"/>
  <c r="G82"/>
  <c r="E82"/>
  <c r="C82"/>
  <c r="U82" s="1"/>
  <c r="F82" s="1"/>
  <c r="AH81"/>
  <c r="AG81"/>
  <c r="AD81"/>
  <c r="AC81"/>
  <c r="K81"/>
  <c r="H81"/>
  <c r="G81"/>
  <c r="E81"/>
  <c r="C81"/>
  <c r="D81" s="1"/>
  <c r="AH80"/>
  <c r="AG80"/>
  <c r="AD80"/>
  <c r="AC80"/>
  <c r="K80"/>
  <c r="G80"/>
  <c r="E80"/>
  <c r="C80"/>
  <c r="U80" s="1"/>
  <c r="F80" s="1"/>
  <c r="AH79"/>
  <c r="AG79"/>
  <c r="AD79"/>
  <c r="AC79"/>
  <c r="K79"/>
  <c r="G79"/>
  <c r="E79"/>
  <c r="C79"/>
  <c r="U79" s="1"/>
  <c r="F79" s="1"/>
  <c r="AH78"/>
  <c r="AG78"/>
  <c r="AD78"/>
  <c r="AC78"/>
  <c r="K78"/>
  <c r="G78"/>
  <c r="E78"/>
  <c r="C78"/>
  <c r="U78" s="1"/>
  <c r="F78" s="1"/>
  <c r="AH77"/>
  <c r="AG77"/>
  <c r="AD77"/>
  <c r="AC77"/>
  <c r="K77"/>
  <c r="G77"/>
  <c r="E77"/>
  <c r="C77"/>
  <c r="D77" s="1"/>
  <c r="AH76"/>
  <c r="AG76"/>
  <c r="AD76"/>
  <c r="AC76"/>
  <c r="K76"/>
  <c r="G76"/>
  <c r="E76"/>
  <c r="S251" i="24" s="1"/>
  <c r="C76" i="18"/>
  <c r="U76" s="1"/>
  <c r="F76" s="1"/>
  <c r="AH75"/>
  <c r="AG75"/>
  <c r="AD75"/>
  <c r="AC75"/>
  <c r="K75"/>
  <c r="G75"/>
  <c r="E75"/>
  <c r="C75"/>
  <c r="U75" s="1"/>
  <c r="F75" s="1"/>
  <c r="AH74"/>
  <c r="AG74"/>
  <c r="AD74"/>
  <c r="AC74"/>
  <c r="K74"/>
  <c r="G74"/>
  <c r="E74"/>
  <c r="C74"/>
  <c r="U74" s="1"/>
  <c r="F74" s="1"/>
  <c r="AH73"/>
  <c r="AG73"/>
  <c r="AD73"/>
  <c r="AC73"/>
  <c r="K73"/>
  <c r="G73"/>
  <c r="E73"/>
  <c r="C73"/>
  <c r="U73" s="1"/>
  <c r="F73" s="1"/>
  <c r="AH72"/>
  <c r="AG72"/>
  <c r="AD72"/>
  <c r="AC72"/>
  <c r="K72"/>
  <c r="G72"/>
  <c r="E72"/>
  <c r="C72"/>
  <c r="U72" s="1"/>
  <c r="F72" s="1"/>
  <c r="AH71"/>
  <c r="AG71"/>
  <c r="AD71"/>
  <c r="AC71"/>
  <c r="K71"/>
  <c r="G71"/>
  <c r="E71"/>
  <c r="C71"/>
  <c r="D71" s="1"/>
  <c r="AH70"/>
  <c r="AG70"/>
  <c r="AD70"/>
  <c r="AC70"/>
  <c r="K70"/>
  <c r="G70"/>
  <c r="E70"/>
  <c r="C70"/>
  <c r="U70" s="1"/>
  <c r="F70" s="1"/>
  <c r="AH69"/>
  <c r="AG69"/>
  <c r="AD69"/>
  <c r="AC69"/>
  <c r="K69"/>
  <c r="G69"/>
  <c r="E69"/>
  <c r="C69"/>
  <c r="U69" s="1"/>
  <c r="F69" s="1"/>
  <c r="AH68"/>
  <c r="AG68"/>
  <c r="AD68"/>
  <c r="AC68"/>
  <c r="K68"/>
  <c r="G68"/>
  <c r="E68"/>
  <c r="C68"/>
  <c r="U68" s="1"/>
  <c r="F68" s="1"/>
  <c r="AH67"/>
  <c r="AG67"/>
  <c r="AD67"/>
  <c r="AC67"/>
  <c r="K67"/>
  <c r="G67"/>
  <c r="E67"/>
  <c r="C67"/>
  <c r="D67" s="1"/>
  <c r="AH66"/>
  <c r="AG66"/>
  <c r="AD66"/>
  <c r="AC66"/>
  <c r="K66"/>
  <c r="G66"/>
  <c r="E66"/>
  <c r="C66"/>
  <c r="U66" s="1"/>
  <c r="F66" s="1"/>
  <c r="AH65"/>
  <c r="AG65"/>
  <c r="AD65"/>
  <c r="AC65"/>
  <c r="K65"/>
  <c r="H65"/>
  <c r="G65"/>
  <c r="E65"/>
  <c r="C65"/>
  <c r="D65" s="1"/>
  <c r="AH64"/>
  <c r="AG64"/>
  <c r="AD64"/>
  <c r="AC64"/>
  <c r="K64"/>
  <c r="G64"/>
  <c r="E64"/>
  <c r="C64"/>
  <c r="U64" s="1"/>
  <c r="F64" s="1"/>
  <c r="AH63"/>
  <c r="AG63"/>
  <c r="AD63"/>
  <c r="AC63"/>
  <c r="K63"/>
  <c r="G63"/>
  <c r="E63"/>
  <c r="C63"/>
  <c r="D63" s="1"/>
  <c r="AH62"/>
  <c r="H62" s="1"/>
  <c r="AG62"/>
  <c r="AD62"/>
  <c r="AC62"/>
  <c r="K62"/>
  <c r="G62"/>
  <c r="E62"/>
  <c r="C62"/>
  <c r="AH61"/>
  <c r="H61" s="1"/>
  <c r="AG61"/>
  <c r="AD61"/>
  <c r="AC61"/>
  <c r="K61"/>
  <c r="G61"/>
  <c r="E61"/>
  <c r="C61"/>
  <c r="U61" s="1"/>
  <c r="F61" s="1"/>
  <c r="AH60"/>
  <c r="AG60"/>
  <c r="AD60"/>
  <c r="AC60"/>
  <c r="K60"/>
  <c r="G60"/>
  <c r="E60"/>
  <c r="C60"/>
  <c r="U60" s="1"/>
  <c r="F60" s="1"/>
  <c r="AH59"/>
  <c r="AG59"/>
  <c r="AD59"/>
  <c r="AC59"/>
  <c r="K59"/>
  <c r="G59"/>
  <c r="E59"/>
  <c r="C59"/>
  <c r="AH58"/>
  <c r="AG58"/>
  <c r="AD58"/>
  <c r="AC58"/>
  <c r="K58"/>
  <c r="G58"/>
  <c r="E58"/>
  <c r="C58"/>
  <c r="U58" s="1"/>
  <c r="F58" s="1"/>
  <c r="AH57"/>
  <c r="H57" s="1"/>
  <c r="AG57"/>
  <c r="AD57"/>
  <c r="AC57"/>
  <c r="K57"/>
  <c r="G57"/>
  <c r="E57"/>
  <c r="C57"/>
  <c r="U57" s="1"/>
  <c r="F57" s="1"/>
  <c r="AH56"/>
  <c r="AG56"/>
  <c r="AD56"/>
  <c r="AC56"/>
  <c r="K56"/>
  <c r="G56"/>
  <c r="E56"/>
  <c r="C56"/>
  <c r="U56" s="1"/>
  <c r="F56" s="1"/>
  <c r="AH55"/>
  <c r="AG55"/>
  <c r="AD55"/>
  <c r="AC55"/>
  <c r="K55"/>
  <c r="G55"/>
  <c r="E55"/>
  <c r="C55"/>
  <c r="AH54"/>
  <c r="AG54"/>
  <c r="AD54"/>
  <c r="AC54"/>
  <c r="K54"/>
  <c r="G54"/>
  <c r="E54"/>
  <c r="C54"/>
  <c r="AH53"/>
  <c r="AG53"/>
  <c r="AD53"/>
  <c r="AC53"/>
  <c r="K53"/>
  <c r="G53"/>
  <c r="E53"/>
  <c r="S254" i="24" s="1"/>
  <c r="C53" i="18"/>
  <c r="D53" s="1"/>
  <c r="T254" i="24" s="1"/>
  <c r="AH52" i="18"/>
  <c r="AG52"/>
  <c r="AD52"/>
  <c r="AC52"/>
  <c r="K52"/>
  <c r="G52"/>
  <c r="E52"/>
  <c r="C52"/>
  <c r="U52" s="1"/>
  <c r="F52" s="1"/>
  <c r="AH51"/>
  <c r="AG51"/>
  <c r="AD51"/>
  <c r="AC51"/>
  <c r="K51"/>
  <c r="G51"/>
  <c r="E51"/>
  <c r="C51"/>
  <c r="D51" s="1"/>
  <c r="AH50"/>
  <c r="AG50"/>
  <c r="AD50"/>
  <c r="AC50"/>
  <c r="K50"/>
  <c r="G50"/>
  <c r="E50"/>
  <c r="C50"/>
  <c r="U50" s="1"/>
  <c r="F50" s="1"/>
  <c r="AH49"/>
  <c r="H49" s="1"/>
  <c r="AG49"/>
  <c r="AD49"/>
  <c r="AC49"/>
  <c r="K49"/>
  <c r="G49"/>
  <c r="E49"/>
  <c r="C49"/>
  <c r="D49" s="1"/>
  <c r="AH48"/>
  <c r="AG48"/>
  <c r="AD48"/>
  <c r="AC48"/>
  <c r="K48"/>
  <c r="G48"/>
  <c r="E48"/>
  <c r="C48"/>
  <c r="U48" s="1"/>
  <c r="F48" s="1"/>
  <c r="AH47"/>
  <c r="AG47"/>
  <c r="AD47"/>
  <c r="AC47"/>
  <c r="K47"/>
  <c r="G47"/>
  <c r="E47"/>
  <c r="C47"/>
  <c r="D47" s="1"/>
  <c r="AH46"/>
  <c r="AG46"/>
  <c r="AD46"/>
  <c r="AC46"/>
  <c r="K46"/>
  <c r="G46"/>
  <c r="E46"/>
  <c r="C46"/>
  <c r="N2" i="23" s="1"/>
  <c r="AH45" i="18"/>
  <c r="AG45"/>
  <c r="AD45"/>
  <c r="AC45"/>
  <c r="K45"/>
  <c r="G45"/>
  <c r="E45"/>
  <c r="S255" i="24" s="1"/>
  <c r="C45" i="18"/>
  <c r="D45" s="1"/>
  <c r="T255" i="24" s="1"/>
  <c r="AH44" i="18"/>
  <c r="AG44"/>
  <c r="AD44"/>
  <c r="AC44"/>
  <c r="K44"/>
  <c r="G44"/>
  <c r="E44"/>
  <c r="C44"/>
  <c r="U44" s="1"/>
  <c r="F44" s="1"/>
  <c r="AH43"/>
  <c r="AG43"/>
  <c r="AD43"/>
  <c r="AC43"/>
  <c r="K43"/>
  <c r="G43"/>
  <c r="E43"/>
  <c r="C43"/>
  <c r="D43" s="1"/>
  <c r="AH42"/>
  <c r="AG42"/>
  <c r="AD42"/>
  <c r="AC42"/>
  <c r="K42"/>
  <c r="G42"/>
  <c r="E42"/>
  <c r="C42"/>
  <c r="U42" s="1"/>
  <c r="F42" s="1"/>
  <c r="AH41"/>
  <c r="AG41"/>
  <c r="AD41"/>
  <c r="AC41"/>
  <c r="K41"/>
  <c r="G41"/>
  <c r="E41"/>
  <c r="C41"/>
  <c r="U41" s="1"/>
  <c r="F41" s="1"/>
  <c r="AH40"/>
  <c r="AG40"/>
  <c r="AD40"/>
  <c r="AC40"/>
  <c r="K40"/>
  <c r="G40"/>
  <c r="E40"/>
  <c r="C40"/>
  <c r="U40" s="1"/>
  <c r="F40" s="1"/>
  <c r="AH39"/>
  <c r="AG39"/>
  <c r="AD39"/>
  <c r="AC39"/>
  <c r="K39"/>
  <c r="G39"/>
  <c r="E39"/>
  <c r="C39"/>
  <c r="U39" s="1"/>
  <c r="F39" s="1"/>
  <c r="AH38"/>
  <c r="AG38"/>
  <c r="AD38"/>
  <c r="AC38"/>
  <c r="K38"/>
  <c r="G38"/>
  <c r="E38"/>
  <c r="C38"/>
  <c r="U38" s="1"/>
  <c r="F38" s="1"/>
  <c r="AH37"/>
  <c r="AG37"/>
  <c r="AD37"/>
  <c r="AC37"/>
  <c r="K37"/>
  <c r="G37"/>
  <c r="E37"/>
  <c r="C37"/>
  <c r="D37" s="1"/>
  <c r="AH36"/>
  <c r="AG36"/>
  <c r="AD36"/>
  <c r="AC36"/>
  <c r="K36"/>
  <c r="G36"/>
  <c r="E36"/>
  <c r="C36"/>
  <c r="U36" s="1"/>
  <c r="F36" s="1"/>
  <c r="AH35"/>
  <c r="AG35"/>
  <c r="AD35"/>
  <c r="AC35"/>
  <c r="K35"/>
  <c r="G35"/>
  <c r="E35"/>
  <c r="C35"/>
  <c r="D35" s="1"/>
  <c r="AH34"/>
  <c r="AG34"/>
  <c r="AD34"/>
  <c r="AC34"/>
  <c r="K34"/>
  <c r="G34"/>
  <c r="E34"/>
  <c r="C34"/>
  <c r="U34" s="1"/>
  <c r="F34" s="1"/>
  <c r="AH33"/>
  <c r="AG33"/>
  <c r="AD33"/>
  <c r="AC33"/>
  <c r="K33"/>
  <c r="H33"/>
  <c r="G33"/>
  <c r="E33"/>
  <c r="C33"/>
  <c r="U33" s="1"/>
  <c r="F33" s="1"/>
  <c r="AH32"/>
  <c r="AG32"/>
  <c r="AD32"/>
  <c r="AC32"/>
  <c r="K32"/>
  <c r="G32"/>
  <c r="E32"/>
  <c r="C32"/>
  <c r="U32" s="1"/>
  <c r="F32" s="1"/>
  <c r="AH31"/>
  <c r="AG31"/>
  <c r="AD31"/>
  <c r="AC31"/>
  <c r="K31"/>
  <c r="G31"/>
  <c r="E31"/>
  <c r="C31"/>
  <c r="U31" s="1"/>
  <c r="F31" s="1"/>
  <c r="AH30"/>
  <c r="AG30"/>
  <c r="AD30"/>
  <c r="AC30"/>
  <c r="K30"/>
  <c r="G30"/>
  <c r="E30"/>
  <c r="C30"/>
  <c r="U30" s="1"/>
  <c r="F30" s="1"/>
  <c r="AH29"/>
  <c r="AG29"/>
  <c r="AD29"/>
  <c r="AC29"/>
  <c r="K29"/>
  <c r="G29"/>
  <c r="E29"/>
  <c r="S256" i="24" s="1"/>
  <c r="C29" i="18"/>
  <c r="U29" s="1"/>
  <c r="F29" s="1"/>
  <c r="AH28"/>
  <c r="AG28"/>
  <c r="AD28"/>
  <c r="AC28"/>
  <c r="K28"/>
  <c r="G28"/>
  <c r="E28"/>
  <c r="C28"/>
  <c r="U28" s="1"/>
  <c r="F28" s="1"/>
  <c r="AH27"/>
  <c r="AG27"/>
  <c r="AD27"/>
  <c r="AC27"/>
  <c r="K27"/>
  <c r="G27"/>
  <c r="E27"/>
  <c r="C27"/>
  <c r="D27" s="1"/>
  <c r="AH26"/>
  <c r="AG26"/>
  <c r="AD26"/>
  <c r="AC26"/>
  <c r="K26"/>
  <c r="G26"/>
  <c r="E26"/>
  <c r="C26"/>
  <c r="U26" s="1"/>
  <c r="F26" s="1"/>
  <c r="AH25"/>
  <c r="AG25"/>
  <c r="AD25"/>
  <c r="AC25"/>
  <c r="K25"/>
  <c r="H25"/>
  <c r="G25"/>
  <c r="E25"/>
  <c r="C25"/>
  <c r="U25" s="1"/>
  <c r="F25" s="1"/>
  <c r="AH24"/>
  <c r="AG24"/>
  <c r="AD24"/>
  <c r="AC24"/>
  <c r="K24"/>
  <c r="G24"/>
  <c r="E24"/>
  <c r="C24"/>
  <c r="U24" s="1"/>
  <c r="F24" s="1"/>
  <c r="AH23"/>
  <c r="AG23"/>
  <c r="AD23"/>
  <c r="AC23"/>
  <c r="K23"/>
  <c r="G23"/>
  <c r="E23"/>
  <c r="C23"/>
  <c r="D23" s="1"/>
  <c r="AH22"/>
  <c r="AG22"/>
  <c r="AD22"/>
  <c r="AC22"/>
  <c r="K22"/>
  <c r="G22"/>
  <c r="E22"/>
  <c r="C22"/>
  <c r="U22" s="1"/>
  <c r="F22" s="1"/>
  <c r="AH21"/>
  <c r="AG21"/>
  <c r="AD21"/>
  <c r="AC21"/>
  <c r="K21"/>
  <c r="G21"/>
  <c r="E21"/>
  <c r="C21"/>
  <c r="U21" s="1"/>
  <c r="F21" s="1"/>
  <c r="AH20"/>
  <c r="AG20"/>
  <c r="AD20"/>
  <c r="AC20"/>
  <c r="K20"/>
  <c r="G20"/>
  <c r="E20"/>
  <c r="C20"/>
  <c r="U20" s="1"/>
  <c r="F20" s="1"/>
  <c r="AH19"/>
  <c r="AG19"/>
  <c r="AD19"/>
  <c r="AC19"/>
  <c r="K19"/>
  <c r="G19"/>
  <c r="E19"/>
  <c r="C19"/>
  <c r="D19" s="1"/>
  <c r="AH18"/>
  <c r="AG18"/>
  <c r="AD18"/>
  <c r="AC18"/>
  <c r="K18"/>
  <c r="G18"/>
  <c r="E18"/>
  <c r="C18"/>
  <c r="U18" s="1"/>
  <c r="F18" s="1"/>
  <c r="AH17"/>
  <c r="AG17"/>
  <c r="H17" s="1"/>
  <c r="AD17"/>
  <c r="AC17"/>
  <c r="K17"/>
  <c r="G17"/>
  <c r="E17"/>
  <c r="C17"/>
  <c r="U17" s="1"/>
  <c r="F17" s="1"/>
  <c r="AH16"/>
  <c r="AG16"/>
  <c r="AD16"/>
  <c r="AC16"/>
  <c r="K16"/>
  <c r="G16"/>
  <c r="E16"/>
  <c r="C16"/>
  <c r="U16" s="1"/>
  <c r="F16" s="1"/>
  <c r="AH15"/>
  <c r="AG15"/>
  <c r="AD15"/>
  <c r="AC15"/>
  <c r="K15"/>
  <c r="G15"/>
  <c r="E15"/>
  <c r="C15"/>
  <c r="D15" s="1"/>
  <c r="AH14"/>
  <c r="H14" s="1"/>
  <c r="AG14"/>
  <c r="AD14"/>
  <c r="AC14"/>
  <c r="K14"/>
  <c r="G14"/>
  <c r="E14"/>
  <c r="C14"/>
  <c r="U14" s="1"/>
  <c r="F14" s="1"/>
  <c r="AH13"/>
  <c r="H13" s="1"/>
  <c r="AG13"/>
  <c r="AD13"/>
  <c r="AC13"/>
  <c r="K13"/>
  <c r="G13"/>
  <c r="E13"/>
  <c r="C13"/>
  <c r="U13" s="1"/>
  <c r="F13" s="1"/>
  <c r="AH12"/>
  <c r="AG12"/>
  <c r="AD12"/>
  <c r="AC12"/>
  <c r="K12"/>
  <c r="G12"/>
  <c r="E12"/>
  <c r="C12"/>
  <c r="U12" s="1"/>
  <c r="F12" s="1"/>
  <c r="AH11"/>
  <c r="AG11"/>
  <c r="AD11"/>
  <c r="AC11"/>
  <c r="K11"/>
  <c r="G11"/>
  <c r="E11"/>
  <c r="C11"/>
  <c r="D11" s="1"/>
  <c r="AH10"/>
  <c r="AG10"/>
  <c r="AD10"/>
  <c r="AC10"/>
  <c r="K10"/>
  <c r="G10"/>
  <c r="E10"/>
  <c r="C10"/>
  <c r="U10" s="1"/>
  <c r="F10" s="1"/>
  <c r="AH9"/>
  <c r="H9" s="1"/>
  <c r="AG9"/>
  <c r="AD9"/>
  <c r="AC9"/>
  <c r="K9"/>
  <c r="G9"/>
  <c r="E9"/>
  <c r="C9"/>
  <c r="U9" s="1"/>
  <c r="F9" s="1"/>
  <c r="AH8"/>
  <c r="AG8"/>
  <c r="AD8"/>
  <c r="AC8"/>
  <c r="K8"/>
  <c r="G8"/>
  <c r="E8"/>
  <c r="C8"/>
  <c r="U8" s="1"/>
  <c r="F8" s="1"/>
  <c r="AH7"/>
  <c r="AG7"/>
  <c r="AD7"/>
  <c r="AC7"/>
  <c r="K7"/>
  <c r="G7"/>
  <c r="E7"/>
  <c r="C7"/>
  <c r="D7" s="1"/>
  <c r="AH6"/>
  <c r="AG6"/>
  <c r="AD6"/>
  <c r="AC6"/>
  <c r="K6"/>
  <c r="G6"/>
  <c r="E6"/>
  <c r="C6"/>
  <c r="U6" s="1"/>
  <c r="F6" s="1"/>
  <c r="AH5"/>
  <c r="H5" s="1"/>
  <c r="AG5"/>
  <c r="AD5"/>
  <c r="AC5"/>
  <c r="K5"/>
  <c r="G5"/>
  <c r="E5"/>
  <c r="C5"/>
  <c r="U5" s="1"/>
  <c r="F5" s="1"/>
  <c r="AH4"/>
  <c r="AG4"/>
  <c r="AD4"/>
  <c r="AC4"/>
  <c r="K4"/>
  <c r="G4"/>
  <c r="E4"/>
  <c r="C4"/>
  <c r="U4" s="1"/>
  <c r="F4" s="1"/>
  <c r="AH3"/>
  <c r="AG3"/>
  <c r="AD3"/>
  <c r="AC3"/>
  <c r="K3"/>
  <c r="G3"/>
  <c r="E3"/>
  <c r="C3"/>
  <c r="D3" s="1"/>
  <c r="AH2"/>
  <c r="AG2"/>
  <c r="AD2"/>
  <c r="AC2"/>
  <c r="K2"/>
  <c r="G2"/>
  <c r="E2"/>
  <c r="C2"/>
  <c r="U2" s="1"/>
  <c r="F2" s="1"/>
  <c r="B2" i="4"/>
  <c r="C2" s="1"/>
  <c r="C3" s="1"/>
  <c r="C4" s="1"/>
  <c r="C5" s="1"/>
  <c r="U110" i="18" l="1"/>
  <c r="F110" s="1"/>
  <c r="P17" i="2" s="1"/>
  <c r="M17"/>
  <c r="D59" i="18"/>
  <c r="N13" i="2" s="1"/>
  <c r="M13"/>
  <c r="U378" i="18"/>
  <c r="F378" s="1"/>
  <c r="P11" i="2" s="1"/>
  <c r="M11"/>
  <c r="N41" i="23"/>
  <c r="N42"/>
  <c r="D159" i="18"/>
  <c r="N16" i="2" s="1"/>
  <c r="M16"/>
  <c r="N35" i="23"/>
  <c r="N36"/>
  <c r="U1029" i="18"/>
  <c r="F1029" s="1"/>
  <c r="P5" i="2" s="1"/>
  <c r="M5"/>
  <c r="N39" i="23"/>
  <c r="N40"/>
  <c r="U166" i="18"/>
  <c r="F166" s="1"/>
  <c r="P10" i="2" s="1"/>
  <c r="M10"/>
  <c r="U707" i="18"/>
  <c r="F707" s="1"/>
  <c r="P21" i="2" s="1"/>
  <c r="M21"/>
  <c r="U1215" i="18"/>
  <c r="F1215" s="1"/>
  <c r="P7" i="2" s="1"/>
  <c r="M7"/>
  <c r="U1399" i="18"/>
  <c r="F1399" s="1"/>
  <c r="P22" i="2" s="1"/>
  <c r="M22"/>
  <c r="H21" i="18"/>
  <c r="H78"/>
  <c r="H89"/>
  <c r="H93"/>
  <c r="H94"/>
  <c r="H146"/>
  <c r="H150"/>
  <c r="H194"/>
  <c r="H197"/>
  <c r="H266"/>
  <c r="H269"/>
  <c r="H327"/>
  <c r="H330"/>
  <c r="H331"/>
  <c r="H332"/>
  <c r="H333"/>
  <c r="H41"/>
  <c r="H45"/>
  <c r="H46"/>
  <c r="H105"/>
  <c r="H109"/>
  <c r="H110"/>
  <c r="H162"/>
  <c r="H166"/>
  <c r="H171"/>
  <c r="H202"/>
  <c r="H205"/>
  <c r="H250"/>
  <c r="H253"/>
  <c r="H303"/>
  <c r="H386"/>
  <c r="H390"/>
  <c r="H394"/>
  <c r="H396"/>
  <c r="H397"/>
  <c r="H399"/>
  <c r="H434"/>
  <c r="H438"/>
  <c r="H442"/>
  <c r="H444"/>
  <c r="H445"/>
  <c r="H447"/>
  <c r="H474"/>
  <c r="H475"/>
  <c r="H498"/>
  <c r="H502"/>
  <c r="H507"/>
  <c r="H508"/>
  <c r="H539"/>
  <c r="H542"/>
  <c r="H570"/>
  <c r="H571"/>
  <c r="H574"/>
  <c r="H576"/>
  <c r="H598"/>
  <c r="H602"/>
  <c r="H607"/>
  <c r="H608"/>
  <c r="H630"/>
  <c r="H631"/>
  <c r="H633"/>
  <c r="H634"/>
  <c r="H662"/>
  <c r="H663"/>
  <c r="H665"/>
  <c r="H666"/>
  <c r="H668"/>
  <c r="H683"/>
  <c r="H708"/>
  <c r="H129"/>
  <c r="H371"/>
  <c r="H403"/>
  <c r="H451"/>
  <c r="H452"/>
  <c r="H484"/>
  <c r="H515"/>
  <c r="H516"/>
  <c r="H551"/>
  <c r="H579"/>
  <c r="H580"/>
  <c r="H615"/>
  <c r="H616"/>
  <c r="H692"/>
  <c r="H22"/>
  <c r="H73"/>
  <c r="H77"/>
  <c r="H726"/>
  <c r="H727"/>
  <c r="H729"/>
  <c r="H771"/>
  <c r="H772"/>
  <c r="H775"/>
  <c r="H776"/>
  <c r="H777"/>
  <c r="H778"/>
  <c r="H803"/>
  <c r="H804"/>
  <c r="H867"/>
  <c r="H868"/>
  <c r="H871"/>
  <c r="H872"/>
  <c r="H873"/>
  <c r="H923"/>
  <c r="H924"/>
  <c r="H928"/>
  <c r="H932"/>
  <c r="H1004"/>
  <c r="H1008"/>
  <c r="H1009"/>
  <c r="H1012"/>
  <c r="H1016"/>
  <c r="H1017"/>
  <c r="H1020"/>
  <c r="H1108"/>
  <c r="H1111"/>
  <c r="H1115"/>
  <c r="H1118"/>
  <c r="H1119"/>
  <c r="H1123"/>
  <c r="H1127"/>
  <c r="H1128"/>
  <c r="H1131"/>
  <c r="H1135"/>
  <c r="H1136"/>
  <c r="H1209"/>
  <c r="H1210"/>
  <c r="H1213"/>
  <c r="H1214"/>
  <c r="H1215"/>
  <c r="H1217"/>
  <c r="H1218"/>
  <c r="H1222"/>
  <c r="H1225"/>
  <c r="H1281"/>
  <c r="H1282"/>
  <c r="H1286"/>
  <c r="H1289"/>
  <c r="H636"/>
  <c r="H651"/>
  <c r="H654"/>
  <c r="H655"/>
  <c r="H657"/>
  <c r="H674"/>
  <c r="H676"/>
  <c r="H715"/>
  <c r="H732"/>
  <c r="H758"/>
  <c r="H759"/>
  <c r="H761"/>
  <c r="H780"/>
  <c r="H783"/>
  <c r="H784"/>
  <c r="H785"/>
  <c r="H786"/>
  <c r="H835"/>
  <c r="H836"/>
  <c r="H839"/>
  <c r="H840"/>
  <c r="H842"/>
  <c r="H876"/>
  <c r="H879"/>
  <c r="H883"/>
  <c r="H885"/>
  <c r="H888"/>
  <c r="H940"/>
  <c r="H944"/>
  <c r="H948"/>
  <c r="H952"/>
  <c r="H1028"/>
  <c r="H1032"/>
  <c r="H1033"/>
  <c r="H1036"/>
  <c r="H1040"/>
  <c r="H1147"/>
  <c r="H1151"/>
  <c r="H1155"/>
  <c r="H1159"/>
  <c r="H1160"/>
  <c r="H1161"/>
  <c r="H1163"/>
  <c r="H1164"/>
  <c r="H1230"/>
  <c r="H1233"/>
  <c r="H1234"/>
  <c r="H1238"/>
  <c r="H1294"/>
  <c r="H1297"/>
  <c r="H1298"/>
  <c r="H1301"/>
  <c r="H1302"/>
  <c r="H1305"/>
  <c r="H1306"/>
  <c r="H1309"/>
  <c r="H1310"/>
  <c r="H1380"/>
  <c r="H1383"/>
  <c r="H1384"/>
  <c r="H1387"/>
  <c r="H1388"/>
  <c r="H1389"/>
  <c r="H1390"/>
  <c r="H1428"/>
  <c r="H1432"/>
  <c r="H1436"/>
  <c r="H1439"/>
  <c r="H1440"/>
  <c r="H1507"/>
  <c r="H1513"/>
  <c r="H1519"/>
  <c r="H1520"/>
  <c r="H1521"/>
  <c r="H1522"/>
  <c r="H1523"/>
  <c r="H1524"/>
  <c r="H1527"/>
  <c r="H747"/>
  <c r="H764"/>
  <c r="H789"/>
  <c r="H812"/>
  <c r="H815"/>
  <c r="H816"/>
  <c r="H818"/>
  <c r="H819"/>
  <c r="H821"/>
  <c r="H844"/>
  <c r="H847"/>
  <c r="H848"/>
  <c r="H850"/>
  <c r="H851"/>
  <c r="H853"/>
  <c r="H892"/>
  <c r="H895"/>
  <c r="H897"/>
  <c r="H898"/>
  <c r="H899"/>
  <c r="H904"/>
  <c r="H964"/>
  <c r="H968"/>
  <c r="H972"/>
  <c r="H976"/>
  <c r="H977"/>
  <c r="H1056"/>
  <c r="H1060"/>
  <c r="H1064"/>
  <c r="H1065"/>
  <c r="H1068"/>
  <c r="H1072"/>
  <c r="H1073"/>
  <c r="H1171"/>
  <c r="H1175"/>
  <c r="H1176"/>
  <c r="H1177"/>
  <c r="H1179"/>
  <c r="H1180"/>
  <c r="H1181"/>
  <c r="H1182"/>
  <c r="H1183"/>
  <c r="H1186"/>
  <c r="H1190"/>
  <c r="H1191"/>
  <c r="H1246"/>
  <c r="H1249"/>
  <c r="H1250"/>
  <c r="H1254"/>
  <c r="H1257"/>
  <c r="H1259"/>
  <c r="H1314"/>
  <c r="H1318"/>
  <c r="H1321"/>
  <c r="H1322"/>
  <c r="H1326"/>
  <c r="H1330"/>
  <c r="H1332"/>
  <c r="H1334"/>
  <c r="H1339"/>
  <c r="H1343"/>
  <c r="H1446"/>
  <c r="H1544"/>
  <c r="H1552"/>
  <c r="H29"/>
  <c r="H37"/>
  <c r="H38"/>
  <c r="H69"/>
  <c r="H70"/>
  <c r="H101"/>
  <c r="H102"/>
  <c r="H130"/>
  <c r="H158"/>
  <c r="H163"/>
  <c r="H185"/>
  <c r="H201"/>
  <c r="H217"/>
  <c r="H233"/>
  <c r="H249"/>
  <c r="H265"/>
  <c r="H281"/>
  <c r="H391"/>
  <c r="I17"/>
  <c r="H53"/>
  <c r="H54"/>
  <c r="H85"/>
  <c r="H86"/>
  <c r="H117"/>
  <c r="H118"/>
  <c r="H142"/>
  <c r="H147"/>
  <c r="H193"/>
  <c r="H209"/>
  <c r="H225"/>
  <c r="H241"/>
  <c r="H257"/>
  <c r="H273"/>
  <c r="H293"/>
  <c r="H322"/>
  <c r="H30"/>
  <c r="H229"/>
  <c r="H245"/>
  <c r="H261"/>
  <c r="H277"/>
  <c r="H298"/>
  <c r="H300"/>
  <c r="H301"/>
  <c r="H306"/>
  <c r="H308"/>
  <c r="H309"/>
  <c r="H326"/>
  <c r="H342"/>
  <c r="H358"/>
  <c r="H387"/>
  <c r="H407"/>
  <c r="H426"/>
  <c r="H428"/>
  <c r="H429"/>
  <c r="H430"/>
  <c r="H432"/>
  <c r="H433"/>
  <c r="H435"/>
  <c r="H455"/>
  <c r="H456"/>
  <c r="H471"/>
  <c r="H473"/>
  <c r="H495"/>
  <c r="H496"/>
  <c r="H497"/>
  <c r="H499"/>
  <c r="H519"/>
  <c r="H538"/>
  <c r="H555"/>
  <c r="H566"/>
  <c r="H567"/>
  <c r="H569"/>
  <c r="H595"/>
  <c r="H597"/>
  <c r="H599"/>
  <c r="H600"/>
  <c r="H639"/>
  <c r="H641"/>
  <c r="H652"/>
  <c r="H671"/>
  <c r="H673"/>
  <c r="H684"/>
  <c r="H703"/>
  <c r="H705"/>
  <c r="H716"/>
  <c r="H735"/>
  <c r="H737"/>
  <c r="H748"/>
  <c r="H797"/>
  <c r="H861"/>
  <c r="H415"/>
  <c r="H439"/>
  <c r="H463"/>
  <c r="H464"/>
  <c r="H476"/>
  <c r="H503"/>
  <c r="H504"/>
  <c r="H523"/>
  <c r="H560"/>
  <c r="H572"/>
  <c r="H587"/>
  <c r="H588"/>
  <c r="H603"/>
  <c r="H604"/>
  <c r="H620"/>
  <c r="H644"/>
  <c r="H687"/>
  <c r="H689"/>
  <c r="H719"/>
  <c r="H721"/>
  <c r="H751"/>
  <c r="H753"/>
  <c r="H338"/>
  <c r="H354"/>
  <c r="H378"/>
  <c r="H380"/>
  <c r="H381"/>
  <c r="H479"/>
  <c r="H481"/>
  <c r="H482"/>
  <c r="H510"/>
  <c r="H513"/>
  <c r="H546"/>
  <c r="H547"/>
  <c r="H610"/>
  <c r="H613"/>
  <c r="H647"/>
  <c r="H649"/>
  <c r="H679"/>
  <c r="H681"/>
  <c r="H711"/>
  <c r="H713"/>
  <c r="H743"/>
  <c r="H745"/>
  <c r="H808"/>
  <c r="H810"/>
  <c r="H768"/>
  <c r="H769"/>
  <c r="H800"/>
  <c r="H802"/>
  <c r="H813"/>
  <c r="H832"/>
  <c r="H834"/>
  <c r="H845"/>
  <c r="H864"/>
  <c r="H866"/>
  <c r="H908"/>
  <c r="H910"/>
  <c r="H942"/>
  <c r="H960"/>
  <c r="H961"/>
  <c r="H1048"/>
  <c r="H1049"/>
  <c r="H1052"/>
  <c r="H1053"/>
  <c r="H1080"/>
  <c r="H1081"/>
  <c r="H1143"/>
  <c r="H1144"/>
  <c r="H1231"/>
  <c r="H1242"/>
  <c r="H1245"/>
  <c r="H1247"/>
  <c r="H1263"/>
  <c r="H1295"/>
  <c r="H1315"/>
  <c r="H1479"/>
  <c r="H1480"/>
  <c r="H1483"/>
  <c r="H1484"/>
  <c r="H1487"/>
  <c r="H1488"/>
  <c r="H1535"/>
  <c r="H1536"/>
  <c r="H1538"/>
  <c r="H1539"/>
  <c r="H1540"/>
  <c r="H805"/>
  <c r="H837"/>
  <c r="H869"/>
  <c r="H900"/>
  <c r="H902"/>
  <c r="H916"/>
  <c r="H918"/>
  <c r="H926"/>
  <c r="H950"/>
  <c r="H1124"/>
  <c r="H1235"/>
  <c r="H1271"/>
  <c r="H1283"/>
  <c r="H1303"/>
  <c r="H1323"/>
  <c r="H1346"/>
  <c r="H1348"/>
  <c r="H1350"/>
  <c r="H1352"/>
  <c r="H1375"/>
  <c r="H1376"/>
  <c r="H1379"/>
  <c r="H1381"/>
  <c r="H1396"/>
  <c r="H1397"/>
  <c r="H1398"/>
  <c r="H1399"/>
  <c r="H1420"/>
  <c r="H1421"/>
  <c r="H1422"/>
  <c r="H1424"/>
  <c r="H1425"/>
  <c r="H1426"/>
  <c r="H1429"/>
  <c r="H1450"/>
  <c r="H1455"/>
  <c r="H1456"/>
  <c r="H1460"/>
  <c r="H1495"/>
  <c r="H1496"/>
  <c r="H1499"/>
  <c r="H1500"/>
  <c r="H1503"/>
  <c r="H1504"/>
  <c r="H1546"/>
  <c r="H1547"/>
  <c r="H1550"/>
  <c r="H934"/>
  <c r="H954"/>
  <c r="H1156"/>
  <c r="H1219"/>
  <c r="H1239"/>
  <c r="H1251"/>
  <c r="H1327"/>
  <c r="H1515"/>
  <c r="H1516"/>
  <c r="J80"/>
  <c r="J16"/>
  <c r="I19"/>
  <c r="J48"/>
  <c r="I49"/>
  <c r="J175"/>
  <c r="J3"/>
  <c r="I3"/>
  <c r="I2"/>
  <c r="I51"/>
  <c r="I81"/>
  <c r="I83"/>
  <c r="J32"/>
  <c r="I33"/>
  <c r="I35"/>
  <c r="J64"/>
  <c r="I65"/>
  <c r="I67"/>
  <c r="I115"/>
  <c r="I128"/>
  <c r="H6"/>
  <c r="J8"/>
  <c r="I9"/>
  <c r="J24"/>
  <c r="I25"/>
  <c r="I27"/>
  <c r="H10"/>
  <c r="J12"/>
  <c r="I13"/>
  <c r="I15"/>
  <c r="H26"/>
  <c r="J28"/>
  <c r="I29"/>
  <c r="I31"/>
  <c r="H42"/>
  <c r="J44"/>
  <c r="I45"/>
  <c r="I47"/>
  <c r="H58"/>
  <c r="J60"/>
  <c r="I61"/>
  <c r="I63"/>
  <c r="H74"/>
  <c r="J76"/>
  <c r="I77"/>
  <c r="I79"/>
  <c r="H90"/>
  <c r="J92"/>
  <c r="I93"/>
  <c r="I95"/>
  <c r="H106"/>
  <c r="J108"/>
  <c r="I109"/>
  <c r="I111"/>
  <c r="H122"/>
  <c r="J124"/>
  <c r="H132"/>
  <c r="J133"/>
  <c r="I135"/>
  <c r="I136"/>
  <c r="H149"/>
  <c r="H151"/>
  <c r="H165"/>
  <c r="H167"/>
  <c r="H304"/>
  <c r="H305"/>
  <c r="H307"/>
  <c r="H340"/>
  <c r="H341"/>
  <c r="H367"/>
  <c r="H384"/>
  <c r="H385"/>
  <c r="H431"/>
  <c r="H448"/>
  <c r="H449"/>
  <c r="H531"/>
  <c r="H568"/>
  <c r="H577"/>
  <c r="J96"/>
  <c r="I97"/>
  <c r="J112"/>
  <c r="I113"/>
  <c r="I127"/>
  <c r="J4"/>
  <c r="I5"/>
  <c r="I7"/>
  <c r="H18"/>
  <c r="J20"/>
  <c r="I21"/>
  <c r="I23"/>
  <c r="H34"/>
  <c r="J36"/>
  <c r="I37"/>
  <c r="I39"/>
  <c r="H50"/>
  <c r="J52"/>
  <c r="I53"/>
  <c r="I55"/>
  <c r="H66"/>
  <c r="J68"/>
  <c r="I69"/>
  <c r="I71"/>
  <c r="H82"/>
  <c r="J84"/>
  <c r="I85"/>
  <c r="I87"/>
  <c r="H98"/>
  <c r="J100"/>
  <c r="I101"/>
  <c r="I103"/>
  <c r="H114"/>
  <c r="J116"/>
  <c r="I117"/>
  <c r="I119"/>
  <c r="H141"/>
  <c r="H143"/>
  <c r="H157"/>
  <c r="H159"/>
  <c r="H173"/>
  <c r="H175"/>
  <c r="H296"/>
  <c r="H297"/>
  <c r="H299"/>
  <c r="H315"/>
  <c r="H324"/>
  <c r="H325"/>
  <c r="H356"/>
  <c r="H357"/>
  <c r="H416"/>
  <c r="H417"/>
  <c r="H517"/>
  <c r="H561"/>
  <c r="I99"/>
  <c r="J125"/>
  <c r="I11"/>
  <c r="J40"/>
  <c r="I41"/>
  <c r="I43"/>
  <c r="J56"/>
  <c r="I57"/>
  <c r="I59"/>
  <c r="J72"/>
  <c r="I73"/>
  <c r="I75"/>
  <c r="J88"/>
  <c r="I89"/>
  <c r="I91"/>
  <c r="J104"/>
  <c r="I105"/>
  <c r="I107"/>
  <c r="J120"/>
  <c r="I121"/>
  <c r="I123"/>
  <c r="H400"/>
  <c r="H401"/>
  <c r="H465"/>
  <c r="H500"/>
  <c r="H501"/>
  <c r="H311"/>
  <c r="H320"/>
  <c r="H321"/>
  <c r="H328"/>
  <c r="H329"/>
  <c r="H336"/>
  <c r="H337"/>
  <c r="H344"/>
  <c r="H345"/>
  <c r="H352"/>
  <c r="H353"/>
  <c r="H360"/>
  <c r="H361"/>
  <c r="H363"/>
  <c r="H376"/>
  <c r="H377"/>
  <c r="H379"/>
  <c r="H392"/>
  <c r="H393"/>
  <c r="H395"/>
  <c r="H408"/>
  <c r="H409"/>
  <c r="H411"/>
  <c r="H424"/>
  <c r="H425"/>
  <c r="H427"/>
  <c r="H440"/>
  <c r="H441"/>
  <c r="H443"/>
  <c r="H457"/>
  <c r="H459"/>
  <c r="H460"/>
  <c r="H472"/>
  <c r="H480"/>
  <c r="H488"/>
  <c r="H509"/>
  <c r="H511"/>
  <c r="H512"/>
  <c r="H527"/>
  <c r="H557"/>
  <c r="H565"/>
  <c r="H573"/>
  <c r="H584"/>
  <c r="H596"/>
  <c r="H609"/>
  <c r="H611"/>
  <c r="H612"/>
  <c r="H621"/>
  <c r="H623"/>
  <c r="H624"/>
  <c r="H632"/>
  <c r="H640"/>
  <c r="H648"/>
  <c r="H656"/>
  <c r="H664"/>
  <c r="H672"/>
  <c r="H680"/>
  <c r="H688"/>
  <c r="H696"/>
  <c r="H704"/>
  <c r="H712"/>
  <c r="H720"/>
  <c r="H728"/>
  <c r="H736"/>
  <c r="H744"/>
  <c r="H752"/>
  <c r="H760"/>
  <c r="H793"/>
  <c r="H801"/>
  <c r="H809"/>
  <c r="H817"/>
  <c r="H825"/>
  <c r="H833"/>
  <c r="H841"/>
  <c r="H849"/>
  <c r="H857"/>
  <c r="H865"/>
  <c r="H881"/>
  <c r="H882"/>
  <c r="H884"/>
  <c r="H886"/>
  <c r="H930"/>
  <c r="H946"/>
  <c r="H957"/>
  <c r="H973"/>
  <c r="H989"/>
  <c r="H1005"/>
  <c r="H1025"/>
  <c r="H1069"/>
  <c r="H1089"/>
  <c r="H1116"/>
  <c r="H1132"/>
  <c r="H1134"/>
  <c r="H1237"/>
  <c r="H1267"/>
  <c r="H1120"/>
  <c r="H1299"/>
  <c r="H589"/>
  <c r="H601"/>
  <c r="H617"/>
  <c r="H913"/>
  <c r="H914"/>
  <c r="H965"/>
  <c r="H981"/>
  <c r="H997"/>
  <c r="H1037"/>
  <c r="H1057"/>
  <c r="H372"/>
  <c r="H373"/>
  <c r="H388"/>
  <c r="H389"/>
  <c r="H404"/>
  <c r="H405"/>
  <c r="H420"/>
  <c r="H421"/>
  <c r="H436"/>
  <c r="H437"/>
  <c r="H453"/>
  <c r="H469"/>
  <c r="H477"/>
  <c r="H485"/>
  <c r="H492"/>
  <c r="H493"/>
  <c r="H505"/>
  <c r="H581"/>
  <c r="H593"/>
  <c r="H605"/>
  <c r="H629"/>
  <c r="H637"/>
  <c r="H645"/>
  <c r="H653"/>
  <c r="H661"/>
  <c r="H669"/>
  <c r="H677"/>
  <c r="H685"/>
  <c r="H693"/>
  <c r="H701"/>
  <c r="H709"/>
  <c r="H717"/>
  <c r="H725"/>
  <c r="H733"/>
  <c r="H741"/>
  <c r="H749"/>
  <c r="H757"/>
  <c r="H765"/>
  <c r="H773"/>
  <c r="H781"/>
  <c r="H782"/>
  <c r="H790"/>
  <c r="H798"/>
  <c r="H806"/>
  <c r="H814"/>
  <c r="H822"/>
  <c r="H830"/>
  <c r="H838"/>
  <c r="H846"/>
  <c r="H854"/>
  <c r="H862"/>
  <c r="H870"/>
  <c r="H969"/>
  <c r="H985"/>
  <c r="H1001"/>
  <c r="H1021"/>
  <c r="H1041"/>
  <c r="H1085"/>
  <c r="H1105"/>
  <c r="H1148"/>
  <c r="H1150"/>
  <c r="H1205"/>
  <c r="H1013"/>
  <c r="H1029"/>
  <c r="H1045"/>
  <c r="H1061"/>
  <c r="H1077"/>
  <c r="H1093"/>
  <c r="H1109"/>
  <c r="H1112"/>
  <c r="H1126"/>
  <c r="H1140"/>
  <c r="H1142"/>
  <c r="H1172"/>
  <c r="H1189"/>
  <c r="H1199"/>
  <c r="H1221"/>
  <c r="H1223"/>
  <c r="H1243"/>
  <c r="H1253"/>
  <c r="H1255"/>
  <c r="H1275"/>
  <c r="H1285"/>
  <c r="H1287"/>
  <c r="H1307"/>
  <c r="H1317"/>
  <c r="H1319"/>
  <c r="H1328"/>
  <c r="H1331"/>
  <c r="H1344"/>
  <c r="H1347"/>
  <c r="H1359"/>
  <c r="H1360"/>
  <c r="H1361"/>
  <c r="H1363"/>
  <c r="H1395"/>
  <c r="H1405"/>
  <c r="H1406"/>
  <c r="H1417"/>
  <c r="H1433"/>
  <c r="H1447"/>
  <c r="H1448"/>
  <c r="H1449"/>
  <c r="H1451"/>
  <c r="H1548"/>
  <c r="H1556"/>
  <c r="H1311"/>
  <c r="H1335"/>
  <c r="H1351"/>
  <c r="H1377"/>
  <c r="H1528"/>
  <c r="H1152"/>
  <c r="H1168"/>
  <c r="H1169"/>
  <c r="H1184"/>
  <c r="H1185"/>
  <c r="H1197"/>
  <c r="H1207"/>
  <c r="H1229"/>
  <c r="H1261"/>
  <c r="H1293"/>
  <c r="H1355"/>
  <c r="H1371"/>
  <c r="H1382"/>
  <c r="H1403"/>
  <c r="H1413"/>
  <c r="H1443"/>
  <c r="H1464"/>
  <c r="H1476"/>
  <c r="H1492"/>
  <c r="H1508"/>
  <c r="H1512"/>
  <c r="I6"/>
  <c r="I10"/>
  <c r="I14"/>
  <c r="I18"/>
  <c r="J19"/>
  <c r="J23"/>
  <c r="J27"/>
  <c r="I30"/>
  <c r="I34"/>
  <c r="I42"/>
  <c r="J63"/>
  <c r="I66"/>
  <c r="J75"/>
  <c r="I78"/>
  <c r="I86"/>
  <c r="J87"/>
  <c r="I90"/>
  <c r="J99"/>
  <c r="I102"/>
  <c r="J115"/>
  <c r="I118"/>
  <c r="J123"/>
  <c r="J126"/>
  <c r="I130"/>
  <c r="I132"/>
  <c r="J135"/>
  <c r="J140"/>
  <c r="I140"/>
  <c r="J156"/>
  <c r="I156"/>
  <c r="J161"/>
  <c r="S235" i="24"/>
  <c r="J193" i="18"/>
  <c r="J205"/>
  <c r="J229"/>
  <c r="J241"/>
  <c r="J257"/>
  <c r="J269"/>
  <c r="J281"/>
  <c r="J298"/>
  <c r="I304"/>
  <c r="I305"/>
  <c r="J314"/>
  <c r="J366"/>
  <c r="I372"/>
  <c r="I373"/>
  <c r="J382"/>
  <c r="I388"/>
  <c r="I389"/>
  <c r="J398"/>
  <c r="I404"/>
  <c r="I405"/>
  <c r="I420"/>
  <c r="I421"/>
  <c r="I436"/>
  <c r="I437"/>
  <c r="J446"/>
  <c r="I469"/>
  <c r="I477"/>
  <c r="I485"/>
  <c r="J490"/>
  <c r="I492"/>
  <c r="I493"/>
  <c r="I505"/>
  <c r="J2"/>
  <c r="I1558"/>
  <c r="I1554"/>
  <c r="I1550"/>
  <c r="I1546"/>
  <c r="I1542"/>
  <c r="I1538"/>
  <c r="I1534"/>
  <c r="I1530"/>
  <c r="I1526"/>
  <c r="I1522"/>
  <c r="I1518"/>
  <c r="I1514"/>
  <c r="I1510"/>
  <c r="I1506"/>
  <c r="I1502"/>
  <c r="I1498"/>
  <c r="I1494"/>
  <c r="I1490"/>
  <c r="I1486"/>
  <c r="I1482"/>
  <c r="I1478"/>
  <c r="I1474"/>
  <c r="I1470"/>
  <c r="I1466"/>
  <c r="I1462"/>
  <c r="I1458"/>
  <c r="I1454"/>
  <c r="I1555"/>
  <c r="I1551"/>
  <c r="I1547"/>
  <c r="I1535"/>
  <c r="I1556"/>
  <c r="I1552"/>
  <c r="I1548"/>
  <c r="I1544"/>
  <c r="I1540"/>
  <c r="I1536"/>
  <c r="I1532"/>
  <c r="I1528"/>
  <c r="I1524"/>
  <c r="I1520"/>
  <c r="I1516"/>
  <c r="I1512"/>
  <c r="I1508"/>
  <c r="I1504"/>
  <c r="I1500"/>
  <c r="I1496"/>
  <c r="I1492"/>
  <c r="I1488"/>
  <c r="I1484"/>
  <c r="I1480"/>
  <c r="I1476"/>
  <c r="I1472"/>
  <c r="I1468"/>
  <c r="I1464"/>
  <c r="I1460"/>
  <c r="I1456"/>
  <c r="I1447"/>
  <c r="I1443"/>
  <c r="I1439"/>
  <c r="I1435"/>
  <c r="I1431"/>
  <c r="I1427"/>
  <c r="I1423"/>
  <c r="I1419"/>
  <c r="I1415"/>
  <c r="I1411"/>
  <c r="I1407"/>
  <c r="I1403"/>
  <c r="I1399"/>
  <c r="I1395"/>
  <c r="I1391"/>
  <c r="I1387"/>
  <c r="I1383"/>
  <c r="I1379"/>
  <c r="I1375"/>
  <c r="I1371"/>
  <c r="I1367"/>
  <c r="I1452"/>
  <c r="I1450"/>
  <c r="I1432"/>
  <c r="I1428"/>
  <c r="I1424"/>
  <c r="I1420"/>
  <c r="I1416"/>
  <c r="I1412"/>
  <c r="I1448"/>
  <c r="I1445"/>
  <c r="I1441"/>
  <c r="I1437"/>
  <c r="I1421"/>
  <c r="I1405"/>
  <c r="I1397"/>
  <c r="I1389"/>
  <c r="I1381"/>
  <c r="I1373"/>
  <c r="I1361"/>
  <c r="I1357"/>
  <c r="I1353"/>
  <c r="I1349"/>
  <c r="I1297"/>
  <c r="I1281"/>
  <c r="I1273"/>
  <c r="I1269"/>
  <c r="I1265"/>
  <c r="I1261"/>
  <c r="I1257"/>
  <c r="I1253"/>
  <c r="I1249"/>
  <c r="I1245"/>
  <c r="I1241"/>
  <c r="I1237"/>
  <c r="I1233"/>
  <c r="I1229"/>
  <c r="I1225"/>
  <c r="I1221"/>
  <c r="I1217"/>
  <c r="I1213"/>
  <c r="I1209"/>
  <c r="I1205"/>
  <c r="I1201"/>
  <c r="I1197"/>
  <c r="I1193"/>
  <c r="I1189"/>
  <c r="I1425"/>
  <c r="I1404"/>
  <c r="I1396"/>
  <c r="I1388"/>
  <c r="I1380"/>
  <c r="I1372"/>
  <c r="I1365"/>
  <c r="I1362"/>
  <c r="I1358"/>
  <c r="I1354"/>
  <c r="I1350"/>
  <c r="I1346"/>
  <c r="I1342"/>
  <c r="I1338"/>
  <c r="I1334"/>
  <c r="I1330"/>
  <c r="I1326"/>
  <c r="I1322"/>
  <c r="I1429"/>
  <c r="I1413"/>
  <c r="I1369"/>
  <c r="I1363"/>
  <c r="I1433"/>
  <c r="I1417"/>
  <c r="I1408"/>
  <c r="I1400"/>
  <c r="I1392"/>
  <c r="I1384"/>
  <c r="I1376"/>
  <c r="I1368"/>
  <c r="I1359"/>
  <c r="I1343"/>
  <c r="I1327"/>
  <c r="I1319"/>
  <c r="I1311"/>
  <c r="I1303"/>
  <c r="I1295"/>
  <c r="I1287"/>
  <c r="I1279"/>
  <c r="I1271"/>
  <c r="I1263"/>
  <c r="I1255"/>
  <c r="I1247"/>
  <c r="I1239"/>
  <c r="I1231"/>
  <c r="I1223"/>
  <c r="I1215"/>
  <c r="I1207"/>
  <c r="I1199"/>
  <c r="I1191"/>
  <c r="I1186"/>
  <c r="I1182"/>
  <c r="I1178"/>
  <c r="I1174"/>
  <c r="I1170"/>
  <c r="I1166"/>
  <c r="I1162"/>
  <c r="I1158"/>
  <c r="I1154"/>
  <c r="I1150"/>
  <c r="I1146"/>
  <c r="I1142"/>
  <c r="I1138"/>
  <c r="I1134"/>
  <c r="I1130"/>
  <c r="I1126"/>
  <c r="I1122"/>
  <c r="I1118"/>
  <c r="I1114"/>
  <c r="I1347"/>
  <c r="I1331"/>
  <c r="I1318"/>
  <c r="I1310"/>
  <c r="I1302"/>
  <c r="I1294"/>
  <c r="I1286"/>
  <c r="I1278"/>
  <c r="I1270"/>
  <c r="I1262"/>
  <c r="I1254"/>
  <c r="I1246"/>
  <c r="I1238"/>
  <c r="I1230"/>
  <c r="I1222"/>
  <c r="I1214"/>
  <c r="I1206"/>
  <c r="I1198"/>
  <c r="I1190"/>
  <c r="I1183"/>
  <c r="I1179"/>
  <c r="I1175"/>
  <c r="I1171"/>
  <c r="I1167"/>
  <c r="I1163"/>
  <c r="I1159"/>
  <c r="I1351"/>
  <c r="I1335"/>
  <c r="I1315"/>
  <c r="I1307"/>
  <c r="I1299"/>
  <c r="I1291"/>
  <c r="I1283"/>
  <c r="I1275"/>
  <c r="I1267"/>
  <c r="I1259"/>
  <c r="I1251"/>
  <c r="I1243"/>
  <c r="I1235"/>
  <c r="I1227"/>
  <c r="I1219"/>
  <c r="I1211"/>
  <c r="I1203"/>
  <c r="I1195"/>
  <c r="I1187"/>
  <c r="I1184"/>
  <c r="I1355"/>
  <c r="I1339"/>
  <c r="I1323"/>
  <c r="I1314"/>
  <c r="I1306"/>
  <c r="I1298"/>
  <c r="I1290"/>
  <c r="I1282"/>
  <c r="I1274"/>
  <c r="I1266"/>
  <c r="I1258"/>
  <c r="I1250"/>
  <c r="I1242"/>
  <c r="I1234"/>
  <c r="I1226"/>
  <c r="I1218"/>
  <c r="I1210"/>
  <c r="I1202"/>
  <c r="I1194"/>
  <c r="I1172"/>
  <c r="I1151"/>
  <c r="I1143"/>
  <c r="I1135"/>
  <c r="I1127"/>
  <c r="I1119"/>
  <c r="I1176"/>
  <c r="I1160"/>
  <c r="I1156"/>
  <c r="I1148"/>
  <c r="I1140"/>
  <c r="I1132"/>
  <c r="I1124"/>
  <c r="I1116"/>
  <c r="I1111"/>
  <c r="I1107"/>
  <c r="I1103"/>
  <c r="I1099"/>
  <c r="I1095"/>
  <c r="I1091"/>
  <c r="I1087"/>
  <c r="I1083"/>
  <c r="I1079"/>
  <c r="I1075"/>
  <c r="I1071"/>
  <c r="I1067"/>
  <c r="I1063"/>
  <c r="I1059"/>
  <c r="I1055"/>
  <c r="I1051"/>
  <c r="I1047"/>
  <c r="I1043"/>
  <c r="I1039"/>
  <c r="I1035"/>
  <c r="I1031"/>
  <c r="I1027"/>
  <c r="I1023"/>
  <c r="I1019"/>
  <c r="I1015"/>
  <c r="I1011"/>
  <c r="I1007"/>
  <c r="I1003"/>
  <c r="I999"/>
  <c r="I995"/>
  <c r="I991"/>
  <c r="I987"/>
  <c r="I983"/>
  <c r="I979"/>
  <c r="I975"/>
  <c r="I971"/>
  <c r="I967"/>
  <c r="I963"/>
  <c r="I959"/>
  <c r="I1180"/>
  <c r="I1164"/>
  <c r="I1155"/>
  <c r="I1147"/>
  <c r="I1139"/>
  <c r="I1131"/>
  <c r="I1123"/>
  <c r="I1115"/>
  <c r="I1152"/>
  <c r="I1144"/>
  <c r="I1136"/>
  <c r="I1128"/>
  <c r="I1120"/>
  <c r="I1112"/>
  <c r="I1097"/>
  <c r="I1081"/>
  <c r="I1065"/>
  <c r="I1049"/>
  <c r="I1033"/>
  <c r="I1017"/>
  <c r="I1001"/>
  <c r="I985"/>
  <c r="I969"/>
  <c r="I949"/>
  <c r="I941"/>
  <c r="I933"/>
  <c r="I925"/>
  <c r="I921"/>
  <c r="I919"/>
  <c r="I905"/>
  <c r="I903"/>
  <c r="I887"/>
  <c r="I1101"/>
  <c r="I1085"/>
  <c r="I1069"/>
  <c r="I1053"/>
  <c r="I1037"/>
  <c r="I1021"/>
  <c r="I1005"/>
  <c r="I989"/>
  <c r="I973"/>
  <c r="I957"/>
  <c r="I951"/>
  <c r="I943"/>
  <c r="I935"/>
  <c r="I927"/>
  <c r="I915"/>
  <c r="I899"/>
  <c r="I885"/>
  <c r="I883"/>
  <c r="I871"/>
  <c r="I867"/>
  <c r="I863"/>
  <c r="I859"/>
  <c r="I847"/>
  <c r="I843"/>
  <c r="I839"/>
  <c r="I835"/>
  <c r="I831"/>
  <c r="I823"/>
  <c r="I787"/>
  <c r="I783"/>
  <c r="I779"/>
  <c r="I775"/>
  <c r="I771"/>
  <c r="I767"/>
  <c r="I1168"/>
  <c r="I1105"/>
  <c r="I1089"/>
  <c r="I1073"/>
  <c r="I1057"/>
  <c r="I1041"/>
  <c r="I1025"/>
  <c r="I1009"/>
  <c r="I993"/>
  <c r="I977"/>
  <c r="I961"/>
  <c r="I953"/>
  <c r="I945"/>
  <c r="I937"/>
  <c r="I929"/>
  <c r="I920"/>
  <c r="I913"/>
  <c r="I911"/>
  <c r="I904"/>
  <c r="I897"/>
  <c r="I895"/>
  <c r="I888"/>
  <c r="I881"/>
  <c r="I879"/>
  <c r="I872"/>
  <c r="I868"/>
  <c r="I864"/>
  <c r="I860"/>
  <c r="I856"/>
  <c r="I852"/>
  <c r="I848"/>
  <c r="I844"/>
  <c r="I840"/>
  <c r="I836"/>
  <c r="I832"/>
  <c r="I828"/>
  <c r="I824"/>
  <c r="I820"/>
  <c r="I816"/>
  <c r="I812"/>
  <c r="I808"/>
  <c r="I804"/>
  <c r="I800"/>
  <c r="I796"/>
  <c r="I792"/>
  <c r="I788"/>
  <c r="I784"/>
  <c r="I780"/>
  <c r="I1109"/>
  <c r="I1093"/>
  <c r="I1077"/>
  <c r="I1061"/>
  <c r="I1045"/>
  <c r="I1029"/>
  <c r="I1013"/>
  <c r="I997"/>
  <c r="I981"/>
  <c r="I965"/>
  <c r="I955"/>
  <c r="I947"/>
  <c r="I939"/>
  <c r="I931"/>
  <c r="I923"/>
  <c r="I909"/>
  <c r="I907"/>
  <c r="I891"/>
  <c r="I875"/>
  <c r="I609"/>
  <c r="I605"/>
  <c r="I601"/>
  <c r="I597"/>
  <c r="I593"/>
  <c r="I589"/>
  <c r="I585"/>
  <c r="I581"/>
  <c r="I577"/>
  <c r="I569"/>
  <c r="I565"/>
  <c r="I561"/>
  <c r="I557"/>
  <c r="I553"/>
  <c r="I541"/>
  <c r="I529"/>
  <c r="I525"/>
  <c r="I521"/>
  <c r="I776"/>
  <c r="I772"/>
  <c r="I769"/>
  <c r="I630"/>
  <c r="I626"/>
  <c r="I622"/>
  <c r="I618"/>
  <c r="I614"/>
  <c r="I610"/>
  <c r="I606"/>
  <c r="I602"/>
  <c r="I586"/>
  <c r="I554"/>
  <c r="I550"/>
  <c r="I546"/>
  <c r="I542"/>
  <c r="I538"/>
  <c r="I534"/>
  <c r="I530"/>
  <c r="I526"/>
  <c r="I522"/>
  <c r="I768"/>
  <c r="I763"/>
  <c r="I759"/>
  <c r="I755"/>
  <c r="I751"/>
  <c r="I747"/>
  <c r="I743"/>
  <c r="I739"/>
  <c r="I735"/>
  <c r="I731"/>
  <c r="I727"/>
  <c r="I723"/>
  <c r="I719"/>
  <c r="I715"/>
  <c r="I711"/>
  <c r="I707"/>
  <c r="I703"/>
  <c r="I699"/>
  <c r="I695"/>
  <c r="I691"/>
  <c r="I687"/>
  <c r="I683"/>
  <c r="I679"/>
  <c r="I675"/>
  <c r="I671"/>
  <c r="I667"/>
  <c r="I663"/>
  <c r="I659"/>
  <c r="I655"/>
  <c r="I651"/>
  <c r="I647"/>
  <c r="I643"/>
  <c r="I639"/>
  <c r="I635"/>
  <c r="I631"/>
  <c r="I627"/>
  <c r="I623"/>
  <c r="I619"/>
  <c r="I615"/>
  <c r="I611"/>
  <c r="I607"/>
  <c r="I603"/>
  <c r="I599"/>
  <c r="I595"/>
  <c r="I591"/>
  <c r="I587"/>
  <c r="I583"/>
  <c r="I579"/>
  <c r="I575"/>
  <c r="I571"/>
  <c r="I567"/>
  <c r="I563"/>
  <c r="I559"/>
  <c r="I527"/>
  <c r="I517"/>
  <c r="I513"/>
  <c r="I457"/>
  <c r="I453"/>
  <c r="I547"/>
  <c r="I543"/>
  <c r="I539"/>
  <c r="I535"/>
  <c r="I531"/>
  <c r="I518"/>
  <c r="I514"/>
  <c r="I510"/>
  <c r="I506"/>
  <c r="I502"/>
  <c r="I498"/>
  <c r="I494"/>
  <c r="I490"/>
  <c r="I486"/>
  <c r="I482"/>
  <c r="I478"/>
  <c r="I474"/>
  <c r="I470"/>
  <c r="I466"/>
  <c r="I462"/>
  <c r="I458"/>
  <c r="I454"/>
  <c r="I450"/>
  <c r="I446"/>
  <c r="I442"/>
  <c r="I438"/>
  <c r="I434"/>
  <c r="I430"/>
  <c r="I426"/>
  <c r="I422"/>
  <c r="I418"/>
  <c r="I414"/>
  <c r="I410"/>
  <c r="I406"/>
  <c r="I402"/>
  <c r="I398"/>
  <c r="I394"/>
  <c r="I390"/>
  <c r="I386"/>
  <c r="I382"/>
  <c r="I378"/>
  <c r="I374"/>
  <c r="I370"/>
  <c r="I366"/>
  <c r="I362"/>
  <c r="I358"/>
  <c r="I354"/>
  <c r="I350"/>
  <c r="I346"/>
  <c r="I342"/>
  <c r="I338"/>
  <c r="I334"/>
  <c r="I330"/>
  <c r="I326"/>
  <c r="I322"/>
  <c r="I318"/>
  <c r="I314"/>
  <c r="I310"/>
  <c r="I306"/>
  <c r="I302"/>
  <c r="I298"/>
  <c r="I551"/>
  <c r="I515"/>
  <c r="I511"/>
  <c r="I507"/>
  <c r="I503"/>
  <c r="I499"/>
  <c r="I495"/>
  <c r="I491"/>
  <c r="I487"/>
  <c r="I483"/>
  <c r="I479"/>
  <c r="I475"/>
  <c r="I471"/>
  <c r="I467"/>
  <c r="I463"/>
  <c r="I459"/>
  <c r="I455"/>
  <c r="I451"/>
  <c r="I447"/>
  <c r="I443"/>
  <c r="I439"/>
  <c r="I435"/>
  <c r="I431"/>
  <c r="I427"/>
  <c r="I423"/>
  <c r="I419"/>
  <c r="I415"/>
  <c r="I411"/>
  <c r="I407"/>
  <c r="I403"/>
  <c r="I399"/>
  <c r="I395"/>
  <c r="I391"/>
  <c r="I387"/>
  <c r="I383"/>
  <c r="I379"/>
  <c r="I375"/>
  <c r="I371"/>
  <c r="I367"/>
  <c r="I363"/>
  <c r="I359"/>
  <c r="I355"/>
  <c r="I351"/>
  <c r="I347"/>
  <c r="I343"/>
  <c r="I339"/>
  <c r="I335"/>
  <c r="I331"/>
  <c r="I327"/>
  <c r="I323"/>
  <c r="I319"/>
  <c r="I315"/>
  <c r="I311"/>
  <c r="I307"/>
  <c r="I303"/>
  <c r="I299"/>
  <c r="I555"/>
  <c r="I523"/>
  <c r="H4"/>
  <c r="J6"/>
  <c r="H8"/>
  <c r="J10"/>
  <c r="H12"/>
  <c r="J14"/>
  <c r="H16"/>
  <c r="J18"/>
  <c r="H20"/>
  <c r="J22"/>
  <c r="H24"/>
  <c r="J26"/>
  <c r="H28"/>
  <c r="J30"/>
  <c r="H32"/>
  <c r="J34"/>
  <c r="H36"/>
  <c r="J38"/>
  <c r="H40"/>
  <c r="J42"/>
  <c r="H44"/>
  <c r="J46"/>
  <c r="H48"/>
  <c r="J50"/>
  <c r="H52"/>
  <c r="J54"/>
  <c r="H56"/>
  <c r="J58"/>
  <c r="H60"/>
  <c r="J62"/>
  <c r="H64"/>
  <c r="J66"/>
  <c r="H68"/>
  <c r="J70"/>
  <c r="H72"/>
  <c r="J74"/>
  <c r="H76"/>
  <c r="J78"/>
  <c r="H80"/>
  <c r="J82"/>
  <c r="H84"/>
  <c r="J86"/>
  <c r="H88"/>
  <c r="J90"/>
  <c r="H92"/>
  <c r="J94"/>
  <c r="H96"/>
  <c r="J98"/>
  <c r="H100"/>
  <c r="J102"/>
  <c r="H104"/>
  <c r="S248" i="24"/>
  <c r="J106" i="18"/>
  <c r="H108"/>
  <c r="J110"/>
  <c r="H112"/>
  <c r="J114"/>
  <c r="H116"/>
  <c r="J118"/>
  <c r="H120"/>
  <c r="J122"/>
  <c r="H124"/>
  <c r="I125"/>
  <c r="H128"/>
  <c r="J130"/>
  <c r="J132"/>
  <c r="I134"/>
  <c r="I138"/>
  <c r="H140"/>
  <c r="I141"/>
  <c r="J143"/>
  <c r="I146"/>
  <c r="H148"/>
  <c r="I149"/>
  <c r="J151"/>
  <c r="I154"/>
  <c r="H156"/>
  <c r="I157"/>
  <c r="J159"/>
  <c r="I162"/>
  <c r="H164"/>
  <c r="I165"/>
  <c r="J167"/>
  <c r="I170"/>
  <c r="H172"/>
  <c r="I173"/>
  <c r="I178"/>
  <c r="I182"/>
  <c r="I186"/>
  <c r="I190"/>
  <c r="I194"/>
  <c r="I198"/>
  <c r="I202"/>
  <c r="I206"/>
  <c r="I210"/>
  <c r="I214"/>
  <c r="I218"/>
  <c r="I222"/>
  <c r="I226"/>
  <c r="I230"/>
  <c r="I234"/>
  <c r="I238"/>
  <c r="I242"/>
  <c r="I246"/>
  <c r="I250"/>
  <c r="I254"/>
  <c r="I258"/>
  <c r="I262"/>
  <c r="I266"/>
  <c r="I270"/>
  <c r="I274"/>
  <c r="I278"/>
  <c r="I282"/>
  <c r="I286"/>
  <c r="I290"/>
  <c r="I294"/>
  <c r="J302"/>
  <c r="I308"/>
  <c r="I309"/>
  <c r="J318"/>
  <c r="I320"/>
  <c r="I321"/>
  <c r="J326"/>
  <c r="I328"/>
  <c r="I329"/>
  <c r="J334"/>
  <c r="I336"/>
  <c r="I337"/>
  <c r="J342"/>
  <c r="I344"/>
  <c r="I345"/>
  <c r="J350"/>
  <c r="I352"/>
  <c r="I353"/>
  <c r="J358"/>
  <c r="I360"/>
  <c r="I361"/>
  <c r="J370"/>
  <c r="I376"/>
  <c r="I377"/>
  <c r="J386"/>
  <c r="I392"/>
  <c r="I393"/>
  <c r="J402"/>
  <c r="I408"/>
  <c r="I409"/>
  <c r="J418"/>
  <c r="I424"/>
  <c r="I425"/>
  <c r="J434"/>
  <c r="I440"/>
  <c r="I441"/>
  <c r="I509"/>
  <c r="J7"/>
  <c r="I22"/>
  <c r="I26"/>
  <c r="J31"/>
  <c r="J35"/>
  <c r="I38"/>
  <c r="J39"/>
  <c r="J43"/>
  <c r="I50"/>
  <c r="J55"/>
  <c r="J59"/>
  <c r="I62"/>
  <c r="S253" i="24"/>
  <c r="S252"/>
  <c r="J67" i="18"/>
  <c r="I70"/>
  <c r="J79"/>
  <c r="I82"/>
  <c r="S250" i="24"/>
  <c r="S249"/>
  <c r="J95" i="18"/>
  <c r="I98"/>
  <c r="J107"/>
  <c r="I110"/>
  <c r="J119"/>
  <c r="I122"/>
  <c r="J150"/>
  <c r="I151"/>
  <c r="J153"/>
  <c r="J158"/>
  <c r="I159"/>
  <c r="J164"/>
  <c r="I164"/>
  <c r="J169"/>
  <c r="J174"/>
  <c r="I175"/>
  <c r="J181"/>
  <c r="J185"/>
  <c r="J197"/>
  <c r="J209"/>
  <c r="J217"/>
  <c r="J221"/>
  <c r="J225"/>
  <c r="J237"/>
  <c r="J249"/>
  <c r="J261"/>
  <c r="J273"/>
  <c r="J285"/>
  <c r="J293"/>
  <c r="J1555"/>
  <c r="J1551"/>
  <c r="J1547"/>
  <c r="J1543"/>
  <c r="J1539"/>
  <c r="J1535"/>
  <c r="J1531"/>
  <c r="J1527"/>
  <c r="J1523"/>
  <c r="J1519"/>
  <c r="J1515"/>
  <c r="J1511"/>
  <c r="J1507"/>
  <c r="J1503"/>
  <c r="J1499"/>
  <c r="J1495"/>
  <c r="J1491"/>
  <c r="J1487"/>
  <c r="J1483"/>
  <c r="J1479"/>
  <c r="J1475"/>
  <c r="J1471"/>
  <c r="J1467"/>
  <c r="J1463"/>
  <c r="J1459"/>
  <c r="J1455"/>
  <c r="J1556"/>
  <c r="J1552"/>
  <c r="J1548"/>
  <c r="J1544"/>
  <c r="J1540"/>
  <c r="J1536"/>
  <c r="J1532"/>
  <c r="J1528"/>
  <c r="J1524"/>
  <c r="J1516"/>
  <c r="J1557"/>
  <c r="J1553"/>
  <c r="J1549"/>
  <c r="J1545"/>
  <c r="J1541"/>
  <c r="J1537"/>
  <c r="J1533"/>
  <c r="J1529"/>
  <c r="J1525"/>
  <c r="J1521"/>
  <c r="J1517"/>
  <c r="J1513"/>
  <c r="J1509"/>
  <c r="J1505"/>
  <c r="J1501"/>
  <c r="J1497"/>
  <c r="J1493"/>
  <c r="J1489"/>
  <c r="J1485"/>
  <c r="J1481"/>
  <c r="J1477"/>
  <c r="J1473"/>
  <c r="J1469"/>
  <c r="J1465"/>
  <c r="J1461"/>
  <c r="J1457"/>
  <c r="J1444"/>
  <c r="J1440"/>
  <c r="J1436"/>
  <c r="J1432"/>
  <c r="J1428"/>
  <c r="J1424"/>
  <c r="J1420"/>
  <c r="J1416"/>
  <c r="J1412"/>
  <c r="J1408"/>
  <c r="J1404"/>
  <c r="J1400"/>
  <c r="J1396"/>
  <c r="J1392"/>
  <c r="J1388"/>
  <c r="J1384"/>
  <c r="J1380"/>
  <c r="J1376"/>
  <c r="J1372"/>
  <c r="J1368"/>
  <c r="J1433"/>
  <c r="J1429"/>
  <c r="J1425"/>
  <c r="J1421"/>
  <c r="J1417"/>
  <c r="J1413"/>
  <c r="J1451"/>
  <c r="J1446"/>
  <c r="J1442"/>
  <c r="J1453"/>
  <c r="J1426"/>
  <c r="J1410"/>
  <c r="J1402"/>
  <c r="J1394"/>
  <c r="J1386"/>
  <c r="J1378"/>
  <c r="J1370"/>
  <c r="J1365"/>
  <c r="J1362"/>
  <c r="J1358"/>
  <c r="J1354"/>
  <c r="J1350"/>
  <c r="J1346"/>
  <c r="J1310"/>
  <c r="J1306"/>
  <c r="J1302"/>
  <c r="J1298"/>
  <c r="J1294"/>
  <c r="J1290"/>
  <c r="J1286"/>
  <c r="J1282"/>
  <c r="J1278"/>
  <c r="J1274"/>
  <c r="J1270"/>
  <c r="J1266"/>
  <c r="J1262"/>
  <c r="J1258"/>
  <c r="J1254"/>
  <c r="J1250"/>
  <c r="J1246"/>
  <c r="J1242"/>
  <c r="J1238"/>
  <c r="J1234"/>
  <c r="J1230"/>
  <c r="J1226"/>
  <c r="J1222"/>
  <c r="J1218"/>
  <c r="J1214"/>
  <c r="J1210"/>
  <c r="J1206"/>
  <c r="J1202"/>
  <c r="J1198"/>
  <c r="J1194"/>
  <c r="J1190"/>
  <c r="J1430"/>
  <c r="J1414"/>
  <c r="J1409"/>
  <c r="J1401"/>
  <c r="J1393"/>
  <c r="J1385"/>
  <c r="J1377"/>
  <c r="J1369"/>
  <c r="J1363"/>
  <c r="J1359"/>
  <c r="J1355"/>
  <c r="J1351"/>
  <c r="J1347"/>
  <c r="J1343"/>
  <c r="J1339"/>
  <c r="J1335"/>
  <c r="J1331"/>
  <c r="J1327"/>
  <c r="J1323"/>
  <c r="J1434"/>
  <c r="J1418"/>
  <c r="J1374"/>
  <c r="J1366"/>
  <c r="J1364"/>
  <c r="J1360"/>
  <c r="J1438"/>
  <c r="J1422"/>
  <c r="J1405"/>
  <c r="J1397"/>
  <c r="J1389"/>
  <c r="J1381"/>
  <c r="J1373"/>
  <c r="J1348"/>
  <c r="J1332"/>
  <c r="J1316"/>
  <c r="J1308"/>
  <c r="J1300"/>
  <c r="J1292"/>
  <c r="J1284"/>
  <c r="J1276"/>
  <c r="J1268"/>
  <c r="J1260"/>
  <c r="J1252"/>
  <c r="J1244"/>
  <c r="J1236"/>
  <c r="J1228"/>
  <c r="J1220"/>
  <c r="J1212"/>
  <c r="J1204"/>
  <c r="J1196"/>
  <c r="J1188"/>
  <c r="J1183"/>
  <c r="J1179"/>
  <c r="J1175"/>
  <c r="J1171"/>
  <c r="J1167"/>
  <c r="J1163"/>
  <c r="J1159"/>
  <c r="J1155"/>
  <c r="J1151"/>
  <c r="J1147"/>
  <c r="J1143"/>
  <c r="J1139"/>
  <c r="J1135"/>
  <c r="J1131"/>
  <c r="J1127"/>
  <c r="J1123"/>
  <c r="J1119"/>
  <c r="J1115"/>
  <c r="J1352"/>
  <c r="J1336"/>
  <c r="J1315"/>
  <c r="J1307"/>
  <c r="J1299"/>
  <c r="J1291"/>
  <c r="J1283"/>
  <c r="J1275"/>
  <c r="J1267"/>
  <c r="J1259"/>
  <c r="J1251"/>
  <c r="J1243"/>
  <c r="J1235"/>
  <c r="J1227"/>
  <c r="J1219"/>
  <c r="J1211"/>
  <c r="J1203"/>
  <c r="J1195"/>
  <c r="J1187"/>
  <c r="J1184"/>
  <c r="J1180"/>
  <c r="J1176"/>
  <c r="J1172"/>
  <c r="J1168"/>
  <c r="J1164"/>
  <c r="J1160"/>
  <c r="J1356"/>
  <c r="J1340"/>
  <c r="J1324"/>
  <c r="J1320"/>
  <c r="J1312"/>
  <c r="J1304"/>
  <c r="J1296"/>
  <c r="J1288"/>
  <c r="J1280"/>
  <c r="J1272"/>
  <c r="J1264"/>
  <c r="J1256"/>
  <c r="J1248"/>
  <c r="J1240"/>
  <c r="J1232"/>
  <c r="J1224"/>
  <c r="J1216"/>
  <c r="J1208"/>
  <c r="J1200"/>
  <c r="J1192"/>
  <c r="J1185"/>
  <c r="J1181"/>
  <c r="J1344"/>
  <c r="J1328"/>
  <c r="J1319"/>
  <c r="J1311"/>
  <c r="J1303"/>
  <c r="J1295"/>
  <c r="J1287"/>
  <c r="J1279"/>
  <c r="J1271"/>
  <c r="J1263"/>
  <c r="J1255"/>
  <c r="J1247"/>
  <c r="J1239"/>
  <c r="J1231"/>
  <c r="J1223"/>
  <c r="J1215"/>
  <c r="J1207"/>
  <c r="J1199"/>
  <c r="J1191"/>
  <c r="J1186"/>
  <c r="J1177"/>
  <c r="J1161"/>
  <c r="J1156"/>
  <c r="J1148"/>
  <c r="J1140"/>
  <c r="J1132"/>
  <c r="J1124"/>
  <c r="J1116"/>
  <c r="J1111"/>
  <c r="J1165"/>
  <c r="J1153"/>
  <c r="J1145"/>
  <c r="J1137"/>
  <c r="J1129"/>
  <c r="J1121"/>
  <c r="J1113"/>
  <c r="J1108"/>
  <c r="J1104"/>
  <c r="J1100"/>
  <c r="J1096"/>
  <c r="J1092"/>
  <c r="J1088"/>
  <c r="J1084"/>
  <c r="J1080"/>
  <c r="J1076"/>
  <c r="J1072"/>
  <c r="J1068"/>
  <c r="J1064"/>
  <c r="J1060"/>
  <c r="J1056"/>
  <c r="J1052"/>
  <c r="J1048"/>
  <c r="J1044"/>
  <c r="J1040"/>
  <c r="J1036"/>
  <c r="J1032"/>
  <c r="J1028"/>
  <c r="J1024"/>
  <c r="J1020"/>
  <c r="J1016"/>
  <c r="J1012"/>
  <c r="J1008"/>
  <c r="J1004"/>
  <c r="J1000"/>
  <c r="J996"/>
  <c r="J992"/>
  <c r="J988"/>
  <c r="J984"/>
  <c r="J980"/>
  <c r="J976"/>
  <c r="J972"/>
  <c r="J968"/>
  <c r="J964"/>
  <c r="J960"/>
  <c r="J956"/>
  <c r="J1169"/>
  <c r="J1152"/>
  <c r="J1144"/>
  <c r="J1136"/>
  <c r="J1128"/>
  <c r="J1120"/>
  <c r="J1112"/>
  <c r="J1173"/>
  <c r="J1102"/>
  <c r="J1086"/>
  <c r="J1070"/>
  <c r="J1054"/>
  <c r="J1038"/>
  <c r="J1022"/>
  <c r="J1006"/>
  <c r="J990"/>
  <c r="J974"/>
  <c r="J958"/>
  <c r="J954"/>
  <c r="J946"/>
  <c r="J938"/>
  <c r="J930"/>
  <c r="J917"/>
  <c r="J910"/>
  <c r="J908"/>
  <c r="J901"/>
  <c r="J892"/>
  <c r="J876"/>
  <c r="J1106"/>
  <c r="J1090"/>
  <c r="J1074"/>
  <c r="J1058"/>
  <c r="J1042"/>
  <c r="J1026"/>
  <c r="J1010"/>
  <c r="J994"/>
  <c r="J978"/>
  <c r="J962"/>
  <c r="J948"/>
  <c r="J940"/>
  <c r="J932"/>
  <c r="J924"/>
  <c r="J920"/>
  <c r="J904"/>
  <c r="J888"/>
  <c r="J874"/>
  <c r="J872"/>
  <c r="J868"/>
  <c r="J864"/>
  <c r="J860"/>
  <c r="J856"/>
  <c r="J852"/>
  <c r="J848"/>
  <c r="J844"/>
  <c r="J840"/>
  <c r="J836"/>
  <c r="J832"/>
  <c r="J828"/>
  <c r="J824"/>
  <c r="J820"/>
  <c r="J816"/>
  <c r="J788"/>
  <c r="J784"/>
  <c r="J780"/>
  <c r="J776"/>
  <c r="J772"/>
  <c r="J768"/>
  <c r="J1157"/>
  <c r="J1149"/>
  <c r="J1141"/>
  <c r="J1133"/>
  <c r="J1125"/>
  <c r="J1117"/>
  <c r="J1110"/>
  <c r="J1094"/>
  <c r="J1078"/>
  <c r="J1062"/>
  <c r="J1046"/>
  <c r="J1030"/>
  <c r="J1014"/>
  <c r="J998"/>
  <c r="J982"/>
  <c r="J966"/>
  <c r="J950"/>
  <c r="J942"/>
  <c r="J934"/>
  <c r="J926"/>
  <c r="J918"/>
  <c r="J916"/>
  <c r="J909"/>
  <c r="J902"/>
  <c r="J900"/>
  <c r="J893"/>
  <c r="J886"/>
  <c r="J884"/>
  <c r="J877"/>
  <c r="J869"/>
  <c r="J865"/>
  <c r="J861"/>
  <c r="J857"/>
  <c r="J853"/>
  <c r="J849"/>
  <c r="J845"/>
  <c r="J841"/>
  <c r="J837"/>
  <c r="J833"/>
  <c r="J829"/>
  <c r="J825"/>
  <c r="J821"/>
  <c r="J817"/>
  <c r="J813"/>
  <c r="J809"/>
  <c r="J805"/>
  <c r="J801"/>
  <c r="J797"/>
  <c r="J793"/>
  <c r="J789"/>
  <c r="J785"/>
  <c r="J781"/>
  <c r="J777"/>
  <c r="J1098"/>
  <c r="J1082"/>
  <c r="J1066"/>
  <c r="J1050"/>
  <c r="J1034"/>
  <c r="J1018"/>
  <c r="J1002"/>
  <c r="J986"/>
  <c r="J970"/>
  <c r="J952"/>
  <c r="J944"/>
  <c r="J936"/>
  <c r="J928"/>
  <c r="J921"/>
  <c r="J912"/>
  <c r="J905"/>
  <c r="J898"/>
  <c r="J896"/>
  <c r="J889"/>
  <c r="J880"/>
  <c r="J773"/>
  <c r="J769"/>
  <c r="J762"/>
  <c r="J758"/>
  <c r="J754"/>
  <c r="J750"/>
  <c r="J746"/>
  <c r="J742"/>
  <c r="J738"/>
  <c r="J734"/>
  <c r="J730"/>
  <c r="J722"/>
  <c r="J718"/>
  <c r="J714"/>
  <c r="J710"/>
  <c r="J638"/>
  <c r="J634"/>
  <c r="J626"/>
  <c r="J622"/>
  <c r="J618"/>
  <c r="J614"/>
  <c r="J610"/>
  <c r="J606"/>
  <c r="J602"/>
  <c r="J598"/>
  <c r="J594"/>
  <c r="J590"/>
  <c r="J586"/>
  <c r="J582"/>
  <c r="J578"/>
  <c r="J574"/>
  <c r="J570"/>
  <c r="J566"/>
  <c r="J562"/>
  <c r="J558"/>
  <c r="J554"/>
  <c r="J550"/>
  <c r="J546"/>
  <c r="J542"/>
  <c r="J538"/>
  <c r="J534"/>
  <c r="J530"/>
  <c r="J526"/>
  <c r="J522"/>
  <c r="J683"/>
  <c r="J675"/>
  <c r="J671"/>
  <c r="J667"/>
  <c r="J663"/>
  <c r="J659"/>
  <c r="J655"/>
  <c r="J651"/>
  <c r="J647"/>
  <c r="J643"/>
  <c r="J639"/>
  <c r="J635"/>
  <c r="J631"/>
  <c r="J627"/>
  <c r="J623"/>
  <c r="J619"/>
  <c r="J615"/>
  <c r="J611"/>
  <c r="J607"/>
  <c r="J603"/>
  <c r="J599"/>
  <c r="J595"/>
  <c r="J591"/>
  <c r="J587"/>
  <c r="J583"/>
  <c r="J579"/>
  <c r="J575"/>
  <c r="J571"/>
  <c r="J567"/>
  <c r="J559"/>
  <c r="J555"/>
  <c r="J551"/>
  <c r="J547"/>
  <c r="J543"/>
  <c r="J539"/>
  <c r="J535"/>
  <c r="J531"/>
  <c r="J527"/>
  <c r="J523"/>
  <c r="J764"/>
  <c r="J760"/>
  <c r="J756"/>
  <c r="J752"/>
  <c r="J748"/>
  <c r="J744"/>
  <c r="J740"/>
  <c r="J736"/>
  <c r="J732"/>
  <c r="J728"/>
  <c r="J724"/>
  <c r="J720"/>
  <c r="J716"/>
  <c r="J712"/>
  <c r="J708"/>
  <c r="J704"/>
  <c r="J700"/>
  <c r="J696"/>
  <c r="J692"/>
  <c r="J688"/>
  <c r="J684"/>
  <c r="J680"/>
  <c r="J676"/>
  <c r="J672"/>
  <c r="J668"/>
  <c r="J664"/>
  <c r="J660"/>
  <c r="J656"/>
  <c r="J652"/>
  <c r="J648"/>
  <c r="J644"/>
  <c r="J640"/>
  <c r="J636"/>
  <c r="J632"/>
  <c r="J628"/>
  <c r="J624"/>
  <c r="J620"/>
  <c r="J616"/>
  <c r="J612"/>
  <c r="J608"/>
  <c r="J604"/>
  <c r="J600"/>
  <c r="J596"/>
  <c r="J592"/>
  <c r="J588"/>
  <c r="J584"/>
  <c r="J580"/>
  <c r="J576"/>
  <c r="J572"/>
  <c r="J568"/>
  <c r="J564"/>
  <c r="J560"/>
  <c r="J548"/>
  <c r="J544"/>
  <c r="J540"/>
  <c r="J536"/>
  <c r="J532"/>
  <c r="J518"/>
  <c r="J514"/>
  <c r="J510"/>
  <c r="J506"/>
  <c r="J502"/>
  <c r="J498"/>
  <c r="J486"/>
  <c r="J482"/>
  <c r="J478"/>
  <c r="J474"/>
  <c r="J470"/>
  <c r="J466"/>
  <c r="J462"/>
  <c r="J458"/>
  <c r="J454"/>
  <c r="J450"/>
  <c r="J438"/>
  <c r="J430"/>
  <c r="J414"/>
  <c r="J410"/>
  <c r="J406"/>
  <c r="J394"/>
  <c r="J390"/>
  <c r="J552"/>
  <c r="J520"/>
  <c r="J515"/>
  <c r="J511"/>
  <c r="J507"/>
  <c r="J503"/>
  <c r="J499"/>
  <c r="J495"/>
  <c r="J491"/>
  <c r="J487"/>
  <c r="J483"/>
  <c r="J479"/>
  <c r="J475"/>
  <c r="J471"/>
  <c r="J467"/>
  <c r="J463"/>
  <c r="J459"/>
  <c r="J455"/>
  <c r="J451"/>
  <c r="J447"/>
  <c r="J443"/>
  <c r="J439"/>
  <c r="J435"/>
  <c r="J431"/>
  <c r="J427"/>
  <c r="J423"/>
  <c r="J419"/>
  <c r="J415"/>
  <c r="J411"/>
  <c r="J407"/>
  <c r="J403"/>
  <c r="J399"/>
  <c r="J395"/>
  <c r="J391"/>
  <c r="J387"/>
  <c r="J383"/>
  <c r="J379"/>
  <c r="J375"/>
  <c r="J371"/>
  <c r="J367"/>
  <c r="J363"/>
  <c r="J359"/>
  <c r="J355"/>
  <c r="J351"/>
  <c r="J347"/>
  <c r="J343"/>
  <c r="J339"/>
  <c r="J335"/>
  <c r="J331"/>
  <c r="J327"/>
  <c r="J323"/>
  <c r="J319"/>
  <c r="J315"/>
  <c r="J311"/>
  <c r="J307"/>
  <c r="J303"/>
  <c r="J299"/>
  <c r="J556"/>
  <c r="J524"/>
  <c r="J519"/>
  <c r="J516"/>
  <c r="J512"/>
  <c r="J508"/>
  <c r="J504"/>
  <c r="J500"/>
  <c r="J496"/>
  <c r="J492"/>
  <c r="J488"/>
  <c r="J484"/>
  <c r="J480"/>
  <c r="J476"/>
  <c r="J472"/>
  <c r="J468"/>
  <c r="J464"/>
  <c r="J460"/>
  <c r="J456"/>
  <c r="J452"/>
  <c r="J448"/>
  <c r="J444"/>
  <c r="J440"/>
  <c r="J436"/>
  <c r="J432"/>
  <c r="J428"/>
  <c r="J424"/>
  <c r="J420"/>
  <c r="J416"/>
  <c r="J412"/>
  <c r="J408"/>
  <c r="J404"/>
  <c r="J400"/>
  <c r="J396"/>
  <c r="J392"/>
  <c r="J388"/>
  <c r="J384"/>
  <c r="J380"/>
  <c r="J376"/>
  <c r="J372"/>
  <c r="J368"/>
  <c r="J364"/>
  <c r="J360"/>
  <c r="J356"/>
  <c r="J352"/>
  <c r="J348"/>
  <c r="J344"/>
  <c r="J340"/>
  <c r="J336"/>
  <c r="J332"/>
  <c r="J328"/>
  <c r="J324"/>
  <c r="J320"/>
  <c r="J316"/>
  <c r="J312"/>
  <c r="J308"/>
  <c r="J304"/>
  <c r="J300"/>
  <c r="J296"/>
  <c r="J528"/>
  <c r="H3"/>
  <c r="J5"/>
  <c r="H7"/>
  <c r="I8"/>
  <c r="J9"/>
  <c r="H11"/>
  <c r="I12"/>
  <c r="J13"/>
  <c r="H15"/>
  <c r="I16"/>
  <c r="J17"/>
  <c r="H19"/>
  <c r="I20"/>
  <c r="J21"/>
  <c r="H23"/>
  <c r="I24"/>
  <c r="J25"/>
  <c r="H27"/>
  <c r="I28"/>
  <c r="J29"/>
  <c r="H31"/>
  <c r="I32"/>
  <c r="J33"/>
  <c r="H35"/>
  <c r="I36"/>
  <c r="J37"/>
  <c r="H39"/>
  <c r="I40"/>
  <c r="J41"/>
  <c r="H43"/>
  <c r="I44"/>
  <c r="J45"/>
  <c r="H47"/>
  <c r="I48"/>
  <c r="J49"/>
  <c r="H51"/>
  <c r="I52"/>
  <c r="J53"/>
  <c r="H55"/>
  <c r="I56"/>
  <c r="J57"/>
  <c r="H59"/>
  <c r="I60"/>
  <c r="J61"/>
  <c r="H63"/>
  <c r="I64"/>
  <c r="J65"/>
  <c r="H67"/>
  <c r="I68"/>
  <c r="J69"/>
  <c r="H71"/>
  <c r="I72"/>
  <c r="J73"/>
  <c r="H75"/>
  <c r="I76"/>
  <c r="J77"/>
  <c r="H79"/>
  <c r="I80"/>
  <c r="J81"/>
  <c r="H83"/>
  <c r="I84"/>
  <c r="J85"/>
  <c r="H87"/>
  <c r="I88"/>
  <c r="J89"/>
  <c r="H91"/>
  <c r="I92"/>
  <c r="J93"/>
  <c r="H95"/>
  <c r="I96"/>
  <c r="J97"/>
  <c r="H99"/>
  <c r="I100"/>
  <c r="J101"/>
  <c r="H103"/>
  <c r="I104"/>
  <c r="J105"/>
  <c r="H107"/>
  <c r="I108"/>
  <c r="J109"/>
  <c r="H111"/>
  <c r="I112"/>
  <c r="J113"/>
  <c r="H115"/>
  <c r="I116"/>
  <c r="J117"/>
  <c r="H119"/>
  <c r="I120"/>
  <c r="J121"/>
  <c r="H123"/>
  <c r="I124"/>
  <c r="H126"/>
  <c r="J127"/>
  <c r="J129"/>
  <c r="I129"/>
  <c r="I131"/>
  <c r="H133"/>
  <c r="J134"/>
  <c r="H135"/>
  <c r="J136"/>
  <c r="J138"/>
  <c r="I139"/>
  <c r="J141"/>
  <c r="J144"/>
  <c r="I144"/>
  <c r="J146"/>
  <c r="I147"/>
  <c r="J149"/>
  <c r="J152"/>
  <c r="I152"/>
  <c r="J154"/>
  <c r="I155"/>
  <c r="J157"/>
  <c r="J160"/>
  <c r="I160"/>
  <c r="J162"/>
  <c r="I163"/>
  <c r="J165"/>
  <c r="J168"/>
  <c r="I168"/>
  <c r="J170"/>
  <c r="I171"/>
  <c r="J173"/>
  <c r="J176"/>
  <c r="I176"/>
  <c r="J178"/>
  <c r="J179"/>
  <c r="I179"/>
  <c r="H179"/>
  <c r="I180"/>
  <c r="J182"/>
  <c r="J183"/>
  <c r="I183"/>
  <c r="H183"/>
  <c r="I184"/>
  <c r="J186"/>
  <c r="J187"/>
  <c r="I187"/>
  <c r="H187"/>
  <c r="I188"/>
  <c r="J190"/>
  <c r="J191"/>
  <c r="I191"/>
  <c r="H191"/>
  <c r="I192"/>
  <c r="J194"/>
  <c r="J195"/>
  <c r="I195"/>
  <c r="H195"/>
  <c r="I196"/>
  <c r="J198"/>
  <c r="J199"/>
  <c r="I199"/>
  <c r="H199"/>
  <c r="I200"/>
  <c r="J202"/>
  <c r="J203"/>
  <c r="I203"/>
  <c r="H203"/>
  <c r="I204"/>
  <c r="J206"/>
  <c r="J207"/>
  <c r="I207"/>
  <c r="H207"/>
  <c r="I208"/>
  <c r="J210"/>
  <c r="J211"/>
  <c r="I211"/>
  <c r="H211"/>
  <c r="I212"/>
  <c r="J214"/>
  <c r="J215"/>
  <c r="I215"/>
  <c r="H215"/>
  <c r="I216"/>
  <c r="J218"/>
  <c r="J219"/>
  <c r="I219"/>
  <c r="H219"/>
  <c r="I220"/>
  <c r="J222"/>
  <c r="J223"/>
  <c r="I223"/>
  <c r="H223"/>
  <c r="I224"/>
  <c r="J226"/>
  <c r="J227"/>
  <c r="I227"/>
  <c r="H227"/>
  <c r="I228"/>
  <c r="J230"/>
  <c r="J231"/>
  <c r="I231"/>
  <c r="H231"/>
  <c r="I232"/>
  <c r="J234"/>
  <c r="J235"/>
  <c r="I235"/>
  <c r="H235"/>
  <c r="I236"/>
  <c r="J238"/>
  <c r="J239"/>
  <c r="I239"/>
  <c r="H239"/>
  <c r="I240"/>
  <c r="J242"/>
  <c r="J243"/>
  <c r="I243"/>
  <c r="H243"/>
  <c r="I244"/>
  <c r="J246"/>
  <c r="J247"/>
  <c r="I247"/>
  <c r="H247"/>
  <c r="I248"/>
  <c r="J250"/>
  <c r="J251"/>
  <c r="I251"/>
  <c r="H251"/>
  <c r="I252"/>
  <c r="J254"/>
  <c r="J255"/>
  <c r="I255"/>
  <c r="H255"/>
  <c r="I256"/>
  <c r="J258"/>
  <c r="J259"/>
  <c r="I259"/>
  <c r="H259"/>
  <c r="I260"/>
  <c r="J262"/>
  <c r="J263"/>
  <c r="I263"/>
  <c r="H263"/>
  <c r="I264"/>
  <c r="J266"/>
  <c r="J267"/>
  <c r="I267"/>
  <c r="H267"/>
  <c r="I268"/>
  <c r="J270"/>
  <c r="J271"/>
  <c r="I271"/>
  <c r="H271"/>
  <c r="I272"/>
  <c r="J274"/>
  <c r="J275"/>
  <c r="I275"/>
  <c r="H275"/>
  <c r="I276"/>
  <c r="J278"/>
  <c r="J279"/>
  <c r="I279"/>
  <c r="H279"/>
  <c r="I280"/>
  <c r="J282"/>
  <c r="J283"/>
  <c r="I283"/>
  <c r="H283"/>
  <c r="I284"/>
  <c r="J286"/>
  <c r="J287"/>
  <c r="I287"/>
  <c r="H287"/>
  <c r="I288"/>
  <c r="J290"/>
  <c r="J291"/>
  <c r="I291"/>
  <c r="H291"/>
  <c r="I292"/>
  <c r="J294"/>
  <c r="J295"/>
  <c r="I295"/>
  <c r="I296"/>
  <c r="I297"/>
  <c r="J306"/>
  <c r="I312"/>
  <c r="I313"/>
  <c r="I364"/>
  <c r="I365"/>
  <c r="J374"/>
  <c r="I380"/>
  <c r="I381"/>
  <c r="I396"/>
  <c r="I397"/>
  <c r="I412"/>
  <c r="I413"/>
  <c r="J422"/>
  <c r="I428"/>
  <c r="I429"/>
  <c r="I444"/>
  <c r="I445"/>
  <c r="I461"/>
  <c r="I473"/>
  <c r="I481"/>
  <c r="I489"/>
  <c r="J494"/>
  <c r="I496"/>
  <c r="I497"/>
  <c r="J11"/>
  <c r="J15"/>
  <c r="I46"/>
  <c r="J47"/>
  <c r="J51"/>
  <c r="I54"/>
  <c r="I58"/>
  <c r="J71"/>
  <c r="I74"/>
  <c r="J83"/>
  <c r="J91"/>
  <c r="I94"/>
  <c r="J103"/>
  <c r="I106"/>
  <c r="J111"/>
  <c r="I114"/>
  <c r="J128"/>
  <c r="J137"/>
  <c r="J142"/>
  <c r="I143"/>
  <c r="J145"/>
  <c r="J148"/>
  <c r="I148"/>
  <c r="J166"/>
  <c r="I167"/>
  <c r="J172"/>
  <c r="I172"/>
  <c r="J177"/>
  <c r="J189"/>
  <c r="J201"/>
  <c r="J213"/>
  <c r="S227" i="24"/>
  <c r="J233" i="18"/>
  <c r="J245"/>
  <c r="J253"/>
  <c r="J265"/>
  <c r="J277"/>
  <c r="J289"/>
  <c r="I4"/>
  <c r="H2"/>
  <c r="I126"/>
  <c r="J131"/>
  <c r="I133"/>
  <c r="H136"/>
  <c r="H137"/>
  <c r="I137"/>
  <c r="J139"/>
  <c r="I142"/>
  <c r="H144"/>
  <c r="H145"/>
  <c r="I145"/>
  <c r="J147"/>
  <c r="I150"/>
  <c r="H152"/>
  <c r="H153"/>
  <c r="I153"/>
  <c r="J155"/>
  <c r="I158"/>
  <c r="H160"/>
  <c r="H161"/>
  <c r="I161"/>
  <c r="J163"/>
  <c r="I166"/>
  <c r="H168"/>
  <c r="H169"/>
  <c r="I169"/>
  <c r="J171"/>
  <c r="I174"/>
  <c r="H176"/>
  <c r="H177"/>
  <c r="I177"/>
  <c r="H180"/>
  <c r="J180"/>
  <c r="I181"/>
  <c r="H184"/>
  <c r="J184"/>
  <c r="I185"/>
  <c r="H188"/>
  <c r="J188"/>
  <c r="I189"/>
  <c r="H192"/>
  <c r="J192"/>
  <c r="I193"/>
  <c r="H196"/>
  <c r="J196"/>
  <c r="I197"/>
  <c r="H200"/>
  <c r="J200"/>
  <c r="I201"/>
  <c r="H204"/>
  <c r="J204"/>
  <c r="I205"/>
  <c r="H208"/>
  <c r="J208"/>
  <c r="I209"/>
  <c r="H212"/>
  <c r="J212"/>
  <c r="I213"/>
  <c r="H216"/>
  <c r="J216"/>
  <c r="I217"/>
  <c r="H220"/>
  <c r="J220"/>
  <c r="I221"/>
  <c r="H224"/>
  <c r="J224"/>
  <c r="I225"/>
  <c r="H228"/>
  <c r="J228"/>
  <c r="I229"/>
  <c r="H232"/>
  <c r="J232"/>
  <c r="I233"/>
  <c r="H236"/>
  <c r="J236"/>
  <c r="I237"/>
  <c r="H240"/>
  <c r="J240"/>
  <c r="I241"/>
  <c r="H244"/>
  <c r="J244"/>
  <c r="I245"/>
  <c r="H248"/>
  <c r="J248"/>
  <c r="I249"/>
  <c r="H252"/>
  <c r="J252"/>
  <c r="I253"/>
  <c r="H256"/>
  <c r="J256"/>
  <c r="I257"/>
  <c r="H260"/>
  <c r="J260"/>
  <c r="I261"/>
  <c r="H264"/>
  <c r="J264"/>
  <c r="I265"/>
  <c r="H268"/>
  <c r="J268"/>
  <c r="I269"/>
  <c r="H272"/>
  <c r="J272"/>
  <c r="I273"/>
  <c r="H276"/>
  <c r="J276"/>
  <c r="I277"/>
  <c r="H280"/>
  <c r="J280"/>
  <c r="I281"/>
  <c r="H284"/>
  <c r="J284"/>
  <c r="I285"/>
  <c r="H288"/>
  <c r="J288"/>
  <c r="I289"/>
  <c r="H292"/>
  <c r="J292"/>
  <c r="I293"/>
  <c r="I300"/>
  <c r="I301"/>
  <c r="J310"/>
  <c r="I316"/>
  <c r="I317"/>
  <c r="J322"/>
  <c r="I324"/>
  <c r="I325"/>
  <c r="J330"/>
  <c r="I332"/>
  <c r="I333"/>
  <c r="J338"/>
  <c r="I340"/>
  <c r="I341"/>
  <c r="J346"/>
  <c r="I348"/>
  <c r="I349"/>
  <c r="J354"/>
  <c r="I356"/>
  <c r="I357"/>
  <c r="J362"/>
  <c r="I368"/>
  <c r="I369"/>
  <c r="J378"/>
  <c r="I384"/>
  <c r="I385"/>
  <c r="I400"/>
  <c r="I401"/>
  <c r="I416"/>
  <c r="I417"/>
  <c r="J426"/>
  <c r="I432"/>
  <c r="I433"/>
  <c r="J442"/>
  <c r="I448"/>
  <c r="I449"/>
  <c r="I465"/>
  <c r="I500"/>
  <c r="I501"/>
  <c r="S240" i="24"/>
  <c r="S239"/>
  <c r="H295" i="18"/>
  <c r="J297"/>
  <c r="J301"/>
  <c r="J305"/>
  <c r="J309"/>
  <c r="J313"/>
  <c r="J317"/>
  <c r="J321"/>
  <c r="J325"/>
  <c r="J329"/>
  <c r="J333"/>
  <c r="J337"/>
  <c r="J341"/>
  <c r="J345"/>
  <c r="J349"/>
  <c r="J353"/>
  <c r="J357"/>
  <c r="J361"/>
  <c r="J365"/>
  <c r="J369"/>
  <c r="J373"/>
  <c r="J377"/>
  <c r="J381"/>
  <c r="J385"/>
  <c r="J389"/>
  <c r="J393"/>
  <c r="J397"/>
  <c r="J401"/>
  <c r="S204" i="24"/>
  <c r="S203"/>
  <c r="J405" i="18"/>
  <c r="J409"/>
  <c r="J413"/>
  <c r="J417"/>
  <c r="J421"/>
  <c r="J425"/>
  <c r="J429"/>
  <c r="J433"/>
  <c r="J437"/>
  <c r="J441"/>
  <c r="J445"/>
  <c r="J449"/>
  <c r="I452"/>
  <c r="J453"/>
  <c r="I456"/>
  <c r="J457"/>
  <c r="I460"/>
  <c r="J461"/>
  <c r="I464"/>
  <c r="J465"/>
  <c r="I468"/>
  <c r="J469"/>
  <c r="I472"/>
  <c r="J473"/>
  <c r="I476"/>
  <c r="J477"/>
  <c r="I480"/>
  <c r="S185" i="24"/>
  <c r="S184"/>
  <c r="J481" i="18"/>
  <c r="I484"/>
  <c r="J485"/>
  <c r="I488"/>
  <c r="J489"/>
  <c r="J493"/>
  <c r="J497"/>
  <c r="J501"/>
  <c r="I504"/>
  <c r="J505"/>
  <c r="I508"/>
  <c r="J509"/>
  <c r="I512"/>
  <c r="J513"/>
  <c r="I516"/>
  <c r="J517"/>
  <c r="I519"/>
  <c r="H528"/>
  <c r="I528"/>
  <c r="H533"/>
  <c r="J533"/>
  <c r="H537"/>
  <c r="J537"/>
  <c r="H541"/>
  <c r="J541"/>
  <c r="H545"/>
  <c r="J545"/>
  <c r="H549"/>
  <c r="J549"/>
  <c r="I562"/>
  <c r="I570"/>
  <c r="I578"/>
  <c r="I590"/>
  <c r="I629"/>
  <c r="I637"/>
  <c r="J642"/>
  <c r="I645"/>
  <c r="J650"/>
  <c r="I653"/>
  <c r="J658"/>
  <c r="I661"/>
  <c r="J666"/>
  <c r="I669"/>
  <c r="J674"/>
  <c r="I677"/>
  <c r="J682"/>
  <c r="I685"/>
  <c r="J690"/>
  <c r="I693"/>
  <c r="J698"/>
  <c r="I701"/>
  <c r="J706"/>
  <c r="I709"/>
  <c r="I717"/>
  <c r="I725"/>
  <c r="I733"/>
  <c r="I741"/>
  <c r="I749"/>
  <c r="I757"/>
  <c r="I765"/>
  <c r="S218" i="24"/>
  <c r="S217"/>
  <c r="S191"/>
  <c r="S190"/>
  <c r="S183"/>
  <c r="S182"/>
  <c r="H524" i="18"/>
  <c r="I524"/>
  <c r="H529"/>
  <c r="J529"/>
  <c r="H556"/>
  <c r="I556"/>
  <c r="I573"/>
  <c r="I582"/>
  <c r="I594"/>
  <c r="I621"/>
  <c r="I638"/>
  <c r="I646"/>
  <c r="I654"/>
  <c r="I662"/>
  <c r="I670"/>
  <c r="I678"/>
  <c r="I686"/>
  <c r="J691"/>
  <c r="I694"/>
  <c r="J699"/>
  <c r="I702"/>
  <c r="J707"/>
  <c r="I710"/>
  <c r="J715"/>
  <c r="I718"/>
  <c r="J723"/>
  <c r="I726"/>
  <c r="J731"/>
  <c r="I734"/>
  <c r="J739"/>
  <c r="I742"/>
  <c r="J747"/>
  <c r="I750"/>
  <c r="J755"/>
  <c r="I758"/>
  <c r="J763"/>
  <c r="H520"/>
  <c r="I520"/>
  <c r="H525"/>
  <c r="J525"/>
  <c r="H552"/>
  <c r="I552"/>
  <c r="I558"/>
  <c r="J563"/>
  <c r="I566"/>
  <c r="I574"/>
  <c r="I613"/>
  <c r="I625"/>
  <c r="J630"/>
  <c r="I633"/>
  <c r="I641"/>
  <c r="J646"/>
  <c r="I649"/>
  <c r="J654"/>
  <c r="I657"/>
  <c r="J662"/>
  <c r="I665"/>
  <c r="J670"/>
  <c r="I673"/>
  <c r="J678"/>
  <c r="I681"/>
  <c r="J686"/>
  <c r="I689"/>
  <c r="J694"/>
  <c r="I697"/>
  <c r="J702"/>
  <c r="I705"/>
  <c r="I713"/>
  <c r="I721"/>
  <c r="J726"/>
  <c r="I729"/>
  <c r="I737"/>
  <c r="I745"/>
  <c r="I753"/>
  <c r="I761"/>
  <c r="J766"/>
  <c r="S233" i="24"/>
  <c r="S232"/>
  <c r="S223"/>
  <c r="S222"/>
  <c r="S221"/>
  <c r="S215"/>
  <c r="S216"/>
  <c r="S208"/>
  <c r="S199"/>
  <c r="S198"/>
  <c r="S195"/>
  <c r="S196"/>
  <c r="S188"/>
  <c r="S187"/>
  <c r="H521" i="18"/>
  <c r="J521"/>
  <c r="H532"/>
  <c r="I532"/>
  <c r="I533"/>
  <c r="H536"/>
  <c r="I536"/>
  <c r="I537"/>
  <c r="H540"/>
  <c r="I540"/>
  <c r="H544"/>
  <c r="I544"/>
  <c r="I545"/>
  <c r="H548"/>
  <c r="I548"/>
  <c r="I549"/>
  <c r="H553"/>
  <c r="J553"/>
  <c r="I598"/>
  <c r="I617"/>
  <c r="I634"/>
  <c r="I642"/>
  <c r="I650"/>
  <c r="I658"/>
  <c r="I666"/>
  <c r="I674"/>
  <c r="J679"/>
  <c r="I682"/>
  <c r="J687"/>
  <c r="I690"/>
  <c r="J695"/>
  <c r="I698"/>
  <c r="J703"/>
  <c r="I706"/>
  <c r="J711"/>
  <c r="I714"/>
  <c r="J719"/>
  <c r="I722"/>
  <c r="J727"/>
  <c r="I730"/>
  <c r="J735"/>
  <c r="I738"/>
  <c r="J743"/>
  <c r="I746"/>
  <c r="J751"/>
  <c r="I754"/>
  <c r="J759"/>
  <c r="I762"/>
  <c r="S174" i="24"/>
  <c r="S173"/>
  <c r="J557" i="18"/>
  <c r="I560"/>
  <c r="J561"/>
  <c r="I564"/>
  <c r="J565"/>
  <c r="I568"/>
  <c r="J569"/>
  <c r="I572"/>
  <c r="J573"/>
  <c r="I576"/>
  <c r="J577"/>
  <c r="I580"/>
  <c r="J581"/>
  <c r="I584"/>
  <c r="J585"/>
  <c r="I588"/>
  <c r="J589"/>
  <c r="I592"/>
  <c r="J593"/>
  <c r="I596"/>
  <c r="J597"/>
  <c r="I600"/>
  <c r="J601"/>
  <c r="I604"/>
  <c r="J605"/>
  <c r="I608"/>
  <c r="J609"/>
  <c r="I612"/>
  <c r="J613"/>
  <c r="I616"/>
  <c r="J617"/>
  <c r="I620"/>
  <c r="J621"/>
  <c r="I624"/>
  <c r="J625"/>
  <c r="I628"/>
  <c r="J629"/>
  <c r="I632"/>
  <c r="J633"/>
  <c r="I636"/>
  <c r="J637"/>
  <c r="I640"/>
  <c r="J641"/>
  <c r="I644"/>
  <c r="J645"/>
  <c r="I648"/>
  <c r="J649"/>
  <c r="I652"/>
  <c r="J653"/>
  <c r="I656"/>
  <c r="J657"/>
  <c r="I660"/>
  <c r="J661"/>
  <c r="I664"/>
  <c r="J665"/>
  <c r="I668"/>
  <c r="J669"/>
  <c r="I672"/>
  <c r="J673"/>
  <c r="I676"/>
  <c r="J677"/>
  <c r="I680"/>
  <c r="J681"/>
  <c r="I684"/>
  <c r="J685"/>
  <c r="I688"/>
  <c r="J689"/>
  <c r="I692"/>
  <c r="J693"/>
  <c r="I696"/>
  <c r="J697"/>
  <c r="I700"/>
  <c r="J701"/>
  <c r="I704"/>
  <c r="J705"/>
  <c r="I708"/>
  <c r="J709"/>
  <c r="I712"/>
  <c r="J713"/>
  <c r="I716"/>
  <c r="J717"/>
  <c r="I720"/>
  <c r="J721"/>
  <c r="I724"/>
  <c r="J725"/>
  <c r="I728"/>
  <c r="J729"/>
  <c r="I732"/>
  <c r="J733"/>
  <c r="I736"/>
  <c r="J737"/>
  <c r="I740"/>
  <c r="J741"/>
  <c r="I744"/>
  <c r="J745"/>
  <c r="I748"/>
  <c r="J749"/>
  <c r="I752"/>
  <c r="J753"/>
  <c r="I756"/>
  <c r="J757"/>
  <c r="I760"/>
  <c r="J761"/>
  <c r="I764"/>
  <c r="J765"/>
  <c r="J767"/>
  <c r="H770"/>
  <c r="J770"/>
  <c r="H774"/>
  <c r="J774"/>
  <c r="J779"/>
  <c r="I781"/>
  <c r="I782"/>
  <c r="J787"/>
  <c r="I790"/>
  <c r="J795"/>
  <c r="I798"/>
  <c r="J803"/>
  <c r="I806"/>
  <c r="J811"/>
  <c r="I814"/>
  <c r="J819"/>
  <c r="I822"/>
  <c r="J827"/>
  <c r="I830"/>
  <c r="J835"/>
  <c r="I838"/>
  <c r="J843"/>
  <c r="I846"/>
  <c r="J851"/>
  <c r="I854"/>
  <c r="J859"/>
  <c r="I862"/>
  <c r="J867"/>
  <c r="I870"/>
  <c r="I876"/>
  <c r="I877"/>
  <c r="I917"/>
  <c r="J922"/>
  <c r="S155" i="24"/>
  <c r="S154"/>
  <c r="J771" i="18"/>
  <c r="J775"/>
  <c r="I791"/>
  <c r="J796"/>
  <c r="I799"/>
  <c r="J804"/>
  <c r="I807"/>
  <c r="J812"/>
  <c r="I815"/>
  <c r="I855"/>
  <c r="J878"/>
  <c r="I880"/>
  <c r="J890"/>
  <c r="I892"/>
  <c r="I893"/>
  <c r="S162" i="24"/>
  <c r="S161"/>
  <c r="S148"/>
  <c r="S145"/>
  <c r="S144"/>
  <c r="S139"/>
  <c r="S138"/>
  <c r="I766" i="18"/>
  <c r="I777"/>
  <c r="I778"/>
  <c r="J783"/>
  <c r="I785"/>
  <c r="I786"/>
  <c r="J791"/>
  <c r="I794"/>
  <c r="J799"/>
  <c r="I802"/>
  <c r="J807"/>
  <c r="I810"/>
  <c r="J815"/>
  <c r="I818"/>
  <c r="J823"/>
  <c r="I826"/>
  <c r="J831"/>
  <c r="I834"/>
  <c r="J839"/>
  <c r="I842"/>
  <c r="J847"/>
  <c r="I850"/>
  <c r="J855"/>
  <c r="I858"/>
  <c r="J863"/>
  <c r="I866"/>
  <c r="J871"/>
  <c r="I873"/>
  <c r="J894"/>
  <c r="I896"/>
  <c r="J906"/>
  <c r="I908"/>
  <c r="S171" i="24"/>
  <c r="S170"/>
  <c r="S156"/>
  <c r="S157"/>
  <c r="H767" i="18"/>
  <c r="I770"/>
  <c r="I773"/>
  <c r="I774"/>
  <c r="J792"/>
  <c r="I795"/>
  <c r="J800"/>
  <c r="I803"/>
  <c r="J808"/>
  <c r="I811"/>
  <c r="I819"/>
  <c r="I827"/>
  <c r="I851"/>
  <c r="I889"/>
  <c r="I901"/>
  <c r="I912"/>
  <c r="J778"/>
  <c r="J782"/>
  <c r="J786"/>
  <c r="I789"/>
  <c r="J790"/>
  <c r="I793"/>
  <c r="J794"/>
  <c r="I797"/>
  <c r="J798"/>
  <c r="I801"/>
  <c r="J802"/>
  <c r="I805"/>
  <c r="J806"/>
  <c r="I809"/>
  <c r="J810"/>
  <c r="I813"/>
  <c r="J814"/>
  <c r="I817"/>
  <c r="J818"/>
  <c r="I821"/>
  <c r="J822"/>
  <c r="I825"/>
  <c r="J826"/>
  <c r="I829"/>
  <c r="J830"/>
  <c r="I833"/>
  <c r="J834"/>
  <c r="I837"/>
  <c r="J838"/>
  <c r="I841"/>
  <c r="J842"/>
  <c r="I845"/>
  <c r="J846"/>
  <c r="I849"/>
  <c r="J850"/>
  <c r="I853"/>
  <c r="J854"/>
  <c r="I857"/>
  <c r="J858"/>
  <c r="I861"/>
  <c r="J862"/>
  <c r="I865"/>
  <c r="J866"/>
  <c r="I869"/>
  <c r="J870"/>
  <c r="J873"/>
  <c r="J882"/>
  <c r="I882"/>
  <c r="I884"/>
  <c r="J887"/>
  <c r="I898"/>
  <c r="I900"/>
  <c r="H901"/>
  <c r="J903"/>
  <c r="J914"/>
  <c r="I914"/>
  <c r="I916"/>
  <c r="H917"/>
  <c r="J919"/>
  <c r="H925"/>
  <c r="J925"/>
  <c r="I928"/>
  <c r="H933"/>
  <c r="J933"/>
  <c r="I936"/>
  <c r="H941"/>
  <c r="J941"/>
  <c r="I944"/>
  <c r="H949"/>
  <c r="J949"/>
  <c r="I952"/>
  <c r="J959"/>
  <c r="H959"/>
  <c r="I960"/>
  <c r="I970"/>
  <c r="H970"/>
  <c r="J975"/>
  <c r="H975"/>
  <c r="I976"/>
  <c r="I986"/>
  <c r="H986"/>
  <c r="J991"/>
  <c r="H991"/>
  <c r="I992"/>
  <c r="I1002"/>
  <c r="H1002"/>
  <c r="J1007"/>
  <c r="H1007"/>
  <c r="I1008"/>
  <c r="I1018"/>
  <c r="H1018"/>
  <c r="J1023"/>
  <c r="H1023"/>
  <c r="I1024"/>
  <c r="I1034"/>
  <c r="H1034"/>
  <c r="J1039"/>
  <c r="H1039"/>
  <c r="I1040"/>
  <c r="I1050"/>
  <c r="H1050"/>
  <c r="J1055"/>
  <c r="H1055"/>
  <c r="I1056"/>
  <c r="I1066"/>
  <c r="H1066"/>
  <c r="J1071"/>
  <c r="H1071"/>
  <c r="I1072"/>
  <c r="I1082"/>
  <c r="H1082"/>
  <c r="J1087"/>
  <c r="H1087"/>
  <c r="I1088"/>
  <c r="I1098"/>
  <c r="H1098"/>
  <c r="J1103"/>
  <c r="H1103"/>
  <c r="I1104"/>
  <c r="J1114"/>
  <c r="H1114"/>
  <c r="J1122"/>
  <c r="H1122"/>
  <c r="J1130"/>
  <c r="H1130"/>
  <c r="J1138"/>
  <c r="H1138"/>
  <c r="J1146"/>
  <c r="H1146"/>
  <c r="J1154"/>
  <c r="H1154"/>
  <c r="J875"/>
  <c r="I886"/>
  <c r="H889"/>
  <c r="J891"/>
  <c r="I902"/>
  <c r="H905"/>
  <c r="J907"/>
  <c r="I918"/>
  <c r="H921"/>
  <c r="J923"/>
  <c r="I926"/>
  <c r="J931"/>
  <c r="H931"/>
  <c r="I934"/>
  <c r="J939"/>
  <c r="H939"/>
  <c r="I942"/>
  <c r="J947"/>
  <c r="H947"/>
  <c r="I950"/>
  <c r="J955"/>
  <c r="H955"/>
  <c r="I956"/>
  <c r="I966"/>
  <c r="H966"/>
  <c r="J971"/>
  <c r="H971"/>
  <c r="I972"/>
  <c r="I982"/>
  <c r="H982"/>
  <c r="J987"/>
  <c r="H987"/>
  <c r="I988"/>
  <c r="I998"/>
  <c r="H998"/>
  <c r="J1003"/>
  <c r="H1003"/>
  <c r="I1004"/>
  <c r="I1014"/>
  <c r="H1014"/>
  <c r="J1019"/>
  <c r="H1019"/>
  <c r="I1020"/>
  <c r="I1030"/>
  <c r="H1030"/>
  <c r="J1035"/>
  <c r="H1035"/>
  <c r="I1036"/>
  <c r="I1046"/>
  <c r="H1046"/>
  <c r="J1051"/>
  <c r="H1051"/>
  <c r="I1052"/>
  <c r="I1062"/>
  <c r="H1062"/>
  <c r="J1067"/>
  <c r="H1067"/>
  <c r="I1068"/>
  <c r="I1078"/>
  <c r="H1078"/>
  <c r="J1083"/>
  <c r="H1083"/>
  <c r="I1084"/>
  <c r="I1094"/>
  <c r="H1094"/>
  <c r="J1099"/>
  <c r="H1099"/>
  <c r="I1100"/>
  <c r="I1110"/>
  <c r="H1110"/>
  <c r="I1117"/>
  <c r="I1125"/>
  <c r="I1133"/>
  <c r="I1141"/>
  <c r="I1149"/>
  <c r="I1157"/>
  <c r="H1178"/>
  <c r="J1178"/>
  <c r="S128" i="24"/>
  <c r="S127"/>
  <c r="S129"/>
  <c r="I874" i="18"/>
  <c r="H877"/>
  <c r="H878"/>
  <c r="J879"/>
  <c r="H880"/>
  <c r="J881"/>
  <c r="H887"/>
  <c r="I890"/>
  <c r="H893"/>
  <c r="H894"/>
  <c r="J895"/>
  <c r="H896"/>
  <c r="J897"/>
  <c r="H903"/>
  <c r="I906"/>
  <c r="H909"/>
  <c r="J911"/>
  <c r="H912"/>
  <c r="J913"/>
  <c r="I922"/>
  <c r="I924"/>
  <c r="H929"/>
  <c r="J929"/>
  <c r="I932"/>
  <c r="H937"/>
  <c r="J937"/>
  <c r="I940"/>
  <c r="H945"/>
  <c r="J945"/>
  <c r="I948"/>
  <c r="H953"/>
  <c r="J953"/>
  <c r="I962"/>
  <c r="H962"/>
  <c r="J967"/>
  <c r="H967"/>
  <c r="I968"/>
  <c r="I978"/>
  <c r="H978"/>
  <c r="J983"/>
  <c r="H983"/>
  <c r="I984"/>
  <c r="I994"/>
  <c r="H994"/>
  <c r="J999"/>
  <c r="H999"/>
  <c r="I1000"/>
  <c r="I1010"/>
  <c r="H1010"/>
  <c r="J1015"/>
  <c r="H1015"/>
  <c r="I1016"/>
  <c r="I1026"/>
  <c r="H1026"/>
  <c r="J1031"/>
  <c r="H1031"/>
  <c r="I1032"/>
  <c r="I1042"/>
  <c r="H1042"/>
  <c r="J1047"/>
  <c r="H1047"/>
  <c r="I1048"/>
  <c r="I1058"/>
  <c r="H1058"/>
  <c r="J1063"/>
  <c r="H1063"/>
  <c r="I1064"/>
  <c r="I1074"/>
  <c r="H1074"/>
  <c r="J1079"/>
  <c r="H1079"/>
  <c r="I1080"/>
  <c r="I1090"/>
  <c r="H1090"/>
  <c r="J1095"/>
  <c r="H1095"/>
  <c r="I1096"/>
  <c r="I1106"/>
  <c r="H1106"/>
  <c r="S114" i="24"/>
  <c r="S113"/>
  <c r="H875" i="18"/>
  <c r="I878"/>
  <c r="J883"/>
  <c r="J885"/>
  <c r="H891"/>
  <c r="I894"/>
  <c r="J899"/>
  <c r="H907"/>
  <c r="I910"/>
  <c r="J915"/>
  <c r="J927"/>
  <c r="H927"/>
  <c r="I930"/>
  <c r="J935"/>
  <c r="H935"/>
  <c r="I938"/>
  <c r="J943"/>
  <c r="H943"/>
  <c r="I946"/>
  <c r="J951"/>
  <c r="H951"/>
  <c r="I954"/>
  <c r="I958"/>
  <c r="H958"/>
  <c r="J963"/>
  <c r="H963"/>
  <c r="I964"/>
  <c r="I974"/>
  <c r="H974"/>
  <c r="J979"/>
  <c r="H979"/>
  <c r="I980"/>
  <c r="I990"/>
  <c r="H990"/>
  <c r="J995"/>
  <c r="H995"/>
  <c r="I996"/>
  <c r="I1006"/>
  <c r="H1006"/>
  <c r="J1011"/>
  <c r="H1011"/>
  <c r="I1012"/>
  <c r="I1022"/>
  <c r="H1022"/>
  <c r="J1027"/>
  <c r="H1027"/>
  <c r="I1028"/>
  <c r="I1038"/>
  <c r="H1038"/>
  <c r="J1043"/>
  <c r="H1043"/>
  <c r="I1044"/>
  <c r="I1054"/>
  <c r="H1054"/>
  <c r="J1059"/>
  <c r="H1059"/>
  <c r="I1060"/>
  <c r="I1070"/>
  <c r="H1070"/>
  <c r="J1075"/>
  <c r="H1075"/>
  <c r="I1076"/>
  <c r="I1086"/>
  <c r="H1086"/>
  <c r="J1091"/>
  <c r="H1091"/>
  <c r="I1092"/>
  <c r="I1102"/>
  <c r="H1102"/>
  <c r="J1107"/>
  <c r="H1107"/>
  <c r="I1108"/>
  <c r="S71" i="24"/>
  <c r="S70"/>
  <c r="H1162" i="18"/>
  <c r="J1162"/>
  <c r="I1173"/>
  <c r="S101" i="24"/>
  <c r="S102"/>
  <c r="J957" i="18"/>
  <c r="J961"/>
  <c r="J965"/>
  <c r="J969"/>
  <c r="J973"/>
  <c r="J977"/>
  <c r="J981"/>
  <c r="J985"/>
  <c r="J989"/>
  <c r="J993"/>
  <c r="J997"/>
  <c r="J1001"/>
  <c r="J1005"/>
  <c r="J1009"/>
  <c r="J1013"/>
  <c r="J1017"/>
  <c r="J1021"/>
  <c r="J1025"/>
  <c r="J1029"/>
  <c r="J1033"/>
  <c r="J1037"/>
  <c r="J1041"/>
  <c r="J1045"/>
  <c r="J1049"/>
  <c r="J1053"/>
  <c r="J1057"/>
  <c r="J1061"/>
  <c r="J1065"/>
  <c r="J1069"/>
  <c r="J1073"/>
  <c r="J1077"/>
  <c r="J1081"/>
  <c r="J1085"/>
  <c r="J1089"/>
  <c r="J1093"/>
  <c r="J1097"/>
  <c r="J1101"/>
  <c r="J1105"/>
  <c r="J1109"/>
  <c r="H1117"/>
  <c r="H1125"/>
  <c r="H1133"/>
  <c r="H1141"/>
  <c r="H1149"/>
  <c r="H1157"/>
  <c r="H1158"/>
  <c r="J1158"/>
  <c r="I1169"/>
  <c r="H1173"/>
  <c r="H1174"/>
  <c r="J1174"/>
  <c r="I1181"/>
  <c r="S88" i="24"/>
  <c r="S87"/>
  <c r="I1113" i="18"/>
  <c r="J1118"/>
  <c r="I1121"/>
  <c r="J1126"/>
  <c r="I1129"/>
  <c r="J1134"/>
  <c r="I1137"/>
  <c r="J1142"/>
  <c r="I1145"/>
  <c r="J1150"/>
  <c r="I1153"/>
  <c r="I1165"/>
  <c r="H1170"/>
  <c r="J1170"/>
  <c r="I1185"/>
  <c r="S105" i="24"/>
  <c r="S104"/>
  <c r="S91"/>
  <c r="S90"/>
  <c r="S78"/>
  <c r="S77"/>
  <c r="S76"/>
  <c r="H1113" i="18"/>
  <c r="H1121"/>
  <c r="H1129"/>
  <c r="H1137"/>
  <c r="H1145"/>
  <c r="H1153"/>
  <c r="I1161"/>
  <c r="H1165"/>
  <c r="H1166"/>
  <c r="J1166"/>
  <c r="I1177"/>
  <c r="S74" i="24"/>
  <c r="S73"/>
  <c r="J1182" i="18"/>
  <c r="H1188"/>
  <c r="H1196"/>
  <c r="H1204"/>
  <c r="H1212"/>
  <c r="H1220"/>
  <c r="H1228"/>
  <c r="H1236"/>
  <c r="H1244"/>
  <c r="H1252"/>
  <c r="H1260"/>
  <c r="H1268"/>
  <c r="H1276"/>
  <c r="I1277"/>
  <c r="H1284"/>
  <c r="I1285"/>
  <c r="H1292"/>
  <c r="I1293"/>
  <c r="H1300"/>
  <c r="I1301"/>
  <c r="H1308"/>
  <c r="I1309"/>
  <c r="H1316"/>
  <c r="I1317"/>
  <c r="J1322"/>
  <c r="I1328"/>
  <c r="I1329"/>
  <c r="H1333"/>
  <c r="J1333"/>
  <c r="J1338"/>
  <c r="I1344"/>
  <c r="I1345"/>
  <c r="H1349"/>
  <c r="J1349"/>
  <c r="I1364"/>
  <c r="I1385"/>
  <c r="J1189"/>
  <c r="I1192"/>
  <c r="J1197"/>
  <c r="I1200"/>
  <c r="J1205"/>
  <c r="I1208"/>
  <c r="J1213"/>
  <c r="I1216"/>
  <c r="J1221"/>
  <c r="I1224"/>
  <c r="J1229"/>
  <c r="I1232"/>
  <c r="J1237"/>
  <c r="I1240"/>
  <c r="J1245"/>
  <c r="I1248"/>
  <c r="J1253"/>
  <c r="I1256"/>
  <c r="J1261"/>
  <c r="I1264"/>
  <c r="J1269"/>
  <c r="I1272"/>
  <c r="J1277"/>
  <c r="I1280"/>
  <c r="J1285"/>
  <c r="I1288"/>
  <c r="J1293"/>
  <c r="I1296"/>
  <c r="J1301"/>
  <c r="I1304"/>
  <c r="J1309"/>
  <c r="I1312"/>
  <c r="J1314"/>
  <c r="J1317"/>
  <c r="I1320"/>
  <c r="I1324"/>
  <c r="I1325"/>
  <c r="H1329"/>
  <c r="J1329"/>
  <c r="J1334"/>
  <c r="I1340"/>
  <c r="I1341"/>
  <c r="H1345"/>
  <c r="J1345"/>
  <c r="I1356"/>
  <c r="I1409"/>
  <c r="H1192"/>
  <c r="H1200"/>
  <c r="H1208"/>
  <c r="H1216"/>
  <c r="H1224"/>
  <c r="H1232"/>
  <c r="H1240"/>
  <c r="H1248"/>
  <c r="H1256"/>
  <c r="H1264"/>
  <c r="H1272"/>
  <c r="H1280"/>
  <c r="H1288"/>
  <c r="I1289"/>
  <c r="H1296"/>
  <c r="H1304"/>
  <c r="I1305"/>
  <c r="H1312"/>
  <c r="I1313"/>
  <c r="H1320"/>
  <c r="I1321"/>
  <c r="H1324"/>
  <c r="H1325"/>
  <c r="J1325"/>
  <c r="J1330"/>
  <c r="I1336"/>
  <c r="I1337"/>
  <c r="H1340"/>
  <c r="H1341"/>
  <c r="J1341"/>
  <c r="I1352"/>
  <c r="H1356"/>
  <c r="H1357"/>
  <c r="J1357"/>
  <c r="I1401"/>
  <c r="H1187"/>
  <c r="I1188"/>
  <c r="J1193"/>
  <c r="H1195"/>
  <c r="I1196"/>
  <c r="J1201"/>
  <c r="H1203"/>
  <c r="I1204"/>
  <c r="J1209"/>
  <c r="H1211"/>
  <c r="I1212"/>
  <c r="J1217"/>
  <c r="S57" i="24"/>
  <c r="S58"/>
  <c r="S56"/>
  <c r="I1220" i="18"/>
  <c r="J1225"/>
  <c r="H1227"/>
  <c r="I1228"/>
  <c r="J1233"/>
  <c r="I1236"/>
  <c r="J1241"/>
  <c r="I1244"/>
  <c r="J1249"/>
  <c r="I1252"/>
  <c r="J1257"/>
  <c r="I1260"/>
  <c r="J1265"/>
  <c r="I1268"/>
  <c r="J1273"/>
  <c r="I1276"/>
  <c r="J1281"/>
  <c r="I1284"/>
  <c r="J1289"/>
  <c r="I1292"/>
  <c r="J1297"/>
  <c r="I1300"/>
  <c r="J1305"/>
  <c r="I1308"/>
  <c r="J1313"/>
  <c r="I1316"/>
  <c r="J1318"/>
  <c r="J1321"/>
  <c r="J1326"/>
  <c r="I1332"/>
  <c r="I1333"/>
  <c r="H1336"/>
  <c r="H1337"/>
  <c r="J1337"/>
  <c r="J1342"/>
  <c r="I1348"/>
  <c r="H1353"/>
  <c r="J1353"/>
  <c r="I1360"/>
  <c r="I1393"/>
  <c r="S46" i="24"/>
  <c r="S45"/>
  <c r="S39"/>
  <c r="S38"/>
  <c r="J1361" i="18"/>
  <c r="S32" i="24"/>
  <c r="S31"/>
  <c r="H1365" i="18"/>
  <c r="H1370"/>
  <c r="H1378"/>
  <c r="H1386"/>
  <c r="H1394"/>
  <c r="H1402"/>
  <c r="H1410"/>
  <c r="H1411"/>
  <c r="J1411"/>
  <c r="I1422"/>
  <c r="H1427"/>
  <c r="J1427"/>
  <c r="J1437"/>
  <c r="H1438"/>
  <c r="I1438"/>
  <c r="J1445"/>
  <c r="I1366"/>
  <c r="J1371"/>
  <c r="I1374"/>
  <c r="I1377"/>
  <c r="J1379"/>
  <c r="J1382"/>
  <c r="I1382"/>
  <c r="J1387"/>
  <c r="J1390"/>
  <c r="I1390"/>
  <c r="J1395"/>
  <c r="J1398"/>
  <c r="I1398"/>
  <c r="J1403"/>
  <c r="J1406"/>
  <c r="I1406"/>
  <c r="I1418"/>
  <c r="H1423"/>
  <c r="J1423"/>
  <c r="H1434"/>
  <c r="I1434"/>
  <c r="I1440"/>
  <c r="H1374"/>
  <c r="I1414"/>
  <c r="H1418"/>
  <c r="H1419"/>
  <c r="J1419"/>
  <c r="I1430"/>
  <c r="H1435"/>
  <c r="J1435"/>
  <c r="I1436"/>
  <c r="J1367"/>
  <c r="H1369"/>
  <c r="I1370"/>
  <c r="J1375"/>
  <c r="I1378"/>
  <c r="J1383"/>
  <c r="H1385"/>
  <c r="I1386"/>
  <c r="J1391"/>
  <c r="H1393"/>
  <c r="I1394"/>
  <c r="J1399"/>
  <c r="H1401"/>
  <c r="I1402"/>
  <c r="J1407"/>
  <c r="H1409"/>
  <c r="I1410"/>
  <c r="H1414"/>
  <c r="H1415"/>
  <c r="J1415"/>
  <c r="I1426"/>
  <c r="H1430"/>
  <c r="H1431"/>
  <c r="J1431"/>
  <c r="J1441"/>
  <c r="I1444"/>
  <c r="H1437"/>
  <c r="J1439"/>
  <c r="I1442"/>
  <c r="J1443"/>
  <c r="H1445"/>
  <c r="I1446"/>
  <c r="J1447"/>
  <c r="J1449"/>
  <c r="I1449"/>
  <c r="I1451"/>
  <c r="I1453"/>
  <c r="J1466"/>
  <c r="I1467"/>
  <c r="I1469"/>
  <c r="J1482"/>
  <c r="I1483"/>
  <c r="I1485"/>
  <c r="J1498"/>
  <c r="I1499"/>
  <c r="I1501"/>
  <c r="J1514"/>
  <c r="I1515"/>
  <c r="I1517"/>
  <c r="J1522"/>
  <c r="I1523"/>
  <c r="I1525"/>
  <c r="J1546"/>
  <c r="I1549"/>
  <c r="J1558"/>
  <c r="J1454"/>
  <c r="H1454"/>
  <c r="I1455"/>
  <c r="I1457"/>
  <c r="I1459"/>
  <c r="J1470"/>
  <c r="I1471"/>
  <c r="I1473"/>
  <c r="J1486"/>
  <c r="I1487"/>
  <c r="I1489"/>
  <c r="J1502"/>
  <c r="I1503"/>
  <c r="I1505"/>
  <c r="J1518"/>
  <c r="I1519"/>
  <c r="J1526"/>
  <c r="I1527"/>
  <c r="I1529"/>
  <c r="J1538"/>
  <c r="I1539"/>
  <c r="I1541"/>
  <c r="J1448"/>
  <c r="J1458"/>
  <c r="I1461"/>
  <c r="I1463"/>
  <c r="J1474"/>
  <c r="I1475"/>
  <c r="I1477"/>
  <c r="J1490"/>
  <c r="I1491"/>
  <c r="I1493"/>
  <c r="J1506"/>
  <c r="I1507"/>
  <c r="I1509"/>
  <c r="I1511"/>
  <c r="I1521"/>
  <c r="J1530"/>
  <c r="I1531"/>
  <c r="I1533"/>
  <c r="J1542"/>
  <c r="I1543"/>
  <c r="I1545"/>
  <c r="J1550"/>
  <c r="I1553"/>
  <c r="J1450"/>
  <c r="H1452"/>
  <c r="J1452"/>
  <c r="H1453"/>
  <c r="J1462"/>
  <c r="I1465"/>
  <c r="J1478"/>
  <c r="I1479"/>
  <c r="I1481"/>
  <c r="J1494"/>
  <c r="I1495"/>
  <c r="I1497"/>
  <c r="J1510"/>
  <c r="I1513"/>
  <c r="J1534"/>
  <c r="I1537"/>
  <c r="J1554"/>
  <c r="I1557"/>
  <c r="H1459"/>
  <c r="H1463"/>
  <c r="H1511"/>
  <c r="J1456"/>
  <c r="H1458"/>
  <c r="J1460"/>
  <c r="H1462"/>
  <c r="J1464"/>
  <c r="H1466"/>
  <c r="J1468"/>
  <c r="H1470"/>
  <c r="J1472"/>
  <c r="H1474"/>
  <c r="J1476"/>
  <c r="H1478"/>
  <c r="J1480"/>
  <c r="H1482"/>
  <c r="J1484"/>
  <c r="H1486"/>
  <c r="J1488"/>
  <c r="H1490"/>
  <c r="J1492"/>
  <c r="H1494"/>
  <c r="J1496"/>
  <c r="H1498"/>
  <c r="J1500"/>
  <c r="H1502"/>
  <c r="J1504"/>
  <c r="H1506"/>
  <c r="J1508"/>
  <c r="H1510"/>
  <c r="J1512"/>
  <c r="H1514"/>
  <c r="S5" i="24"/>
  <c r="S4"/>
  <c r="H1518" i="18"/>
  <c r="J1520"/>
  <c r="H1526"/>
  <c r="H1530"/>
  <c r="H1534"/>
  <c r="H1542"/>
  <c r="H1554"/>
  <c r="H1558"/>
  <c r="H1457"/>
  <c r="H1469"/>
  <c r="H1473"/>
  <c r="H1477"/>
  <c r="H1481"/>
  <c r="H1485"/>
  <c r="H1489"/>
  <c r="H1493"/>
  <c r="H1497"/>
  <c r="H1501"/>
  <c r="H1505"/>
  <c r="H1509"/>
  <c r="H1517"/>
  <c r="H1525"/>
  <c r="H1529"/>
  <c r="H1533"/>
  <c r="H1537"/>
  <c r="H1541"/>
  <c r="H1545"/>
  <c r="H1549"/>
  <c r="H1553"/>
  <c r="H1557"/>
  <c r="S19" i="24"/>
  <c r="S18"/>
  <c r="S13"/>
  <c r="S12"/>
  <c r="S9"/>
  <c r="S10"/>
  <c r="T55"/>
  <c r="T95"/>
  <c r="T137"/>
  <c r="T217"/>
  <c r="T218"/>
  <c r="T253"/>
  <c r="T252"/>
  <c r="T91"/>
  <c r="T90"/>
  <c r="T46"/>
  <c r="T45"/>
  <c r="L59" i="8"/>
  <c r="C47"/>
  <c r="G47"/>
  <c r="L2"/>
  <c r="C62"/>
  <c r="G62"/>
  <c r="C63"/>
  <c r="G63"/>
  <c r="C64"/>
  <c r="G64"/>
  <c r="C66"/>
  <c r="G66"/>
  <c r="C67"/>
  <c r="G67"/>
  <c r="D62"/>
  <c r="H62"/>
  <c r="D63"/>
  <c r="H63"/>
  <c r="D64"/>
  <c r="H64"/>
  <c r="D66"/>
  <c r="H66"/>
  <c r="D67"/>
  <c r="H67"/>
  <c r="E62"/>
  <c r="I62"/>
  <c r="E63"/>
  <c r="I63"/>
  <c r="E64"/>
  <c r="I64"/>
  <c r="E66"/>
  <c r="I66"/>
  <c r="E67"/>
  <c r="I67"/>
  <c r="L11"/>
  <c r="L12"/>
  <c r="L13"/>
  <c r="F62"/>
  <c r="J62"/>
  <c r="F63"/>
  <c r="J63"/>
  <c r="F64"/>
  <c r="J64"/>
  <c r="F66"/>
  <c r="J66"/>
  <c r="F67"/>
  <c r="J67"/>
  <c r="L56"/>
  <c r="K56"/>
  <c r="L53"/>
  <c r="K53"/>
  <c r="L54"/>
  <c r="L55"/>
  <c r="K2"/>
  <c r="D47"/>
  <c r="H47"/>
  <c r="F48"/>
  <c r="J48"/>
  <c r="F49"/>
  <c r="J49"/>
  <c r="F50"/>
  <c r="J50"/>
  <c r="D51"/>
  <c r="C51" s="1"/>
  <c r="H51"/>
  <c r="G52"/>
  <c r="C68"/>
  <c r="G68"/>
  <c r="C69"/>
  <c r="G69"/>
  <c r="C70"/>
  <c r="G70"/>
  <c r="C71"/>
  <c r="K26"/>
  <c r="E47"/>
  <c r="I47"/>
  <c r="G48"/>
  <c r="G50"/>
  <c r="E51"/>
  <c r="I51"/>
  <c r="D52"/>
  <c r="C52" s="1"/>
  <c r="H52"/>
  <c r="D68"/>
  <c r="H68"/>
  <c r="D69"/>
  <c r="H69"/>
  <c r="D70"/>
  <c r="H70"/>
  <c r="F47"/>
  <c r="J47"/>
  <c r="F51"/>
  <c r="J51"/>
  <c r="E52"/>
  <c r="I52"/>
  <c r="E68"/>
  <c r="I68"/>
  <c r="E69"/>
  <c r="I69"/>
  <c r="E70"/>
  <c r="I70"/>
  <c r="F52"/>
  <c r="J52"/>
  <c r="U1377" i="18"/>
  <c r="F1377" s="1"/>
  <c r="U1079"/>
  <c r="F1079" s="1"/>
  <c r="P12" i="2" s="1"/>
  <c r="U715" i="18"/>
  <c r="F715" s="1"/>
  <c r="U372"/>
  <c r="F372" s="1"/>
  <c r="U169"/>
  <c r="F169" s="1"/>
  <c r="U138"/>
  <c r="F138" s="1"/>
  <c r="D55"/>
  <c r="U54"/>
  <c r="F54" s="1"/>
  <c r="U1544"/>
  <c r="F1544" s="1"/>
  <c r="U1466"/>
  <c r="F1466" s="1"/>
  <c r="U318"/>
  <c r="F318" s="1"/>
  <c r="D1417"/>
  <c r="O42" i="23" s="1"/>
  <c r="D1363" i="18"/>
  <c r="O41" i="23" s="1"/>
  <c r="D1199" i="18"/>
  <c r="O40" i="23" s="1"/>
  <c r="D936" i="18"/>
  <c r="O37" i="23" s="1"/>
  <c r="U1546" i="18"/>
  <c r="F1546" s="1"/>
  <c r="U1543"/>
  <c r="F1543" s="1"/>
  <c r="U962"/>
  <c r="F962" s="1"/>
  <c r="U1551"/>
  <c r="F1551" s="1"/>
  <c r="D1243"/>
  <c r="D1137"/>
  <c r="U1477"/>
  <c r="F1477" s="1"/>
  <c r="U709"/>
  <c r="F709" s="1"/>
  <c r="U974"/>
  <c r="F974" s="1"/>
  <c r="U1383"/>
  <c r="F1383" s="1"/>
  <c r="U1442"/>
  <c r="F1442" s="1"/>
  <c r="D1217"/>
  <c r="D1187"/>
  <c r="D1399"/>
  <c r="N22" i="2" s="1"/>
  <c r="D1400" i="18"/>
  <c r="U1472"/>
  <c r="F1472" s="1"/>
  <c r="D1475"/>
  <c r="D1476"/>
  <c r="D1478"/>
  <c r="U1525"/>
  <c r="F1525" s="1"/>
  <c r="D314"/>
  <c r="D340"/>
  <c r="D847"/>
  <c r="T118" i="24" s="1"/>
  <c r="D948" i="18"/>
  <c r="T100" i="24" s="1"/>
  <c r="D1037" i="18"/>
  <c r="D1071"/>
  <c r="D1121"/>
  <c r="D1287"/>
  <c r="D362"/>
  <c r="T213" i="24" s="1"/>
  <c r="D288" i="18"/>
  <c r="U336"/>
  <c r="F336" s="1"/>
  <c r="U950"/>
  <c r="F950" s="1"/>
  <c r="D994"/>
  <c r="D1015"/>
  <c r="D1163"/>
  <c r="D1193"/>
  <c r="U1221"/>
  <c r="F1221" s="1"/>
  <c r="D1265"/>
  <c r="D1323"/>
  <c r="D1324"/>
  <c r="D1369"/>
  <c r="T30" i="24" s="1"/>
  <c r="D1370" i="18"/>
  <c r="D1063"/>
  <c r="D1097"/>
  <c r="D1131"/>
  <c r="D1510"/>
  <c r="D294"/>
  <c r="D346"/>
  <c r="D799"/>
  <c r="U938"/>
  <c r="F938" s="1"/>
  <c r="D972"/>
  <c r="U1011"/>
  <c r="F1011" s="1"/>
  <c r="D1035"/>
  <c r="D1115"/>
  <c r="D1129"/>
  <c r="U1133"/>
  <c r="F1133" s="1"/>
  <c r="D1195"/>
  <c r="D1249"/>
  <c r="D1275"/>
  <c r="D1342"/>
  <c r="D1352"/>
  <c r="T35" i="24" s="1"/>
  <c r="D1385" i="18"/>
  <c r="D1386"/>
  <c r="D1403"/>
  <c r="D1404"/>
  <c r="D1470"/>
  <c r="D1481"/>
  <c r="D1482"/>
  <c r="T11" i="24" s="1"/>
  <c r="D1505" i="18"/>
  <c r="D1506"/>
  <c r="D1520"/>
  <c r="U1396"/>
  <c r="F1396" s="1"/>
  <c r="D232"/>
  <c r="O10" i="23" s="1"/>
  <c r="D237" i="18"/>
  <c r="D262"/>
  <c r="D735"/>
  <c r="D863"/>
  <c r="D912"/>
  <c r="D992"/>
  <c r="D1047"/>
  <c r="T81" i="24" s="1"/>
  <c r="D1069" i="18"/>
  <c r="D1091"/>
  <c r="D1147"/>
  <c r="D1169"/>
  <c r="U1189"/>
  <c r="F1189" s="1"/>
  <c r="D1219"/>
  <c r="D1225"/>
  <c r="D1311"/>
  <c r="U1392"/>
  <c r="F1392" s="1"/>
  <c r="D1395"/>
  <c r="D1494"/>
  <c r="D1495"/>
  <c r="D1496"/>
  <c r="D1499"/>
  <c r="D1500"/>
  <c r="D1532"/>
  <c r="D783"/>
  <c r="T133" i="24" s="1"/>
  <c r="D964" i="18"/>
  <c r="T97" i="24" s="1"/>
  <c r="D1009" i="18"/>
  <c r="D1319"/>
  <c r="T37" i="24" s="1"/>
  <c r="D1320" i="18"/>
  <c r="D1344"/>
  <c r="D1358"/>
  <c r="D1422"/>
  <c r="D1456"/>
  <c r="D1465"/>
  <c r="D1466"/>
  <c r="D1473"/>
  <c r="T14" i="24" s="1"/>
  <c r="D1474" i="18"/>
  <c r="U725"/>
  <c r="F725" s="1"/>
  <c r="U906"/>
  <c r="F906" s="1"/>
  <c r="U926"/>
  <c r="F926" s="1"/>
  <c r="U986"/>
  <c r="F986" s="1"/>
  <c r="U1253"/>
  <c r="F1253" s="1"/>
  <c r="U1381"/>
  <c r="F1381" s="1"/>
  <c r="U1405"/>
  <c r="F1405" s="1"/>
  <c r="U1414"/>
  <c r="F1414" s="1"/>
  <c r="U1415"/>
  <c r="F1415" s="1"/>
  <c r="D1518"/>
  <c r="D1523"/>
  <c r="O31" i="23" s="1"/>
  <c r="D1524" i="18"/>
  <c r="D1527"/>
  <c r="D1528"/>
  <c r="U1549"/>
  <c r="F1549" s="1"/>
  <c r="U1338"/>
  <c r="F1338" s="1"/>
  <c r="U1382"/>
  <c r="F1382" s="1"/>
  <c r="U1460"/>
  <c r="F1460" s="1"/>
  <c r="U1462"/>
  <c r="F1462" s="1"/>
  <c r="U1514"/>
  <c r="F1514" s="1"/>
  <c r="U1536"/>
  <c r="F1536" s="1"/>
  <c r="U1550"/>
  <c r="F1550" s="1"/>
  <c r="U1554"/>
  <c r="F1554" s="1"/>
  <c r="D229"/>
  <c r="U240"/>
  <c r="F240" s="1"/>
  <c r="D256"/>
  <c r="D282"/>
  <c r="O13" i="23" s="1"/>
  <c r="D378" i="18"/>
  <c r="N11" i="2" s="1"/>
  <c r="D751" i="18"/>
  <c r="D815"/>
  <c r="O23" i="23" s="1"/>
  <c r="D879" i="18"/>
  <c r="D920"/>
  <c r="D956"/>
  <c r="D1023"/>
  <c r="D1029"/>
  <c r="N5" i="2" s="1"/>
  <c r="D1055" i="18"/>
  <c r="D1061"/>
  <c r="D1067"/>
  <c r="D1075"/>
  <c r="D1089"/>
  <c r="D1113"/>
  <c r="D1155"/>
  <c r="D1161"/>
  <c r="D1185"/>
  <c r="T63" i="24" s="1"/>
  <c r="D1211" i="18"/>
  <c r="D1233"/>
  <c r="D1259"/>
  <c r="D1295"/>
  <c r="T44" i="24" s="1"/>
  <c r="U1326" i="18"/>
  <c r="F1326" s="1"/>
  <c r="D1329"/>
  <c r="D1330"/>
  <c r="U1334"/>
  <c r="F1334" s="1"/>
  <c r="D1337"/>
  <c r="D1355"/>
  <c r="D1356"/>
  <c r="U1378"/>
  <c r="F1378" s="1"/>
  <c r="D1387"/>
  <c r="D1388"/>
  <c r="U1446"/>
  <c r="F1446" s="1"/>
  <c r="D1449"/>
  <c r="D1450"/>
  <c r="D1459"/>
  <c r="T17" i="24" s="1"/>
  <c r="D1488" i="18"/>
  <c r="D1491"/>
  <c r="D1492"/>
  <c r="D1513"/>
  <c r="U1533"/>
  <c r="F1533" s="1"/>
  <c r="D1542"/>
  <c r="D1553"/>
  <c r="U232"/>
  <c r="F232" s="1"/>
  <c r="D250"/>
  <c r="D723"/>
  <c r="D767"/>
  <c r="T136" i="24" s="1"/>
  <c r="D831" i="18"/>
  <c r="T121" i="24" s="1"/>
  <c r="D895" i="18"/>
  <c r="D904"/>
  <c r="D924"/>
  <c r="T103" i="24" s="1"/>
  <c r="D944" i="18"/>
  <c r="U958"/>
  <c r="F958" s="1"/>
  <c r="D984"/>
  <c r="D996"/>
  <c r="D1001"/>
  <c r="D1021"/>
  <c r="D1027"/>
  <c r="D1043"/>
  <c r="T83" i="24" s="1"/>
  <c r="D1053" i="18"/>
  <c r="D1059"/>
  <c r="D1073"/>
  <c r="D1083"/>
  <c r="D1107"/>
  <c r="D1139"/>
  <c r="D1153"/>
  <c r="U1157"/>
  <c r="F1157" s="1"/>
  <c r="D1179"/>
  <c r="D1201"/>
  <c r="D1227"/>
  <c r="D1251"/>
  <c r="D1257"/>
  <c r="D1299"/>
  <c r="U1341"/>
  <c r="F1341" s="1"/>
  <c r="D1347"/>
  <c r="D1348"/>
  <c r="D1366"/>
  <c r="D1377"/>
  <c r="D1384"/>
  <c r="U1524"/>
  <c r="F1524" s="1"/>
  <c r="D1531"/>
  <c r="U1557"/>
  <c r="F1557" s="1"/>
  <c r="U227"/>
  <c r="F227" s="1"/>
  <c r="U235"/>
  <c r="F235" s="1"/>
  <c r="U3"/>
  <c r="F3" s="1"/>
  <c r="U7"/>
  <c r="F7" s="1"/>
  <c r="U11"/>
  <c r="F11" s="1"/>
  <c r="U15"/>
  <c r="F15" s="1"/>
  <c r="U19"/>
  <c r="F19" s="1"/>
  <c r="U53"/>
  <c r="F53" s="1"/>
  <c r="U55"/>
  <c r="F55" s="1"/>
  <c r="U59"/>
  <c r="F59" s="1"/>
  <c r="P13" i="2" s="1"/>
  <c r="U65" i="18"/>
  <c r="F65" s="1"/>
  <c r="U71"/>
  <c r="F71" s="1"/>
  <c r="U77"/>
  <c r="F77" s="1"/>
  <c r="U83"/>
  <c r="F83" s="1"/>
  <c r="U89"/>
  <c r="F89" s="1"/>
  <c r="U99"/>
  <c r="F99" s="1"/>
  <c r="U105"/>
  <c r="F105" s="1"/>
  <c r="U111"/>
  <c r="F111" s="1"/>
  <c r="U113"/>
  <c r="F113" s="1"/>
  <c r="U119"/>
  <c r="F119" s="1"/>
  <c r="U127"/>
  <c r="F127" s="1"/>
  <c r="U133"/>
  <c r="F133" s="1"/>
  <c r="U137"/>
  <c r="F137" s="1"/>
  <c r="U147"/>
  <c r="F147" s="1"/>
  <c r="D5"/>
  <c r="D9"/>
  <c r="D13"/>
  <c r="D17"/>
  <c r="D21"/>
  <c r="D25"/>
  <c r="D29"/>
  <c r="T256" i="24" s="1"/>
  <c r="D31" i="18"/>
  <c r="D33"/>
  <c r="D39"/>
  <c r="D41"/>
  <c r="D57"/>
  <c r="D61"/>
  <c r="D69"/>
  <c r="D73"/>
  <c r="D75"/>
  <c r="D79"/>
  <c r="D87"/>
  <c r="D91"/>
  <c r="D95"/>
  <c r="D103"/>
  <c r="D107"/>
  <c r="D115"/>
  <c r="D123"/>
  <c r="D131"/>
  <c r="D139"/>
  <c r="D143"/>
  <c r="D149"/>
  <c r="D153"/>
  <c r="T238" i="24" s="1"/>
  <c r="D157" i="18"/>
  <c r="D161"/>
  <c r="D165"/>
  <c r="D169"/>
  <c r="D173"/>
  <c r="D177"/>
  <c r="D181"/>
  <c r="D185"/>
  <c r="D189"/>
  <c r="D193"/>
  <c r="T231" i="24" s="1"/>
  <c r="D199" i="18"/>
  <c r="D201"/>
  <c r="D207"/>
  <c r="D211"/>
  <c r="D215"/>
  <c r="D223"/>
  <c r="T228" i="24" s="1"/>
  <c r="U231" i="18"/>
  <c r="F231" s="1"/>
  <c r="D233"/>
  <c r="T226" i="24" s="1"/>
  <c r="D246" i="18"/>
  <c r="D226"/>
  <c r="D231"/>
  <c r="O9" i="23" s="1"/>
  <c r="D234" i="18"/>
  <c r="D239"/>
  <c r="D258"/>
  <c r="D264"/>
  <c r="D270"/>
  <c r="D290"/>
  <c r="D296"/>
  <c r="D302"/>
  <c r="D316"/>
  <c r="D322"/>
  <c r="U344"/>
  <c r="F344" s="1"/>
  <c r="D348"/>
  <c r="D364"/>
  <c r="D380"/>
  <c r="D707"/>
  <c r="N21" i="2" s="1"/>
  <c r="D719" i="18"/>
  <c r="D731"/>
  <c r="D747"/>
  <c r="D763"/>
  <c r="D779"/>
  <c r="D795"/>
  <c r="D811"/>
  <c r="D827"/>
  <c r="D843"/>
  <c r="D859"/>
  <c r="D875"/>
  <c r="D881"/>
  <c r="D887"/>
  <c r="U897"/>
  <c r="F897" s="1"/>
  <c r="D897"/>
  <c r="D910"/>
  <c r="U910"/>
  <c r="F910" s="1"/>
  <c r="D916"/>
  <c r="T106" i="24" s="1"/>
  <c r="D928" i="18"/>
  <c r="U932"/>
  <c r="F932" s="1"/>
  <c r="D932"/>
  <c r="D954"/>
  <c r="U954"/>
  <c r="F954" s="1"/>
  <c r="U960"/>
  <c r="F960" s="1"/>
  <c r="D960"/>
  <c r="D982"/>
  <c r="T94" i="24" s="1"/>
  <c r="U982" i="18"/>
  <c r="F982" s="1"/>
  <c r="U988"/>
  <c r="F988" s="1"/>
  <c r="D988"/>
  <c r="U999"/>
  <c r="F999" s="1"/>
  <c r="D999"/>
  <c r="D1165"/>
  <c r="T67" i="24" s="1"/>
  <c r="U1165" i="18"/>
  <c r="F1165" s="1"/>
  <c r="U1209"/>
  <c r="F1209" s="1"/>
  <c r="D1209"/>
  <c r="U1267"/>
  <c r="F1267" s="1"/>
  <c r="D1267"/>
  <c r="U1280"/>
  <c r="F1280" s="1"/>
  <c r="D1280"/>
  <c r="U1303"/>
  <c r="F1303" s="1"/>
  <c r="D1303"/>
  <c r="U1335"/>
  <c r="F1335" s="1"/>
  <c r="D1335"/>
  <c r="U1353"/>
  <c r="F1353" s="1"/>
  <c r="D1353"/>
  <c r="U1361"/>
  <c r="F1361" s="1"/>
  <c r="D1361"/>
  <c r="U1367"/>
  <c r="F1367" s="1"/>
  <c r="D1367"/>
  <c r="U1393"/>
  <c r="F1393" s="1"/>
  <c r="D1393"/>
  <c r="D1397"/>
  <c r="U1397"/>
  <c r="F1397" s="1"/>
  <c r="U1401"/>
  <c r="F1401" s="1"/>
  <c r="D1401"/>
  <c r="U891"/>
  <c r="F891" s="1"/>
  <c r="D891"/>
  <c r="D902"/>
  <c r="U902"/>
  <c r="F902" s="1"/>
  <c r="D1025"/>
  <c r="T86" i="24" s="1"/>
  <c r="U1025" i="18"/>
  <c r="F1025" s="1"/>
  <c r="U1051"/>
  <c r="F1051" s="1"/>
  <c r="D1051"/>
  <c r="U1081"/>
  <c r="F1081" s="1"/>
  <c r="D1081"/>
  <c r="U1105"/>
  <c r="F1105" s="1"/>
  <c r="D1105"/>
  <c r="U1177"/>
  <c r="F1177" s="1"/>
  <c r="D1177"/>
  <c r="U1235"/>
  <c r="F1235" s="1"/>
  <c r="D1235"/>
  <c r="D1261"/>
  <c r="U1261"/>
  <c r="F1261" s="1"/>
  <c r="U1297"/>
  <c r="F1297" s="1"/>
  <c r="D1297"/>
  <c r="T43" i="24" s="1"/>
  <c r="U1322" i="18"/>
  <c r="F1322" s="1"/>
  <c r="D1322"/>
  <c r="U1345"/>
  <c r="F1345" s="1"/>
  <c r="D1345"/>
  <c r="D1351"/>
  <c r="U1351"/>
  <c r="F1351" s="1"/>
  <c r="U1360"/>
  <c r="F1360" s="1"/>
  <c r="D1360"/>
  <c r="D1365"/>
  <c r="U1365"/>
  <c r="F1365" s="1"/>
  <c r="U1427"/>
  <c r="F1427" s="1"/>
  <c r="D1427"/>
  <c r="D1484"/>
  <c r="U1484"/>
  <c r="F1484" s="1"/>
  <c r="U37"/>
  <c r="F37" s="1"/>
  <c r="U45"/>
  <c r="F45" s="1"/>
  <c r="U49"/>
  <c r="F49" s="1"/>
  <c r="U67"/>
  <c r="F67" s="1"/>
  <c r="U85"/>
  <c r="F85" s="1"/>
  <c r="U97"/>
  <c r="F97" s="1"/>
  <c r="U109"/>
  <c r="F109" s="1"/>
  <c r="U117"/>
  <c r="F117" s="1"/>
  <c r="U141"/>
  <c r="F141" s="1"/>
  <c r="U145"/>
  <c r="F145" s="1"/>
  <c r="U151"/>
  <c r="F151" s="1"/>
  <c r="U155"/>
  <c r="F155" s="1"/>
  <c r="U159"/>
  <c r="F159" s="1"/>
  <c r="P16" i="2" s="1"/>
  <c r="U163" i="18"/>
  <c r="F163" s="1"/>
  <c r="U167"/>
  <c r="F167" s="1"/>
  <c r="U171"/>
  <c r="F171" s="1"/>
  <c r="U175"/>
  <c r="F175" s="1"/>
  <c r="U179"/>
  <c r="F179" s="1"/>
  <c r="U183"/>
  <c r="F183" s="1"/>
  <c r="U187"/>
  <c r="F187" s="1"/>
  <c r="U191"/>
  <c r="F191" s="1"/>
  <c r="U195"/>
  <c r="F195" s="1"/>
  <c r="U197"/>
  <c r="F197" s="1"/>
  <c r="U203"/>
  <c r="F203" s="1"/>
  <c r="U205"/>
  <c r="F205" s="1"/>
  <c r="U209"/>
  <c r="F209" s="1"/>
  <c r="U213"/>
  <c r="F213" s="1"/>
  <c r="U217"/>
  <c r="F217" s="1"/>
  <c r="U219"/>
  <c r="F219" s="1"/>
  <c r="U221"/>
  <c r="F221" s="1"/>
  <c r="U225"/>
  <c r="F225" s="1"/>
  <c r="D230"/>
  <c r="D238"/>
  <c r="D242"/>
  <c r="O12" i="23" s="1"/>
  <c r="D248" i="18"/>
  <c r="D254"/>
  <c r="D274"/>
  <c r="D280"/>
  <c r="D286"/>
  <c r="D306"/>
  <c r="D312"/>
  <c r="D326"/>
  <c r="D332"/>
  <c r="D338"/>
  <c r="D356"/>
  <c r="D372"/>
  <c r="D388"/>
  <c r="D711"/>
  <c r="D739"/>
  <c r="D755"/>
  <c r="D771"/>
  <c r="D787"/>
  <c r="D803"/>
  <c r="D819"/>
  <c r="D835"/>
  <c r="D851"/>
  <c r="D867"/>
  <c r="T112" i="24" s="1"/>
  <c r="D908" i="18"/>
  <c r="U952"/>
  <c r="F952" s="1"/>
  <c r="D952"/>
  <c r="U966"/>
  <c r="F966" s="1"/>
  <c r="D976"/>
  <c r="U980"/>
  <c r="F980" s="1"/>
  <c r="D980"/>
  <c r="D990"/>
  <c r="U990"/>
  <c r="F990" s="1"/>
  <c r="D1007"/>
  <c r="U1013"/>
  <c r="F1013" s="1"/>
  <c r="P8" i="2" s="1"/>
  <c r="D1013" i="18"/>
  <c r="N8" i="2" s="1"/>
  <c r="U1045" i="18"/>
  <c r="F1045" s="1"/>
  <c r="D1045"/>
  <c r="U1145"/>
  <c r="F1145" s="1"/>
  <c r="D1145"/>
  <c r="U1203"/>
  <c r="F1203" s="1"/>
  <c r="D1203"/>
  <c r="D1229"/>
  <c r="U1229"/>
  <c r="F1229" s="1"/>
  <c r="U1273"/>
  <c r="F1273" s="1"/>
  <c r="D1273"/>
  <c r="U1318"/>
  <c r="F1318" s="1"/>
  <c r="D1318"/>
  <c r="U1321"/>
  <c r="F1321" s="1"/>
  <c r="D1321"/>
  <c r="U1331"/>
  <c r="F1331" s="1"/>
  <c r="D1331"/>
  <c r="U1340"/>
  <c r="F1340" s="1"/>
  <c r="D1340"/>
  <c r="U1350"/>
  <c r="F1350" s="1"/>
  <c r="D1350"/>
  <c r="U1362"/>
  <c r="F1362" s="1"/>
  <c r="U1364"/>
  <c r="F1364" s="1"/>
  <c r="D1364"/>
  <c r="U1371"/>
  <c r="F1371" s="1"/>
  <c r="D1371"/>
  <c r="U1424"/>
  <c r="F1424" s="1"/>
  <c r="D1438"/>
  <c r="U1438"/>
  <c r="F1438" s="1"/>
  <c r="D1541"/>
  <c r="U1541"/>
  <c r="F1541" s="1"/>
  <c r="U1548"/>
  <c r="F1548" s="1"/>
  <c r="D1548"/>
  <c r="U23"/>
  <c r="F23" s="1"/>
  <c r="U27"/>
  <c r="F27" s="1"/>
  <c r="U35"/>
  <c r="F35" s="1"/>
  <c r="U43"/>
  <c r="F43" s="1"/>
  <c r="U47"/>
  <c r="F47" s="1"/>
  <c r="U51"/>
  <c r="F51" s="1"/>
  <c r="U63"/>
  <c r="F63" s="1"/>
  <c r="U81"/>
  <c r="F81" s="1"/>
  <c r="U93"/>
  <c r="F93" s="1"/>
  <c r="U101"/>
  <c r="F101" s="1"/>
  <c r="U121"/>
  <c r="F121" s="1"/>
  <c r="U125"/>
  <c r="F125" s="1"/>
  <c r="U129"/>
  <c r="F129" s="1"/>
  <c r="U135"/>
  <c r="F135" s="1"/>
  <c r="D183"/>
  <c r="O7" i="23" s="1"/>
  <c r="D187" i="18"/>
  <c r="O8" i="23" s="1"/>
  <c r="D228" i="18"/>
  <c r="D236"/>
  <c r="D266"/>
  <c r="D272"/>
  <c r="D278"/>
  <c r="D298"/>
  <c r="D304"/>
  <c r="D310"/>
  <c r="D318"/>
  <c r="D324"/>
  <c r="D330"/>
  <c r="D354"/>
  <c r="D370"/>
  <c r="T212" i="24" s="1"/>
  <c r="D386" i="18"/>
  <c r="D715"/>
  <c r="D727"/>
  <c r="D743"/>
  <c r="D759"/>
  <c r="D775"/>
  <c r="D791"/>
  <c r="T130" i="24" s="1"/>
  <c r="D807" i="18"/>
  <c r="D823"/>
  <c r="D839"/>
  <c r="T120" i="24" s="1"/>
  <c r="D855" i="18"/>
  <c r="T116" i="24" s="1"/>
  <c r="D871" i="18"/>
  <c r="D883"/>
  <c r="D889"/>
  <c r="D899"/>
  <c r="D900"/>
  <c r="D922"/>
  <c r="U922"/>
  <c r="F922" s="1"/>
  <c r="D940"/>
  <c r="D968"/>
  <c r="D1039"/>
  <c r="U1039"/>
  <c r="F1039" s="1"/>
  <c r="U1099"/>
  <c r="F1099" s="1"/>
  <c r="D1099"/>
  <c r="U1123"/>
  <c r="F1123" s="1"/>
  <c r="D1123"/>
  <c r="U1171"/>
  <c r="F1171" s="1"/>
  <c r="D1171"/>
  <c r="D1197"/>
  <c r="U1197"/>
  <c r="F1197" s="1"/>
  <c r="U1241"/>
  <c r="F1241" s="1"/>
  <c r="D1241"/>
  <c r="D1285"/>
  <c r="U1285"/>
  <c r="F1285" s="1"/>
  <c r="D1317"/>
  <c r="U1317"/>
  <c r="F1317" s="1"/>
  <c r="U1336"/>
  <c r="F1336" s="1"/>
  <c r="D1336"/>
  <c r="U1339"/>
  <c r="F1339" s="1"/>
  <c r="D1339"/>
  <c r="D1349"/>
  <c r="U1349"/>
  <c r="F1349" s="1"/>
  <c r="U1394"/>
  <c r="F1394" s="1"/>
  <c r="D1394"/>
  <c r="T26" i="24" s="1"/>
  <c r="U1398" i="18"/>
  <c r="F1398" s="1"/>
  <c r="D1398"/>
  <c r="U1402"/>
  <c r="F1402" s="1"/>
  <c r="D1402"/>
  <c r="D1511"/>
  <c r="U1511"/>
  <c r="F1511" s="1"/>
  <c r="U1328"/>
  <c r="F1328" s="1"/>
  <c r="D1328"/>
  <c r="U1332"/>
  <c r="F1332" s="1"/>
  <c r="D1332"/>
  <c r="U1346"/>
  <c r="F1346" s="1"/>
  <c r="D1346"/>
  <c r="U1354"/>
  <c r="F1354" s="1"/>
  <c r="D1354"/>
  <c r="U1368"/>
  <c r="F1368" s="1"/>
  <c r="D1368"/>
  <c r="U1372"/>
  <c r="F1372" s="1"/>
  <c r="D1372"/>
  <c r="D1373"/>
  <c r="T29" i="24" s="1"/>
  <c r="U1373" i="18"/>
  <c r="F1373" s="1"/>
  <c r="D1374"/>
  <c r="D1376"/>
  <c r="T28" i="24" s="1"/>
  <c r="D1379" i="18"/>
  <c r="D1380"/>
  <c r="U1390"/>
  <c r="F1390" s="1"/>
  <c r="D1390"/>
  <c r="U1440"/>
  <c r="F1440" s="1"/>
  <c r="D1440"/>
  <c r="U1486"/>
  <c r="F1486" s="1"/>
  <c r="D1486"/>
  <c r="U1512"/>
  <c r="F1512" s="1"/>
  <c r="D1512"/>
  <c r="U942"/>
  <c r="F942" s="1"/>
  <c r="U970"/>
  <c r="F970" s="1"/>
  <c r="U1003"/>
  <c r="F1003" s="1"/>
  <c r="U1085"/>
  <c r="F1085" s="1"/>
  <c r="U1149"/>
  <c r="F1149" s="1"/>
  <c r="U1181"/>
  <c r="F1181" s="1"/>
  <c r="U1213"/>
  <c r="F1213" s="1"/>
  <c r="U1245"/>
  <c r="F1245" s="1"/>
  <c r="U1277"/>
  <c r="F1277" s="1"/>
  <c r="U1293"/>
  <c r="F1293" s="1"/>
  <c r="U1307"/>
  <c r="F1307" s="1"/>
  <c r="U1313"/>
  <c r="F1313" s="1"/>
  <c r="U1410"/>
  <c r="F1410" s="1"/>
  <c r="D1413"/>
  <c r="U1413"/>
  <c r="F1413" s="1"/>
  <c r="U1418"/>
  <c r="F1418" s="1"/>
  <c r="U1448"/>
  <c r="F1448" s="1"/>
  <c r="D1448"/>
  <c r="O43" i="23" s="1"/>
  <c r="U1452" i="18"/>
  <c r="F1452" s="1"/>
  <c r="D1452"/>
  <c r="U1483"/>
  <c r="F1483" s="1"/>
  <c r="D1483"/>
  <c r="U1508"/>
  <c r="F1508" s="1"/>
  <c r="D1508"/>
  <c r="U1522"/>
  <c r="F1522" s="1"/>
  <c r="D1522"/>
  <c r="D1546"/>
  <c r="O34" i="23" s="1"/>
  <c r="U1033" i="18"/>
  <c r="F1033" s="1"/>
  <c r="U1101"/>
  <c r="F1101" s="1"/>
  <c r="U1173"/>
  <c r="F1173" s="1"/>
  <c r="U1205"/>
  <c r="F1205" s="1"/>
  <c r="U1237"/>
  <c r="F1237" s="1"/>
  <c r="U1269"/>
  <c r="F1269" s="1"/>
  <c r="U1305"/>
  <c r="F1305" s="1"/>
  <c r="U1406"/>
  <c r="F1406" s="1"/>
  <c r="D1406"/>
  <c r="D1409"/>
  <c r="U1441"/>
  <c r="F1441" s="1"/>
  <c r="D1441"/>
  <c r="U1451"/>
  <c r="F1451" s="1"/>
  <c r="D1451"/>
  <c r="U1502"/>
  <c r="F1502" s="1"/>
  <c r="U1504"/>
  <c r="F1504" s="1"/>
  <c r="D1504"/>
  <c r="U1516"/>
  <c r="F1516" s="1"/>
  <c r="D1516"/>
  <c r="U1545"/>
  <c r="F1545" s="1"/>
  <c r="D1545"/>
  <c r="D1408"/>
  <c r="D1411"/>
  <c r="D1412"/>
  <c r="D1416"/>
  <c r="D1419"/>
  <c r="D1420"/>
  <c r="T24" i="24" s="1"/>
  <c r="D1425" i="18"/>
  <c r="D1426"/>
  <c r="U1428"/>
  <c r="F1428" s="1"/>
  <c r="D1428"/>
  <c r="T21" i="24" s="1"/>
  <c r="D1429" i="18"/>
  <c r="U1429"/>
  <c r="F1429" s="1"/>
  <c r="D1430"/>
  <c r="U1431"/>
  <c r="F1431" s="1"/>
  <c r="D1431"/>
  <c r="D1433"/>
  <c r="D1434"/>
  <c r="U1435"/>
  <c r="F1435" s="1"/>
  <c r="D1435"/>
  <c r="D1457"/>
  <c r="D1458"/>
  <c r="O29" i="23" s="1"/>
  <c r="U1458" i="18"/>
  <c r="F1458" s="1"/>
  <c r="D1497"/>
  <c r="D1498"/>
  <c r="U1444"/>
  <c r="F1444" s="1"/>
  <c r="D1444"/>
  <c r="T20" i="24" s="1"/>
  <c r="D1445" i="18"/>
  <c r="U1445"/>
  <c r="F1445" s="1"/>
  <c r="U1454"/>
  <c r="F1454" s="1"/>
  <c r="D1454"/>
  <c r="U1464"/>
  <c r="F1464" s="1"/>
  <c r="D1464"/>
  <c r="U1468"/>
  <c r="F1468" s="1"/>
  <c r="D1468"/>
  <c r="U1480"/>
  <c r="F1480" s="1"/>
  <c r="U1490"/>
  <c r="F1490" s="1"/>
  <c r="D1501"/>
  <c r="U1501"/>
  <c r="F1501" s="1"/>
  <c r="U1507"/>
  <c r="F1507" s="1"/>
  <c r="D1507"/>
  <c r="U1515"/>
  <c r="F1515" s="1"/>
  <c r="D1515"/>
  <c r="T6" i="24" s="1"/>
  <c r="U1521" i="18"/>
  <c r="F1521" s="1"/>
  <c r="D1521"/>
  <c r="U1526"/>
  <c r="F1526" s="1"/>
  <c r="D1526"/>
  <c r="U1530"/>
  <c r="F1530" s="1"/>
  <c r="D1530"/>
  <c r="U1538"/>
  <c r="F1538" s="1"/>
  <c r="D1538"/>
  <c r="U1552"/>
  <c r="F1552" s="1"/>
  <c r="D1552"/>
  <c r="U1556"/>
  <c r="F1556" s="1"/>
  <c r="U1432"/>
  <c r="F1432" s="1"/>
  <c r="D1432"/>
  <c r="U1436"/>
  <c r="F1436" s="1"/>
  <c r="D1436"/>
  <c r="D1437"/>
  <c r="U1437"/>
  <c r="F1437" s="1"/>
  <c r="U1439"/>
  <c r="F1439" s="1"/>
  <c r="D1439"/>
  <c r="D1443"/>
  <c r="U1463"/>
  <c r="F1463" s="1"/>
  <c r="D1463"/>
  <c r="U1467"/>
  <c r="F1467" s="1"/>
  <c r="D1467"/>
  <c r="D1479"/>
  <c r="U1479"/>
  <c r="F1479" s="1"/>
  <c r="D1489"/>
  <c r="U1529"/>
  <c r="F1529" s="1"/>
  <c r="D1529"/>
  <c r="U1534"/>
  <c r="F1534" s="1"/>
  <c r="D1534"/>
  <c r="D1537"/>
  <c r="O32" i="23" s="1"/>
  <c r="D1540" i="18"/>
  <c r="T3" i="24" s="1"/>
  <c r="D1544" i="18"/>
  <c r="D1558"/>
  <c r="U1469"/>
  <c r="F1469" s="1"/>
  <c r="U1509"/>
  <c r="F1509" s="1"/>
  <c r="U1535"/>
  <c r="F1535" s="1"/>
  <c r="U244"/>
  <c r="F244" s="1"/>
  <c r="U252"/>
  <c r="F252" s="1"/>
  <c r="U267"/>
  <c r="F267" s="1"/>
  <c r="D267"/>
  <c r="U275"/>
  <c r="F275" s="1"/>
  <c r="D275"/>
  <c r="U291"/>
  <c r="F291" s="1"/>
  <c r="D291"/>
  <c r="U300"/>
  <c r="F300" s="1"/>
  <c r="U317"/>
  <c r="F317" s="1"/>
  <c r="D317"/>
  <c r="U325"/>
  <c r="F325" s="1"/>
  <c r="D325"/>
  <c r="U327"/>
  <c r="F327" s="1"/>
  <c r="D327"/>
  <c r="U350"/>
  <c r="F350" s="1"/>
  <c r="P14" i="2" s="1"/>
  <c r="D2" i="18"/>
  <c r="D4"/>
  <c r="D6"/>
  <c r="D8"/>
  <c r="D10"/>
  <c r="D12"/>
  <c r="D14"/>
  <c r="D16"/>
  <c r="D18"/>
  <c r="D20"/>
  <c r="D22"/>
  <c r="D24"/>
  <c r="D26"/>
  <c r="D28"/>
  <c r="D30"/>
  <c r="D32"/>
  <c r="D34"/>
  <c r="D36"/>
  <c r="D38"/>
  <c r="D40"/>
  <c r="D42"/>
  <c r="D44"/>
  <c r="D46"/>
  <c r="O2" i="23" s="1"/>
  <c r="U46" i="18"/>
  <c r="F46" s="1"/>
  <c r="D48"/>
  <c r="D50"/>
  <c r="D52"/>
  <c r="D54"/>
  <c r="D56"/>
  <c r="D58"/>
  <c r="D60"/>
  <c r="D62"/>
  <c r="U62"/>
  <c r="F62" s="1"/>
  <c r="D64"/>
  <c r="D66"/>
  <c r="D68"/>
  <c r="D70"/>
  <c r="D72"/>
  <c r="D74"/>
  <c r="D76"/>
  <c r="T251" i="24" s="1"/>
  <c r="D78" i="18"/>
  <c r="D80"/>
  <c r="D82"/>
  <c r="D84"/>
  <c r="D86"/>
  <c r="D88"/>
  <c r="D90"/>
  <c r="D92"/>
  <c r="D94"/>
  <c r="D96"/>
  <c r="D98"/>
  <c r="D100"/>
  <c r="D102"/>
  <c r="D104"/>
  <c r="D106"/>
  <c r="O3" i="23" s="1"/>
  <c r="U106" i="18"/>
  <c r="F106" s="1"/>
  <c r="D108"/>
  <c r="D110"/>
  <c r="N17" i="2" s="1"/>
  <c r="D112" i="18"/>
  <c r="D114"/>
  <c r="D116"/>
  <c r="D118"/>
  <c r="D120"/>
  <c r="D122"/>
  <c r="D124"/>
  <c r="D126"/>
  <c r="T246" i="24" s="1"/>
  <c r="D128" i="18"/>
  <c r="D130"/>
  <c r="D132"/>
  <c r="D134"/>
  <c r="D136"/>
  <c r="D138"/>
  <c r="D140"/>
  <c r="T245" i="24" s="1"/>
  <c r="D142" i="18"/>
  <c r="T244" i="24" s="1"/>
  <c r="D144" i="18"/>
  <c r="D146"/>
  <c r="T242" i="24" s="1"/>
  <c r="D148" i="18"/>
  <c r="T241" i="24" s="1"/>
  <c r="D150" i="18"/>
  <c r="D152"/>
  <c r="D154"/>
  <c r="T237" i="24" s="1"/>
  <c r="D156" i="18"/>
  <c r="D158"/>
  <c r="D160"/>
  <c r="D162"/>
  <c r="D164"/>
  <c r="D166"/>
  <c r="N10" i="2" s="1"/>
  <c r="D168" i="18"/>
  <c r="D170"/>
  <c r="D172"/>
  <c r="O4" i="23" s="1"/>
  <c r="U172" i="18"/>
  <c r="F172" s="1"/>
  <c r="D174"/>
  <c r="T236" i="24" s="1"/>
  <c r="D176" i="18"/>
  <c r="O5" i="23" s="1"/>
  <c r="U176" i="18"/>
  <c r="F176" s="1"/>
  <c r="D178"/>
  <c r="O6" i="23" s="1"/>
  <c r="U178" i="18"/>
  <c r="F178" s="1"/>
  <c r="D180"/>
  <c r="D182"/>
  <c r="D184"/>
  <c r="D186"/>
  <c r="D188"/>
  <c r="D190"/>
  <c r="D192"/>
  <c r="D194"/>
  <c r="D196"/>
  <c r="T230" i="24" s="1"/>
  <c r="D198" i="18"/>
  <c r="D200"/>
  <c r="D202"/>
  <c r="D204"/>
  <c r="D206"/>
  <c r="D208"/>
  <c r="D210"/>
  <c r="D212"/>
  <c r="D214"/>
  <c r="D216"/>
  <c r="D218"/>
  <c r="D220"/>
  <c r="N6" i="2" s="1"/>
  <c r="U220" i="18"/>
  <c r="F220" s="1"/>
  <c r="P6" i="2" s="1"/>
  <c r="D222" i="18"/>
  <c r="D224"/>
  <c r="U247"/>
  <c r="F247" s="1"/>
  <c r="D247"/>
  <c r="U255"/>
  <c r="F255" s="1"/>
  <c r="D255"/>
  <c r="U263"/>
  <c r="F263" s="1"/>
  <c r="D263"/>
  <c r="U271"/>
  <c r="F271" s="1"/>
  <c r="D271"/>
  <c r="U279"/>
  <c r="F279" s="1"/>
  <c r="D279"/>
  <c r="U287"/>
  <c r="F287" s="1"/>
  <c r="D287"/>
  <c r="T220" i="24" s="1"/>
  <c r="U295" i="18"/>
  <c r="F295" s="1"/>
  <c r="D295"/>
  <c r="U303"/>
  <c r="F303" s="1"/>
  <c r="D303"/>
  <c r="U311"/>
  <c r="F311" s="1"/>
  <c r="D311"/>
  <c r="U328"/>
  <c r="F328" s="1"/>
  <c r="U334"/>
  <c r="F334" s="1"/>
  <c r="U341"/>
  <c r="F341" s="1"/>
  <c r="D341"/>
  <c r="D342"/>
  <c r="U343"/>
  <c r="F343" s="1"/>
  <c r="D343"/>
  <c r="U243"/>
  <c r="F243" s="1"/>
  <c r="D243"/>
  <c r="U251"/>
  <c r="F251" s="1"/>
  <c r="D251"/>
  <c r="U259"/>
  <c r="F259" s="1"/>
  <c r="D259"/>
  <c r="U283"/>
  <c r="F283" s="1"/>
  <c r="D283"/>
  <c r="U284"/>
  <c r="F284" s="1"/>
  <c r="U299"/>
  <c r="F299" s="1"/>
  <c r="D299"/>
  <c r="U323"/>
  <c r="F323" s="1"/>
  <c r="D323"/>
  <c r="U241"/>
  <c r="F241" s="1"/>
  <c r="D241"/>
  <c r="O11" i="23" s="1"/>
  <c r="U242" i="18"/>
  <c r="F242" s="1"/>
  <c r="U249"/>
  <c r="F249" s="1"/>
  <c r="D249"/>
  <c r="U257"/>
  <c r="F257" s="1"/>
  <c r="D257"/>
  <c r="U265"/>
  <c r="F265" s="1"/>
  <c r="D265"/>
  <c r="U273"/>
  <c r="F273" s="1"/>
  <c r="D273"/>
  <c r="U281"/>
  <c r="F281" s="1"/>
  <c r="D281"/>
  <c r="U282"/>
  <c r="F282" s="1"/>
  <c r="U289"/>
  <c r="F289" s="1"/>
  <c r="D289"/>
  <c r="U297"/>
  <c r="F297" s="1"/>
  <c r="D297"/>
  <c r="U305"/>
  <c r="F305" s="1"/>
  <c r="D305"/>
  <c r="U313"/>
  <c r="F313" s="1"/>
  <c r="D313"/>
  <c r="U315"/>
  <c r="F315" s="1"/>
  <c r="D315"/>
  <c r="U320"/>
  <c r="F320" s="1"/>
  <c r="U333"/>
  <c r="F333" s="1"/>
  <c r="D333"/>
  <c r="U335"/>
  <c r="F335" s="1"/>
  <c r="D335"/>
  <c r="U260"/>
  <c r="F260" s="1"/>
  <c r="U268"/>
  <c r="F268" s="1"/>
  <c r="U276"/>
  <c r="F276" s="1"/>
  <c r="U292"/>
  <c r="F292" s="1"/>
  <c r="U307"/>
  <c r="F307" s="1"/>
  <c r="D307"/>
  <c r="U308"/>
  <c r="F308" s="1"/>
  <c r="U319"/>
  <c r="F319" s="1"/>
  <c r="D319"/>
  <c r="U245"/>
  <c r="F245" s="1"/>
  <c r="D245"/>
  <c r="U253"/>
  <c r="F253" s="1"/>
  <c r="D253"/>
  <c r="U261"/>
  <c r="F261" s="1"/>
  <c r="D261"/>
  <c r="U269"/>
  <c r="F269" s="1"/>
  <c r="D269"/>
  <c r="U277"/>
  <c r="F277" s="1"/>
  <c r="D277"/>
  <c r="T224" i="24" s="1"/>
  <c r="U285" i="18"/>
  <c r="F285" s="1"/>
  <c r="D285"/>
  <c r="U293"/>
  <c r="F293" s="1"/>
  <c r="D293"/>
  <c r="U301"/>
  <c r="F301" s="1"/>
  <c r="D301"/>
  <c r="U309"/>
  <c r="F309" s="1"/>
  <c r="D309"/>
  <c r="U349"/>
  <c r="F349" s="1"/>
  <c r="D349"/>
  <c r="D350"/>
  <c r="N14" i="2" s="1"/>
  <c r="U351" i="18"/>
  <c r="F351" s="1"/>
  <c r="D351"/>
  <c r="U352"/>
  <c r="F352" s="1"/>
  <c r="D358"/>
  <c r="U359"/>
  <c r="F359" s="1"/>
  <c r="D359"/>
  <c r="T214" i="24" s="1"/>
  <c r="U360" i="18"/>
  <c r="F360" s="1"/>
  <c r="D366"/>
  <c r="U367"/>
  <c r="F367" s="1"/>
  <c r="D367"/>
  <c r="U368"/>
  <c r="F368" s="1"/>
  <c r="D374"/>
  <c r="U375"/>
  <c r="F375" s="1"/>
  <c r="D375"/>
  <c r="U376"/>
  <c r="F376" s="1"/>
  <c r="D382"/>
  <c r="U383"/>
  <c r="F383" s="1"/>
  <c r="D383"/>
  <c r="U384"/>
  <c r="F384" s="1"/>
  <c r="U392"/>
  <c r="F392" s="1"/>
  <c r="D392"/>
  <c r="T207" i="24" s="1"/>
  <c r="U396" i="18"/>
  <c r="F396" s="1"/>
  <c r="D396"/>
  <c r="U400"/>
  <c r="F400" s="1"/>
  <c r="D400"/>
  <c r="T206" i="24" s="1"/>
  <c r="U404" i="18"/>
  <c r="F404" s="1"/>
  <c r="D404"/>
  <c r="U408"/>
  <c r="F408" s="1"/>
  <c r="D408"/>
  <c r="U412"/>
  <c r="F412" s="1"/>
  <c r="D412"/>
  <c r="U416"/>
  <c r="F416" s="1"/>
  <c r="D416"/>
  <c r="O16" i="23" s="1"/>
  <c r="U420" i="18"/>
  <c r="F420" s="1"/>
  <c r="D420"/>
  <c r="U424"/>
  <c r="F424" s="1"/>
  <c r="D424"/>
  <c r="U428"/>
  <c r="F428" s="1"/>
  <c r="D428"/>
  <c r="U432"/>
  <c r="F432" s="1"/>
  <c r="D432"/>
  <c r="U436"/>
  <c r="F436" s="1"/>
  <c r="D436"/>
  <c r="U440"/>
  <c r="F440" s="1"/>
  <c r="D440"/>
  <c r="U444"/>
  <c r="F444" s="1"/>
  <c r="D444"/>
  <c r="U448"/>
  <c r="F448" s="1"/>
  <c r="D448"/>
  <c r="U452"/>
  <c r="F452" s="1"/>
  <c r="D452"/>
  <c r="T194" i="24" s="1"/>
  <c r="U456" i="18"/>
  <c r="F456" s="1"/>
  <c r="D456"/>
  <c r="U460"/>
  <c r="F460" s="1"/>
  <c r="D460"/>
  <c r="U464"/>
  <c r="F464" s="1"/>
  <c r="D464"/>
  <c r="U468"/>
  <c r="F468" s="1"/>
  <c r="D468"/>
  <c r="U472"/>
  <c r="F472" s="1"/>
  <c r="D472"/>
  <c r="U476"/>
  <c r="F476" s="1"/>
  <c r="D476"/>
  <c r="U480"/>
  <c r="F480" s="1"/>
  <c r="D480"/>
  <c r="U484"/>
  <c r="F484" s="1"/>
  <c r="D484"/>
  <c r="U488"/>
  <c r="F488" s="1"/>
  <c r="D488"/>
  <c r="U492"/>
  <c r="F492" s="1"/>
  <c r="D492"/>
  <c r="T181" i="24" s="1"/>
  <c r="U496" i="18"/>
  <c r="F496" s="1"/>
  <c r="D496"/>
  <c r="U500"/>
  <c r="F500" s="1"/>
  <c r="D500"/>
  <c r="U504"/>
  <c r="F504" s="1"/>
  <c r="D504"/>
  <c r="T178" i="24" s="1"/>
  <c r="U508" i="18"/>
  <c r="F508" s="1"/>
  <c r="D508"/>
  <c r="T177" i="24" s="1"/>
  <c r="U512" i="18"/>
  <c r="F512" s="1"/>
  <c r="D512"/>
  <c r="U516"/>
  <c r="F516" s="1"/>
  <c r="D516"/>
  <c r="U520"/>
  <c r="F520" s="1"/>
  <c r="D520"/>
  <c r="U524"/>
  <c r="F524" s="1"/>
  <c r="D524"/>
  <c r="U528"/>
  <c r="F528" s="1"/>
  <c r="D528"/>
  <c r="U532"/>
  <c r="F532" s="1"/>
  <c r="D532"/>
  <c r="U536"/>
  <c r="F536" s="1"/>
  <c r="D536"/>
  <c r="U540"/>
  <c r="F540" s="1"/>
  <c r="D540"/>
  <c r="U544"/>
  <c r="F544" s="1"/>
  <c r="D544"/>
  <c r="U548"/>
  <c r="F548" s="1"/>
  <c r="D548"/>
  <c r="U552"/>
  <c r="F552" s="1"/>
  <c r="D552"/>
  <c r="U556"/>
  <c r="F556" s="1"/>
  <c r="D556"/>
  <c r="U560"/>
  <c r="F560" s="1"/>
  <c r="D560"/>
  <c r="O21" i="23" s="1"/>
  <c r="U564" i="18"/>
  <c r="F564" s="1"/>
  <c r="D564"/>
  <c r="U568"/>
  <c r="F568" s="1"/>
  <c r="P15" i="2" s="1"/>
  <c r="D568" i="18"/>
  <c r="N15" i="2" s="1"/>
  <c r="U572" i="18"/>
  <c r="F572" s="1"/>
  <c r="D572"/>
  <c r="U576"/>
  <c r="F576" s="1"/>
  <c r="D576"/>
  <c r="U580"/>
  <c r="F580" s="1"/>
  <c r="D580"/>
  <c r="U584"/>
  <c r="F584" s="1"/>
  <c r="D584"/>
  <c r="U588"/>
  <c r="F588" s="1"/>
  <c r="D588"/>
  <c r="U592"/>
  <c r="F592" s="1"/>
  <c r="D592"/>
  <c r="U596"/>
  <c r="F596" s="1"/>
  <c r="D596"/>
  <c r="U600"/>
  <c r="F600" s="1"/>
  <c r="D600"/>
  <c r="U604"/>
  <c r="F604" s="1"/>
  <c r="D604"/>
  <c r="U608"/>
  <c r="F608" s="1"/>
  <c r="D608"/>
  <c r="U612"/>
  <c r="F612" s="1"/>
  <c r="D612"/>
  <c r="U616"/>
  <c r="F616" s="1"/>
  <c r="D616"/>
  <c r="U620"/>
  <c r="F620" s="1"/>
  <c r="D620"/>
  <c r="U624"/>
  <c r="F624" s="1"/>
  <c r="D624"/>
  <c r="U628"/>
  <c r="F628" s="1"/>
  <c r="D628"/>
  <c r="U632"/>
  <c r="F632" s="1"/>
  <c r="D632"/>
  <c r="U636"/>
  <c r="F636" s="1"/>
  <c r="D636"/>
  <c r="U640"/>
  <c r="F640" s="1"/>
  <c r="D640"/>
  <c r="U644"/>
  <c r="F644" s="1"/>
  <c r="D644"/>
  <c r="U648"/>
  <c r="F648" s="1"/>
  <c r="D648"/>
  <c r="T153" i="24" s="1"/>
  <c r="U652" i="18"/>
  <c r="F652" s="1"/>
  <c r="D652"/>
  <c r="U656"/>
  <c r="F656" s="1"/>
  <c r="D656"/>
  <c r="U660"/>
  <c r="F660" s="1"/>
  <c r="D660"/>
  <c r="U664"/>
  <c r="F664" s="1"/>
  <c r="D664"/>
  <c r="U668"/>
  <c r="F668" s="1"/>
  <c r="D668"/>
  <c r="U672"/>
  <c r="F672" s="1"/>
  <c r="D672"/>
  <c r="U676"/>
  <c r="F676" s="1"/>
  <c r="D676"/>
  <c r="T147" i="24" s="1"/>
  <c r="U680" i="18"/>
  <c r="F680" s="1"/>
  <c r="D680"/>
  <c r="U684"/>
  <c r="F684" s="1"/>
  <c r="D684"/>
  <c r="U688"/>
  <c r="F688" s="1"/>
  <c r="D688"/>
  <c r="U692"/>
  <c r="F692" s="1"/>
  <c r="D692"/>
  <c r="U696"/>
  <c r="F696" s="1"/>
  <c r="P20" i="2" s="1"/>
  <c r="D696" i="18"/>
  <c r="N20" i="2" s="1"/>
  <c r="U700" i="18"/>
  <c r="F700" s="1"/>
  <c r="D700"/>
  <c r="U704"/>
  <c r="F704" s="1"/>
  <c r="D704"/>
  <c r="T142" i="24" s="1"/>
  <c r="U712" i="18"/>
  <c r="F712" s="1"/>
  <c r="D712"/>
  <c r="T141" i="24" s="1"/>
  <c r="U728" i="18"/>
  <c r="F728" s="1"/>
  <c r="D728"/>
  <c r="U740"/>
  <c r="F740" s="1"/>
  <c r="D740"/>
  <c r="U748"/>
  <c r="F748" s="1"/>
  <c r="D748"/>
  <c r="U756"/>
  <c r="F756" s="1"/>
  <c r="D756"/>
  <c r="U321"/>
  <c r="F321" s="1"/>
  <c r="D321"/>
  <c r="U329"/>
  <c r="F329" s="1"/>
  <c r="D329"/>
  <c r="U337"/>
  <c r="F337" s="1"/>
  <c r="D337"/>
  <c r="U345"/>
  <c r="F345" s="1"/>
  <c r="D345"/>
  <c r="U353"/>
  <c r="F353" s="1"/>
  <c r="D353"/>
  <c r="U361"/>
  <c r="F361" s="1"/>
  <c r="D361"/>
  <c r="U369"/>
  <c r="F369" s="1"/>
  <c r="D369"/>
  <c r="U377"/>
  <c r="F377" s="1"/>
  <c r="D377"/>
  <c r="U385"/>
  <c r="F385" s="1"/>
  <c r="D385"/>
  <c r="T210" i="24" s="1"/>
  <c r="U391" i="18"/>
  <c r="F391" s="1"/>
  <c r="D391"/>
  <c r="U395"/>
  <c r="F395" s="1"/>
  <c r="D395"/>
  <c r="U399"/>
  <c r="F399" s="1"/>
  <c r="D399"/>
  <c r="U403"/>
  <c r="F403" s="1"/>
  <c r="D403"/>
  <c r="U407"/>
  <c r="F407" s="1"/>
  <c r="D407"/>
  <c r="U411"/>
  <c r="F411" s="1"/>
  <c r="D411"/>
  <c r="U415"/>
  <c r="F415" s="1"/>
  <c r="D415"/>
  <c r="U419"/>
  <c r="F419" s="1"/>
  <c r="D419"/>
  <c r="O17" i="23" s="1"/>
  <c r="U423" i="18"/>
  <c r="F423" s="1"/>
  <c r="D423"/>
  <c r="U427"/>
  <c r="F427" s="1"/>
  <c r="D427"/>
  <c r="U431"/>
  <c r="F431" s="1"/>
  <c r="D431"/>
  <c r="U435"/>
  <c r="F435" s="1"/>
  <c r="D435"/>
  <c r="U439"/>
  <c r="F439" s="1"/>
  <c r="D439"/>
  <c r="U443"/>
  <c r="F443" s="1"/>
  <c r="D443"/>
  <c r="U447"/>
  <c r="F447" s="1"/>
  <c r="D447"/>
  <c r="T197" i="24" s="1"/>
  <c r="U451" i="18"/>
  <c r="F451" s="1"/>
  <c r="D451"/>
  <c r="U455"/>
  <c r="F455" s="1"/>
  <c r="D455"/>
  <c r="U459"/>
  <c r="F459" s="1"/>
  <c r="D459"/>
  <c r="U463"/>
  <c r="F463" s="1"/>
  <c r="D463"/>
  <c r="U467"/>
  <c r="F467" s="1"/>
  <c r="D467"/>
  <c r="U471"/>
  <c r="F471" s="1"/>
  <c r="D471"/>
  <c r="T189" i="24" s="1"/>
  <c r="U475" i="18"/>
  <c r="F475" s="1"/>
  <c r="D475"/>
  <c r="U479"/>
  <c r="F479" s="1"/>
  <c r="D479"/>
  <c r="U483"/>
  <c r="F483" s="1"/>
  <c r="D483"/>
  <c r="U487"/>
  <c r="F487" s="1"/>
  <c r="D487"/>
  <c r="U491"/>
  <c r="F491" s="1"/>
  <c r="D491"/>
  <c r="U495"/>
  <c r="F495" s="1"/>
  <c r="D495"/>
  <c r="U499"/>
  <c r="F499" s="1"/>
  <c r="D499"/>
  <c r="T180" i="24" s="1"/>
  <c r="U503" i="18"/>
  <c r="F503" s="1"/>
  <c r="D503"/>
  <c r="T179" i="24" s="1"/>
  <c r="U507" i="18"/>
  <c r="F507" s="1"/>
  <c r="D507"/>
  <c r="U511"/>
  <c r="F511" s="1"/>
  <c r="D511"/>
  <c r="U515"/>
  <c r="F515" s="1"/>
  <c r="D515"/>
  <c r="U519"/>
  <c r="F519" s="1"/>
  <c r="D519"/>
  <c r="U523"/>
  <c r="F523" s="1"/>
  <c r="D523"/>
  <c r="U527"/>
  <c r="F527" s="1"/>
  <c r="D527"/>
  <c r="U531"/>
  <c r="F531" s="1"/>
  <c r="D531"/>
  <c r="T172" i="24" s="1"/>
  <c r="U535" i="18"/>
  <c r="F535" s="1"/>
  <c r="D535"/>
  <c r="U539"/>
  <c r="F539" s="1"/>
  <c r="D539"/>
  <c r="U543"/>
  <c r="F543" s="1"/>
  <c r="D543"/>
  <c r="U547"/>
  <c r="F547" s="1"/>
  <c r="D547"/>
  <c r="U551"/>
  <c r="F551" s="1"/>
  <c r="D551"/>
  <c r="U555"/>
  <c r="F555" s="1"/>
  <c r="D555"/>
  <c r="T168" i="24" s="1"/>
  <c r="U559" i="18"/>
  <c r="F559" s="1"/>
  <c r="D559"/>
  <c r="U563"/>
  <c r="F563" s="1"/>
  <c r="D563"/>
  <c r="O22" i="23" s="1"/>
  <c r="U567" i="18"/>
  <c r="F567" s="1"/>
  <c r="D567"/>
  <c r="U571"/>
  <c r="F571" s="1"/>
  <c r="D571"/>
  <c r="T165" i="24" s="1"/>
  <c r="U575" i="18"/>
  <c r="F575" s="1"/>
  <c r="D575"/>
  <c r="U579"/>
  <c r="F579" s="1"/>
  <c r="D579"/>
  <c r="U583"/>
  <c r="F583" s="1"/>
  <c r="D583"/>
  <c r="U587"/>
  <c r="F587" s="1"/>
  <c r="D587"/>
  <c r="U591"/>
  <c r="F591" s="1"/>
  <c r="D591"/>
  <c r="U595"/>
  <c r="F595" s="1"/>
  <c r="D595"/>
  <c r="U599"/>
  <c r="F599" s="1"/>
  <c r="D599"/>
  <c r="U603"/>
  <c r="F603" s="1"/>
  <c r="D603"/>
  <c r="U607"/>
  <c r="F607" s="1"/>
  <c r="D607"/>
  <c r="U611"/>
  <c r="F611" s="1"/>
  <c r="D611"/>
  <c r="U615"/>
  <c r="F615" s="1"/>
  <c r="D615"/>
  <c r="U619"/>
  <c r="F619" s="1"/>
  <c r="D619"/>
  <c r="U623"/>
  <c r="F623" s="1"/>
  <c r="D623"/>
  <c r="U627"/>
  <c r="F627" s="1"/>
  <c r="D627"/>
  <c r="U631"/>
  <c r="F631" s="1"/>
  <c r="D631"/>
  <c r="U635"/>
  <c r="F635" s="1"/>
  <c r="D635"/>
  <c r="U639"/>
  <c r="F639" s="1"/>
  <c r="P4" i="2" s="1"/>
  <c r="D639" i="18"/>
  <c r="N4" i="2" s="1"/>
  <c r="U643" i="18"/>
  <c r="F643" s="1"/>
  <c r="D643"/>
  <c r="U647"/>
  <c r="F647" s="1"/>
  <c r="D647"/>
  <c r="U651"/>
  <c r="F651" s="1"/>
  <c r="D651"/>
  <c r="U655"/>
  <c r="F655" s="1"/>
  <c r="D655"/>
  <c r="U659"/>
  <c r="F659" s="1"/>
  <c r="D659"/>
  <c r="U663"/>
  <c r="F663" s="1"/>
  <c r="D663"/>
  <c r="U667"/>
  <c r="F667" s="1"/>
  <c r="D667"/>
  <c r="U671"/>
  <c r="F671" s="1"/>
  <c r="D671"/>
  <c r="U675"/>
  <c r="F675" s="1"/>
  <c r="D675"/>
  <c r="U679"/>
  <c r="F679" s="1"/>
  <c r="D679"/>
  <c r="U683"/>
  <c r="F683" s="1"/>
  <c r="D683"/>
  <c r="U687"/>
  <c r="F687" s="1"/>
  <c r="D687"/>
  <c r="U691"/>
  <c r="F691" s="1"/>
  <c r="D691"/>
  <c r="T143" i="24" s="1"/>
  <c r="U695" i="18"/>
  <c r="F695" s="1"/>
  <c r="D695"/>
  <c r="U699"/>
  <c r="F699" s="1"/>
  <c r="D699"/>
  <c r="U703"/>
  <c r="F703" s="1"/>
  <c r="D703"/>
  <c r="U708"/>
  <c r="F708" s="1"/>
  <c r="D708"/>
  <c r="U721"/>
  <c r="F721" s="1"/>
  <c r="U724"/>
  <c r="F724" s="1"/>
  <c r="D724"/>
  <c r="U331"/>
  <c r="F331" s="1"/>
  <c r="D331"/>
  <c r="U339"/>
  <c r="F339" s="1"/>
  <c r="D339"/>
  <c r="U347"/>
  <c r="F347" s="1"/>
  <c r="D347"/>
  <c r="U355"/>
  <c r="F355" s="1"/>
  <c r="D355"/>
  <c r="U363"/>
  <c r="F363" s="1"/>
  <c r="D363"/>
  <c r="U371"/>
  <c r="F371" s="1"/>
  <c r="D371"/>
  <c r="U379"/>
  <c r="F379" s="1"/>
  <c r="D379"/>
  <c r="U387"/>
  <c r="F387" s="1"/>
  <c r="D387"/>
  <c r="T209" i="24" s="1"/>
  <c r="U390" i="18"/>
  <c r="F390" s="1"/>
  <c r="D390"/>
  <c r="O15" i="23" s="1"/>
  <c r="U394" i="18"/>
  <c r="F394" s="1"/>
  <c r="D394"/>
  <c r="U398"/>
  <c r="F398" s="1"/>
  <c r="D398"/>
  <c r="U402"/>
  <c r="F402" s="1"/>
  <c r="D402"/>
  <c r="U406"/>
  <c r="F406" s="1"/>
  <c r="D406"/>
  <c r="U410"/>
  <c r="F410" s="1"/>
  <c r="D410"/>
  <c r="U414"/>
  <c r="F414" s="1"/>
  <c r="D414"/>
  <c r="U418"/>
  <c r="F418" s="1"/>
  <c r="D418"/>
  <c r="T201" i="24" s="1"/>
  <c r="U422" i="18"/>
  <c r="F422" s="1"/>
  <c r="D422"/>
  <c r="U426"/>
  <c r="F426" s="1"/>
  <c r="D426"/>
  <c r="U430"/>
  <c r="F430" s="1"/>
  <c r="D430"/>
  <c r="U434"/>
  <c r="F434" s="1"/>
  <c r="D434"/>
  <c r="U438"/>
  <c r="F438" s="1"/>
  <c r="D438"/>
  <c r="U442"/>
  <c r="F442" s="1"/>
  <c r="D442"/>
  <c r="U446"/>
  <c r="F446" s="1"/>
  <c r="D446"/>
  <c r="U450"/>
  <c r="F450" s="1"/>
  <c r="D450"/>
  <c r="U454"/>
  <c r="F454" s="1"/>
  <c r="D454"/>
  <c r="U458"/>
  <c r="F458" s="1"/>
  <c r="D458"/>
  <c r="U462"/>
  <c r="F462" s="1"/>
  <c r="D462"/>
  <c r="T192" i="24" s="1"/>
  <c r="U466" i="18"/>
  <c r="F466" s="1"/>
  <c r="D466"/>
  <c r="U470"/>
  <c r="F470" s="1"/>
  <c r="D470"/>
  <c r="U474"/>
  <c r="F474" s="1"/>
  <c r="D474"/>
  <c r="U478"/>
  <c r="F478" s="1"/>
  <c r="D478"/>
  <c r="U482"/>
  <c r="F482" s="1"/>
  <c r="D482"/>
  <c r="O18" i="23" s="1"/>
  <c r="U486" i="18"/>
  <c r="F486" s="1"/>
  <c r="D486"/>
  <c r="U490"/>
  <c r="F490" s="1"/>
  <c r="D490"/>
  <c r="U494"/>
  <c r="F494" s="1"/>
  <c r="D494"/>
  <c r="U498"/>
  <c r="F498" s="1"/>
  <c r="D498"/>
  <c r="U502"/>
  <c r="F502" s="1"/>
  <c r="D502"/>
  <c r="U506"/>
  <c r="F506" s="1"/>
  <c r="D506"/>
  <c r="U510"/>
  <c r="F510" s="1"/>
  <c r="D510"/>
  <c r="U514"/>
  <c r="F514" s="1"/>
  <c r="D514"/>
  <c r="U518"/>
  <c r="F518" s="1"/>
  <c r="D518"/>
  <c r="U522"/>
  <c r="F522" s="1"/>
  <c r="D522"/>
  <c r="U526"/>
  <c r="F526" s="1"/>
  <c r="D526"/>
  <c r="O19" i="23" s="1"/>
  <c r="U530" i="18"/>
  <c r="F530" s="1"/>
  <c r="D530"/>
  <c r="U534"/>
  <c r="F534" s="1"/>
  <c r="D534"/>
  <c r="U538"/>
  <c r="F538" s="1"/>
  <c r="D538"/>
  <c r="U542"/>
  <c r="F542" s="1"/>
  <c r="D542"/>
  <c r="T169" i="24" s="1"/>
  <c r="U546" i="18"/>
  <c r="F546" s="1"/>
  <c r="D546"/>
  <c r="U550"/>
  <c r="F550" s="1"/>
  <c r="D550"/>
  <c r="U554"/>
  <c r="F554" s="1"/>
  <c r="D554"/>
  <c r="U558"/>
  <c r="F558" s="1"/>
  <c r="D558"/>
  <c r="U562"/>
  <c r="F562" s="1"/>
  <c r="D562"/>
  <c r="U566"/>
  <c r="F566" s="1"/>
  <c r="D566"/>
  <c r="T166" i="24" s="1"/>
  <c r="U570" i="18"/>
  <c r="F570" s="1"/>
  <c r="D570"/>
  <c r="U574"/>
  <c r="F574" s="1"/>
  <c r="D574"/>
  <c r="U578"/>
  <c r="F578" s="1"/>
  <c r="D578"/>
  <c r="U582"/>
  <c r="F582" s="1"/>
  <c r="D582"/>
  <c r="U586"/>
  <c r="F586" s="1"/>
  <c r="D586"/>
  <c r="U590"/>
  <c r="F590" s="1"/>
  <c r="D590"/>
  <c r="U594"/>
  <c r="F594" s="1"/>
  <c r="D594"/>
  <c r="U598"/>
  <c r="F598" s="1"/>
  <c r="D598"/>
  <c r="U602"/>
  <c r="F602" s="1"/>
  <c r="D602"/>
  <c r="T163" i="24" s="1"/>
  <c r="U606" i="18"/>
  <c r="F606" s="1"/>
  <c r="D606"/>
  <c r="U610"/>
  <c r="F610" s="1"/>
  <c r="D610"/>
  <c r="T160" i="24" s="1"/>
  <c r="U614" i="18"/>
  <c r="F614" s="1"/>
  <c r="D614"/>
  <c r="T159" i="24" s="1"/>
  <c r="U618" i="18"/>
  <c r="F618" s="1"/>
  <c r="D618"/>
  <c r="U622"/>
  <c r="F622" s="1"/>
  <c r="D622"/>
  <c r="U626"/>
  <c r="F626" s="1"/>
  <c r="D626"/>
  <c r="U630"/>
  <c r="F630" s="1"/>
  <c r="D630"/>
  <c r="T158" i="24" s="1"/>
  <c r="U634" i="18"/>
  <c r="F634" s="1"/>
  <c r="D634"/>
  <c r="U638"/>
  <c r="F638" s="1"/>
  <c r="D638"/>
  <c r="U642"/>
  <c r="F642" s="1"/>
  <c r="D642"/>
  <c r="U646"/>
  <c r="F646" s="1"/>
  <c r="D646"/>
  <c r="U650"/>
  <c r="F650" s="1"/>
  <c r="D650"/>
  <c r="U654"/>
  <c r="F654" s="1"/>
  <c r="D654"/>
  <c r="T151" i="24" s="1"/>
  <c r="U658" i="18"/>
  <c r="F658" s="1"/>
  <c r="D658"/>
  <c r="U662"/>
  <c r="F662" s="1"/>
  <c r="D662"/>
  <c r="U666"/>
  <c r="F666" s="1"/>
  <c r="D666"/>
  <c r="U670"/>
  <c r="F670" s="1"/>
  <c r="D670"/>
  <c r="U674"/>
  <c r="F674" s="1"/>
  <c r="D674"/>
  <c r="U678"/>
  <c r="F678" s="1"/>
  <c r="D678"/>
  <c r="T146" i="24" s="1"/>
  <c r="U682" i="18"/>
  <c r="F682" s="1"/>
  <c r="P18" i="2" s="1"/>
  <c r="D682" i="18"/>
  <c r="N18" i="2" s="1"/>
  <c r="U686" i="18"/>
  <c r="F686" s="1"/>
  <c r="D686"/>
  <c r="U690"/>
  <c r="F690" s="1"/>
  <c r="D690"/>
  <c r="U694"/>
  <c r="F694" s="1"/>
  <c r="D694"/>
  <c r="U698"/>
  <c r="F698" s="1"/>
  <c r="D698"/>
  <c r="U702"/>
  <c r="F702" s="1"/>
  <c r="D702"/>
  <c r="U706"/>
  <c r="F706" s="1"/>
  <c r="D706"/>
  <c r="U717"/>
  <c r="F717" s="1"/>
  <c r="U720"/>
  <c r="F720" s="1"/>
  <c r="D720"/>
  <c r="U733"/>
  <c r="F733" s="1"/>
  <c r="U736"/>
  <c r="F736" s="1"/>
  <c r="D736"/>
  <c r="U741"/>
  <c r="F741" s="1"/>
  <c r="U749"/>
  <c r="F749" s="1"/>
  <c r="U357"/>
  <c r="F357" s="1"/>
  <c r="D357"/>
  <c r="U365"/>
  <c r="F365" s="1"/>
  <c r="D365"/>
  <c r="O14" i="23" s="1"/>
  <c r="U373" i="18"/>
  <c r="F373" s="1"/>
  <c r="D373"/>
  <c r="U381"/>
  <c r="F381" s="1"/>
  <c r="D381"/>
  <c r="U389"/>
  <c r="F389" s="1"/>
  <c r="D389"/>
  <c r="U393"/>
  <c r="F393" s="1"/>
  <c r="D393"/>
  <c r="U397"/>
  <c r="F397" s="1"/>
  <c r="D397"/>
  <c r="U401"/>
  <c r="F401" s="1"/>
  <c r="D401"/>
  <c r="T205" i="24" s="1"/>
  <c r="U405" i="18"/>
  <c r="F405" s="1"/>
  <c r="D405"/>
  <c r="U409"/>
  <c r="F409" s="1"/>
  <c r="D409"/>
  <c r="U413"/>
  <c r="F413" s="1"/>
  <c r="D413"/>
  <c r="U417"/>
  <c r="F417" s="1"/>
  <c r="D417"/>
  <c r="U421"/>
  <c r="F421" s="1"/>
  <c r="D421"/>
  <c r="U425"/>
  <c r="F425" s="1"/>
  <c r="D425"/>
  <c r="T200" i="24" s="1"/>
  <c r="U429" i="18"/>
  <c r="F429" s="1"/>
  <c r="D429"/>
  <c r="U433"/>
  <c r="F433" s="1"/>
  <c r="D433"/>
  <c r="U437"/>
  <c r="F437" s="1"/>
  <c r="D437"/>
  <c r="U441"/>
  <c r="F441" s="1"/>
  <c r="D441"/>
  <c r="U445"/>
  <c r="F445" s="1"/>
  <c r="D445"/>
  <c r="U449"/>
  <c r="F449" s="1"/>
  <c r="D449"/>
  <c r="U453"/>
  <c r="F453" s="1"/>
  <c r="D453"/>
  <c r="T193" i="24" s="1"/>
  <c r="U457" i="18"/>
  <c r="F457" s="1"/>
  <c r="D457"/>
  <c r="U461"/>
  <c r="F461" s="1"/>
  <c r="D461"/>
  <c r="U465"/>
  <c r="F465" s="1"/>
  <c r="D465"/>
  <c r="U469"/>
  <c r="F469" s="1"/>
  <c r="D469"/>
  <c r="U473"/>
  <c r="F473" s="1"/>
  <c r="D473"/>
  <c r="U477"/>
  <c r="F477" s="1"/>
  <c r="D477"/>
  <c r="T186" i="24" s="1"/>
  <c r="U481" i="18"/>
  <c r="F481" s="1"/>
  <c r="D481"/>
  <c r="U485"/>
  <c r="F485" s="1"/>
  <c r="D485"/>
  <c r="U489"/>
  <c r="F489" s="1"/>
  <c r="D489"/>
  <c r="U493"/>
  <c r="F493" s="1"/>
  <c r="D493"/>
  <c r="U497"/>
  <c r="F497" s="1"/>
  <c r="D497"/>
  <c r="U501"/>
  <c r="F501" s="1"/>
  <c r="D501"/>
  <c r="U505"/>
  <c r="F505" s="1"/>
  <c r="D505"/>
  <c r="U509"/>
  <c r="F509" s="1"/>
  <c r="D509"/>
  <c r="U513"/>
  <c r="F513" s="1"/>
  <c r="D513"/>
  <c r="U517"/>
  <c r="F517" s="1"/>
  <c r="D517"/>
  <c r="U521"/>
  <c r="F521" s="1"/>
  <c r="D521"/>
  <c r="U525"/>
  <c r="F525" s="1"/>
  <c r="D525"/>
  <c r="U529"/>
  <c r="F529" s="1"/>
  <c r="D529"/>
  <c r="U533"/>
  <c r="F533" s="1"/>
  <c r="D533"/>
  <c r="U537"/>
  <c r="F537" s="1"/>
  <c r="D537"/>
  <c r="U541"/>
  <c r="F541" s="1"/>
  <c r="D541"/>
  <c r="U545"/>
  <c r="F545" s="1"/>
  <c r="D545"/>
  <c r="U549"/>
  <c r="F549" s="1"/>
  <c r="D549"/>
  <c r="O20" i="23" s="1"/>
  <c r="U553" i="18"/>
  <c r="F553" s="1"/>
  <c r="D553"/>
  <c r="U557"/>
  <c r="F557" s="1"/>
  <c r="D557"/>
  <c r="U561"/>
  <c r="F561" s="1"/>
  <c r="D561"/>
  <c r="U565"/>
  <c r="F565" s="1"/>
  <c r="D565"/>
  <c r="T167" i="24" s="1"/>
  <c r="U569" i="18"/>
  <c r="F569" s="1"/>
  <c r="D569"/>
  <c r="U573"/>
  <c r="F573" s="1"/>
  <c r="D573"/>
  <c r="U577"/>
  <c r="F577" s="1"/>
  <c r="D577"/>
  <c r="U581"/>
  <c r="F581" s="1"/>
  <c r="D581"/>
  <c r="U585"/>
  <c r="F585" s="1"/>
  <c r="D585"/>
  <c r="U589"/>
  <c r="F589" s="1"/>
  <c r="D589"/>
  <c r="T164" i="24" s="1"/>
  <c r="U593" i="18"/>
  <c r="F593" s="1"/>
  <c r="D593"/>
  <c r="U597"/>
  <c r="F597" s="1"/>
  <c r="D597"/>
  <c r="U601"/>
  <c r="F601" s="1"/>
  <c r="D601"/>
  <c r="U605"/>
  <c r="F605" s="1"/>
  <c r="D605"/>
  <c r="U609"/>
  <c r="F609" s="1"/>
  <c r="D609"/>
  <c r="U613"/>
  <c r="F613" s="1"/>
  <c r="D613"/>
  <c r="U617"/>
  <c r="F617" s="1"/>
  <c r="D617"/>
  <c r="U621"/>
  <c r="F621" s="1"/>
  <c r="D621"/>
  <c r="U625"/>
  <c r="F625" s="1"/>
  <c r="D625"/>
  <c r="U629"/>
  <c r="F629" s="1"/>
  <c r="D629"/>
  <c r="U633"/>
  <c r="F633" s="1"/>
  <c r="D633"/>
  <c r="U637"/>
  <c r="F637" s="1"/>
  <c r="D637"/>
  <c r="U641"/>
  <c r="F641" s="1"/>
  <c r="D641"/>
  <c r="U645"/>
  <c r="F645" s="1"/>
  <c r="D645"/>
  <c r="U649"/>
  <c r="F649" s="1"/>
  <c r="D649"/>
  <c r="U653"/>
  <c r="F653" s="1"/>
  <c r="D653"/>
  <c r="T152" i="24" s="1"/>
  <c r="U657" i="18"/>
  <c r="F657" s="1"/>
  <c r="D657"/>
  <c r="U661"/>
  <c r="F661" s="1"/>
  <c r="D661"/>
  <c r="T150" i="24" s="1"/>
  <c r="U665" i="18"/>
  <c r="F665" s="1"/>
  <c r="D665"/>
  <c r="U669"/>
  <c r="F669" s="1"/>
  <c r="D669"/>
  <c r="U673"/>
  <c r="F673" s="1"/>
  <c r="D673"/>
  <c r="T149" i="24" s="1"/>
  <c r="U677" i="18"/>
  <c r="F677" s="1"/>
  <c r="D677"/>
  <c r="U681"/>
  <c r="F681" s="1"/>
  <c r="D681"/>
  <c r="U685"/>
  <c r="F685" s="1"/>
  <c r="D685"/>
  <c r="U689"/>
  <c r="F689" s="1"/>
  <c r="D689"/>
  <c r="U693"/>
  <c r="F693" s="1"/>
  <c r="D693"/>
  <c r="U697"/>
  <c r="F697" s="1"/>
  <c r="D697"/>
  <c r="U701"/>
  <c r="F701" s="1"/>
  <c r="D701"/>
  <c r="U705"/>
  <c r="F705" s="1"/>
  <c r="D705"/>
  <c r="U713"/>
  <c r="F713" s="1"/>
  <c r="U716"/>
  <c r="F716" s="1"/>
  <c r="D716"/>
  <c r="U729"/>
  <c r="F729" s="1"/>
  <c r="U732"/>
  <c r="F732" s="1"/>
  <c r="D732"/>
  <c r="U710"/>
  <c r="F710" s="1"/>
  <c r="D710"/>
  <c r="U718"/>
  <c r="F718" s="1"/>
  <c r="D718"/>
  <c r="T140" i="24" s="1"/>
  <c r="U726" i="18"/>
  <c r="F726" s="1"/>
  <c r="D726"/>
  <c r="U734"/>
  <c r="F734" s="1"/>
  <c r="D734"/>
  <c r="U742"/>
  <c r="F742" s="1"/>
  <c r="D742"/>
  <c r="U750"/>
  <c r="F750" s="1"/>
  <c r="D750"/>
  <c r="D757"/>
  <c r="U758"/>
  <c r="F758" s="1"/>
  <c r="D758"/>
  <c r="D765"/>
  <c r="U766"/>
  <c r="F766" s="1"/>
  <c r="D766"/>
  <c r="D773"/>
  <c r="T135" i="24" s="1"/>
  <c r="U774" i="18"/>
  <c r="F774" s="1"/>
  <c r="D774"/>
  <c r="D781"/>
  <c r="U782"/>
  <c r="F782" s="1"/>
  <c r="D782"/>
  <c r="D789"/>
  <c r="U790"/>
  <c r="F790" s="1"/>
  <c r="D790"/>
  <c r="D797"/>
  <c r="U798"/>
  <c r="F798" s="1"/>
  <c r="D798"/>
  <c r="D805"/>
  <c r="T126" i="24" s="1"/>
  <c r="U806" i="18"/>
  <c r="F806" s="1"/>
  <c r="D806"/>
  <c r="D813"/>
  <c r="U814"/>
  <c r="F814" s="1"/>
  <c r="D814"/>
  <c r="U815"/>
  <c r="F815" s="1"/>
  <c r="D821"/>
  <c r="T125" i="24" s="1"/>
  <c r="U822" i="18"/>
  <c r="F822" s="1"/>
  <c r="D822"/>
  <c r="T124" i="24" s="1"/>
  <c r="D829" i="18"/>
  <c r="U830"/>
  <c r="F830" s="1"/>
  <c r="D830"/>
  <c r="D837"/>
  <c r="U838"/>
  <c r="F838" s="1"/>
  <c r="D838"/>
  <c r="D845"/>
  <c r="U846"/>
  <c r="F846" s="1"/>
  <c r="D846"/>
  <c r="D853"/>
  <c r="U854"/>
  <c r="F854" s="1"/>
  <c r="D854"/>
  <c r="D861"/>
  <c r="U862"/>
  <c r="F862" s="1"/>
  <c r="D862"/>
  <c r="D869"/>
  <c r="T111" i="24" s="1"/>
  <c r="U870" i="18"/>
  <c r="F870" s="1"/>
  <c r="D870"/>
  <c r="T110" i="24" s="1"/>
  <c r="D877" i="18"/>
  <c r="U878"/>
  <c r="F878" s="1"/>
  <c r="D878"/>
  <c r="D885"/>
  <c r="U886"/>
  <c r="F886" s="1"/>
  <c r="D886"/>
  <c r="D893"/>
  <c r="U894"/>
  <c r="F894" s="1"/>
  <c r="D894"/>
  <c r="T108" i="24" s="1"/>
  <c r="U909" i="18"/>
  <c r="F909" s="1"/>
  <c r="D909"/>
  <c r="U925"/>
  <c r="F925" s="1"/>
  <c r="D925"/>
  <c r="U941"/>
  <c r="F941" s="1"/>
  <c r="D941"/>
  <c r="U957"/>
  <c r="F957" s="1"/>
  <c r="D957"/>
  <c r="U973"/>
  <c r="F973" s="1"/>
  <c r="D973"/>
  <c r="U989"/>
  <c r="F989" s="1"/>
  <c r="D989"/>
  <c r="U997"/>
  <c r="F997" s="1"/>
  <c r="D997"/>
  <c r="T93" i="24" s="1"/>
  <c r="U1000" i="18"/>
  <c r="F1000" s="1"/>
  <c r="D1000"/>
  <c r="T92" i="24" s="1"/>
  <c r="U1008" i="18"/>
  <c r="F1008" s="1"/>
  <c r="D1008"/>
  <c r="D1041"/>
  <c r="U1041"/>
  <c r="F1041" s="1"/>
  <c r="U1076"/>
  <c r="F1076" s="1"/>
  <c r="D1076"/>
  <c r="U1186"/>
  <c r="F1186" s="1"/>
  <c r="D1186"/>
  <c r="U737"/>
  <c r="F737" s="1"/>
  <c r="U744"/>
  <c r="F744" s="1"/>
  <c r="D744"/>
  <c r="U745"/>
  <c r="F745" s="1"/>
  <c r="U752"/>
  <c r="F752" s="1"/>
  <c r="D752"/>
  <c r="U753"/>
  <c r="F753" s="1"/>
  <c r="U760"/>
  <c r="F760" s="1"/>
  <c r="D760"/>
  <c r="U761"/>
  <c r="F761" s="1"/>
  <c r="U768"/>
  <c r="F768" s="1"/>
  <c r="D768"/>
  <c r="U769"/>
  <c r="F769" s="1"/>
  <c r="U776"/>
  <c r="F776" s="1"/>
  <c r="D776"/>
  <c r="U777"/>
  <c r="F777" s="1"/>
  <c r="U784"/>
  <c r="F784" s="1"/>
  <c r="D784"/>
  <c r="T132" i="24" s="1"/>
  <c r="U785" i="18"/>
  <c r="F785" s="1"/>
  <c r="U792"/>
  <c r="F792" s="1"/>
  <c r="D792"/>
  <c r="U793"/>
  <c r="F793" s="1"/>
  <c r="U800"/>
  <c r="F800" s="1"/>
  <c r="D800"/>
  <c r="U801"/>
  <c r="F801" s="1"/>
  <c r="U808"/>
  <c r="F808" s="1"/>
  <c r="D808"/>
  <c r="U809"/>
  <c r="F809" s="1"/>
  <c r="U816"/>
  <c r="F816" s="1"/>
  <c r="D816"/>
  <c r="U817"/>
  <c r="F817" s="1"/>
  <c r="U824"/>
  <c r="F824" s="1"/>
  <c r="D824"/>
  <c r="T123" i="24" s="1"/>
  <c r="U825" i="18"/>
  <c r="F825" s="1"/>
  <c r="U832"/>
  <c r="F832" s="1"/>
  <c r="D832"/>
  <c r="U833"/>
  <c r="F833" s="1"/>
  <c r="U840"/>
  <c r="F840" s="1"/>
  <c r="D840"/>
  <c r="U841"/>
  <c r="F841" s="1"/>
  <c r="U848"/>
  <c r="F848" s="1"/>
  <c r="D848"/>
  <c r="O35" i="23" s="1"/>
  <c r="U849" i="18"/>
  <c r="F849" s="1"/>
  <c r="U856"/>
  <c r="F856" s="1"/>
  <c r="D856"/>
  <c r="T115" i="24" s="1"/>
  <c r="U857" i="18"/>
  <c r="F857" s="1"/>
  <c r="U864"/>
  <c r="F864" s="1"/>
  <c r="D864"/>
  <c r="U865"/>
  <c r="F865" s="1"/>
  <c r="U872"/>
  <c r="F872" s="1"/>
  <c r="D872"/>
  <c r="U873"/>
  <c r="F873" s="1"/>
  <c r="U880"/>
  <c r="F880" s="1"/>
  <c r="D880"/>
  <c r="U888"/>
  <c r="F888" s="1"/>
  <c r="D888"/>
  <c r="U896"/>
  <c r="F896" s="1"/>
  <c r="D896"/>
  <c r="U905"/>
  <c r="F905" s="1"/>
  <c r="D905"/>
  <c r="U918"/>
  <c r="F918" s="1"/>
  <c r="U921"/>
  <c r="F921" s="1"/>
  <c r="D921"/>
  <c r="U934"/>
  <c r="F934" s="1"/>
  <c r="U937"/>
  <c r="F937" s="1"/>
  <c r="D937"/>
  <c r="U953"/>
  <c r="F953" s="1"/>
  <c r="D953"/>
  <c r="T98" i="24" s="1"/>
  <c r="U969" i="18"/>
  <c r="F969" s="1"/>
  <c r="D969"/>
  <c r="U985"/>
  <c r="F985" s="1"/>
  <c r="D985"/>
  <c r="U1046"/>
  <c r="F1046" s="1"/>
  <c r="D1046"/>
  <c r="U1140"/>
  <c r="F1140" s="1"/>
  <c r="D1140"/>
  <c r="U1172"/>
  <c r="F1172" s="1"/>
  <c r="D1172"/>
  <c r="U1250"/>
  <c r="F1250" s="1"/>
  <c r="D1250"/>
  <c r="U714"/>
  <c r="F714" s="1"/>
  <c r="D714"/>
  <c r="U722"/>
  <c r="F722" s="1"/>
  <c r="D722"/>
  <c r="U730"/>
  <c r="F730" s="1"/>
  <c r="D730"/>
  <c r="U738"/>
  <c r="F738" s="1"/>
  <c r="D738"/>
  <c r="U746"/>
  <c r="F746" s="1"/>
  <c r="D746"/>
  <c r="U754"/>
  <c r="F754" s="1"/>
  <c r="D754"/>
  <c r="U762"/>
  <c r="F762" s="1"/>
  <c r="D762"/>
  <c r="U770"/>
  <c r="F770" s="1"/>
  <c r="D770"/>
  <c r="U778"/>
  <c r="F778" s="1"/>
  <c r="D778"/>
  <c r="U786"/>
  <c r="F786" s="1"/>
  <c r="D786"/>
  <c r="U794"/>
  <c r="F794" s="1"/>
  <c r="D794"/>
  <c r="U802"/>
  <c r="F802" s="1"/>
  <c r="D802"/>
  <c r="U810"/>
  <c r="F810" s="1"/>
  <c r="D810"/>
  <c r="U818"/>
  <c r="F818" s="1"/>
  <c r="D818"/>
  <c r="U826"/>
  <c r="F826" s="1"/>
  <c r="D826"/>
  <c r="T122" i="24" s="1"/>
  <c r="U834" i="18"/>
  <c r="F834" s="1"/>
  <c r="D834"/>
  <c r="U842"/>
  <c r="F842" s="1"/>
  <c r="D842"/>
  <c r="T119" i="24" s="1"/>
  <c r="U850" i="18"/>
  <c r="F850" s="1"/>
  <c r="D850"/>
  <c r="U858"/>
  <c r="F858" s="1"/>
  <c r="D858"/>
  <c r="U866"/>
  <c r="F866" s="1"/>
  <c r="D866"/>
  <c r="U874"/>
  <c r="F874" s="1"/>
  <c r="D874"/>
  <c r="U882"/>
  <c r="F882" s="1"/>
  <c r="D882"/>
  <c r="U890"/>
  <c r="F890" s="1"/>
  <c r="D890"/>
  <c r="U898"/>
  <c r="F898" s="1"/>
  <c r="D898"/>
  <c r="U901"/>
  <c r="F901" s="1"/>
  <c r="D901"/>
  <c r="U914"/>
  <c r="F914" s="1"/>
  <c r="U917"/>
  <c r="F917" s="1"/>
  <c r="D917"/>
  <c r="U930"/>
  <c r="F930" s="1"/>
  <c r="U933"/>
  <c r="F933" s="1"/>
  <c r="D933"/>
  <c r="O36" i="23" s="1"/>
  <c r="U946" i="18"/>
  <c r="F946" s="1"/>
  <c r="U949"/>
  <c r="F949" s="1"/>
  <c r="D949"/>
  <c r="U965"/>
  <c r="F965" s="1"/>
  <c r="D965"/>
  <c r="U978"/>
  <c r="F978" s="1"/>
  <c r="U981"/>
  <c r="F981" s="1"/>
  <c r="D981"/>
  <c r="U1017"/>
  <c r="F1017" s="1"/>
  <c r="D1019"/>
  <c r="U1019"/>
  <c r="F1019" s="1"/>
  <c r="U1202"/>
  <c r="F1202" s="1"/>
  <c r="D1202"/>
  <c r="U1236"/>
  <c r="F1236" s="1"/>
  <c r="D1236"/>
  <c r="U757"/>
  <c r="F757" s="1"/>
  <c r="U764"/>
  <c r="F764" s="1"/>
  <c r="D764"/>
  <c r="U772"/>
  <c r="F772" s="1"/>
  <c r="D772"/>
  <c r="U780"/>
  <c r="F780" s="1"/>
  <c r="D780"/>
  <c r="T134" i="24" s="1"/>
  <c r="U788" i="18"/>
  <c r="F788" s="1"/>
  <c r="D788"/>
  <c r="U796"/>
  <c r="F796" s="1"/>
  <c r="D796"/>
  <c r="U804"/>
  <c r="F804" s="1"/>
  <c r="D804"/>
  <c r="U812"/>
  <c r="F812" s="1"/>
  <c r="D812"/>
  <c r="U820"/>
  <c r="F820" s="1"/>
  <c r="D820"/>
  <c r="U828"/>
  <c r="F828" s="1"/>
  <c r="D828"/>
  <c r="U836"/>
  <c r="F836" s="1"/>
  <c r="D836"/>
  <c r="U844"/>
  <c r="F844" s="1"/>
  <c r="D844"/>
  <c r="O24" i="23" s="1"/>
  <c r="U852" i="18"/>
  <c r="F852" s="1"/>
  <c r="D852"/>
  <c r="T117" i="24" s="1"/>
  <c r="U860" i="18"/>
  <c r="F860" s="1"/>
  <c r="D860"/>
  <c r="U868"/>
  <c r="F868" s="1"/>
  <c r="D868"/>
  <c r="U876"/>
  <c r="F876" s="1"/>
  <c r="D876"/>
  <c r="U884"/>
  <c r="F884" s="1"/>
  <c r="D884"/>
  <c r="U892"/>
  <c r="F892" s="1"/>
  <c r="D892"/>
  <c r="T109" i="24" s="1"/>
  <c r="U913" i="18"/>
  <c r="F913" s="1"/>
  <c r="D913"/>
  <c r="U929"/>
  <c r="F929" s="1"/>
  <c r="D929"/>
  <c r="U945"/>
  <c r="F945" s="1"/>
  <c r="D945"/>
  <c r="U961"/>
  <c r="F961" s="1"/>
  <c r="D961"/>
  <c r="D962"/>
  <c r="O26" i="23" s="1"/>
  <c r="U977" i="18"/>
  <c r="F977" s="1"/>
  <c r="D977"/>
  <c r="U993"/>
  <c r="F993" s="1"/>
  <c r="D993"/>
  <c r="U1002"/>
  <c r="F1002" s="1"/>
  <c r="D1002"/>
  <c r="U1010"/>
  <c r="F1010" s="1"/>
  <c r="D1010"/>
  <c r="D1057"/>
  <c r="U1057"/>
  <c r="F1057" s="1"/>
  <c r="D1065"/>
  <c r="U1065"/>
  <c r="F1065" s="1"/>
  <c r="U1106"/>
  <c r="F1106" s="1"/>
  <c r="D1106"/>
  <c r="U1266"/>
  <c r="F1266" s="1"/>
  <c r="D1266"/>
  <c r="D1309"/>
  <c r="U1309"/>
  <c r="F1309" s="1"/>
  <c r="D1315"/>
  <c r="U1315"/>
  <c r="F1315" s="1"/>
  <c r="D1461"/>
  <c r="U1461"/>
  <c r="F1461" s="1"/>
  <c r="U907"/>
  <c r="F907" s="1"/>
  <c r="D907"/>
  <c r="U915"/>
  <c r="F915" s="1"/>
  <c r="D915"/>
  <c r="U923"/>
  <c r="F923" s="1"/>
  <c r="D923"/>
  <c r="U931"/>
  <c r="F931" s="1"/>
  <c r="D931"/>
  <c r="U939"/>
  <c r="F939" s="1"/>
  <c r="D939"/>
  <c r="O25" i="23" s="1"/>
  <c r="U947" i="18"/>
  <c r="F947" s="1"/>
  <c r="D947"/>
  <c r="U955"/>
  <c r="F955" s="1"/>
  <c r="D955"/>
  <c r="U963"/>
  <c r="F963" s="1"/>
  <c r="D963"/>
  <c r="U971"/>
  <c r="F971" s="1"/>
  <c r="D971"/>
  <c r="T96" i="24" s="1"/>
  <c r="U979" i="18"/>
  <c r="F979" s="1"/>
  <c r="P9" i="2" s="1"/>
  <c r="D979" i="18"/>
  <c r="N9" i="2" s="1"/>
  <c r="U987" i="18"/>
  <c r="F987" s="1"/>
  <c r="D987"/>
  <c r="U995"/>
  <c r="F995" s="1"/>
  <c r="D995"/>
  <c r="U1048"/>
  <c r="F1048" s="1"/>
  <c r="D1048"/>
  <c r="U1056"/>
  <c r="F1056" s="1"/>
  <c r="D1056"/>
  <c r="U1108"/>
  <c r="F1108" s="1"/>
  <c r="D1108"/>
  <c r="U1138"/>
  <c r="F1138" s="1"/>
  <c r="D1138"/>
  <c r="U1252"/>
  <c r="F1252" s="1"/>
  <c r="D1252"/>
  <c r="U903"/>
  <c r="F903" s="1"/>
  <c r="D903"/>
  <c r="U911"/>
  <c r="F911" s="1"/>
  <c r="D911"/>
  <c r="U919"/>
  <c r="F919" s="1"/>
  <c r="D919"/>
  <c r="U927"/>
  <c r="F927" s="1"/>
  <c r="D927"/>
  <c r="U935"/>
  <c r="F935" s="1"/>
  <c r="D935"/>
  <c r="U936"/>
  <c r="F936" s="1"/>
  <c r="U943"/>
  <c r="F943" s="1"/>
  <c r="D943"/>
  <c r="U951"/>
  <c r="F951" s="1"/>
  <c r="D951"/>
  <c r="U959"/>
  <c r="F959" s="1"/>
  <c r="D959"/>
  <c r="U967"/>
  <c r="F967" s="1"/>
  <c r="D967"/>
  <c r="U975"/>
  <c r="F975" s="1"/>
  <c r="D975"/>
  <c r="U983"/>
  <c r="F983" s="1"/>
  <c r="D983"/>
  <c r="U991"/>
  <c r="F991" s="1"/>
  <c r="D991"/>
  <c r="U1016"/>
  <c r="F1016" s="1"/>
  <c r="D1016"/>
  <c r="U1018"/>
  <c r="F1018" s="1"/>
  <c r="D1018"/>
  <c r="U1074"/>
  <c r="F1074" s="1"/>
  <c r="D1074"/>
  <c r="U1188"/>
  <c r="F1188" s="1"/>
  <c r="D1188"/>
  <c r="D1357"/>
  <c r="U1357"/>
  <c r="F1357" s="1"/>
  <c r="D1375"/>
  <c r="U1375"/>
  <c r="F1375" s="1"/>
  <c r="U1004"/>
  <c r="F1004" s="1"/>
  <c r="D1004"/>
  <c r="U1005"/>
  <c r="F1005" s="1"/>
  <c r="U1012"/>
  <c r="F1012" s="1"/>
  <c r="D1012"/>
  <c r="U1020"/>
  <c r="F1020" s="1"/>
  <c r="D1020"/>
  <c r="O38" i="23" s="1"/>
  <c r="U1031" i="18"/>
  <c r="F1031" s="1"/>
  <c r="U1038"/>
  <c r="F1038" s="1"/>
  <c r="D1038"/>
  <c r="U1040"/>
  <c r="F1040" s="1"/>
  <c r="D1040"/>
  <c r="U1049"/>
  <c r="F1049" s="1"/>
  <c r="U1064"/>
  <c r="F1064" s="1"/>
  <c r="D1064"/>
  <c r="U1072"/>
  <c r="F1072" s="1"/>
  <c r="D1072"/>
  <c r="U1092"/>
  <c r="F1092" s="1"/>
  <c r="D1092"/>
  <c r="U1124"/>
  <c r="F1124" s="1"/>
  <c r="D1124"/>
  <c r="U1156"/>
  <c r="F1156" s="1"/>
  <c r="D1156"/>
  <c r="U1170"/>
  <c r="F1170" s="1"/>
  <c r="D1170"/>
  <c r="U1220"/>
  <c r="F1220" s="1"/>
  <c r="D1220"/>
  <c r="U1234"/>
  <c r="F1234" s="1"/>
  <c r="D1234"/>
  <c r="U998"/>
  <c r="F998" s="1"/>
  <c r="D998"/>
  <c r="U1006"/>
  <c r="F1006" s="1"/>
  <c r="D1006"/>
  <c r="U1014"/>
  <c r="F1014" s="1"/>
  <c r="D1014"/>
  <c r="U1022"/>
  <c r="F1022" s="1"/>
  <c r="D1022"/>
  <c r="U1024"/>
  <c r="F1024" s="1"/>
  <c r="D1024"/>
  <c r="U1028"/>
  <c r="F1028" s="1"/>
  <c r="D1028"/>
  <c r="T85" i="24" s="1"/>
  <c r="U1030" i="18"/>
  <c r="F1030" s="1"/>
  <c r="D1030"/>
  <c r="U1032"/>
  <c r="F1032" s="1"/>
  <c r="D1032"/>
  <c r="U1090"/>
  <c r="F1090" s="1"/>
  <c r="D1090"/>
  <c r="U1122"/>
  <c r="F1122" s="1"/>
  <c r="D1122"/>
  <c r="U1154"/>
  <c r="F1154" s="1"/>
  <c r="D1154"/>
  <c r="U1204"/>
  <c r="F1204" s="1"/>
  <c r="D1204"/>
  <c r="U1218"/>
  <c r="F1218" s="1"/>
  <c r="D1218"/>
  <c r="T59" i="24" s="1"/>
  <c r="U1268" i="18"/>
  <c r="F1268" s="1"/>
  <c r="D1268"/>
  <c r="U1300"/>
  <c r="F1300" s="1"/>
  <c r="D1300"/>
  <c r="U1054"/>
  <c r="F1054" s="1"/>
  <c r="D1054"/>
  <c r="T80" i="24" s="1"/>
  <c r="U1062" i="18"/>
  <c r="F1062" s="1"/>
  <c r="D1062"/>
  <c r="U1070"/>
  <c r="F1070" s="1"/>
  <c r="D1070"/>
  <c r="U1281"/>
  <c r="F1281" s="1"/>
  <c r="D1281"/>
  <c r="T47" i="24" s="1"/>
  <c r="D1282" i="18"/>
  <c r="U1283"/>
  <c r="F1283" s="1"/>
  <c r="D1283"/>
  <c r="D1407"/>
  <c r="D1517"/>
  <c r="U1517"/>
  <c r="F1517" s="1"/>
  <c r="U1026"/>
  <c r="F1026" s="1"/>
  <c r="D1026"/>
  <c r="U1034"/>
  <c r="F1034" s="1"/>
  <c r="D1034"/>
  <c r="T84" i="24" s="1"/>
  <c r="U1042" i="18"/>
  <c r="F1042" s="1"/>
  <c r="D1042"/>
  <c r="U1050"/>
  <c r="F1050" s="1"/>
  <c r="D1050"/>
  <c r="U1058"/>
  <c r="F1058" s="1"/>
  <c r="D1058"/>
  <c r="U1066"/>
  <c r="F1066" s="1"/>
  <c r="D1066"/>
  <c r="D1117"/>
  <c r="U1298"/>
  <c r="F1298" s="1"/>
  <c r="D1298"/>
  <c r="U1304"/>
  <c r="F1304" s="1"/>
  <c r="D1304"/>
  <c r="U1306"/>
  <c r="F1306" s="1"/>
  <c r="D1306"/>
  <c r="T41" i="24" s="1"/>
  <c r="U1308" i="18"/>
  <c r="F1308" s="1"/>
  <c r="D1308"/>
  <c r="D1447"/>
  <c r="U1447"/>
  <c r="F1447" s="1"/>
  <c r="U1036"/>
  <c r="F1036" s="1"/>
  <c r="D1036"/>
  <c r="U1044"/>
  <c r="F1044" s="1"/>
  <c r="D1044"/>
  <c r="T82" i="24" s="1"/>
  <c r="U1052" i="18"/>
  <c r="F1052" s="1"/>
  <c r="D1052"/>
  <c r="U1060"/>
  <c r="F1060" s="1"/>
  <c r="D1060"/>
  <c r="U1068"/>
  <c r="F1068" s="1"/>
  <c r="D1068"/>
  <c r="U1077"/>
  <c r="F1077" s="1"/>
  <c r="U1082"/>
  <c r="F1082" s="1"/>
  <c r="D1082"/>
  <c r="U1084"/>
  <c r="F1084" s="1"/>
  <c r="D1084"/>
  <c r="U1093"/>
  <c r="F1093" s="1"/>
  <c r="U1098"/>
  <c r="F1098" s="1"/>
  <c r="D1098"/>
  <c r="U1100"/>
  <c r="F1100" s="1"/>
  <c r="D1100"/>
  <c r="U1109"/>
  <c r="F1109" s="1"/>
  <c r="U1114"/>
  <c r="F1114" s="1"/>
  <c r="D1114"/>
  <c r="U1116"/>
  <c r="F1116" s="1"/>
  <c r="D1116"/>
  <c r="U1125"/>
  <c r="F1125" s="1"/>
  <c r="U1130"/>
  <c r="F1130" s="1"/>
  <c r="D1130"/>
  <c r="U1132"/>
  <c r="F1132" s="1"/>
  <c r="D1132"/>
  <c r="U1141"/>
  <c r="F1141" s="1"/>
  <c r="U1146"/>
  <c r="F1146" s="1"/>
  <c r="D1146"/>
  <c r="O27" i="23" s="1"/>
  <c r="U1148" i="18"/>
  <c r="F1148" s="1"/>
  <c r="D1148"/>
  <c r="U1162"/>
  <c r="F1162" s="1"/>
  <c r="D1162"/>
  <c r="U1164"/>
  <c r="F1164" s="1"/>
  <c r="D1164"/>
  <c r="U1178"/>
  <c r="F1178" s="1"/>
  <c r="D1178"/>
  <c r="U1180"/>
  <c r="F1180" s="1"/>
  <c r="D1180"/>
  <c r="U1194"/>
  <c r="F1194" s="1"/>
  <c r="D1194"/>
  <c r="U1196"/>
  <c r="F1196" s="1"/>
  <c r="D1196"/>
  <c r="O39" i="23" s="1"/>
  <c r="U1210" i="18"/>
  <c r="F1210" s="1"/>
  <c r="D1210"/>
  <c r="T60" i="24" s="1"/>
  <c r="U1212" i="18"/>
  <c r="F1212" s="1"/>
  <c r="D1212"/>
  <c r="U1226"/>
  <c r="F1226" s="1"/>
  <c r="D1226"/>
  <c r="U1228"/>
  <c r="F1228" s="1"/>
  <c r="D1228"/>
  <c r="U1242"/>
  <c r="F1242" s="1"/>
  <c r="D1242"/>
  <c r="U1244"/>
  <c r="F1244" s="1"/>
  <c r="D1244"/>
  <c r="U1258"/>
  <c r="F1258" s="1"/>
  <c r="D1258"/>
  <c r="U1260"/>
  <c r="F1260" s="1"/>
  <c r="D1260"/>
  <c r="T50" i="24" s="1"/>
  <c r="D1284" i="18"/>
  <c r="U1284"/>
  <c r="F1284" s="1"/>
  <c r="D1333"/>
  <c r="U1333"/>
  <c r="F1333" s="1"/>
  <c r="D1389"/>
  <c r="U1389"/>
  <c r="F1389" s="1"/>
  <c r="D1485"/>
  <c r="U1485"/>
  <c r="F1485" s="1"/>
  <c r="D1543"/>
  <c r="O33" i="23" s="1"/>
  <c r="D1079" i="18"/>
  <c r="N12" i="2" s="1"/>
  <c r="U1080" i="18"/>
  <c r="F1080" s="1"/>
  <c r="D1080"/>
  <c r="T79" i="24" s="1"/>
  <c r="D1087" i="18"/>
  <c r="U1088"/>
  <c r="F1088" s="1"/>
  <c r="D1088"/>
  <c r="D1095"/>
  <c r="U1096"/>
  <c r="F1096" s="1"/>
  <c r="D1096"/>
  <c r="D1103"/>
  <c r="U1104"/>
  <c r="F1104" s="1"/>
  <c r="D1104"/>
  <c r="D1111"/>
  <c r="U1112"/>
  <c r="F1112" s="1"/>
  <c r="D1112"/>
  <c r="D1119"/>
  <c r="U1120"/>
  <c r="F1120" s="1"/>
  <c r="D1120"/>
  <c r="D1127"/>
  <c r="U1128"/>
  <c r="F1128" s="1"/>
  <c r="D1128"/>
  <c r="D1135"/>
  <c r="U1136"/>
  <c r="F1136" s="1"/>
  <c r="D1136"/>
  <c r="D1143"/>
  <c r="U1144"/>
  <c r="F1144" s="1"/>
  <c r="D1144"/>
  <c r="D1151"/>
  <c r="U1152"/>
  <c r="F1152" s="1"/>
  <c r="D1152"/>
  <c r="D1159"/>
  <c r="U1160"/>
  <c r="F1160" s="1"/>
  <c r="D1160"/>
  <c r="D1167"/>
  <c r="U1168"/>
  <c r="F1168" s="1"/>
  <c r="D1168"/>
  <c r="D1175"/>
  <c r="T66" i="24" s="1"/>
  <c r="U1176" i="18"/>
  <c r="F1176" s="1"/>
  <c r="D1176"/>
  <c r="T65" i="24" s="1"/>
  <c r="D1183" i="18"/>
  <c r="U1184"/>
  <c r="F1184" s="1"/>
  <c r="D1184"/>
  <c r="D1191"/>
  <c r="U1192"/>
  <c r="F1192" s="1"/>
  <c r="D1192"/>
  <c r="T62" i="24" s="1"/>
  <c r="U1200" i="18"/>
  <c r="F1200" s="1"/>
  <c r="D1200"/>
  <c r="D1207"/>
  <c r="U1208"/>
  <c r="F1208" s="1"/>
  <c r="D1208"/>
  <c r="D1215"/>
  <c r="N7" i="2" s="1"/>
  <c r="U1216" i="18"/>
  <c r="F1216" s="1"/>
  <c r="D1216"/>
  <c r="D1223"/>
  <c r="U1224"/>
  <c r="F1224" s="1"/>
  <c r="D1224"/>
  <c r="T53" i="24" s="1"/>
  <c r="D1231" i="18"/>
  <c r="U1232"/>
  <c r="F1232" s="1"/>
  <c r="D1232"/>
  <c r="D1239"/>
  <c r="U1240"/>
  <c r="F1240" s="1"/>
  <c r="D1240"/>
  <c r="D1247"/>
  <c r="U1248"/>
  <c r="F1248" s="1"/>
  <c r="D1248"/>
  <c r="D1255"/>
  <c r="U1256"/>
  <c r="F1256" s="1"/>
  <c r="D1256"/>
  <c r="T51" i="24" s="1"/>
  <c r="D1263" i="18"/>
  <c r="T49" i="24" s="1"/>
  <c r="U1264" i="18"/>
  <c r="F1264" s="1"/>
  <c r="D1264"/>
  <c r="D1271"/>
  <c r="U1272"/>
  <c r="F1272" s="1"/>
  <c r="D1272"/>
  <c r="D1301"/>
  <c r="U1301"/>
  <c r="F1301" s="1"/>
  <c r="U1312"/>
  <c r="F1312" s="1"/>
  <c r="D1312"/>
  <c r="D1343"/>
  <c r="D1421"/>
  <c r="T23" i="24" s="1"/>
  <c r="U1421" i="18"/>
  <c r="F1421" s="1"/>
  <c r="D1471"/>
  <c r="O30" i="23" s="1"/>
  <c r="D1493" i="18"/>
  <c r="U1503"/>
  <c r="F1503" s="1"/>
  <c r="U1078"/>
  <c r="F1078" s="1"/>
  <c r="D1078"/>
  <c r="U1086"/>
  <c r="F1086" s="1"/>
  <c r="D1086"/>
  <c r="U1094"/>
  <c r="F1094" s="1"/>
  <c r="D1094"/>
  <c r="U1102"/>
  <c r="F1102" s="1"/>
  <c r="D1102"/>
  <c r="U1110"/>
  <c r="F1110" s="1"/>
  <c r="D1110"/>
  <c r="U1118"/>
  <c r="F1118" s="1"/>
  <c r="D1118"/>
  <c r="U1126"/>
  <c r="F1126" s="1"/>
  <c r="D1126"/>
  <c r="U1134"/>
  <c r="F1134" s="1"/>
  <c r="D1134"/>
  <c r="U1142"/>
  <c r="F1142" s="1"/>
  <c r="D1142"/>
  <c r="U1150"/>
  <c r="F1150" s="1"/>
  <c r="D1150"/>
  <c r="U1158"/>
  <c r="F1158" s="1"/>
  <c r="D1158"/>
  <c r="T68" i="24" s="1"/>
  <c r="U1166" i="18"/>
  <c r="F1166" s="1"/>
  <c r="D1166"/>
  <c r="U1174"/>
  <c r="F1174" s="1"/>
  <c r="D1174"/>
  <c r="U1182"/>
  <c r="F1182" s="1"/>
  <c r="D1182"/>
  <c r="T64" i="24" s="1"/>
  <c r="U1190" i="18"/>
  <c r="F1190" s="1"/>
  <c r="D1190"/>
  <c r="U1198"/>
  <c r="F1198" s="1"/>
  <c r="D1198"/>
  <c r="T61" i="24" s="1"/>
  <c r="U1199" i="18"/>
  <c r="F1199" s="1"/>
  <c r="U1206"/>
  <c r="F1206" s="1"/>
  <c r="D1206"/>
  <c r="O28" i="23" s="1"/>
  <c r="U1214" i="18"/>
  <c r="F1214" s="1"/>
  <c r="D1214"/>
  <c r="U1222"/>
  <c r="F1222" s="1"/>
  <c r="D1222"/>
  <c r="T54" i="24" s="1"/>
  <c r="U1230" i="18"/>
  <c r="F1230" s="1"/>
  <c r="D1230"/>
  <c r="T52" i="24" s="1"/>
  <c r="U1238" i="18"/>
  <c r="F1238" s="1"/>
  <c r="D1238"/>
  <c r="U1246"/>
  <c r="F1246" s="1"/>
  <c r="D1246"/>
  <c r="U1254"/>
  <c r="F1254" s="1"/>
  <c r="D1254"/>
  <c r="U1262"/>
  <c r="F1262" s="1"/>
  <c r="D1262"/>
  <c r="U1270"/>
  <c r="F1270" s="1"/>
  <c r="D1270"/>
  <c r="D1325"/>
  <c r="U1325"/>
  <c r="F1325" s="1"/>
  <c r="D1453"/>
  <c r="U1453"/>
  <c r="F1453" s="1"/>
  <c r="U1471"/>
  <c r="F1471" s="1"/>
  <c r="D1274"/>
  <c r="T48" i="24" s="1"/>
  <c r="D1276" i="18"/>
  <c r="D1278"/>
  <c r="U1279"/>
  <c r="F1279" s="1"/>
  <c r="D1279"/>
  <c r="D1289"/>
  <c r="U1290"/>
  <c r="F1290" s="1"/>
  <c r="D1290"/>
  <c r="D1291"/>
  <c r="U1292"/>
  <c r="F1292" s="1"/>
  <c r="D1292"/>
  <c r="U1296"/>
  <c r="F1296" s="1"/>
  <c r="D1296"/>
  <c r="D1327"/>
  <c r="D1359"/>
  <c r="T34" i="24" s="1"/>
  <c r="D1391" i="18"/>
  <c r="D1423"/>
  <c r="D1455"/>
  <c r="D1487"/>
  <c r="D1519"/>
  <c r="U1288"/>
  <c r="F1288" s="1"/>
  <c r="D1288"/>
  <c r="U1391"/>
  <c r="F1391" s="1"/>
  <c r="U1417"/>
  <c r="F1417" s="1"/>
  <c r="U1537"/>
  <c r="F1537" s="1"/>
  <c r="D1539"/>
  <c r="D1547"/>
  <c r="D1555"/>
  <c r="U1286"/>
  <c r="F1286" s="1"/>
  <c r="D1286"/>
  <c r="U1294"/>
  <c r="F1294" s="1"/>
  <c r="D1294"/>
  <c r="U1302"/>
  <c r="F1302" s="1"/>
  <c r="P19" i="2" s="1"/>
  <c r="D1302" i="18"/>
  <c r="N19" i="2" s="1"/>
  <c r="U1310" i="18"/>
  <c r="F1310" s="1"/>
  <c r="D1310"/>
  <c r="U1363"/>
  <c r="F1363" s="1"/>
  <c r="U1443"/>
  <c r="F1443" s="1"/>
  <c r="U1523"/>
  <c r="F1523" s="1"/>
  <c r="D1314"/>
  <c r="D1316"/>
  <c r="AI37" i="1"/>
  <c r="Q25"/>
  <c r="U25"/>
  <c r="AJ39"/>
  <c r="S27"/>
  <c r="R34"/>
  <c r="R35" s="1"/>
  <c r="R38" s="1"/>
  <c r="R26"/>
  <c r="O31"/>
  <c r="S31"/>
  <c r="R23"/>
  <c r="AK39"/>
  <c r="AK3"/>
  <c r="R25"/>
  <c r="V25"/>
  <c r="R36"/>
  <c r="V36"/>
  <c r="V27"/>
  <c r="V34"/>
  <c r="V35" s="1"/>
  <c r="V39" s="1"/>
  <c r="U37"/>
  <c r="O34"/>
  <c r="O35" s="1"/>
  <c r="O39" s="1"/>
  <c r="S34"/>
  <c r="S35" s="1"/>
  <c r="S38" s="1"/>
  <c r="AI8"/>
  <c r="AJ8"/>
  <c r="P34"/>
  <c r="P35" s="1"/>
  <c r="P39" s="1"/>
  <c r="T34"/>
  <c r="T35" s="1"/>
  <c r="T39" s="1"/>
  <c r="T36"/>
  <c r="V23"/>
  <c r="V26"/>
  <c r="AI29"/>
  <c r="O23"/>
  <c r="S26"/>
  <c r="AG3"/>
  <c r="AG5" s="1"/>
  <c r="Q34"/>
  <c r="Q35" s="1"/>
  <c r="Q38" s="1"/>
  <c r="U34"/>
  <c r="U35" s="1"/>
  <c r="U38" s="1"/>
  <c r="P25"/>
  <c r="O25" s="1"/>
  <c r="T25"/>
  <c r="R27"/>
  <c r="AIH29"/>
  <c r="R30"/>
  <c r="R31"/>
  <c r="W24"/>
  <c r="X24"/>
  <c r="P30"/>
  <c r="O30" s="1"/>
  <c r="P31"/>
  <c r="T30"/>
  <c r="T31"/>
  <c r="V30"/>
  <c r="V31"/>
  <c r="Q31"/>
  <c r="Q30"/>
  <c r="U31"/>
  <c r="U30"/>
  <c r="T22"/>
  <c r="AI3"/>
  <c r="AG8"/>
  <c r="W9"/>
  <c r="R22"/>
  <c r="V22"/>
  <c r="P23"/>
  <c r="T23"/>
  <c r="P26"/>
  <c r="T26"/>
  <c r="T28" s="1"/>
  <c r="AJ4" s="1"/>
  <c r="AM28"/>
  <c r="AK29"/>
  <c r="S30"/>
  <c r="R32"/>
  <c r="V32"/>
  <c r="Q36"/>
  <c r="P36" s="1"/>
  <c r="U36"/>
  <c r="W3"/>
  <c r="AJ3"/>
  <c r="AH8"/>
  <c r="W15"/>
  <c r="O22"/>
  <c r="S22"/>
  <c r="Q23"/>
  <c r="U23"/>
  <c r="S25"/>
  <c r="Q26"/>
  <c r="U26"/>
  <c r="Q27"/>
  <c r="U27"/>
  <c r="AIH28"/>
  <c r="AI39"/>
  <c r="S36"/>
  <c r="AL3"/>
  <c r="S23"/>
  <c r="T75" i="24" l="1"/>
  <c r="T72"/>
  <c r="T202"/>
  <c r="T219"/>
  <c r="T148"/>
  <c r="T87"/>
  <c r="T88"/>
  <c r="T174"/>
  <c r="T173"/>
  <c r="T185"/>
  <c r="T184"/>
  <c r="T171"/>
  <c r="T170"/>
  <c r="T188"/>
  <c r="T187"/>
  <c r="T196"/>
  <c r="T195"/>
  <c r="T199"/>
  <c r="T198"/>
  <c r="T235"/>
  <c r="T139"/>
  <c r="T138"/>
  <c r="T240"/>
  <c r="T239"/>
  <c r="T250"/>
  <c r="T249"/>
  <c r="T114"/>
  <c r="T113"/>
  <c r="T78"/>
  <c r="T76"/>
  <c r="T77"/>
  <c r="T102"/>
  <c r="T101"/>
  <c r="T145"/>
  <c r="T144"/>
  <c r="T162"/>
  <c r="T161"/>
  <c r="T183"/>
  <c r="T182"/>
  <c r="T248"/>
  <c r="T216"/>
  <c r="T215"/>
  <c r="T74"/>
  <c r="T73"/>
  <c r="T104"/>
  <c r="T105"/>
  <c r="T204"/>
  <c r="T203"/>
  <c r="T157"/>
  <c r="T156"/>
  <c r="T208"/>
  <c r="T5"/>
  <c r="T4"/>
  <c r="T227"/>
  <c r="T16"/>
  <c r="T12"/>
  <c r="T13"/>
  <c r="T39"/>
  <c r="T38"/>
  <c r="T128"/>
  <c r="T129"/>
  <c r="T127"/>
  <c r="T71"/>
  <c r="T70"/>
  <c r="T154"/>
  <c r="T155"/>
  <c r="T190"/>
  <c r="T191"/>
  <c r="T233"/>
  <c r="T232"/>
  <c r="T223"/>
  <c r="T221"/>
  <c r="T222"/>
  <c r="T32"/>
  <c r="T31"/>
  <c r="T18"/>
  <c r="T19"/>
  <c r="T58"/>
  <c r="T57"/>
  <c r="T56"/>
  <c r="T9"/>
  <c r="T10"/>
  <c r="K47" i="8"/>
  <c r="L50"/>
  <c r="L47"/>
  <c r="L51"/>
  <c r="K50"/>
  <c r="L52"/>
  <c r="V38" i="1"/>
  <c r="AL29"/>
  <c r="U28"/>
  <c r="AK4" s="1"/>
  <c r="S28"/>
  <c r="AI4" s="1"/>
  <c r="W31"/>
  <c r="O33" s="1"/>
  <c r="T38"/>
  <c r="O38"/>
  <c r="R39"/>
  <c r="Q39"/>
  <c r="U39"/>
  <c r="R28"/>
  <c r="AH4" s="1"/>
  <c r="V28"/>
  <c r="AL4" s="1"/>
  <c r="S39"/>
  <c r="AL39"/>
  <c r="AI5"/>
  <c r="AK5"/>
  <c r="AL5"/>
  <c r="P38"/>
  <c r="AJ5"/>
  <c r="AH5"/>
  <c r="Q28"/>
  <c r="X22"/>
  <c r="W22"/>
  <c r="O26"/>
  <c r="O28" s="1"/>
  <c r="P28"/>
  <c r="S33" l="1"/>
  <c r="V33"/>
  <c r="R33"/>
  <c r="U33"/>
  <c r="R2" s="1"/>
  <c r="P33"/>
  <c r="Q33"/>
  <c r="T33"/>
  <c r="W39"/>
  <c r="X25"/>
  <c r="W28"/>
  <c r="AG4"/>
  <c r="W25"/>
  <c r="AJ6" l="1"/>
  <c r="AJ7" s="1"/>
  <c r="AL6"/>
  <c r="AL7" s="1"/>
  <c r="AH6"/>
  <c r="AH7" s="1"/>
  <c r="AK6"/>
  <c r="AK7" s="1"/>
  <c r="AG6"/>
  <c r="AG7" s="1"/>
  <c r="AI6"/>
  <c r="AI7" s="1"/>
</calcChain>
</file>

<file path=xl/comments1.xml><?xml version="1.0" encoding="utf-8"?>
<comments xmlns="http://schemas.openxmlformats.org/spreadsheetml/2006/main">
  <authors>
    <author>SW</author>
  </authors>
  <commentList>
    <comment ref="C7" authorId="0">
      <text>
        <r>
          <rPr>
            <b/>
            <sz val="9"/>
            <color indexed="81"/>
            <rFont val="Tahoma"/>
            <family val="2"/>
          </rPr>
          <t>SW:</t>
        </r>
        <r>
          <rPr>
            <sz val="9"/>
            <color indexed="81"/>
            <rFont val="Tahoma"/>
            <family val="2"/>
          </rPr>
          <t xml:space="preserve">
</t>
        </r>
        <r>
          <rPr>
            <sz val="14"/>
            <color indexed="81"/>
            <rFont val="細明體"/>
            <family val="3"/>
            <charset val="136"/>
          </rPr>
          <t>方法</t>
        </r>
        <r>
          <rPr>
            <sz val="14"/>
            <color indexed="81"/>
            <rFont val="Tahoma"/>
            <family val="2"/>
          </rPr>
          <t>:</t>
        </r>
        <r>
          <rPr>
            <sz val="14"/>
            <color indexed="81"/>
            <rFont val="細明體"/>
            <family val="3"/>
            <charset val="136"/>
          </rPr>
          <t>查詢月份</t>
        </r>
        <r>
          <rPr>
            <sz val="14"/>
            <color indexed="81"/>
            <rFont val="Tahoma"/>
            <family val="2"/>
          </rPr>
          <t>+15</t>
        </r>
      </text>
    </comment>
  </commentList>
</comments>
</file>

<file path=xl/comments2.xml><?xml version="1.0" encoding="utf-8"?>
<comments xmlns="http://schemas.openxmlformats.org/spreadsheetml/2006/main">
  <authors>
    <author>Windows 使用者</author>
  </authors>
  <commentList>
    <comment ref="AJ27" authorId="0">
      <text/>
    </comment>
    <comment ref="AK27" authorId="0">
      <text>
        <r>
          <rPr>
            <b/>
            <sz val="9"/>
            <color indexed="81"/>
            <rFont val="Tahoma"/>
            <family val="2"/>
          </rPr>
          <t xml:space="preserve">Windows </t>
        </r>
        <r>
          <rPr>
            <b/>
            <sz val="9"/>
            <color indexed="81"/>
            <rFont val="細明體"/>
            <family val="3"/>
            <charset val="136"/>
          </rPr>
          <t>使用者</t>
        </r>
        <r>
          <rPr>
            <b/>
            <sz val="9"/>
            <color indexed="81"/>
            <rFont val="Tahoma"/>
            <family val="2"/>
          </rPr>
          <t>:</t>
        </r>
        <r>
          <rPr>
            <sz val="9"/>
            <color indexed="81"/>
            <rFont val="Tahoma"/>
            <family val="2"/>
          </rPr>
          <t xml:space="preserve">
</t>
        </r>
      </text>
    </comment>
    <comment ref="AJ29" authorId="0">
      <text>
        <r>
          <rPr>
            <sz val="9"/>
            <color indexed="81"/>
            <rFont val="細明體"/>
            <family val="3"/>
            <charset val="136"/>
          </rPr>
          <t>上期</t>
        </r>
        <r>
          <rPr>
            <sz val="9"/>
            <color indexed="81"/>
            <rFont val="Tahoma"/>
            <family val="2"/>
          </rPr>
          <t xml:space="preserve">
</t>
        </r>
      </text>
    </comment>
    <comment ref="AK29" authorId="0">
      <text>
        <r>
          <rPr>
            <b/>
            <sz val="9"/>
            <color indexed="81"/>
            <rFont val="細明體"/>
            <family val="3"/>
            <charset val="136"/>
          </rPr>
          <t>同期</t>
        </r>
        <r>
          <rPr>
            <sz val="9"/>
            <color indexed="81"/>
            <rFont val="Tahoma"/>
            <family val="2"/>
          </rPr>
          <t xml:space="preserve">
</t>
        </r>
      </text>
    </comment>
    <comment ref="AJ32" authorId="0">
      <text>
        <r>
          <rPr>
            <sz val="9"/>
            <color indexed="81"/>
            <rFont val="細明體"/>
            <family val="3"/>
            <charset val="136"/>
          </rPr>
          <t>即時報價</t>
        </r>
        <r>
          <rPr>
            <sz val="9"/>
            <color indexed="81"/>
            <rFont val="Tahoma"/>
            <family val="2"/>
          </rPr>
          <t xml:space="preserve">
</t>
        </r>
      </text>
    </comment>
    <comment ref="AK32" authorId="0">
      <text>
        <r>
          <rPr>
            <sz val="9"/>
            <color indexed="81"/>
            <rFont val="細明體"/>
            <family val="3"/>
            <charset val="136"/>
          </rPr>
          <t>季線方向</t>
        </r>
        <r>
          <rPr>
            <sz val="9"/>
            <color indexed="81"/>
            <rFont val="Tahoma"/>
            <family val="2"/>
          </rPr>
          <t xml:space="preserve">
</t>
        </r>
      </text>
    </comment>
  </commentList>
</comments>
</file>

<file path=xl/comments3.xml><?xml version="1.0" encoding="utf-8"?>
<comments xmlns="http://schemas.openxmlformats.org/spreadsheetml/2006/main">
  <authors>
    <author>Windows User</author>
  </authors>
  <commentList>
    <comment ref="H3" authorId="0">
      <text>
        <r>
          <rPr>
            <b/>
            <sz val="12"/>
            <color indexed="81"/>
            <rFont val="細明體"/>
            <family val="3"/>
            <charset val="136"/>
          </rPr>
          <t>季線向上且乖離很小加分</t>
        </r>
        <r>
          <rPr>
            <sz val="12"/>
            <color indexed="81"/>
            <rFont val="Tahoma"/>
            <family val="2"/>
          </rPr>
          <t xml:space="preserve">
</t>
        </r>
      </text>
    </comment>
    <comment ref="J3" authorId="0">
      <text>
        <r>
          <rPr>
            <b/>
            <sz val="12"/>
            <color indexed="81"/>
            <rFont val="細明體"/>
            <family val="3"/>
            <charset val="136"/>
          </rPr>
          <t>大型股或8%以上適用</t>
        </r>
        <r>
          <rPr>
            <sz val="9"/>
            <color indexed="81"/>
            <rFont val="Tahoma"/>
            <family val="2"/>
          </rPr>
          <t xml:space="preserve">
</t>
        </r>
      </text>
    </comment>
  </commentList>
</comments>
</file>

<file path=xl/connections.xml><?xml version="1.0" encoding="utf-8"?>
<connections xmlns="http://schemas.openxmlformats.org/spreadsheetml/2006/main">
  <connection id="1" name="連線" type="4" refreshedVersion="0" background="1">
    <webPr url="http://justdata.yuanta.com.tw/z/zc/zcq/zcq_5607.asp.htm" htmlTables="1" htmlFormat="all"/>
  </connection>
  <connection id="2" name="連線1" type="4" refreshedVersion="0" background="1">
    <webPr url="http://justdata.yuanta.com.tw/z/zc/zcq/zcq_1229.asp.htm" htmlTables="1" htmlFormat="all"/>
  </connection>
  <connection id="3" name="連線10" type="4" refreshedVersion="0" background="1">
    <webPr url="http://justdata.yuanta.com.tw/z/zc/zc3/zc3_1104.asp.htm" htmlTables="1" htmlFormat="all"/>
  </connection>
  <connection id="4" name="連線100" type="4" refreshedVersion="0" background="1">
    <webPr url="http://www.emega.com.tw/z/zc/zch/zch_1310.djhtm" htmlTables="1" htmlFormat="all"/>
  </connection>
  <connection id="5" name="連線1000" type="4" refreshedVersion="0" background="1">
    <webPr url="http://www.emega.com.tw/z/zc/zch/zch_8410.djhtm" htmlTables="1" htmlFormat="all"/>
  </connection>
  <connection id="6" name="連線1001" type="4" refreshedVersion="0" background="1">
    <webPr url="http://www.emega.com.tw/z/zc/zch/zch_8416.djhtm" htmlTables="1" htmlFormat="all"/>
  </connection>
  <connection id="7" name="連線1002" type="4" refreshedVersion="0" background="1">
    <webPr url="http://www.emega.com.tw/z/zc/zch/zch_8423.djhtm" htmlTables="1" htmlFormat="all"/>
  </connection>
  <connection id="8" name="連線1003" type="4" refreshedVersion="0" background="1">
    <webPr url="http://www.emega.com.tw/z/zc/zch/zch_8424.djhtm" htmlTables="1" htmlFormat="all"/>
  </connection>
  <connection id="9" name="連線1004" type="4" refreshedVersion="0" background="1">
    <webPr url="http://www.emega.com.tw/z/zc/zch/zch_8431.djhtm" htmlTables="1" htmlFormat="all"/>
  </connection>
  <connection id="10" name="連線1005" type="4" refreshedVersion="0" background="1">
    <webPr url="http://www.emega.com.tw/z/zc/zch/zch_8435.djhtm" htmlTables="1" htmlFormat="all"/>
  </connection>
  <connection id="11" name="連線1006" type="4" refreshedVersion="0" background="1">
    <webPr url="http://www.emega.com.tw/z/zc/zch/zch_8444.djhtm" htmlTables="1" htmlFormat="all"/>
  </connection>
  <connection id="12" name="連線1007" type="4" refreshedVersion="0" background="1">
    <webPr url="http://www.emega.com.tw/z/zc/zch/zch_8455.djhtm" htmlTables="1" htmlFormat="all"/>
  </connection>
  <connection id="13" name="連線1008" type="4" refreshedVersion="0" background="1">
    <webPr url="http://www.emega.com.tw/z/zc/zch/zch_8462.djhtm" htmlTables="1" htmlFormat="all"/>
  </connection>
  <connection id="14" name="連線1009" type="4" refreshedVersion="0" background="1">
    <webPr url="http://www.emega.com.tw/z/zc/zch/zch_8905.djhtm" htmlTables="1" htmlFormat="all"/>
  </connection>
  <connection id="15" name="連線101" type="4" refreshedVersion="0" background="1">
    <webPr url="http://www.emega.com.tw/z/zc/zch/zch_1312.djhtm" htmlTables="1" htmlFormat="all"/>
  </connection>
  <connection id="16" name="連線1010" type="4" refreshedVersion="0" background="1">
    <webPr url="http://www.emega.com.tw/z/zc/zch/zch_8917.djhtm" htmlTables="1" htmlFormat="all"/>
  </connection>
  <connection id="17" name="連線1011" type="4" refreshedVersion="0" background="1">
    <webPr url="http://www.emega.com.tw/z/zc/zch/zch_8921.djhtm" htmlTables="1" htmlFormat="all"/>
  </connection>
  <connection id="18" name="連線1012" type="4" refreshedVersion="0" background="1">
    <webPr url="http://www.emega.com.tw/z/zc/zch/zch_8924.djhtm" htmlTables="1" htmlFormat="all"/>
  </connection>
  <connection id="19" name="連線1013" type="4" refreshedVersion="0" background="1">
    <webPr url="http://www.emega.com.tw/z/zc/zch/zch_8927.djhtm" htmlTables="1" htmlFormat="all"/>
  </connection>
  <connection id="20" name="連線1014" type="4" refreshedVersion="0" background="1">
    <webPr url="http://www.emega.com.tw/z/zc/zch/zch_8929.djhtm" htmlTables="1" htmlFormat="all"/>
  </connection>
  <connection id="21" name="連線1015" type="4" refreshedVersion="0" background="1">
    <webPr url="http://www.emega.com.tw/z/zc/zch/zch_8930.djhtm" htmlTables="1" htmlFormat="all"/>
  </connection>
  <connection id="22" name="連線1016" type="4" refreshedVersion="0" background="1">
    <webPr url="http://www.emega.com.tw/z/zc/zch/zch_8932.djhtm" htmlTables="1" htmlFormat="all"/>
  </connection>
  <connection id="23" name="連線1017" type="4" refreshedVersion="0" background="1">
    <webPr url="http://www.emega.com.tw/z/zc/zch/zch_8933.djhtm" htmlTables="1" htmlFormat="all"/>
  </connection>
  <connection id="24" name="連線1018" type="4" refreshedVersion="0" background="1">
    <webPr url="http://www.emega.com.tw/z/zc/zch/zch_8934.djhtm" htmlTables="1" htmlFormat="all"/>
  </connection>
  <connection id="25" name="連線1019" type="4" refreshedVersion="0" background="1">
    <webPr url="http://www.emega.com.tw/z/zc/zch/zch_8936.djhtm" htmlTables="1" htmlFormat="all"/>
  </connection>
  <connection id="26" name="連線102" type="4" refreshedVersion="0" background="1">
    <webPr url="http://www.emega.com.tw/z/zc/zch/zch_1315.djhtm" htmlTables="1" htmlFormat="all"/>
  </connection>
  <connection id="27" name="連線1020" type="4" refreshedVersion="0" background="1">
    <webPr url="http://www.emega.com.tw/z/zc/zch/zch_8937.djhtm" htmlTables="1" htmlFormat="all"/>
  </connection>
  <connection id="28" name="連線1021" type="4" refreshedVersion="0" background="1">
    <webPr url="http://www.emega.com.tw/z/zc/zch/zch_9949.djhtm" htmlTables="1" htmlFormat="all"/>
  </connection>
  <connection id="29" name="連線1022" type="4" refreshedVersion="0" background="1">
    <webPr url="http://www.emega.com.tw/z/zc/zch/zch_9950.djhtm" htmlTables="1" htmlFormat="all"/>
  </connection>
  <connection id="30" name="連線1023" type="4" refreshedVersion="0" background="1">
    <webPr url="http://www.emega.com.tw/z/zc/zch/zch_9960.djhtm" htmlTables="1" htmlFormat="all"/>
  </connection>
  <connection id="31" name="連線1024" type="4" refreshedVersion="0" background="1">
    <webPr url="http://www.emega.com.tw/z/zc/zch/zch_2108.djhtm" htmlTables="1" htmlFormat="all"/>
  </connection>
  <connection id="32" name="連線1025" type="4" refreshedVersion="0" background="1">
    <webPr url="http://www.emega.com.tw/z/zc/zch/zch_9962.djhtm" htmlTables="1" htmlFormat="all"/>
  </connection>
  <connection id="33" name="連線1026" type="4" refreshedVersion="0" background="1">
    <webPr url="http://www.emega.com.tw/z/zc/zch/zch_1227.djhtm" htmlTables="1" htmlFormat="all"/>
  </connection>
  <connection id="34" name="連線1027" type="4" refreshedVersion="0" background="1">
    <webPr url="http://www.emega.com.tw/z/zc/zch/zch_1229.djhtm" htmlTables="1" htmlFormat="all"/>
  </connection>
  <connection id="35" name="連線1028" type="4" refreshedVersion="0" background="1">
    <webPr url="http://www.emega.com.tw/z/zc/zch/zch_1231.djhtm" htmlTables="1" htmlFormat="all"/>
  </connection>
  <connection id="36" name="連線1029" type="4" refreshedVersion="0" background="1">
    <webPr url="http://www.emega.com.tw/z/zc/zch/zch_1234.djhtm" htmlTables="1" htmlFormat="all"/>
  </connection>
  <connection id="37" name="連線103" type="4" refreshedVersion="0" background="1">
    <webPr url="http://www.emega.com.tw/z/zc/zch/zch_1316.djhtm" htmlTables="1" htmlFormat="all"/>
  </connection>
  <connection id="38" name="連線1030" type="4" refreshedVersion="0" background="1">
    <webPr url="http://www.emega.com.tw/z/zc/zch/zch_1236.djhtm" htmlTables="1" htmlFormat="all"/>
  </connection>
  <connection id="39" name="連線1031" type="4" refreshedVersion="0" background="1">
    <webPr url="http://jsjustweb.jihsun.com.tw/z/zc/zco/zco0/zco0.djhtm?a=1521&amp;b=1650" htmlTables="1" htmlFormat="all"/>
  </connection>
  <connection id="40" name="連線1032" type="4" refreshedVersion="0" background="1">
    <webPr url="http://www.emega.com.tw/z/zc/zch/zch_1262.djhtm" htmlTables="1" htmlFormat="all"/>
  </connection>
  <connection id="41" name="連線1033" type="4" refreshedVersion="0" background="1">
    <webPr url="http://www.emega.com.tw/z/zc/zch/zch_1303.djhtm" htmlTables="1" htmlFormat="all"/>
  </connection>
  <connection id="42" name="連線1034" type="4" refreshedVersion="0" background="1">
    <webPr url="http://www.emega.com.tw/z/zc/zch/zch_1215.djhtm" htmlTables="1" htmlFormat="all"/>
  </connection>
  <connection id="43" name="連線1035" type="4" refreshedVersion="0" background="1">
    <webPr url="http://www.emega.com.tw/z/zc/zch/zch_1216.djhtm" htmlTables="1" htmlFormat="all"/>
  </connection>
  <connection id="44" name="連線1036" type="4" refreshedVersion="0" background="1">
    <webPr url="http://www.tdcc.com.tw/smWeb/QryStock.jsp?SCA_DATE=待讀清單&amp;SqlMethod=StockNo&amp;StockNo=1449&amp;StockName=&amp;sub=%ACd%B8%DF" htmlTables="1" htmlFormat="all"/>
  </connection>
  <connection id="45" name="連線1037" type="4" refreshedVersion="0" background="1">
    <webPr url="http://www.emega.com.tw/z/zc/zch/zch_1416.djhtm" htmlTables="1" htmlFormat="all"/>
  </connection>
  <connection id="46" name="連線1038" type="4" refreshedVersion="0" background="1">
    <webPr url="http://www.emega.com.tw/z/zc/zch/zch_1101.djhtm" htmlTables="1" htmlFormat="all"/>
  </connection>
  <connection id="47" name="連線1039" type="4" refreshedVersion="0" background="1">
    <webPr url="http://justdata.yuanta.com.tw/z/zc/zcq/zcq_3017.asp.htm" htmlTables="1" htmlFormat="all"/>
  </connection>
  <connection id="48" name="連線104" type="4" refreshedVersion="0" background="1">
    <webPr url="http://www.emega.com.tw/z/zc/zch/zch_1319.djhtm" htmlTables="1" htmlFormat="all"/>
  </connection>
  <connection id="49" name="連線1040" type="4" refreshedVersion="0" background="1">
    <webPr url="http://justdata.yuanta.com.tw/z/zc/zch/zch_3017.asp.htm" htmlTables="1" htmlFormat="all"/>
  </connection>
  <connection id="50" name="連線1041" type="4" refreshedVersion="0" background="1">
    <webPr url="http://www.cnyes.com/twstock/Technical/4733.htm" htmlTables="1" htmlFormat="all"/>
  </connection>
  <connection id="51" name="連線1042" type="4" refreshedVersion="0" background="1">
    <webPr url="http://www.cnyes.com/twstock/Technical/8.htm" htmlTables="1" htmlFormat="all"/>
  </connection>
  <connection id="52" name="連線1043" type="4" refreshedVersion="0" background="1">
    <webPr url="http://justdata.yuanta.com.tw/z/zc/zch/zch_3014.asp.htm" htmlTables="1" htmlFormat="all"/>
  </connection>
  <connection id="53" name="連線1044" type="4" refreshedVersion="0" background="1">
    <webPr url="http://www.cnyes.com/twstock/Technical/8.htm" htmlTables="1" htmlFormat="all"/>
  </connection>
  <connection id="54" name="連線1045" type="4" refreshedVersion="0" background="1">
    <webPr url="http://www.cnyes.com/twstock/Technical/84.htm" htmlTables="1" htmlFormat="all"/>
  </connection>
  <connection id="55" name="連線1046" type="4" refreshedVersion="0" background="1">
    <webPr url="http://www.cnyes.com/twstock/Technical/842.htm" htmlTables="1" htmlFormat="all"/>
  </connection>
  <connection id="56" name="連線1047" type="4" refreshedVersion="0" background="1">
    <webPr url="http://www.tdcc.com.tw/smWeb/QryStock.jsp?SCA_DATE=20150401&amp;SqlMethod=StockNo&amp;StockNo=1338&amp;StockName=&amp;sub=%ACd%B8%DF" htmlTables="1" htmlFormat="all"/>
  </connection>
  <connection id="57" name="連線1048" type="4" refreshedVersion="0" background="1">
    <webPr url="http://www.cnyes.com/twstock/Technical/1.htm" htmlTables="1" htmlFormat="all"/>
  </connection>
  <connection id="58" name="連線1049" type="4" refreshedVersion="0" background="1">
    <webPr url="http://jsjustweb.jihsun.com.tw/z/zc/zco/zco0/zco0.djhtm?a=1568&amp;b=" htmlTables="1" htmlFormat="all"/>
  </connection>
  <connection id="59" name="連線105" type="4" refreshedVersion="0" background="1">
    <webPr url="http://www.tdcc.com.tw/smWeb/QryStock.jsp?SCA_DATE=20160325&amp;SqlMethod=StockNo&amp;StockNo=1219&amp;StockName=&amp;sub=%ACd%B8%DF" htmlTables="1" htmlFormat="all"/>
  </connection>
  <connection id="60" name="連線1050" type="4" refreshedVersion="0" background="1">
    <webPr url="http://www.cnyes.com/twstock/Technical/15.htm" htmlTables="1" htmlFormat="all"/>
  </connection>
  <connection id="61" name="連線1051" type="4" refreshedVersion="0" background="1">
    <webPr url="http://www.cnyes.com/twstock/Technical/156.htm" htmlTables="1" htmlFormat="all"/>
  </connection>
  <connection id="62" name="連線1052" type="4" refreshedVersion="0" background="1">
    <webPr url="http://www.cnyes.com/twstock/Technical/4.htm" htmlTables="1" htmlFormat="all"/>
  </connection>
  <connection id="63" name="連線1053" type="4" refreshedVersion="0" background="1">
    <webPr url="http://www.cnyes.com/twstock/Technical/44.htm" htmlTables="1" htmlFormat="all"/>
  </connection>
  <connection id="64" name="連線1054" type="4" refreshedVersion="0" background="1">
    <webPr url="http://www.cnyes.com/twstock/Technical/443.htm" htmlTables="1" htmlFormat="all"/>
  </connection>
  <connection id="65" name="連線1055" type="4" refreshedVersion="0" background="1">
    <webPr url="http://www.cnyes.com/twstock/Technical/4.htm" htmlTables="1" htmlFormat="all"/>
  </connection>
  <connection id="66" name="連線1056" type="4" refreshedVersion="0" background="1">
    <webPr url="http://www.cnyes.com/twstock/Technical/41.htm" htmlTables="1" htmlFormat="all"/>
  </connection>
  <connection id="67" name="連線1057" type="4" refreshedVersion="0" background="1">
    <webPr url="http://www.cnyes.com/twstock/Technical/411.htm" htmlTables="1" htmlFormat="all"/>
  </connection>
  <connection id="68" name="連線1058" type="4" refreshedVersion="0" background="1">
    <webPr url="http://www.cnyes.com/twstock/Technical/1.htm" htmlTables="1" htmlFormat="all"/>
  </connection>
  <connection id="69" name="連線1059" type="4" refreshedVersion="0" background="1">
    <webPr url="http://www.cnyes.com/twstock/Technical/15.htm" htmlTables="1" htmlFormat="all"/>
  </connection>
  <connection id="70" name="連線106" type="4" refreshedVersion="0" background="1">
    <webPr url="http://justdata.yuanta.com.tw/z/zc/zcq/zcq_1103.asp.htm" htmlTables="1" htmlFormat="all"/>
  </connection>
  <connection id="71" name="連線1060" type="4" refreshedVersion="0" background="1">
    <webPr url="http://www.cnyes.com/twstock/Technical/156.htm" htmlTables="1" htmlFormat="all"/>
  </connection>
  <connection id="72" name="連線1061" type="4" refreshedVersion="0" background="1">
    <webPr url="http://www.cnyes.com/twstock/Technical/2.htm" htmlTables="1" htmlFormat="all"/>
  </connection>
  <connection id="73" name="連線1062" type="4" refreshedVersion="0" background="1">
    <webPr url="http://www.cnyes.com/twstock/Technical/24.htm" htmlTables="1" htmlFormat="all"/>
  </connection>
  <connection id="74" name="連線1063" type="4" refreshedVersion="0" background="1">
    <webPr url="http://www.cnyes.com/twstock/Technical/249.htm" htmlTables="1" htmlFormat="all"/>
  </connection>
  <connection id="75" name="連線1064" type="4" refreshedVersion="0" background="1">
    <webPr url="http://www.cnyes.com/twstock/Technical/6.htm" htmlTables="1" htmlFormat="all"/>
  </connection>
  <connection id="76" name="連線1065" type="4" refreshedVersion="0" background="1">
    <webPr url="http://www.cnyes.com/twstock/Technical/62.htm" htmlTables="1" htmlFormat="all"/>
  </connection>
  <connection id="77" name="連線1066" type="4" refreshedVersion="0" background="1">
    <webPr url="http://www.cnyes.com/twstock/Technical/620.htm" htmlTables="1" htmlFormat="all"/>
  </connection>
  <connection id="78" name="連線1067" type="4" refreshedVersion="0" background="1">
    <webPr url="http://www.cnyes.com/twstock/Technical/4.htm" htmlTables="1" htmlFormat="all"/>
  </connection>
  <connection id="79" name="連線1068" type="4" refreshedVersion="0" background="1">
    <webPr url="http://www.cnyes.com/twstock/Technical/44.htm" htmlTables="1" htmlFormat="all"/>
  </connection>
  <connection id="80" name="連線1069" type="4" refreshedVersion="0" background="1">
    <webPr url="http://www.cnyes.com/twstock/Technical/443.htm" htmlTables="1" htmlFormat="all"/>
  </connection>
  <connection id="81" name="連線107" type="4" refreshedVersion="0" background="1">
    <webPr url="http://www.emega.com.tw/z/zc/zch/zch_1262.djhtm" htmlTables="1" htmlFormat="all"/>
  </connection>
  <connection id="82" name="連線1070" type="4" refreshedVersion="0" background="1">
    <webPr url="http://www.cnyes.com/twstock/Technical/4.htm" htmlTables="1" htmlFormat="all"/>
  </connection>
  <connection id="83" name="連線1071" type="4" refreshedVersion="0" background="1">
    <webPr url="http://www.cnyes.com/twstock/Technical/4.htm" htmlTables="1" htmlFormat="all"/>
  </connection>
  <connection id="84" name="連線1072" type="4" refreshedVersion="0" background="1">
    <webPr url="http://www.cnyes.com/twstock/Technical/41.htm" htmlTables="1" htmlFormat="all"/>
  </connection>
  <connection id="85" name="連線1073" type="4" refreshedVersion="0" background="1">
    <webPr url="http://www.cnyes.com/twstock/Technical/411.htm" htmlTables="1" htmlFormat="all"/>
  </connection>
  <connection id="86" name="連線1074" type="4" refreshedVersion="0" background="1">
    <webPr url="http://www.cnyes.com/twstock/Technical/6.htm" htmlTables="1" htmlFormat="all"/>
  </connection>
  <connection id="87" name="連線1075" type="4" refreshedVersion="0" background="1">
    <webPr url="http://www.cnyes.com/twstock/Technical/62.htm" htmlTables="1" htmlFormat="all"/>
  </connection>
  <connection id="88" name="連線1076" type="4" refreshedVersion="0" background="1">
    <webPr url="http://www.cnyes.com/twstock/Technical/620.htm" htmlTables="1" htmlFormat="all"/>
  </connection>
  <connection id="89" name="連線1077" type="4" refreshedVersion="0" background="1">
    <webPr url="http://www.cnyes.com/twstock/Technical/4.htm" htmlTables="1" htmlFormat="all"/>
  </connection>
  <connection id="90" name="連線1078" type="4" refreshedVersion="0" background="1">
    <webPr url="http://www.cnyes.com/twstock/Technical/44.htm" htmlTables="1" htmlFormat="all"/>
  </connection>
  <connection id="91" name="連線1079" type="4" refreshedVersion="0" background="1">
    <webPr url="http://www.cnyes.com/twstock/Technical/443.htm" htmlTables="1" htmlFormat="all"/>
  </connection>
  <connection id="92" name="連線108" type="4" refreshedVersion="0" background="1">
    <webPr url="http://www.emega.com.tw/z/zc/zch/zch_1338.djhtm" htmlTables="1" htmlFormat="all"/>
  </connection>
  <connection id="93" name="連線1080" type="4" refreshedVersion="0" background="1">
    <webPr url="http://www.cnyes.com/twstock/Technical/3.htm" htmlTables="1" htmlFormat="all"/>
  </connection>
  <connection id="94" name="連線1081" type="4" refreshedVersion="0" background="1">
    <webPr url="http://www.tdcc.com.tw/smWeb/QryStock.jsp?SCA_DATE=20150522&amp;SqlMethod=StockNo&amp;StockNo=1316&amp;StockName=&amp;sub=%ACd%B8%DF" htmlTables="1" htmlFormat="all"/>
  </connection>
  <connection id="95" name="連線1082" type="4" refreshedVersion="0" background="1">
    <webPr url="http://www.cnyes.com/twstock/Technical/1.htm" htmlTables="1" htmlFormat="all"/>
  </connection>
  <connection id="96" name="連線1083" type="4" refreshedVersion="0" background="1">
    <webPr url="http://www.cnyes.com/twstock/Technical/15.htm" htmlTables="1" htmlFormat="all"/>
  </connection>
  <connection id="97" name="連線1084" type="4" refreshedVersion="0" background="1">
    <webPr url="http://www.cnyes.com/twstock/Technical/151.htm" htmlTables="1" htmlFormat="all"/>
  </connection>
  <connection id="98" name="連線1085" type="4" refreshedVersion="0" background="1">
    <webPr url="http://www.cnyes.com/twstock/Technical/1.htm" htmlTables="1" htmlFormat="all"/>
  </connection>
  <connection id="99" name="連線1086" type="4" refreshedVersion="0" background="1">
    <webPr url="http://www.cnyes.com/twstock/Technical/15.htm" htmlTables="1" htmlFormat="all"/>
  </connection>
  <connection id="100" name="連線1087" type="4" refreshedVersion="0" background="1">
    <webPr url="http://www.cnyes.com/twstock/Technical/151.htm" htmlTables="1" htmlFormat="all"/>
  </connection>
  <connection id="101" name="連線1088" type="4" refreshedVersion="0" background="1">
    <webPr url="http://www.cnyes.com/twstock/Technical/3.htm" htmlTables="1" htmlFormat="all"/>
  </connection>
  <connection id="102" name="連線1089" type="4" refreshedVersion="0" background="1">
    <webPr url="http://www.cnyes.com/twstock/Technical/3.htm" htmlTables="1" htmlFormat="all"/>
  </connection>
  <connection id="103" name="連線109" type="4" refreshedVersion="0" background="1">
    <webPr url="http://www.emega.com.tw/z/zc/zch/zch_1339.djhtm" htmlTables="1" htmlFormat="all"/>
  </connection>
  <connection id="104" name="連線1090" type="4" refreshedVersion="0" background="1">
    <webPr url="http://www.cnyes.com/twstock/Technical/36.htm" htmlTables="1" htmlFormat="all"/>
  </connection>
  <connection id="105" name="連線1091" type="4" refreshedVersion="0" background="1">
    <webPr url="http://www.cnyes.com/twstock/Technical/366.htm" htmlTables="1" htmlFormat="all"/>
  </connection>
  <connection id="106" name="連線1092" type="4" refreshedVersion="0" background="1">
    <webPr url="http://www.cnyes.com/twstock/Technical/3.htm" htmlTables="1" htmlFormat="all"/>
  </connection>
  <connection id="107" name="連線1093" type="4" refreshedVersion="0" background="1">
    <webPr url="http://www.cnyes.com/twstock/Technical/3.htm" htmlTables="1" htmlFormat="all"/>
  </connection>
  <connection id="108" name="連線1094" type="4" refreshedVersion="0" background="1">
    <webPr url="http://www.cnyes.com/twstock/Technical/36.htm" htmlTables="1" htmlFormat="all"/>
  </connection>
  <connection id="109" name="連線1095" type="4" refreshedVersion="0" background="1">
    <webPr url="http://www.cnyes.com/twstock/Technical/366.htm" htmlTables="1" htmlFormat="all"/>
  </connection>
  <connection id="110" name="連線1096" type="4" refreshedVersion="0" background="1">
    <webPr url="http://www.cnyes.com/twstock/Technical/1.htm" htmlTables="1" htmlFormat="all"/>
  </connection>
  <connection id="111" name="連線1097" type="4" refreshedVersion="0" background="1">
    <webPr url="http://www.cnyes.com/twstock/Technical/12.htm" htmlTables="1" htmlFormat="all"/>
  </connection>
  <connection id="112" name="連線1098" type="4" refreshedVersion="0" background="1">
    <webPr url="http://www.cnyes.com/twstock/Technical/121.htm" htmlTables="1" htmlFormat="all"/>
  </connection>
  <connection id="113" name="連線1099" type="4" refreshedVersion="0" background="1">
    <webPr url="http://www.cnyes.com/twstock/Technical/3.htm" htmlTables="1" htmlFormat="all"/>
  </connection>
  <connection id="114" name="連線11" type="4" refreshedVersion="0" background="1">
    <webPr url="http://www.tdcc.com.tw/smWeb/QryStock.jsp?SCA_DATE=20150605&amp;SqlMethod=StockNo&amp;StockNo=1310&amp;StockName=&amp;sub=%ACd%B8%DF" htmlTables="1" htmlFormat="all"/>
  </connection>
  <connection id="115" name="連線110" type="4" refreshedVersion="0" background="1">
    <webPr url="http://www.emega.com.tw/z/zc/zcn/zcn.djhtm?a=3293&amp;b=4" htmlTables="1" htmlFormat="all"/>
  </connection>
  <connection id="116" name="連線1100" type="4" refreshedVersion="0" background="1">
    <webPr url="http://www.cnyes.com/twstock/Technical/36.htm" htmlTables="1" htmlFormat="all"/>
  </connection>
  <connection id="117" name="連線1101" type="4" refreshedVersion="0" background="1">
    <webPr url="http://www.cnyes.com/twstock/Technical/366.htm" htmlTables="1" htmlFormat="all"/>
  </connection>
  <connection id="118" name="連線1102" type="4" refreshedVersion="0" background="1">
    <webPr url="http://www.cnyes.com/twstock/Technical/3.htm" htmlTables="1" htmlFormat="all"/>
  </connection>
  <connection id="119" name="連線1103" type="4" refreshedVersion="0" background="1">
    <webPr url="http://www.cnyes.com/twstock/Technical/35.htm" htmlTables="1" htmlFormat="all"/>
  </connection>
  <connection id="120" name="連線1104" type="4" refreshedVersion="0" background="1">
    <webPr url="http://www.cnyes.com/twstock/Technical/357.htm" htmlTables="1" htmlFormat="all"/>
  </connection>
  <connection id="121" name="連線1105" type="4" refreshedVersion="0" background="1">
    <webPr url="http://www.cnyes.com/twstock/Technical/8.htm" htmlTables="1" htmlFormat="all"/>
  </connection>
  <connection id="122" name="連線1106" type="4" refreshedVersion="0" background="1">
    <webPr url="http://www.cnyes.com/twstock/Technical/89.htm" htmlTables="1" htmlFormat="all"/>
  </connection>
  <connection id="123" name="連線1107" type="4" refreshedVersion="0" background="1">
    <webPr url="http://www.cnyes.com/twstock/Technical/891.htm" htmlTables="1" htmlFormat="all"/>
  </connection>
  <connection id="124" name="連線1108" type="4" refreshedVersion="0" background="1">
    <webPr url="http://justdata.yuanta.com.tw/z/zc/zcq/zcq_公司_x000d__x000a_代號.asp.htm" htmlTables="1" htmlFormat="all"/>
  </connection>
  <connection id="125" name="連線1109" type="4" refreshedVersion="0" background="1">
    <webPr url="http://justdata.yuanta.com.tw/z/zc/zch/zch_公司_x000d__x000a_代號.asp.htm" htmlTables="1" htmlFormat="all"/>
  </connection>
  <connection id="126" name="連線111" type="4" refreshedVersion="0" background="1">
    <webPr url="http://www.emega.com.tw/z/zc/zch/zch_1410.djhtm" htmlTables="1" htmlFormat="all"/>
  </connection>
  <connection id="127" name="連線1110" type="4" refreshedVersion="0" background="1">
    <webPr url="http://www.cnyes.com/twstock/Technical/1.htm" htmlTables="1" htmlFormat="all"/>
  </connection>
  <connection id="128" name="連線1111" type="4" refreshedVersion="0" background="1">
    <webPr url="http://www.cnyes.com/twstock/Technical/1.htm" htmlTables="1" htmlFormat="all"/>
  </connection>
  <connection id="129" name="連線1112" type="4" refreshedVersion="0" background="1">
    <webPr url="http://www.cnyes.com/twstock/Technical/2.htm" htmlTables="1" htmlFormat="all"/>
  </connection>
  <connection id="130" name="連線1113" type="4" refreshedVersion="0" background="1">
    <webPr url="http://www.cnyes.com/twstock/Technical/2.htm" htmlTables="1" htmlFormat="all"/>
  </connection>
  <connection id="131" name="連線1114" type="4" refreshedVersion="5" saveData="1">
    <webPr sourceData="1" xl2000="1" url="http://www.tdcc.com.tw/smWeb/QryStock.jsp?SCA_DATE=20161007&amp;SqlMethod=StockNo&amp;StockNo=1102&amp;StockName=&amp;sub=%ACd%B8%DF" htmlTables="1">
      <tables count="1">
        <x v="8"/>
      </tables>
    </webPr>
  </connection>
  <connection id="132" name="連線1115" type="4" refreshedVersion="0" background="1">
    <webPr url="http://mops.twse.com.tw/nas/t21//t21sc03_105_7_0.html" htmlTables="1" htmlFormat="all"/>
  </connection>
  <connection id="133" name="連線1116" type="4" refreshedVersion="0" background="1">
    <webPr url="http://mops.twse.com.tw/nas/t21//t21sc03_105_7_0.html" htmlTables="1" htmlFormat="all"/>
  </connection>
  <connection id="134" name="連線1117" type="4" refreshedVersion="0" background="1">
    <webPr url="http://mops.twse.com.tw/nas/t21//t21sc03_105_7_0.html" htmlTables="1" htmlFormat="all"/>
  </connection>
  <connection id="135" name="連線1118" type="4" refreshedVersion="0" background="1">
    <webPr url="http://mops.twse.com.tw/nas/t21//t21sc03_105_7_0.html" htmlTables="1" htmlFormat="all"/>
  </connection>
  <connection id="136" name="連線1119" type="4" refreshedVersion="0" background="1">
    <webPr url="http://mops.twse.com.tw/nas/t21//t21sc03_105_7_0.html" htmlTables="1" htmlFormat="all"/>
  </connection>
  <connection id="137" name="連線112" type="4" refreshedVersion="0" background="1">
    <webPr url="http://www.emega.com.tw/z/zc/zch/zch_1316.djhtm" htmlTables="1" htmlFormat="all"/>
  </connection>
  <connection id="138" name="連線1120" type="4" refreshedVersion="5" saveData="1">
    <webPr sourceData="1" xl2000="1" url="http://www.tdcc.com.tw/smWeb/QryStock.jsp?SCA_DATE=20161014&amp;SqlMethod=StockNo&amp;StockNo=1102&amp;StockName=&amp;sub=%ACd%B8%DF" htmlTables="1">
      <tables count="1">
        <x v="8"/>
      </tables>
    </webPr>
  </connection>
  <connection id="139" name="連線1121" type="4" refreshedVersion="5" saveData="1">
    <webPr sourceData="1" xl2000="1" url="http://www.tdcc.com.tw/smWeb/QryStock.jsp?SCA_DATE=20161021&amp;SqlMethod=StockNo&amp;StockNo=1102&amp;StockName=&amp;sub=%ACd%B8%DF" htmlTables="1">
      <tables count="1">
        <x v="8"/>
      </tables>
    </webPr>
  </connection>
  <connection id="140" name="連線1122" type="4" refreshedVersion="5" saveData="1">
    <webPr sourceData="1" xl2000="1" url="http://www.tdcc.com.tw/smWeb/QryStock.jsp?SCA_DATE=20161007&amp;SqlMethod=StockNo&amp;StockNo=1103&amp;StockName=&amp;sub=%ACd%B8%DF" htmlTables="1">
      <tables count="1">
        <x v="8"/>
      </tables>
    </webPr>
  </connection>
  <connection id="141" name="連線1123" type="4" refreshedVersion="5" saveData="1">
    <webPr sourceData="1" xl2000="1" url="http://www.tdcc.com.tw/smWeb/QryStock.jsp?SCA_DATE=20161014&amp;SqlMethod=StockNo&amp;StockNo=1103&amp;StockName=&amp;sub=%ACd%B8%DF" htmlTables="1">
      <tables count="1">
        <x v="8"/>
      </tables>
    </webPr>
  </connection>
  <connection id="142" name="連線1124" type="4" refreshedVersion="5" saveData="1">
    <webPr sourceData="1" xl2000="1" url="http://www.tdcc.com.tw/smWeb/QryStock.jsp?SCA_DATE=20161021&amp;SqlMethod=StockNo&amp;StockNo=1103&amp;StockName=&amp;sub=%ACd%B8%DF" htmlTables="1">
      <tables count="1">
        <x v="8"/>
      </tables>
    </webPr>
  </connection>
  <connection id="143" name="連線1125" type="4" refreshedVersion="5" saveData="1">
    <webPr sourceData="1" xl2000="1" url="http://www.tdcc.com.tw/smWeb/QryStock.jsp?SCA_DATE=20161007&amp;SqlMethod=StockNo&amp;StockNo=1104&amp;StockName=&amp;sub=%ACd%B8%DF" htmlTables="1">
      <tables count="1">
        <x v="8"/>
      </tables>
    </webPr>
  </connection>
  <connection id="144" name="連線1126" type="4" refreshedVersion="0" background="1">
    <webPr url="http://jsjustweb.jihsun.com.tw/z/zc/zco/zco0/zco0.djhtm?a=1465&amp;b=1650" htmlTables="1" htmlFormat="all"/>
  </connection>
  <connection id="145" name="連線1127" type="4" refreshedVersion="5" saveData="1">
    <webPr sourceData="1" xl2000="1" url="http://www.tdcc.com.tw/smWeb/QryStock.jsp?SCA_DATE=20161014&amp;SqlMethod=StockNo&amp;StockNo=1104&amp;StockName=&amp;sub=%ACd%B8%DF" htmlTables="1">
      <tables count="1">
        <x v="8"/>
      </tables>
    </webPr>
  </connection>
  <connection id="146" name="連線1128" type="4" refreshedVersion="0" background="1">
    <webPr url="http://www.cnyes.com/twstock/Technical/4536.htm" htmlTables="1" htmlFormat="all"/>
  </connection>
  <connection id="147" name="連線1129" type="4" refreshedVersion="5" saveData="1">
    <webPr sourceData="1" xl2000="1" url="http://www.tdcc.com.tw/smWeb/QryStock.jsp?SCA_DATE=20161021&amp;SqlMethod=StockNo&amp;StockNo=1104&amp;StockName=&amp;sub=%ACd%B8%DF" htmlTables="1">
      <tables count="1">
        <x v="8"/>
      </tables>
    </webPr>
  </connection>
  <connection id="148" name="連線113" type="4" refreshedVersion="0" background="1">
    <webPr url="http://tw.stock.yahoo.com/q/q?s=1103" htmlTables="1" htmlFormat="all"/>
  </connection>
  <connection id="149" name="連線1130" type="4" refreshedVersion="5" saveData="1">
    <webPr sourceData="1" xl2000="1" url="http://www.tdcc.com.tw/smWeb/QryStock.jsp?SCA_DATE=20161007&amp;SqlMethod=StockNo&amp;StockNo=1108&amp;StockName=&amp;sub=%ACd%B8%DF" htmlTables="1">
      <tables count="1">
        <x v="8"/>
      </tables>
    </webPr>
  </connection>
  <connection id="150" name="連線1131" type="4" refreshedVersion="5" saveData="1">
    <webPr sourceData="1" xl2000="1" url="http://www.tdcc.com.tw/smWeb/QryStock.jsp?SCA_DATE=20161014&amp;SqlMethod=StockNo&amp;StockNo=1108&amp;StockName=&amp;sub=%ACd%B8%DF" htmlTables="1">
      <tables count="1">
        <x v="8"/>
      </tables>
    </webPr>
  </connection>
  <connection id="151" name="連線1132" type="4" refreshedVersion="5" saveData="1">
    <webPr sourceData="1" xl2000="1" url="http://www.tdcc.com.tw/smWeb/QryStock.jsp?SCA_DATE=20161021&amp;SqlMethod=StockNo&amp;StockNo=1108&amp;StockName=&amp;sub=%ACd%B8%DF" htmlTables="1">
      <tables count="1">
        <x v="8"/>
      </tables>
    </webPr>
  </connection>
  <connection id="152" name="連線1133" type="4" refreshedVersion="0" background="1">
    <webPr url="http://www.tdcc.com.tw/smWeb/QryStock.jsp?SCA_DATE=20160930&amp;SqlMethod=StockNo&amp;StockNo=1104&amp;StockName=&amp;sub=%ACd%B8%DF" htmlTables="1" htmlFormat="all"/>
  </connection>
  <connection id="153" name="連線1134" type="4" refreshedVersion="5" saveData="1">
    <webPr sourceData="1" xl2000="1" url="http://www.tdcc.com.tw/smWeb/QryStock.jsp?SCA_DATE=20161007&amp;SqlMethod=StockNo&amp;StockNo=1109&amp;StockName=&amp;sub=%ACd%B8%DF" htmlTables="1">
      <tables count="1">
        <x v="8"/>
      </tables>
    </webPr>
  </connection>
  <connection id="154" name="連線1135" type="4" refreshedVersion="5" saveData="1">
    <webPr sourceData="1" xl2000="1" url="http://www.tdcc.com.tw/smWeb/QryStock.jsp?SCA_DATE=20161014&amp;SqlMethod=StockNo&amp;StockNo=1109&amp;StockName=&amp;sub=%ACd%B8%DF" htmlTables="1">
      <tables count="1">
        <x v="8"/>
      </tables>
    </webPr>
  </connection>
  <connection id="155" name="連線1137" type="4" refreshedVersion="5" background="1" saveData="1">
    <webPr sourceData="1" parsePre="1" consecutive="1" xl2000="1" url="http://siis.twse.com.tw/publish/sii/105IRB100_09.HTM" htmlTables="1"/>
  </connection>
  <connection id="156" name="連線1138" type="4" refreshedVersion="5" background="1" saveData="1">
    <webPr sourceData="1" parsePre="1" consecutive="1" xl2000="1" url="http://siis.twse.com.tw/publish/otc/105IRB100_09.HTM" htmlTables="1"/>
  </connection>
  <connection id="157" name="連線114" type="4" refreshedVersion="0" background="1">
    <webPr url="http://www.emega.com.tw/z/zc/zch/zch_1413.djhtm" htmlTables="1" htmlFormat="all"/>
  </connection>
  <connection id="158" name="連線1143" type="4" refreshedVersion="0" background="1">
    <webPr url="http://www.tdcc.com.tw/smWeb/QryStock.jsp?SCA_DATE=20161007&amp;SqlMethod=StockNo&amp;StockNo=1110&amp;StockName=&amp;sub=%ACd%B8%DF" htmlTables="1" htmlFormat="all"/>
  </connection>
  <connection id="159" name="連線115" type="4" refreshedVersion="0" background="1">
    <webPr url="http://www.emega.com.tw/z/zc/zch/zch_1416.djhtm" htmlTables="1" htmlFormat="all"/>
  </connection>
  <connection id="160" name="連線1152" type="4" refreshedVersion="0" background="1">
    <webPr url="http://tw.stock.yahoo.com/q/q?s=8341" htmlTables="1" htmlFormat="all"/>
  </connection>
  <connection id="161" name="連線1155" type="4" refreshedVersion="0" background="1">
    <webPr url="http://www.tdcc.com.tw/smWeb/QryStock.jsp?SCA_DATE=20160930&amp;SqlMethod=StockNo&amp;StockNo=1104&amp;StockName=&amp;sub=%ACd%B8%DF" htmlTables="1" htmlFormat="all"/>
  </connection>
  <connection id="162" name="連線1156" type="4" refreshedVersion="0" background="1">
    <webPr url="http://www.emega.com.tw/z/zc/zch/zch_2390.djhtm" htmlTables="1" htmlFormat="all"/>
  </connection>
  <connection id="163" name="連線116" type="4" refreshedVersion="0" background="1">
    <webPr url="http://www.emega.com.tw/z/zc/zch/zch_1417.djhtm" htmlTables="1" htmlFormat="all"/>
  </connection>
  <connection id="164" name="連線117" type="4" refreshedVersion="0" background="1">
    <webPr url="http://justdata.yuanta.com.tw/z/zc/zcp/zcpa/zcpa_1220.asp.htm" htmlTables="1" htmlFormat="all"/>
  </connection>
  <connection id="165" name="連線118" type="4" refreshedVersion="0" background="1">
    <webPr url="http://www.emega.com.tw/z/zc/zch/zch_1418.djhtm" htmlTables="1" htmlFormat="all"/>
  </connection>
  <connection id="166" name="連線1189" type="4" refreshedVersion="0" background="1">
    <webPr url="http://www.tdcc.com.tw/smWeb/QryStock.jsp?SCA_DATE=20160902&amp;SqlMethod=StockNo&amp;StockNo=2540&amp;StockName=&amp;sub=%ACd%B8%DF" htmlTables="1" htmlFormat="all"/>
  </connection>
  <connection id="167" name="連線119" type="4" refreshedVersion="0" background="1">
    <webPr url="http://justdata.yuanta.com.tw/z/zc/zcq/zcq_2637.asp.htm" htmlTables="1" htmlFormat="all"/>
  </connection>
  <connection id="168" name="連線12" type="4" refreshedVersion="0" background="1">
    <webPr url="http://justdata.yuanta.com.tw/z/zc/zcp/zcpa/zcpa_1103.asp.htm" htmlTables="1" htmlFormat="all"/>
  </connection>
  <connection id="169" name="連線120" type="4" refreshedVersion="0" background="1">
    <webPr url="http://www.emega.com.tw/z/zc/zch/zch_1419.djhtm" htmlTables="1" htmlFormat="all"/>
  </connection>
  <connection id="170" name="連線1203" type="4" refreshedVersion="0" background="1">
    <webPr url="http://www.tdcc.com.tw/smWeb/QryStock.jsp?SCA_DATE=20160819&amp;SqlMethod=StockNo&amp;StockNo=9929&amp;StockName=&amp;sub=%ACd%B8%DF" htmlTables="1" htmlFormat="all"/>
  </connection>
  <connection id="171" name="連線1205" type="4" refreshedVersion="0" background="1">
    <webPr url="http://justdata.yuanta.com.tw/z/zc/zch/zch_1722.asp.htm" htmlTables="1" htmlFormat="all"/>
  </connection>
  <connection id="172" name="連線121" type="4" refreshedVersion="0" background="1">
    <webPr url="http://www.emega.com.tw/z/zc/zch/zch_1423.djhtm" htmlTables="1" htmlFormat="all"/>
  </connection>
  <connection id="173" name="連線122" type="4" refreshedVersion="0" background="1">
    <webPr url="http://www.tdcc.com.tw/smWeb/QryStock.jsp?SCA_DATE=20150401&amp;SqlMethod=StockNo&amp;StockNo=1340&amp;StockName=&amp;sub=%ACd%B8%DF" htmlTables="1" htmlFormat="all"/>
  </connection>
  <connection id="174" name="連線1224" type="4" refreshedVersion="0" background="1">
    <webPr url="http://www.emega.com.tw/z/zc/zch/zch_1436.djhtm" htmlTables="1" htmlFormat="all"/>
  </connection>
  <connection id="175" name="連線1229" type="4" refreshedVersion="0" background="1">
    <webPr url="http://jsjustweb.jihsun.com.tw/z/zc/zco/zco0/zco0.djhtm?a=1473&amp;b=1650" htmlTables="1" htmlFormat="all"/>
  </connection>
  <connection id="176" name="連線123" type="4" refreshedVersion="0" background="1">
    <webPr url="http://www.emega.com.tw/z/zc/zch/zch_2399.djhtm" htmlTables="1" htmlFormat="all"/>
  </connection>
  <connection id="177" name="連線124" type="4" refreshedVersion="0" background="1">
    <webPr url="http://www.emega.com.tw/z/zc/zch/zch_1315.djhtm" htmlTables="1" htmlFormat="all"/>
  </connection>
  <connection id="178" name="連線1240" type="4" refreshedVersion="0" background="1">
    <webPr url="http://justdata.yuanta.com.tw/z/zc/zch/zch_6139.asp.htm" htmlTables="1" htmlFormat="all"/>
  </connection>
  <connection id="179" name="連線125" type="4" refreshedVersion="0" background="1">
    <webPr url="http://www.emega.com.tw/z/zc/zch/zch_1432.djhtm" htmlTables="1" htmlFormat="all"/>
  </connection>
  <connection id="180" name="連線126" type="4" refreshedVersion="0" background="1">
    <webPr url="http://www.emega.com.tw/z/zc/zch/zch_1434.djhtm" htmlTables="1" htmlFormat="all"/>
  </connection>
  <connection id="181" name="連線127" type="4" refreshedVersion="0" background="1">
    <webPr url="http://www.tdcc.com.tw/smWeb/QryStock.jsp?SCA_DATE=20160414&amp;SqlMethod=StockNo&amp;StockNo=2364&amp;StockName=&amp;sub=%ACd%B8%DF" htmlTables="1" htmlFormat="all"/>
  </connection>
  <connection id="182" name="連線128" type="4" refreshedVersion="0" background="1">
    <webPr url="http://www.emega.com.tw/z/zc/zch/zch_1436.djhtm" htmlTables="1" htmlFormat="all"/>
  </connection>
  <connection id="183" name="連線129" type="4" refreshedVersion="0" background="1">
    <webPr url="http://www.tdcc.com.tw/smWeb/QryStock.jsp?SCA_DATE=單季EPS&amp;SqlMethod=StockNo&amp;StockNo=1730&amp;StockName=&amp;sub=%ACd%B8%DF" htmlTables="1" htmlFormat="all"/>
  </connection>
  <connection id="184" name="連線13" type="4" refreshedVersion="0" background="1">
    <webPr url="http://www.tdcc.com.tw/smWeb/QryStock.jsp?SCA_DATE=20150430&amp;SqlMethod=StockNo&amp;StockNo=3675&amp;StockName=&amp;sub=%ACd%B8%DF" htmlTables="1" htmlFormat="all"/>
  </connection>
  <connection id="185" name="連線130" type="4" refreshedVersion="0" background="1">
    <webPr url="http://stockchannel.sinotrade.com.tw/z/zc/zca/zca_14322.djhtm" htmlTables="1" htmlFormat="all"/>
  </connection>
  <connection id="186" name="連線1301" type="4" refreshedVersion="0" background="1">
    <webPr url="http://www.emega.com.tw/z/zc/zch/zch_1339.djhtm" htmlTables="1" htmlFormat="all"/>
  </connection>
  <connection id="187" name="連線131" type="4" refreshedVersion="0" background="1">
    <webPr url="http://www.cnyes.com/twstock/Technical/5206.htm" htmlTables="1" htmlFormat="all"/>
  </connection>
  <connection id="188" name="連線132" type="4" refreshedVersion="0" background="1">
    <webPr url="http://stockchannel.sinotrade.com.tw/z/zc/zca/zca_14423.djhtm" htmlTables="1" htmlFormat="all"/>
  </connection>
  <connection id="189" name="連線133" type="4" refreshedVersion="0" background="1">
    <webPr url="http://stockchannel.sinotrade.com.tw/z/zc/zca/zca_14641.djhtm" htmlTables="1" htmlFormat="all"/>
  </connection>
  <connection id="190" name="連線1330" type="4" refreshedVersion="0" background="1">
    <webPr url="http://www.emega.com.tw/z/zc/zch/zch_1264.djhtm" htmlTables="1" htmlFormat="all"/>
  </connection>
  <connection id="191" name="連線134" type="4" refreshedVersion="0" background="1">
    <webPr url="http://justdata.yuanta.com.tw/z/zc/zcp/zcpa/zcpa_4947.asp.htm" htmlTables="1" htmlFormat="all"/>
  </connection>
  <connection id="192" name="連線135" type="4" refreshedVersion="0" background="1">
    <webPr url="http://stockchannel.sinotrade.com.tw/z/zc/zca/zca_14642.djhtm" htmlTables="1" htmlFormat="all"/>
  </connection>
  <connection id="193" name="連線136" type="4" refreshedVersion="0" background="1">
    <webPr url="http://jsjustweb.jihsun.com.tw/z/zc/zco/zco0/zco0.djhtm?a=4991&amp;b=1090" htmlTables="1" htmlFormat="all"/>
  </connection>
  <connection id="194" name="連線137" type="4" refreshedVersion="0" background="1">
    <webPr url="http://www.emega.com.tw/z/zc/zch/zch_1439.djhtm" htmlTables="1" htmlFormat="all"/>
  </connection>
  <connection id="195" name="連線138" type="4" refreshedVersion="0" background="1">
    <webPr url="http://www.emega.com.tw/z/zc/zch/zch_1441.djhtm" htmlTables="1" htmlFormat="all"/>
  </connection>
  <connection id="196" name="連線1383" type="4" refreshedVersion="0" background="1">
    <webPr url="http://jsjustweb.jihsun.com.tw/z/zc/zco/zco0/zco0.djhtm?a=1595&amp;b=1650" htmlTables="1" htmlFormat="all"/>
  </connection>
  <connection id="197" name="連線1389" type="4" refreshedVersion="0" background="1">
    <webPr url="http://www.emega.com.tw/z/zc/zcn/zcn.djhtm?a=6431&amp;b=4" htmlTables="1" htmlFormat="all"/>
  </connection>
  <connection id="198" name="連線139" type="4" refreshedVersion="0" background="1">
    <webPr url="http://www.emega.com.tw/z/zc/zch/zch_1442.djhtm" htmlTables="1" htmlFormat="all"/>
  </connection>
  <connection id="199" name="連線14" type="4" refreshedVersion="0" background="1">
    <webPr url="http://www.cnyes.com/twstock/Technical/3587.htm" htmlTables="1" htmlFormat="all"/>
  </connection>
  <connection id="200" name="連線140" type="4" refreshedVersion="0" background="1">
    <webPr url="http://www.emega.com.tw/z/zc/zch/zch_1443.djhtm" htmlTables="1" htmlFormat="all"/>
  </connection>
  <connection id="201" name="連線141" type="4" refreshedVersion="0" background="1">
    <webPr url="http://www.emega.com.tw/z/zc/zch/zch_1447.djhtm" htmlTables="1" htmlFormat="all"/>
  </connection>
  <connection id="202" name="連線142" type="4" refreshedVersion="0" background="1">
    <webPr url="http://www.emega.com.tw/z/zc/zch/zch_6161.djhtm" htmlTables="1" htmlFormat="all"/>
  </connection>
  <connection id="203" name="連線143" type="4" refreshedVersion="0" background="1">
    <webPr url="http://www.emega.com.tw/z/zc/zch/zch_6163.djhtm" htmlTables="1" htmlFormat="all"/>
  </connection>
  <connection id="204" name="連線1431" type="4" refreshedVersion="0" background="1">
    <webPr url="http://www.tdcc.com.tw/smWeb/QryStock.jsp?SCA_DATE=20150529&amp;SqlMethod=StockNo&amp;StockNo=1593&amp;StockName=&amp;sub=%ACd%B8%DF" htmlTables="1" htmlFormat="all"/>
  </connection>
  <connection id="205" name="連線144" type="4" refreshedVersion="0" background="1">
    <webPr url="http://www.emega.com.tw/z/zc/zch/zch_1449.djhtm" htmlTables="1" htmlFormat="all"/>
  </connection>
  <connection id="206" name="連線1445" type="4" refreshedVersion="0" background="1">
    <webPr url="http://jsjustweb.jihsun.com.tw/z/zc/zco/zco0/zco0.djhtm?a=1416&amp;b=1650" htmlTables="1" htmlFormat="all"/>
  </connection>
  <connection id="207" name="連線145" type="4" refreshedVersion="0" background="1">
    <webPr url="http://www.tdcc.com.tw/smWeb/QryStock.jsp?SCA_DATE=20160810&amp;SqlMethod=StockNo&amp;StockNo=3092&amp;StockName=&amp;sub=%ACd%B8%DF" htmlTables="1" htmlFormat="all"/>
  </connection>
  <connection id="208" name="連線146" type="4" refreshedVersion="0" background="1">
    <webPr url="http://www.emega.com.tw/z/zc/zch/zch_1453.djhtm" htmlTables="1" htmlFormat="all"/>
  </connection>
  <connection id="209" name="連線147" type="4" refreshedVersion="0" background="1">
    <webPr url="http://www.tdcc.com.tw/smWeb/QryStock.jsp?SCA_DATE=20160506&amp;SqlMethod=StockNo&amp;StockNo=1227&amp;StockName=&amp;sub=%ACd%B8%DF" htmlTables="1" htmlFormat="all"/>
  </connection>
  <connection id="210" name="連線148" type="4" refreshedVersion="0" background="1">
    <webPr url="http://www.emega.com.tw/z/zc/zch/zch_1455.djhtm" htmlTables="1" htmlFormat="all"/>
  </connection>
  <connection id="211" name="連線1482" type="4" refreshedVersion="0" background="1">
    <webPr url="http://justdata.yuanta.com.tw/z/zc/zch/zch_2615.asp.htm" htmlTables="1" htmlFormat="all"/>
  </connection>
  <connection id="212" name="連線149" type="4" refreshedVersion="0" background="1">
    <webPr url="http://www.emega.com.tw/z/zc/zch/zch_1456.djhtm" htmlTables="1" htmlFormat="all"/>
  </connection>
  <connection id="213" name="連線15" type="4" refreshedVersion="0" background="1">
    <webPr url="http://justdata.yuanta.com.tw/z/zc/zcq/zcq_6212.asp.htm" htmlTables="1" htmlFormat="all"/>
  </connection>
  <connection id="214" name="連線150" type="4" refreshedVersion="0" background="1">
    <webPr url="http://www.emega.com.tw/z/zc/zch/zch_1457.djhtm" htmlTables="1" htmlFormat="all"/>
  </connection>
  <connection id="215" name="連線151" type="4" refreshedVersion="0" background="1">
    <webPr url="http://www.emega.com.tw/z/zc/zch/zch_1459.djhtm" htmlTables="1" htmlFormat="all"/>
  </connection>
  <connection id="216" name="連線1515" type="4" refreshedVersion="0" background="1">
    <webPr url="http://www.tdcc.com.tw/smWeb/QryStock.jsp?SCA_DATE=20150522&amp;SqlMethod=StockNo&amp;StockNo=1443&amp;StockName=&amp;sub=%ACd%B8%DF" htmlTables="1" htmlFormat="all"/>
  </connection>
  <connection id="217" name="連線152" type="4" refreshedVersion="0" background="1">
    <webPr url="http://www.emega.com.tw/z/zc/zch/zch_1463.djhtm" htmlTables="1" htmlFormat="all"/>
  </connection>
  <connection id="218" name="連線153" type="4" refreshedVersion="0" background="1">
    <webPr url="http://www.emega.com.tw/z/zc/zch/zch_1444.djhtm" htmlTables="1" htmlFormat="all"/>
  </connection>
  <connection id="219" name="連線154" type="4" refreshedVersion="0" background="1">
    <webPr url="http://www.emega.com.tw/z/zc/zch/zch_1465.djhtm" htmlTables="1" htmlFormat="all"/>
  </connection>
  <connection id="220" name="連線1545" type="4" refreshedVersion="0" background="1">
    <webPr url="http://www.emega.com.tw/z/zc/zch/zch_1734.djhtm" htmlTables="1" htmlFormat="all"/>
  </connection>
  <connection id="221" name="連線155" type="4" refreshedVersion="0" background="1">
    <webPr url="http://www.tdcc.com.tw/smWeb/QryStock.jsp?SCA_DATE=20151206&amp;SqlMethod=StockNo&amp;StockNo=1262&amp;StockName=&amp;sub=%ACd%B8%DF" htmlTables="1" htmlFormat="all"/>
  </connection>
  <connection id="222" name="連線156" type="4" refreshedVersion="0" background="1">
    <webPr url="http://www.emega.com.tw/z/zc/zch/zch_1466.djhtm" htmlTables="1" htmlFormat="all"/>
  </connection>
  <connection id="223" name="連線1567" type="4" refreshedVersion="0" background="1">
    <webPr url="https://www.stockdog.com.tw/m/index.php?type=0&amp;sid=1109" htmlTables="1" htmlFormat="all"/>
  </connection>
  <connection id="224" name="連線157" type="4" refreshedVersion="0" background="1">
    <webPr url="http://www.emega.com.tw/z/zc/zch/zch_1469.djhtm" htmlTables="1" htmlFormat="all"/>
  </connection>
  <connection id="225" name="連線158" type="4" refreshedVersion="0" background="1">
    <webPr url="http://www.emega.com.tw/z/zc/zch/zch_1470.djhtm" htmlTables="1" htmlFormat="all"/>
  </connection>
  <connection id="226" name="連線159" type="4" refreshedVersion="0" background="1">
    <webPr url="http://www.emega.com.tw/z/zc/zch/zch_1471.djhtm" htmlTables="1" htmlFormat="all"/>
  </connection>
  <connection id="227" name="連線16" type="4" refreshedVersion="0" background="1">
    <webPr url="http://www.cnyes.com/twstock/Technical/2313.htm" htmlTables="1" htmlFormat="all"/>
  </connection>
  <connection id="228" name="連線160" type="4" refreshedVersion="0" background="1">
    <webPr url="http://www.emega.com.tw/z/zc/zch/zch_1473.djhtm" htmlTables="1" htmlFormat="all"/>
  </connection>
  <connection id="229" name="連線161" type="4" refreshedVersion="0" background="1">
    <webPr url="http://www.emega.com.tw/z/zc/zch/zch_1474.djhtm" htmlTables="1" htmlFormat="all"/>
  </connection>
  <connection id="230" name="連線162" type="4" refreshedVersion="0" background="1">
    <webPr url="http://www.tdcc.com.tw/smWeb/QryStock.jsp?SCA_DATE=20160408&amp;SqlMethod=StockNo&amp;StockNo=8921&amp;StockName=&amp;sub=%ACd%B8%DF" htmlTables="1" htmlFormat="all"/>
  </connection>
  <connection id="231" name="連線163" type="4" refreshedVersion="0" background="1">
    <webPr url="http://www.emega.com.tw/z/zc/zch/zch_2450.djhtm" htmlTables="1" htmlFormat="all"/>
  </connection>
  <connection id="232" name="連線1636" type="4" refreshedVersion="0" background="1">
    <webPr url="http://justdata.yuanta.com.tw/z/zc/zcq/zcq_.asp.htm" htmlTables="1" htmlFormat="all"/>
  </connection>
  <connection id="233" name="連線164" type="4" refreshedVersion="0" background="1">
    <webPr url="http://www.emega.com.tw/z/zc/zch/zch_1506.djhtm" htmlTables="1" htmlFormat="all"/>
  </connection>
  <connection id="234" name="連線165" type="4" refreshedVersion="0" background="1">
    <webPr url="http://www.emega.com.tw/z/zc/zch/zch_1512.djhtm" htmlTables="1" htmlFormat="all"/>
  </connection>
  <connection id="235" name="連線166" type="4" refreshedVersion="0" background="1">
    <webPr url="http://www.emega.com.tw/z/zc/zch/zch_1513.djhtm" htmlTables="1" htmlFormat="all"/>
  </connection>
  <connection id="236" name="連線167" type="4" refreshedVersion="0" background="1">
    <webPr url="http://www.tdcc.com.tw/smWeb/QryStock.jsp?SCA_DATE=單季EPS&amp;SqlMethod=StockNo&amp;StockNo=2062&amp;StockName=&amp;sub=%ACd%B8%DF" htmlTables="1" htmlFormat="all"/>
  </connection>
  <connection id="237" name="連線168" type="4" refreshedVersion="0" background="1">
    <webPr url="http://www.emega.com.tw/z/zc/zch/zch_1514.djhtm" htmlTables="1" htmlFormat="all"/>
  </connection>
  <connection id="238" name="連線169" type="4" refreshedVersion="0" background="1">
    <webPr url="http://www.emega.com.tw/z/zc/zch/zch_1517.djhtm" htmlTables="1" htmlFormat="all"/>
  </connection>
  <connection id="239" name="連線17" type="4" refreshedVersion="0" background="1">
    <webPr url="http://justdata.yuanta.com.tw/z/zc/zc3/zc3_9946.asp.htm" htmlTables="1" htmlFormat="all"/>
  </connection>
  <connection id="240" name="連線170" type="4" refreshedVersion="0" background="1">
    <webPr url="http://www.emega.com.tw/z/zc/zch/zch_1522.djhtm" htmlTables="1" htmlFormat="all"/>
  </connection>
  <connection id="241" name="連線171" type="4" refreshedVersion="0" background="1">
    <webPr url="http://www.emega.com.tw/z/zc/zch/zch_1526.djhtm" htmlTables="1" htmlFormat="all"/>
  </connection>
  <connection id="242" name="連線172" type="4" refreshedVersion="0" background="1">
    <webPr url="http://www.emega.com.tw/z/zc/zch/zch_1220.djhtm" htmlTables="1" htmlFormat="all"/>
  </connection>
  <connection id="243" name="連線1723" type="4" refreshedVersion="0" background="1">
    <webPr url="http://justdata.yuanta.com.tw/z/zc/zcq/zcq_8039.asp.htm" htmlTables="1" htmlFormat="all"/>
  </connection>
  <connection id="244" name="連線1724" type="4" refreshedVersion="0" background="1">
    <webPr url="http://justdata.yuanta.com.tw/z/zc/zcq/zcq_2231.asp.htm" htmlTables="1" htmlFormat="all"/>
  </connection>
  <connection id="245" name="連線173" type="4" refreshedVersion="0" background="1">
    <webPr url="http://www.emega.com.tw/z/zc/zch/zch_1531.djhtm" htmlTables="1" htmlFormat="all"/>
  </connection>
  <connection id="246" name="連線1734" type="4" refreshedVersion="0" background="1">
    <webPr url="http://justdata.yuanta.com.tw/z/zc/zcp/zcpa/zcpa_6213.asp.htm" htmlTables="1" htmlFormat="all"/>
  </connection>
  <connection id="247" name="連線174" type="4" refreshedVersion="0" background="1">
    <webPr url="http://www.emega.com.tw/z/zc/zch/zch_1533.djhtm" htmlTables="1" htmlFormat="all"/>
  </connection>
  <connection id="248" name="連線1749" type="4" refreshedVersion="0" background="1">
    <webPr url="http://justdata.yuanta.com.tw/z/zc/zcq/zcq_2489.asp.htm" htmlTables="1" htmlFormat="all"/>
  </connection>
  <connection id="249" name="連線175" type="4" refreshedVersion="0" background="1">
    <webPr url="http://www.emega.com.tw/z/zc/zch/zch_1536.djhtm" htmlTables="1" htmlFormat="all"/>
  </connection>
  <connection id="250" name="連線1758" type="4" refreshedVersion="0" background="1">
    <webPr url="http://www.tdcc.com.tw/smWeb/QryStock.jsp?SCA_DATE=20150605&amp;SqlMethod=StockNo&amp;StockNo=3085&amp;StockName=&amp;sub=%ACd%B8%DF" htmlTables="1" htmlFormat="all"/>
  </connection>
  <connection id="251" name="連線176" type="4" refreshedVersion="0" background="1">
    <webPr url="http://www.tdcc.com.tw/smWeb/QryStock.jsp?SCA_DATE=20160422&amp;SqlMethod=StockNo&amp;StockNo=1301&amp;StockName=&amp;sub=%ACd%B8%DF" htmlTables="1" htmlFormat="all"/>
  </connection>
  <connection id="252" name="連線177" type="4" refreshedVersion="0" background="1">
    <webPr url="http://www.emega.com.tw/z/zc/zch/zch_1538.djhtm" htmlTables="1" htmlFormat="all"/>
  </connection>
  <connection id="253" name="連線178" type="4" refreshedVersion="0" background="1">
    <webPr url="http://www.emega.com.tw/z/zc/zch/zch_1539.djhtm" htmlTables="1" htmlFormat="all"/>
  </connection>
  <connection id="254" name="連線1781" type="4" refreshedVersion="0" background="1">
    <webPr url="http://www.tdcc.com.tw/smWeb/QryStock.jsp?SCA_DATE=20150529&amp;SqlMethod=StockNo&amp;StockNo=1213&amp;StockName=&amp;sub=%ACd%B8%DF" htmlTables="1" htmlFormat="all"/>
  </connection>
  <connection id="255" name="連線1785" type="4" refreshedVersion="0" background="1">
    <webPr url="http://www.tdcc.com.tw/smWeb/QryStock.jsp?SCA_DATE=20150605&amp;SqlMethod=StockNo&amp;StockNo=1319&amp;StockName=&amp;sub=%ACd%B8%DF" htmlTables="1" htmlFormat="all"/>
  </connection>
  <connection id="256" name="連線179" type="4" refreshedVersion="0" background="1">
    <webPr url="http://jsjustweb.jihsun.com.tw/z/zc/zco/zco0/zco0.djhtm?a=4991&amp;b=0840" htmlTables="1" htmlFormat="all"/>
  </connection>
  <connection id="257" name="連線1799" type="4" refreshedVersion="0" background="1">
    <webPr url="http://justdata.yuanta.com.tw/z/zc/zcq/zcq_1452.asp.htm" htmlTables="1" htmlFormat="all"/>
  </connection>
  <connection id="258" name="連線18" type="4" refreshedVersion="0" background="1">
    <webPr url="http://tw.stock.yahoo.com/q/q?s=1103" htmlTables="1" htmlFormat="all"/>
  </connection>
  <connection id="259" name="連線180" type="4" refreshedVersion="0" background="1">
    <webPr url="http://www.emega.com.tw/z/zc/zch/zch_1540.djhtm" htmlTables="1" htmlFormat="all"/>
  </connection>
  <connection id="260" name="連線181" type="4" refreshedVersion="0" background="1">
    <webPr url="http://www.emega.com.tw/z/zc/zch/zch_1568.djhtm" htmlTables="1" htmlFormat="all"/>
  </connection>
  <connection id="261" name="連線182" type="4" refreshedVersion="0" background="1">
    <webPr url="http://www.emega.com.tw/z/zc/zch/zch_1582.djhtm" htmlTables="1" htmlFormat="all"/>
  </connection>
  <connection id="262" name="連線183" type="4" refreshedVersion="0" background="1">
    <webPr url="http://www.emega.com.tw/z/zc/zch/zch_1589.djhtm" htmlTables="1" htmlFormat="all"/>
  </connection>
  <connection id="263" name="連線184" type="4" refreshedVersion="0" background="1">
    <webPr url="http://www.cnyes.com/twstock/Technical/8928.htm" htmlTables="1" htmlFormat="all"/>
  </connection>
  <connection id="264" name="連線185" type="4" refreshedVersion="0" background="1">
    <webPr url="http://justdata.yuanta.com.tw/z/zc/zcp/zcpa/zcpa_1338.asp.htm" htmlTables="1" htmlFormat="all"/>
  </connection>
  <connection id="265" name="連線186" type="4" refreshedVersion="0" background="1">
    <webPr url="http://www.emega.com.tw/z/zc/zch/zch_1590.djhtm" htmlTables="1" htmlFormat="all"/>
  </connection>
  <connection id="266" name="連線187" type="4" refreshedVersion="0" background="1">
    <webPr url="http://www.emega.com.tw/z/zc/zch/zch_1603.djhtm" htmlTables="1" htmlFormat="all"/>
  </connection>
  <connection id="267" name="連線1870" type="4" refreshedVersion="0" background="1">
    <webPr url="http://stockchannel.sinotrade.com.tw/z/zc/zca/zca_61393.djhtm" htmlTables="1" htmlFormat="all"/>
  </connection>
  <connection id="268" name="連線1871" type="4" refreshedVersion="0" background="1">
    <webPr url="http://stockchannel.sinotrade.com.tw/z/zc/zca/zca_61703.djhtm" htmlTables="1" htmlFormat="all"/>
  </connection>
  <connection id="269" name="連線1872" type="4" refreshedVersion="0" background="1">
    <webPr url="http://stockchannel.sinotrade.com.tw/z/zc/zca/zca_61775.djhtm" htmlTables="1" htmlFormat="all"/>
  </connection>
  <connection id="270" name="連線1873" type="4" refreshedVersion="0" background="1">
    <webPr url="http://stockchannel.sinotrade.com.tw/z/zc/zca/zca_61776.djhtm" htmlTables="1" htmlFormat="all"/>
  </connection>
  <connection id="271" name="連線1874" type="4" refreshedVersion="0" background="1">
    <webPr url="http://stockchannel.sinotrade.com.tw/z/zc/zca/zca_61841.djhtm" htmlTables="1" htmlFormat="all"/>
  </connection>
  <connection id="272" name="連線1875" type="4" refreshedVersion="0" background="1">
    <webPr url="http://stockchannel.sinotrade.com.tw/z/zc/zca/zca_61904.djhtm" htmlTables="1" htmlFormat="all"/>
  </connection>
  <connection id="273" name="連線1876" type="4" refreshedVersion="0" background="1">
    <webPr url="http://stockchannel.sinotrade.com.tw/z/zc/zca/zca_62264.djhtm" htmlTables="1" htmlFormat="all"/>
  </connection>
  <connection id="274" name="連線1877" type="4" refreshedVersion="0" background="1">
    <webPr url="http://stockchannel.sinotrade.com.tw/z/zc/zca/zca_62641.djhtm" htmlTables="1" htmlFormat="all"/>
  </connection>
  <connection id="275" name="連線1878" type="4" refreshedVersion="0" background="1">
    <webPr url="http://stockchannel.sinotrade.com.tw/z/zc/zca/zca_62754.djhtm" htmlTables="1" htmlFormat="all"/>
  </connection>
  <connection id="276" name="連線1879" type="4" refreshedVersion="0" background="1">
    <webPr url="http://stockchannel.sinotrade.com.tw/z/zc/zca/zca_62852.djhtm" htmlTables="1" htmlFormat="all"/>
  </connection>
  <connection id="277" name="連線188" type="4" refreshedVersion="0" background="1">
    <webPr url="http://www.emega.com.tw/z/zc/zch/zch_1608.djhtm" htmlTables="1" htmlFormat="all"/>
  </connection>
  <connection id="278" name="連線1880" type="4" refreshedVersion="0" background="1">
    <webPr url="http://stockchannel.sinotrade.com.tw/z/zc/zca/zca_62874.djhtm" htmlTables="1" htmlFormat="all"/>
  </connection>
  <connection id="279" name="連線1881" type="4" refreshedVersion="0" background="1">
    <webPr url="http://stockchannel.sinotrade.com.tw/z/zc/zca/zca_66032.djhtm" htmlTables="1" htmlFormat="all"/>
  </connection>
  <connection id="280" name="連線189" type="4" refreshedVersion="0" background="1">
    <webPr url="http://www.emega.com.tw/z/zc/zch/zch_1612.djhtm" htmlTables="1" htmlFormat="all"/>
  </connection>
  <connection id="281" name="連線1894" type="4" refreshedVersion="0" background="1">
    <webPr url="http://stockchannel.sinotrade.com.tw/z/zc/zca/zca_37021.djhtm" htmlTables="1" htmlFormat="all"/>
  </connection>
  <connection id="282" name="連線1895" type="4" refreshedVersion="0" background="1">
    <webPr url="http://stockchannel.sinotrade.com.tw/z/zc/zca/zca_43066.djhtm" htmlTables="1" htmlFormat="all"/>
  </connection>
  <connection id="283" name="連線1896" type="4" refreshedVersion="0" background="1">
    <webPr url="http://stockchannel.sinotrade.com.tw/z/zc/zca/zca_45322.djhtm" htmlTables="1" htmlFormat="all"/>
  </connection>
  <connection id="284" name="連線1897" type="4" refreshedVersion="0" background="1">
    <webPr url="http://stockchannel.sinotrade.com.tw/z/zc/zca/zca_49561.djhtm" htmlTables="1" htmlFormat="all"/>
  </connection>
  <connection id="285" name="連線1898" type="4" refreshedVersion="0" background="1">
    <webPr url="http://stockchannel.sinotrade.com.tw/z/zc/zca/zca_52133.djhtm" htmlTables="1" htmlFormat="all"/>
  </connection>
  <connection id="286" name="連線1899" type="4" refreshedVersion="0" background="1">
    <webPr url="http://stockchannel.sinotrade.com.tw/z/zc/zca/zca_52134.djhtm" htmlTables="1" htmlFormat="all"/>
  </connection>
  <connection id="287" name="連線19" type="4" refreshedVersion="0" background="1">
    <webPr url="http://www.tdcc.com.tw/smWeb/QryStock.jsp?SCA_DATE=20150508&amp;SqlMethod=StockNo&amp;StockNo=1539&amp;StockName=&amp;sub=%ACd%B8%DF" htmlTables="1" htmlFormat="all"/>
  </connection>
  <connection id="288" name="連線190" type="4" refreshedVersion="0" background="1">
    <webPr url="http://www.emega.com.tw/z/zc/zch/zch_1613.djhtm" htmlTables="1" htmlFormat="all"/>
  </connection>
  <connection id="289" name="連線1900" type="4" refreshedVersion="0" background="1">
    <webPr url="http://stockchannel.sinotrade.com.tw/z/zc/zca/zca_52591.djhtm" htmlTables="1" htmlFormat="all"/>
  </connection>
  <connection id="290" name="連線1901" type="4" refreshedVersion="0" background="1">
    <webPr url="http://stockchannel.sinotrade.com.tw/z/zc/zca/zca_61761.djhtm" htmlTables="1" htmlFormat="all"/>
  </connection>
  <connection id="291" name="連線1902" type="4" refreshedVersion="0" background="1">
    <webPr url="http://stockchannel.sinotrade.com.tw/z/zc/zca/zca_62874.djhtm" htmlTables="1" htmlFormat="all"/>
  </connection>
  <connection id="292" name="連線1903" type="4" refreshedVersion="0" background="1">
    <webPr url="http://stockchannel.sinotrade.com.tw/z/zc/zca/zca_12181.djhtm" htmlTables="1" htmlFormat="all"/>
  </connection>
  <connection id="293" name="連線1906" type="4" refreshedVersion="0" background="1">
    <webPr url="http://stockchannel.sinotrade.com.tw/z/zc/zca/zca_62852.djhtm" htmlTables="1" htmlFormat="all"/>
  </connection>
  <connection id="294" name="連線1907" type="4" refreshedVersion="0" background="1">
    <webPr url="http://stockchannel.sinotrade.com.tw/z/zc/zca/zca_62852.djhtm" htmlTables="1" htmlFormat="all"/>
  </connection>
  <connection id="295" name="連線191" type="4" refreshedVersion="0" background="1">
    <webPr url="http://www.emega.com.tw/z/zc/zch/zch_1614.djhtm" htmlTables="1" htmlFormat="all"/>
  </connection>
  <connection id="296" name="連線192" type="4" refreshedVersion="0" background="1">
    <webPr url="http://www.emega.com.tw/z/zc/zch/zch_1615.djhtm" htmlTables="1" htmlFormat="all"/>
  </connection>
  <connection id="297" name="連線193" type="4" refreshedVersion="0" background="1">
    <webPr url="http://www.emega.com.tw/z/zc/zch/zch_1617.djhtm" htmlTables="1" htmlFormat="all"/>
  </connection>
  <connection id="298" name="連線1933" type="4" refreshedVersion="0" background="1">
    <webPr url="http://stockchannel.sinotrade.com.tw/z/zc/zca/zca_15831.djhtm" htmlTables="1" htmlFormat="all"/>
  </connection>
  <connection id="299" name="連線1934" type="4" refreshedVersion="0" background="1">
    <webPr url="http://stockchannel.sinotrade.com.tw/z/zc/zca/zca_16261.djhtm" htmlTables="1" htmlFormat="all"/>
  </connection>
  <connection id="300" name="連線1935" type="4" refreshedVersion="0" background="1">
    <webPr url="http://stockchannel.sinotrade.com.tw/z/zc/zca/zca_18081.djhtm" htmlTables="1" htmlFormat="all"/>
  </connection>
  <connection id="301" name="連線1936" type="4" refreshedVersion="0" background="1">
    <webPr url="http://stockchannel.sinotrade.com.tw/z/zc/zca/zca_20314.djhtm" htmlTables="1" htmlFormat="all"/>
  </connection>
  <connection id="302" name="連線1937" type="4" refreshedVersion="0" background="1">
    <webPr url="http://stockchannel.sinotrade.com.tw/z/zc/zca/zca_21151.djhtm" htmlTables="1" htmlFormat="all"/>
  </connection>
  <connection id="303" name="連線1938" type="4" refreshedVersion="0" background="1">
    <webPr url="http://www.tdcc.com.tw/smWeb/QryStock.jsp?SCA_DATE=20150605&amp;SqlMethod=StockNo&amp;StockNo=1446&amp;StockName=&amp;sub=%ACd%B8%DF" htmlTables="1" htmlFormat="all"/>
  </connection>
  <connection id="304" name="連線1939" type="4" refreshedVersion="0" background="1">
    <webPr url="http://stockchannel.sinotrade.com.tw/z/zc/zca/zca_24391.djhtm" htmlTables="1" htmlFormat="all"/>
  </connection>
  <connection id="305" name="連線194" type="4" refreshedVersion="0" background="1">
    <webPr url="http://www.emega.com.tw/z/zc/zch/zch_1618.djhtm" htmlTables="1" htmlFormat="all"/>
  </connection>
  <connection id="306" name="連線1940" type="4" refreshedVersion="0" background="1">
    <webPr url="http://stockchannel.sinotrade.com.tw/z/zc/zca/zca_28884.djhtm" htmlTables="1" htmlFormat="all"/>
  </connection>
  <connection id="307" name="連線1941" type="4" refreshedVersion="0" background="1">
    <webPr url="http://stockchannel.sinotrade.com.tw/z/zc/zca/zca_32881.djhtm" htmlTables="1" htmlFormat="all"/>
  </connection>
  <connection id="308" name="連線1942" type="4" refreshedVersion="0" background="1">
    <webPr url="http://stockchannel.sinotrade.com.tw/z/zc/zca/zca_33393.djhtm" htmlTables="1" htmlFormat="all"/>
  </connection>
  <connection id="309" name="連線1943" type="4" refreshedVersion="0" background="1">
    <webPr url="http://stockchannel.sinotrade.com.tw/z/zc/zca/zca_33835.djhtm" htmlTables="1" htmlFormat="all"/>
  </connection>
  <connection id="310" name="連線1944" type="4" refreshedVersion="0" background="1">
    <webPr url="http://stockchannel.sinotrade.com.tw/z/zc/zca/zca_35523.djhtm" htmlTables="1" htmlFormat="all"/>
  </connection>
  <connection id="311" name="連線1945" type="4" refreshedVersion="0" background="1">
    <webPr url="http://stockchannel.sinotrade.com.tw/z/zc/zca/zca_36982.djhtm" htmlTables="1" htmlFormat="all"/>
  </connection>
  <connection id="312" name="連線1946" type="4" refreshedVersion="0" background="1">
    <webPr url="http://stockchannel.sinotrade.com.tw/z/zc/zca/zca_41134.djhtm" htmlTables="1" htmlFormat="all"/>
  </connection>
  <connection id="313" name="連線1947" type="4" refreshedVersion="0" background="1">
    <webPr url="http://stockchannel.sinotrade.com.tw/z/zc/zca/zca_49063.djhtm" htmlTables="1" htmlFormat="all"/>
  </connection>
  <connection id="314" name="連線1948" type="4" refreshedVersion="0" background="1">
    <webPr url="http://stockchannel.sinotrade.com.tw/z/zc/zca/zca_49161.djhtm" htmlTables="1" htmlFormat="all"/>
  </connection>
  <connection id="315" name="連線195" type="4" refreshedVersion="0" background="1">
    <webPr url="http://www.emega.com.tw/z/zc/zch/zch_1701.djhtm" htmlTables="1" htmlFormat="all"/>
  </connection>
  <connection id="316" name="連線196" type="4" refreshedVersion="0" background="1">
    <webPr url="http://www.emega.com.tw/z/zc/zch/zch_6171.djhtm" htmlTables="1" htmlFormat="all"/>
  </connection>
  <connection id="317" name="連線1963" type="4" refreshedVersion="0" background="1">
    <webPr url="http://stockchannel.sinotrade.com.tw/z/zc/zca/zca_24063.djhtm" htmlTables="1" htmlFormat="all"/>
  </connection>
  <connection id="318" name="連線1964" type="4" refreshedVersion="0" background="1">
    <webPr url="http://stockchannel.sinotrade.com.tw/z/zc/zca/zca_24060.djhtm" htmlTables="1" htmlFormat="all"/>
  </connection>
  <connection id="319" name="連線1965" type="4" refreshedVersion="0" background="1">
    <webPr url="http://stockchannel.sinotrade.com.tw/z/zc/zca/zca_24193.djhtm" htmlTables="1" htmlFormat="all"/>
  </connection>
  <connection id="320" name="連線1966" type="4" refreshedVersion="0" background="1">
    <webPr url="http://www.emega.com.tw/z/zc/zch/zch_1521.djhtm" htmlTables="1" htmlFormat="all"/>
  </connection>
  <connection id="321" name="連線197" type="4" refreshedVersion="0" background="1">
    <webPr url="http://www.emega.com.tw/z/zc/zch/zch_1702.djhtm" htmlTables="1" htmlFormat="all"/>
  </connection>
  <connection id="322" name="連線198" type="4" refreshedVersion="0" background="1">
    <webPr url="http://jsjustweb.jihsun.com.tw/z/zc/zco/zco0/zco0.djhtm?a=4991&amp;b=0910" htmlTables="1" htmlFormat="all"/>
  </connection>
  <connection id="323" name="連線1987" type="4" refreshedVersion="0" background="1">
    <webPr url="http://stockchannel.sinotrade.com.tw/z/zc/zca/zca_32881.djhtm" htmlTables="1" htmlFormat="all"/>
  </connection>
  <connection id="324" name="連線1988" type="4" refreshedVersion="0" background="1">
    <webPr url="http://stockchannel.sinotrade.com.tw/z/zc/zca/zca_33393.djhtm" htmlTables="1" htmlFormat="all"/>
  </connection>
  <connection id="325" name="連線199" type="4" refreshedVersion="0" background="1">
    <webPr url="http://www.emega.com.tw/z/zc/zch/zch_1704.djhtm" htmlTables="1" htmlFormat="all"/>
  </connection>
  <connection id="326" name="連線2" type="4" refreshedVersion="0" background="1">
    <webPr url="http://justdata.yuanta.com.tw/z/zc/zcq/zcq_5457.asp.htm" htmlTables="1" htmlFormat="all"/>
  </connection>
  <connection id="327" name="連線20" type="4" refreshedVersion="0" background="1">
    <webPr url="http://www.emega.com.tw/z/zc/zch/zch_1409.djhtm" htmlTables="1" htmlFormat="all"/>
  </connection>
  <connection id="328" name="連線200" type="4" refreshedVersion="0" background="1">
    <webPr url="http://www.emega.com.tw/z/zc/zch/zch_1707.djhtm" htmlTables="1" htmlFormat="all"/>
  </connection>
  <connection id="329" name="連線201" type="4" refreshedVersion="0" background="1">
    <webPr url="http://www.emega.com.tw/z/zc/zch/zch_1709.djhtm" htmlTables="1" htmlFormat="all"/>
  </connection>
  <connection id="330" name="連線202" type="4" refreshedVersion="0" background="1">
    <webPr url="http://www.emega.com.tw/z/zc/zch/zch_1710.djhtm" htmlTables="1" htmlFormat="all"/>
  </connection>
  <connection id="331" name="連線2027" type="4" refreshedVersion="0" background="1">
    <webPr url="http://www.tdcc.com.tw/smWeb/QryStock.jsp?SCA_DATE=20150529&amp;SqlMethod=StockNo&amp;StockNo=1446&amp;StockName=&amp;sub=%ACd%B8%DF" htmlTables="1" htmlFormat="all"/>
  </connection>
  <connection id="332" name="連線203" type="4" refreshedVersion="0" background="1">
    <webPr url="http://www.emega.com.tw/z/zc/zch/zch_1236.djhtm" htmlTables="1" htmlFormat="all"/>
  </connection>
  <connection id="333" name="連線204" type="4" refreshedVersion="0" background="1">
    <webPr url="http://www.emega.com.tw/z/zc/zch/zch_2428.djhtm" htmlTables="1" htmlFormat="all"/>
  </connection>
  <connection id="334" name="連線2048" type="4" refreshedVersion="0" background="1">
    <webPr url="http://stockchannel.sinotrade.com.tw/z/zc/zca/zca_36801.djhtm" htmlTables="1" htmlFormat="all"/>
  </connection>
  <connection id="335" name="連線2049" type="4" refreshedVersion="0" background="1">
    <webPr url="http://stockchannel.sinotrade.com.tw/z/zc/zca/zca_37021.djhtm" htmlTables="1" htmlFormat="all"/>
  </connection>
  <connection id="336" name="連線205" type="4" refreshedVersion="0" background="1">
    <webPr url="http://www.emega.com.tw/z/zc/zch/zch_1711.djhtm" htmlTables="1" htmlFormat="all"/>
  </connection>
  <connection id="337" name="連線2050" type="4" refreshedVersion="0" background="1">
    <webPr url="http://stockchannel.sinotrade.com.tw/z/zc/zca/zca_43066.djhtm" htmlTables="1" htmlFormat="all"/>
  </connection>
  <connection id="338" name="連線2051" type="4" refreshedVersion="0" background="1">
    <webPr url="http://stockchannel.sinotrade.com.tw/z/zc/zca/zca_45322.djhtm" htmlTables="1" htmlFormat="all"/>
  </connection>
  <connection id="339" name="連線2052" type="4" refreshedVersion="0" background="1">
    <webPr url="http://stockchannel.sinotrade.com.tw/z/zc/zca/zca_49561.djhtm" htmlTables="1" htmlFormat="all"/>
  </connection>
  <connection id="340" name="連線2053" type="4" refreshedVersion="0" background="1">
    <webPr url="http://stockchannel.sinotrade.com.tw/z/zc/zca/zca_52133.djhtm" htmlTables="1" htmlFormat="all"/>
  </connection>
  <connection id="341" name="連線2054" type="4" refreshedVersion="0" background="1">
    <webPr url="http://stockchannel.sinotrade.com.tw/z/zc/zca/zca_52134.djhtm" htmlTables="1" htmlFormat="all"/>
  </connection>
  <connection id="342" name="連線2055" type="4" refreshedVersion="0" background="1">
    <webPr url="http://stockchannel.sinotrade.com.tw/z/zc/zca/zca_52591.djhtm" htmlTables="1" htmlFormat="all"/>
  </connection>
  <connection id="343" name="連線2056" type="4" refreshedVersion="0" background="1">
    <webPr url="http://stockchannel.sinotrade.com.tw/z/zc/zca/zca_61761.djhtm" htmlTables="1" htmlFormat="all"/>
  </connection>
  <connection id="344" name="連線2057" type="4" refreshedVersion="0" background="1">
    <webPr url="http://stockchannel.sinotrade.com.tw/z/zc/zca/zca_62874.djhtm" htmlTables="1" htmlFormat="all"/>
  </connection>
  <connection id="345" name="連線206" type="4" refreshedVersion="0" background="1">
    <webPr url="http://www.emega.com.tw/z/zc/zch/zch_1712.djhtm" htmlTables="1" htmlFormat="all"/>
  </connection>
  <connection id="346" name="連線207" type="4" refreshedVersion="0" background="1">
    <webPr url="http://www.emega.com.tw/z/zc/zch/zch_1714.djhtm" htmlTables="1" htmlFormat="all"/>
  </connection>
  <connection id="347" name="連線2075" type="4" refreshedVersion="0" background="1">
    <webPr url="http://www.tdcc.com.tw/smWeb/QryStock.jsp?SCA_DATE=20160318&amp;SqlMethod=StockNo&amp;StockNo=1434&amp;StockName=&amp;sub=%ACd%B8%DF" htmlTables="1" htmlFormat="all"/>
  </connection>
  <connection id="348" name="連線208" type="4" refreshedVersion="0" background="1">
    <webPr url="http://www.emega.com.tw/z/zc/zch/zch_8906.djhtm" htmlTables="1" htmlFormat="all"/>
  </connection>
  <connection id="349" name="連線209" type="4" refreshedVersion="0" background="1">
    <webPr url="http://www.emega.com.tw/z/zc/zch/zch_1721.djhtm" htmlTables="1" htmlFormat="all"/>
  </connection>
  <connection id="350" name="連線2094" type="4" refreshedVersion="0" background="1">
    <webPr url="http://stockchannel.sinotrade.com.tw/z/zc/zca/zca_33835.djhtm" htmlTables="1" htmlFormat="all"/>
  </connection>
  <connection id="351" name="連線2095" type="4" refreshedVersion="0" background="1">
    <webPr url="http://stockchannel.sinotrade.com.tw/z/zc/zca/zca_35523.djhtm" htmlTables="1" htmlFormat="all"/>
  </connection>
  <connection id="352" name="連線2096" type="4" refreshedVersion="0" background="1">
    <webPr url="http://stockchannel.sinotrade.com.tw/z/zc/zca/zca_36982.djhtm" htmlTables="1" htmlFormat="all"/>
  </connection>
  <connection id="353" name="連線2097" type="4" refreshedVersion="0" background="1">
    <webPr url="http://stockchannel.sinotrade.com.tw/z/zc/zca/zca_41134.djhtm" htmlTables="1" htmlFormat="all"/>
  </connection>
  <connection id="354" name="連線2098" type="4" refreshedVersion="0" background="1">
    <webPr url="http://stockchannel.sinotrade.com.tw/z/zc/zca/zca_49063.djhtm" htmlTables="1" htmlFormat="all"/>
  </connection>
  <connection id="355" name="連線2099" type="4" refreshedVersion="0" background="1">
    <webPr url="http://stockchannel.sinotrade.com.tw/z/zc/zca/zca_49161.djhtm" htmlTables="1" htmlFormat="all"/>
  </connection>
  <connection id="356" name="連線21" type="4" refreshedVersion="0" background="1">
    <webPr url="http://www.emega.com.tw/z/zc/zch/zch_1416.djhtm" htmlTables="1" htmlFormat="all"/>
  </connection>
  <connection id="357" name="連線210" type="4" refreshedVersion="0" background="1">
    <webPr url="http://www.emega.com.tw/z/zc/zch/zch_2425.djhtm" htmlTables="1" htmlFormat="all"/>
  </connection>
  <connection id="358" name="連線2100" type="4" refreshedVersion="0" background="1">
    <webPr url="http://stockchannel.sinotrade.com.tw/z/zc/zca/zca_55291.djhtm" htmlTables="1" htmlFormat="all"/>
  </connection>
  <connection id="359" name="連線2101" type="4" refreshedVersion="0" background="1">
    <webPr url="http://stockchannel.sinotrade.com.tw/z/zc/zca/zca_62383.djhtm" htmlTables="1" htmlFormat="all"/>
  </connection>
  <connection id="360" name="連線2102" type="4" refreshedVersion="0" background="1">
    <webPr url="http://stockchannel.sinotrade.com.tw/z/zc/zca/zca_62711.djhtm" htmlTables="1" htmlFormat="all"/>
  </connection>
  <connection id="361" name="連線211" type="4" refreshedVersion="0" background="1">
    <webPr url="http://www.emega.com.tw/z/zc/zch/zch_1722.djhtm" htmlTables="1" htmlFormat="all"/>
  </connection>
  <connection id="362" name="連線2119" type="4" refreshedVersion="0" background="1">
    <webPr url="http://www.tdcc.com.tw/smWeb/QryStock.jsp?SCA_DATE=20150529&amp;SqlMethod=StockNo&amp;StockNo=1227&amp;StockName=&amp;sub=%ACd%B8%DF" htmlTables="1" htmlFormat="all"/>
  </connection>
  <connection id="363" name="連線212" type="4" refreshedVersion="0" background="1">
    <webPr url="http://www.tdcc.com.tw/smWeb/QryStock.jsp?SCA_DATE=20150401&amp;SqlMethod=StockNo&amp;StockNo=6224&amp;StockName=&amp;sub=%ACd%B8%DF" htmlTables="1" htmlFormat="all"/>
  </connection>
  <connection id="364" name="連線213" type="4" refreshedVersion="0" background="1">
    <webPr url="http://www.emega.com.tw/z/zc/zch/zch_1724.djhtm" htmlTables="1" htmlFormat="all"/>
  </connection>
  <connection id="365" name="連線2136" type="4" refreshedVersion="0" background="1">
    <webPr url="http://www.tdcc.com.tw/smWeb/QryStock.jsp?SCA_DATE=20160325&amp;SqlMethod=StockNo&amp;StockNo=1227&amp;StockName=&amp;sub=%ACd%B8%DF" htmlTables="1" htmlFormat="all"/>
  </connection>
  <connection id="366" name="連線214" type="4" refreshedVersion="0" background="1">
    <webPr url="http://www.tdcc.com.tw/smWeb/QryStock.jsp?SCA_DATE=&amp;SqlMethod=StockNo&amp;StockNo=2383&amp;StockName=&amp;sub=%ACd%B8%DF" htmlTables="1" htmlFormat="all"/>
  </connection>
  <connection id="367" name="連線215" type="4" refreshedVersion="0" background="1">
    <webPr url="http://www.emega.com.tw/z/zc/zch/zch_1725.djhtm" htmlTables="1" htmlFormat="all"/>
  </connection>
  <connection id="368" name="連線216" type="4" refreshedVersion="0" background="1">
    <webPr url="http://www.emega.com.tw/z/zc/zch/zch_1727.djhtm" htmlTables="1" htmlFormat="all"/>
  </connection>
  <connection id="369" name="連線217" type="4" refreshedVersion="0" background="1">
    <webPr url="http://justdata.yuanta.com.tw/z/zc/zcp/zcpa/zcpa_1236.asp.htm" htmlTables="1" htmlFormat="all"/>
  </connection>
  <connection id="370" name="連線218" type="4" refreshedVersion="0" background="1">
    <webPr url="http://www.emega.com.tw/z/zc/zch/zch_1729.djhtm" htmlTables="1" htmlFormat="all"/>
  </connection>
  <connection id="371" name="連線219" type="4" refreshedVersion="0" background="1">
    <webPr url="http://www.emega.com.tw/z/zc/zch/zch_1732.djhtm" htmlTables="1" htmlFormat="all"/>
  </connection>
  <connection id="372" name="連線22" type="4" refreshedVersion="0" background="1">
    <webPr url="http://tw.stock.yahoo.com/q/q?s=1104" htmlTables="1" htmlFormat="all"/>
  </connection>
  <connection id="373" name="連線220" type="4" refreshedVersion="0" background="1">
    <webPr url="http://www.emega.com.tw/z/zc/zch/zch_1736.djhtm" htmlTables="1" htmlFormat="all"/>
  </connection>
  <connection id="374" name="連線2200" type="4" refreshedVersion="0" background="1">
    <webPr url="http://stockchannel.sinotrade.com.tw/z/zc/zca/zca_17152.djhtm" htmlTables="1" htmlFormat="all"/>
  </connection>
  <connection id="375" name="連線221" type="4" refreshedVersion="0" background="1">
    <webPr url="http://www.emega.com.tw/z/zc/zch/zch_1762.djhtm" htmlTables="1" htmlFormat="all"/>
  </connection>
  <connection id="376" name="連線222" type="4" refreshedVersion="0" background="1">
    <webPr url="http://www.emega.com.tw/z/zc/zch/zch_1783.djhtm" htmlTables="1" htmlFormat="all"/>
  </connection>
  <connection id="377" name="連線223" type="4" refreshedVersion="0" background="1">
    <webPr url="http://www.emega.com.tw/z/zc/zch/zch_1802.djhtm" htmlTables="1" htmlFormat="all"/>
  </connection>
  <connection id="378" name="連線2233" type="4" refreshedVersion="0" background="1">
    <webPr url="http://www.tdcc.com.tw/smWeb/QryStock.jsp?SCA_DATE=20160325&amp;SqlMethod=StockNo&amp;StockNo=1304&amp;StockName=&amp;sub=%ACd%B8%DF" htmlTables="1" htmlFormat="all"/>
  </connection>
  <connection id="379" name="連線224" type="4" refreshedVersion="0" background="1">
    <webPr url="http://www.emega.com.tw/z/zc/zch/zch_1805.djhtm" htmlTables="1" htmlFormat="all"/>
  </connection>
  <connection id="380" name="連線225" type="4" refreshedVersion="0" background="1">
    <webPr url="http://www.emega.com.tw/z/zc/zch/zch_1808.djhtm" htmlTables="1" htmlFormat="all"/>
  </connection>
  <connection id="381" name="連線226" type="4" refreshedVersion="0" background="1">
    <webPr url="http://www.emega.com.tw/z/zc/zch/zch_1809.djhtm" htmlTables="1" htmlFormat="all"/>
  </connection>
  <connection id="382" name="連線227" type="4" refreshedVersion="0" background="1">
    <webPr url="http://www.emega.com.tw/z/zc/zch/zch_1810.djhtm" htmlTables="1" htmlFormat="all"/>
  </connection>
  <connection id="383" name="連線228" type="4" refreshedVersion="0" background="1">
    <webPr url="http://www.emega.com.tw/z/zc/zch/zch_1817.djhtm" htmlTables="1" htmlFormat="all"/>
  </connection>
  <connection id="384" name="連線229" type="4" refreshedVersion="0" background="1">
    <webPr url="http://www.emega.com.tw/z/zc/zch/zch_1902.djhtm" htmlTables="1" htmlFormat="all"/>
  </connection>
  <connection id="385" name="連線23" type="4" refreshedVersion="0" background="1">
    <webPr url="http://www.emega.com.tw/z/zc/zch/zch_1104.djhtm" htmlTables="1" htmlFormat="all"/>
  </connection>
  <connection id="386" name="連線230" type="4" refreshedVersion="0" background="1">
    <webPr url="http://www.emega.com.tw/z/zc/zch/zch_1903.djhtm" htmlTables="1" htmlFormat="all"/>
  </connection>
  <connection id="387" name="連線231" type="4" refreshedVersion="0" background="1">
    <webPr url="http://www.emega.com.tw/z/zc/zch/zch_1904.djhtm" htmlTables="1" htmlFormat="all"/>
  </connection>
  <connection id="388" name="連線2314" type="4" refreshedVersion="0" background="1">
    <webPr url="http://www.tdcc.com.tw/smWeb/QryStock.jsp?SCA_DATE=20160325&amp;SqlMethod=StockNo&amp;StockNo=1259&amp;StockName=&amp;sub=%ACd%B8%DF" htmlTables="1" htmlFormat="all"/>
  </connection>
  <connection id="389" name="連線232" type="4" refreshedVersion="0" background="1">
    <webPr url="http://www.emega.com.tw/z/zc/zch/zch_2008.djhtm" htmlTables="1" htmlFormat="all"/>
  </connection>
  <connection id="390" name="連線2320" type="4" refreshedVersion="0" background="1">
    <webPr url="http://www.tdcc.com.tw/smWeb/QryStock.jsp?SCA_DATE=20150605&amp;SqlMethod=StockNo&amp;StockNo=3584&amp;StockName=&amp;sub=%ACd%B8%DF" htmlTables="1" htmlFormat="all"/>
  </connection>
  <connection id="391" name="連線233" type="4" refreshedVersion="0" background="1">
    <webPr url="http://www.emega.com.tw/z/zc/zch/zch_2009.djhtm" htmlTables="1" htmlFormat="all"/>
  </connection>
  <connection id="392" name="連線234" type="4" refreshedVersion="0" background="1">
    <webPr url="http://www.emega.com.tw/z/zc/zch/zch_2010.djhtm" htmlTables="1" htmlFormat="all"/>
  </connection>
  <connection id="393" name="連線235" type="4" refreshedVersion="0" background="1">
    <webPr url="http://jsjustweb.jihsun.com.tw/z/zc/zco/zco0/zco0.djhtm?a=4991&amp;b=9800" htmlTables="1" htmlFormat="all"/>
  </connection>
  <connection id="394" name="連線236" type="4" refreshedVersion="0" background="1">
    <webPr url="http://www.emega.com.tw/z/zc/zch/zch_2017.djhtm" htmlTables="1" htmlFormat="all"/>
  </connection>
  <connection id="395" name="連線237" type="4" refreshedVersion="0" background="1">
    <webPr url="http://www.emega.com.tw/z/zc/zch/zch_2020.djhtm" htmlTables="1" htmlFormat="all"/>
  </connection>
  <connection id="396" name="連線238" type="4" refreshedVersion="0" background="1">
    <webPr url="http://www.emega.com.tw/z/zc/zch/zch_2022.djhtm" htmlTables="1" htmlFormat="all"/>
  </connection>
  <connection id="397" name="連線239" type="4" refreshedVersion="0" background="1">
    <webPr url="http://www.emega.com.tw/z/zc/zch/zch_2023.djhtm" htmlTables="1" htmlFormat="all"/>
  </connection>
  <connection id="398" name="連線24" type="4" refreshedVersion="0" background="1">
    <webPr url="http://www.emega.com.tw/z/zc/zch/zch_1103.djhtm" htmlTables="1" htmlFormat="all"/>
  </connection>
  <connection id="399" name="連線240" type="4" refreshedVersion="0" background="1">
    <webPr url="http://www.emega.com.tw/z/zc/zch/zch_2025.djhtm" htmlTables="1" htmlFormat="all"/>
  </connection>
  <connection id="400" name="連線241" type="4" refreshedVersion="0" background="1">
    <webPr url="http://www.emega.com.tw/z/zc/zch/zch_2028.djhtm" htmlTables="1" htmlFormat="all"/>
  </connection>
  <connection id="401" name="連線242" type="4" refreshedVersion="0" background="1">
    <webPr url="http://www.emega.com.tw/z/zc/zch/zch_2038.djhtm" htmlTables="1" htmlFormat="all"/>
  </connection>
  <connection id="402" name="連線243" type="4" refreshedVersion="0" background="1">
    <webPr url="http://www.emega.com.tw/z/zc/zch/zch_2102.djhtm" htmlTables="1" htmlFormat="all"/>
  </connection>
  <connection id="403" name="連線244" type="4" refreshedVersion="0" background="1">
    <webPr url="http://www.emega.com.tw/z/zc/zch/zch_2104.djhtm" htmlTables="1" htmlFormat="all"/>
  </connection>
  <connection id="404" name="連線245" type="4" refreshedVersion="0" background="1">
    <webPr url="http://www.emega.com.tw/z/zc/zch/zch_2106.djhtm" htmlTables="1" htmlFormat="all"/>
  </connection>
  <connection id="405" name="連線246" type="4" refreshedVersion="0" background="1">
    <webPr url="http://www.emega.com.tw/z/zc/zch/zch_2107.djhtm" htmlTables="1" htmlFormat="all"/>
  </connection>
  <connection id="406" name="連線247" type="4" refreshedVersion="0" background="1">
    <webPr url="http://www.emega.com.tw/z/zc/zch/zch_2108.djhtm" htmlTables="1" htmlFormat="all"/>
  </connection>
  <connection id="407" name="連線248" type="4" refreshedVersion="0" background="1">
    <webPr url="http://www.tdcc.com.tw/smWeb/QryStock.jsp?SCA_DATE=20160318&amp;SqlMethod=StockNo&amp;StockNo=1259&amp;StockName=&amp;sub=%ACd%B8%DF" htmlTables="1" htmlFormat="all"/>
  </connection>
  <connection id="408" name="連線249" type="4" refreshedVersion="0" background="1">
    <webPr url="http://www.emega.com.tw/z/zc/zch/zch_2450.djhtm" htmlTables="1" htmlFormat="all"/>
  </connection>
  <connection id="409" name="連線25" type="4" refreshedVersion="0" background="1">
    <webPr url="http://www.emega.com.tw/z/zc/zch/zch_1110.djhtm" htmlTables="1" htmlFormat="all"/>
  </connection>
  <connection id="410" name="連線250" type="4" refreshedVersion="0" background="1">
    <webPr url="http://www.emega.com.tw/z/zc/zch/zch_2114.djhtm" htmlTables="1" htmlFormat="all"/>
  </connection>
  <connection id="411" name="連線2506" type="4" refreshedVersion="0" background="1">
    <webPr url="http://www.tdcc.com.tw/smWeb/QryStock.jsp?SCA_DATE=20160318&amp;SqlMethod=StockNo&amp;StockNo=1264&amp;StockName=&amp;sub=%ACd%B8%DF" htmlTables="1" htmlFormat="all"/>
  </connection>
  <connection id="412" name="連線2508" type="4" refreshedVersion="0" background="1">
    <webPr url="http://www.tdcc.com.tw/smWeb/QryStock.jsp?SCA_DATE=20160311&amp;SqlMethod=StockNo&amp;StockNo=1229&amp;StockName=&amp;sub=%ACd%B8%DF" htmlTables="1" htmlFormat="all"/>
  </connection>
  <connection id="413" name="連線251" type="4" refreshedVersion="0" background="1">
    <webPr url="http://www.emega.com.tw/z/zc/zch/zch_2201.djhtm" htmlTables="1" htmlFormat="all"/>
  </connection>
  <connection id="414" name="連線252" type="4" refreshedVersion="0" background="1">
    <webPr url="http://www.emega.com.tw/z/zc/zch/zch_2204.djhtm" htmlTables="1" htmlFormat="all"/>
  </connection>
  <connection id="415" name="連線253" type="4" refreshedVersion="0" background="1">
    <webPr url="http://www.emega.com.tw/z/zc/zch/zch_2206.djhtm" htmlTables="1" htmlFormat="all"/>
  </connection>
  <connection id="416" name="連線254" type="4" refreshedVersion="0" background="1">
    <webPr url="http://www.cnyes.com/twstock/Technical/6154.htm" htmlTables="1" htmlFormat="all"/>
  </connection>
  <connection id="417" name="連線255" type="4" refreshedVersion="0" background="1">
    <webPr url="http://www.emega.com.tw/z/zc/zch/zch_2207.djhtm" htmlTables="1" htmlFormat="all"/>
  </connection>
  <connection id="418" name="連線256" type="4" refreshedVersion="0" background="1">
    <webPr url="http://www.emega.com.tw/z/zc/zch/zch_2228.djhtm" htmlTables="1" htmlFormat="all"/>
  </connection>
  <connection id="419" name="連線257" type="4" refreshedVersion="0" background="1">
    <webPr url="http://www.emega.com.tw/z/zc/zch/zch_2231.djhtm" htmlTables="1" htmlFormat="all"/>
  </connection>
  <connection id="420" name="連線258" type="4" refreshedVersion="0" background="1">
    <webPr url="http://www.cnyes.com/twstock/Technical/3675.htm" htmlTables="1" htmlFormat="all"/>
  </connection>
  <connection id="421" name="連線259" type="4" refreshedVersion="0" background="1">
    <webPr url="http://www.emega.com.tw/z/zc/zch/zch_2236.djhtm" htmlTables="1" htmlFormat="all"/>
  </connection>
  <connection id="422" name="連線2596" type="4" refreshedVersion="0" background="1">
    <webPr url="http://www.tdcc.com.tw/smWeb/QryStock.jsp?SCA_DATE=20160311&amp;SqlMethod=StockNo&amp;StockNo=1264&amp;StockName=&amp;sub=%ACd%B8%DF" htmlTables="1" htmlFormat="all"/>
  </connection>
  <connection id="423" name="連線26" type="4" refreshedVersion="0" background="1">
    <webPr url="http://tw.stock.yahoo.com/q/q?s=5388" htmlTables="1" htmlFormat="all"/>
  </connection>
  <connection id="424" name="連線260" type="4" refreshedVersion="0" background="1">
    <webPr url="http://www.emega.com.tw/z/zc/zch/zch_2301.djhtm" htmlTables="1" htmlFormat="all"/>
  </connection>
  <connection id="425" name="連線261" type="4" refreshedVersion="5" background="1" saveData="1">
    <webPr sourceData="1" parsePre="1" consecutive="1" xl2000="1" url="http://justdata.yuanta.com.tw/z/zc/zc3/zc3_1582.asp.htm" htmlTables="1"/>
  </connection>
  <connection id="426" name="連線262" type="4" refreshedVersion="0" background="1">
    <webPr url="http://www.tdcc.com.tw/smWeb/QryStock.jsp?SCA_DATE=20160930&amp;SqlMethod=StockNo&amp;StockNo=1101&amp;StockName=&amp;sub=%ACd%B8%DF" htmlTables="1" htmlFormat="all"/>
  </connection>
  <connection id="427" name="連線2626" type="4" refreshedVersion="0" background="1">
    <webPr url="http://www.tdcc.com.tw/smWeb/QryStock.jsp?SCA_DATE=20150605&amp;SqlMethod=StockNo&amp;StockNo=1806&amp;StockName=&amp;sub=%ACd%B8%DF" htmlTables="1" htmlFormat="all"/>
  </connection>
  <connection id="428" name="連線263" type="4" refreshedVersion="5" background="1" saveData="1">
    <webPr sourceData="1" consecutive="1" xl2000="1" url="http://tw.stock.yahoo.com/q/q?s=1582" htmlTables="1" htmlFormat="all">
      <tables count="1">
        <x v="7"/>
      </tables>
    </webPr>
  </connection>
  <connection id="429" name="連線264" type="4" refreshedVersion="5" background="1" saveData="1">
    <webPr sourceData="1" consecutive="1" xl2000="1" url="http://justdata.yuanta.com.tw/z/zc/zch/zch_1582.asp.htm" htmlTables="1"/>
  </connection>
  <connection id="430" name="連線265" type="4" refreshedVersion="5" saveData="1">
    <webPr sourceData="1" xl2000="1" url="http://www.tdcc.com.tw/smWeb/QryStock.jsp?SCA_DATE=20161007&amp;SqlMethod=StockNo&amp;StockNo=1101&amp;StockName=&amp;sub=%ACd%B8%DF" htmlTables="1">
      <tables count="1">
        <x v="8"/>
      </tables>
    </webPr>
  </connection>
  <connection id="431" name="連線266" type="4" refreshedVersion="0" background="1">
    <webPr url="http://justdata.yuanta.com.tw/z/zc/zcq/zcq_1233.asp.htm" htmlTables="1" htmlFormat="all"/>
  </connection>
  <connection id="432" name="連線267" type="4" refreshedVersion="5" saveData="1">
    <webPr sourceData="1" xl2000="1" url="http://www.tdcc.com.tw/smWeb/QryStock.jsp?SCA_DATE=20161014&amp;SqlMethod=StockNo&amp;StockNo=1101&amp;StockName=&amp;sub=%ACd%B8%DF" htmlTables="1">
      <tables count="1">
        <x v="8"/>
      </tables>
    </webPr>
  </connection>
  <connection id="433" name="連線268" type="4" refreshedVersion="5" saveData="1">
    <webPr sourceData="1" xl2000="1" url="http://www.tdcc.com.tw/smWeb/QryStock.jsp?SCA_DATE=20161021&amp;SqlMethod=StockNo&amp;StockNo=1101&amp;StockName=&amp;sub=%ACd%B8%DF" htmlTables="1">
      <tables count="1">
        <x v="8"/>
      </tables>
    </webPr>
  </connection>
  <connection id="434" name="連線269" type="4" refreshedVersion="0" background="1">
    <webPr url="http://mops.twse.com.tw/nas/t21//t21sc03_105_7_0.html" htmlTables="1" htmlFormat="all"/>
  </connection>
  <connection id="435" name="連線27" type="4" refreshedVersion="0" background="1">
    <webPr url="http://tw.stock.yahoo.com/q/q?s=5508" htmlTables="1" htmlFormat="all"/>
  </connection>
  <connection id="436" name="連線270" type="4" refreshedVersion="0" background="1">
    <webPr url="http://mops.twse.com.tw/nas/t21//t21sc03_105_7_0.html" htmlTables="1" htmlFormat="all"/>
  </connection>
  <connection id="437" name="連線271" type="4" refreshedVersion="0" background="1">
    <webPr url="http://www.emega.com.tw/z/zc/zch/zch_2302.djhtm" htmlTables="1" htmlFormat="all"/>
  </connection>
  <connection id="438" name="連線272" type="4" refreshedVersion="0" background="1">
    <webPr url="http://www.emega.com.tw/z/zc/zch/zch_2102.djhtm" htmlTables="1" htmlFormat="all"/>
  </connection>
  <connection id="439" name="連線273" type="4" refreshedVersion="0" background="1">
    <webPr url="http://www.emega.com.tw/z/zc/zch/zch_2311.djhtm" htmlTables="1" htmlFormat="all"/>
  </connection>
  <connection id="440" name="連線274" type="4" refreshedVersion="0" background="1">
    <webPr url="https://tw.stock.yahoo.com/d/s/earning_2733.html" htmlTables="1" htmlFormat="all"/>
  </connection>
  <connection id="441" name="連線2749" type="4" refreshedVersion="0" background="1">
    <webPr url="http://justdata.yuanta.com.tw/z/zc/zcp/zcpa/zcpa_8068.asp.htm" htmlTables="1" htmlFormat="all"/>
  </connection>
  <connection id="442" name="連線275" type="4" refreshedVersion="0" background="1">
    <webPr url="http://www.emega.com.tw/z/zc/zch/zch_2316.djhtm" htmlTables="1" htmlFormat="all"/>
  </connection>
  <connection id="443" name="連線276" type="4" refreshedVersion="0" background="1">
    <webPr url="http://www.emega.com.tw/z/zc/zch/zch_2324.djhtm" htmlTables="1" htmlFormat="all"/>
  </connection>
  <connection id="444" name="連線277" type="4" refreshedVersion="0" background="1">
    <webPr url="http://www.emega.com.tw/z/zc/zch/zch_2329.djhtm" htmlTables="1" htmlFormat="all"/>
  </connection>
  <connection id="445" name="連線278" type="4" refreshedVersion="0" background="1">
    <webPr url="http://www.emega.com.tw/z/zc/zch/zch_2338.djhtm" htmlTables="1" htmlFormat="all"/>
  </connection>
  <connection id="446" name="連線279" type="4" refreshedVersion="0" background="1">
    <webPr url="http://www.emega.com.tw/z/zc/zch/zch_2340.djhtm" htmlTables="1" htmlFormat="all"/>
  </connection>
  <connection id="447" name="連線28" type="4" refreshedVersion="0" background="1">
    <webPr url="http://justdata.yuanta.com.tw/z/zc/zcq/zcq_3437.asp.htm" htmlTables="1" htmlFormat="all"/>
  </connection>
  <connection id="448" name="連線280" type="4" refreshedVersion="0" background="1">
    <webPr url="http://www.emega.com.tw/z/zc/zch/zch_2342.djhtm" htmlTables="1" htmlFormat="all"/>
  </connection>
  <connection id="449" name="連線281" type="4" refreshedVersion="0" background="1">
    <webPr url="http://www.emega.com.tw/z/zc/zch/zch_2345.djhtm" htmlTables="1" htmlFormat="all"/>
  </connection>
  <connection id="450" name="連線282" type="4" refreshedVersion="0" background="1">
    <webPr url="http://www.emega.com.tw/z/zc/zch/zch_2351.djhtm" htmlTables="1" htmlFormat="all"/>
  </connection>
  <connection id="451" name="連線283" type="4" refreshedVersion="0" background="1">
    <webPr url="http://www.emega.com.tw/z/zc/zch/zch_2353.djhtm" htmlTables="1" htmlFormat="all"/>
  </connection>
  <connection id="452" name="連線284" type="4" refreshedVersion="0" background="1">
    <webPr url="http://www.emega.com.tw/z/zc/zch/zch_2355.djhtm" htmlTables="1" htmlFormat="all"/>
  </connection>
  <connection id="453" name="連線285" type="4" refreshedVersion="0" background="1">
    <webPr url="http://www.emega.com.tw/z/zc/zch/zch_1220.djhtm" htmlTables="1" htmlFormat="all"/>
  </connection>
  <connection id="454" name="連線286" type="4" refreshedVersion="0" background="1">
    <webPr url="http://www.emega.com.tw/z/zc/zch/zch_2356.djhtm" htmlTables="1" htmlFormat="all"/>
  </connection>
  <connection id="455" name="連線287" type="4" refreshedVersion="0" background="1">
    <webPr url="http://www.emega.com.tw/z/zc/zch/zch_2357.djhtm" htmlTables="1" htmlFormat="all"/>
  </connection>
  <connection id="456" name="連線288" type="4" refreshedVersion="0" background="1">
    <webPr url="http://www.emega.com.tw/z/zc/zch/zch_2358.djhtm" htmlTables="1" htmlFormat="all"/>
  </connection>
  <connection id="457" name="連線289" type="4" refreshedVersion="0" background="1">
    <webPr url="http://www.emega.com.tw/z/zc/zch/zch_2359.djhtm" htmlTables="1" htmlFormat="all"/>
  </connection>
  <connection id="458" name="連線29" type="4" refreshedVersion="5" background="1" saveData="1">
    <webPr sourceData="1" parsePre="1" consecutive="1" xl2000="1" url="http://justdata.yuanta.com.tw/z/zc/zcq/zcq_1582.asp.htm" htmlTables="1"/>
  </connection>
  <connection id="459" name="連線290" type="4" refreshedVersion="0" background="1">
    <webPr url="http://www.emega.com.tw/z/zc/zch/zch_2362.djhtm" htmlTables="1" htmlFormat="all"/>
  </connection>
  <connection id="460" name="連線291" type="4" refreshedVersion="0" background="1">
    <webPr url="http://www.emega.com.tw/z/zc/zch/zch_2363.djhtm" htmlTables="1" htmlFormat="all"/>
  </connection>
  <connection id="461" name="連線292" type="4" refreshedVersion="0" background="1">
    <webPr url="http://www.emega.com.tw/z/zc/zch/zch_2365.djhtm" htmlTables="1" htmlFormat="all"/>
  </connection>
  <connection id="462" name="連線293" type="4" refreshedVersion="0" background="1">
    <webPr url="http://www.emega.com.tw/z/zc/zch/zch_2368.djhtm" htmlTables="1" htmlFormat="all"/>
  </connection>
  <connection id="463" name="連線294" type="4" refreshedVersion="0" background="1">
    <webPr url="http://www.emega.com.tw/z/zc/zch/zch_2373.djhtm" htmlTables="1" htmlFormat="all"/>
  </connection>
  <connection id="464" name="連線295" type="4" refreshedVersion="0" background="1">
    <webPr url="http://www.emega.com.tw/z/zc/zch/zch_2376.djhtm" htmlTables="1" htmlFormat="all"/>
  </connection>
  <connection id="465" name="連線2957" type="4" refreshedVersion="0" background="1">
    <webPr url="http://www.tdcc.com.tw/smWeb/QryStock.jsp?SCA_DATE=20160325&amp;SqlMethod=StockNo&amp;StockNo=1532&amp;StockName=&amp;sub=%ACd%B8%DF" htmlTables="1" htmlFormat="all"/>
  </connection>
  <connection id="466" name="連線296" type="4" refreshedVersion="0" background="1">
    <webPr url="http://www.emega.com.tw/z/zc/zch/zch_2377.djhtm" htmlTables="1" htmlFormat="all"/>
  </connection>
  <connection id="467" name="連線297" type="4" refreshedVersion="0" background="1">
    <webPr url="http://www.tdcc.com.tw/smWeb/QryStock.jsp?SCA_DATE=20160408&amp;SqlMethod=StockNo&amp;StockNo=6118&amp;StockName=&amp;sub=%ACd%B8%DF" htmlTables="1" htmlFormat="all"/>
  </connection>
  <connection id="468" name="連線298" type="4" refreshedVersion="0" background="1">
    <webPr url="http://www.emega.com.tw/z/zc/zch/zch_2379.djhtm" htmlTables="1" htmlFormat="all"/>
  </connection>
  <connection id="469" name="連線299" type="4" refreshedVersion="0" background="1">
    <webPr url="http://www.emega.com.tw/z/zc/zch/zch_2380.djhtm" htmlTables="1" htmlFormat="all"/>
  </connection>
  <connection id="470" name="連線2998" type="4" refreshedVersion="0" background="1">
    <webPr url="http://www.tdcc.com.tw/smWeb/QryStock.jsp?SCA_DATE=20160325&amp;SqlMethod=StockNo&amp;StockNo=1220&amp;StockName=&amp;sub=%ACd%B8%DF" htmlTables="1" htmlFormat="all"/>
  </connection>
  <connection id="471" name="連線3" type="4" refreshedVersion="0" background="1">
    <webPr url="http://justdata.yuanta.com.tw/z/zc/zcp/zcpa/zcpa_3073.asp.htm" htmlTables="1" htmlFormat="all"/>
  </connection>
  <connection id="472" name="連線30" type="4" refreshedVersion="0" background="1">
    <webPr url="http://www.emega.com.tw/z/zc/zch/zch_1416.djhtm" htmlTables="1" htmlFormat="all"/>
  </connection>
  <connection id="473" name="連線300" type="4" refreshedVersion="0" background="1">
    <webPr url="http://www.emega.com.tw/z/zc/zch/zch_2382.djhtm" htmlTables="1" htmlFormat="all"/>
  </connection>
  <connection id="474" name="連線301" type="4" refreshedVersion="0" background="1">
    <webPr url="http://www.emega.com.tw/z/zc/zch/zch_2385.djhtm" htmlTables="1" htmlFormat="all"/>
  </connection>
  <connection id="475" name="連線302" type="4" refreshedVersion="0" background="1">
    <webPr url="http://www.emega.com.tw/z/zc/zch/zch_2387.djhtm" htmlTables="1" htmlFormat="all"/>
  </connection>
  <connection id="476" name="連線303" type="4" refreshedVersion="0" background="1">
    <webPr url="http://www.emega.com.tw/z/zc/zch/zch_2388.djhtm" htmlTables="1" htmlFormat="all"/>
  </connection>
  <connection id="477" name="連線304" type="4" refreshedVersion="0" background="1">
    <webPr url="http://www.emega.com.tw/z/zc/zch/zch_2390.djhtm" htmlTables="1" htmlFormat="all"/>
  </connection>
  <connection id="478" name="連線305" type="4" refreshedVersion="0" background="1">
    <webPr url="http://www.emega.com.tw/z/zc/zch/zch_2392.djhtm" htmlTables="1" htmlFormat="all"/>
  </connection>
  <connection id="479" name="連線306" type="4" refreshedVersion="0" background="1">
    <webPr url="http://www.emega.com.tw/z/zc/zch/zch_2397.djhtm" htmlTables="1" htmlFormat="all"/>
  </connection>
  <connection id="480" name="連線307" type="4" refreshedVersion="0" background="1">
    <webPr url="http://www.emega.com.tw/z/zc/zch/zch_2401.djhtm" htmlTables="1" htmlFormat="all"/>
  </connection>
  <connection id="481" name="連線308" type="4" refreshedVersion="0" background="1">
    <webPr url="http://www.emega.com.tw/z/zc/zch/zch_2402.djhtm" htmlTables="1" htmlFormat="all"/>
  </connection>
  <connection id="482" name="連線309" type="4" refreshedVersion="0" background="1">
    <webPr url="http://www.emega.com.tw/z/zc/zch/zch_2406.djhtm" htmlTables="1" htmlFormat="all"/>
  </connection>
  <connection id="483" name="連線31" type="4" refreshedVersion="0" background="1">
    <webPr url="http://justdata.yuanta.com.tw/z/zc/zc3/zc3_1717.asp.htm" htmlTables="1" htmlFormat="all"/>
  </connection>
  <connection id="484" name="連線310" type="4" refreshedVersion="0" background="1">
    <webPr url="http://www.emega.com.tw/z/zc/zch/zch_2408.djhtm" htmlTables="1" htmlFormat="all"/>
  </connection>
  <connection id="485" name="連線311" type="4" refreshedVersion="0" background="1">
    <webPr url="http://www.emega.com.tw/z/zc/zch/zch_2412.djhtm" htmlTables="1" htmlFormat="all"/>
  </connection>
  <connection id="486" name="連線312" type="4" refreshedVersion="0" background="1">
    <webPr url="http://www.emega.com.tw/z/zc/zch/zch_2413.djhtm" htmlTables="1" htmlFormat="all"/>
  </connection>
  <connection id="487" name="連線313" type="4" refreshedVersion="0" background="1">
    <webPr url="http://www.emega.com.tw/z/zc/zch/zch_2414.djhtm" htmlTables="1" htmlFormat="all"/>
  </connection>
  <connection id="488" name="連線314" type="4" refreshedVersion="0" background="1">
    <webPr url="http://www.emega.com.tw/z/zc/zch/zch_2415.djhtm" htmlTables="1" htmlFormat="all"/>
  </connection>
  <connection id="489" name="連線315" type="4" refreshedVersion="0" background="1">
    <webPr url="http://www.emega.com.tw/z/zc/zch/zch_2417.djhtm" htmlTables="1" htmlFormat="all"/>
  </connection>
  <connection id="490" name="連線316" type="4" refreshedVersion="0" background="1">
    <webPr url="http://www.emega.com.tw/z/zc/zch/zch_2419.djhtm" htmlTables="1" htmlFormat="all"/>
  </connection>
  <connection id="491" name="連線317" type="4" refreshedVersion="0" background="1">
    <webPr url="http://www.emega.com.tw/z/zc/zch/zch_2420.djhtm" htmlTables="1" htmlFormat="all"/>
  </connection>
  <connection id="492" name="連線318" type="4" refreshedVersion="0" background="1">
    <webPr url="http://jsjustweb.jihsun.com.tw/z/zc/zco/zco0/zco0.djhtm?a=1533&amp;b=1650" htmlTables="1" htmlFormat="all"/>
  </connection>
  <connection id="493" name="連線319" type="4" refreshedVersion="0" background="1">
    <webPr url="http://www.emega.com.tw/z/zc/zch/zch_2424.djhtm" htmlTables="1" htmlFormat="all"/>
  </connection>
  <connection id="494" name="連線32" type="4" refreshedVersion="0" background="1">
    <webPr url="http://www.emega.com.tw/z/zc/zch/zch_1215.djhtm" htmlTables="1" htmlFormat="all"/>
  </connection>
  <connection id="495" name="連線320" type="4" refreshedVersion="0" background="1">
    <webPr url="http://www.emega.com.tw/z/zc/zch/zch_2425.djhtm" htmlTables="1" htmlFormat="all"/>
  </connection>
  <connection id="496" name="連線321" type="4" refreshedVersion="0" background="1">
    <webPr url="http://www.emega.com.tw/z/zc/zch/zch_2426.djhtm" htmlTables="1" htmlFormat="all"/>
  </connection>
  <connection id="497" name="連線322" type="4" refreshedVersion="0" background="1">
    <webPr url="http://www.emega.com.tw/z/zc/zch/zch_2427.djhtm" htmlTables="1" htmlFormat="all"/>
  </connection>
  <connection id="498" name="連線323" type="4" refreshedVersion="0" background="1">
    <webPr url="http://www.emega.com.tw/z/zc/zch/zch_2434.djhtm" htmlTables="1" htmlFormat="all"/>
  </connection>
  <connection id="499" name="連線324" type="4" refreshedVersion="0" background="1">
    <webPr url="http://www.tdcc.com.tw/smWeb/QryStock.jsp?SCA_DATE=20160729&amp;SqlMethod=StockNo&amp;StockNo=2439&amp;StockName=&amp;sub=%ACd%B8%DF" htmlTables="1" htmlFormat="all"/>
  </connection>
  <connection id="500" name="連線325" type="4" refreshedVersion="0" background="1">
    <webPr url="http://www.emega.com.tw/z/zc/zch/zch_1603.djhtm" htmlTables="1" htmlFormat="all"/>
  </connection>
  <connection id="501" name="連線326" type="4" refreshedVersion="0" background="1">
    <webPr url="http://www.emega.com.tw/z/zc/zch/zch_2438.djhtm" htmlTables="1" htmlFormat="all"/>
  </connection>
  <connection id="502" name="連線327" type="4" refreshedVersion="0" background="1">
    <webPr url="http://www.emega.com.tw/z/zc/zch/zch_3029.djhtm" htmlTables="1" htmlFormat="all"/>
  </connection>
  <connection id="503" name="連線328" type="4" refreshedVersion="0" background="1">
    <webPr url="http://www.emega.com.tw/z/zc/zch/zch_2440.djhtm" htmlTables="1" htmlFormat="all"/>
  </connection>
  <connection id="504" name="連線329" type="4" refreshedVersion="0" background="1">
    <webPr url="http://justdata.yuanta.com.tw/z/zc/zcq/zcq_1464.asp.htm" htmlTables="1" htmlFormat="all"/>
  </connection>
  <connection id="505" name="連線33" type="4" refreshedVersion="0" background="1">
    <webPr url="http://www.cnyes.com/twstock/Technical/3005.htm" htmlTables="1" htmlFormat="all"/>
  </connection>
  <connection id="506" name="連線330" type="4" refreshedVersion="0" background="1">
    <webPr url="http://www.emega.com.tw/z/zc/zch/zch_2442.djhtm" htmlTables="1" htmlFormat="all"/>
  </connection>
  <connection id="507" name="連線331" type="4" refreshedVersion="0" background="1">
    <webPr url="http://www.emega.com.tw/z/zc/zch/zch_2444.djhtm" htmlTables="1" htmlFormat="all"/>
  </connection>
  <connection id="508" name="連線332" type="4" refreshedVersion="0" background="1">
    <webPr url="http://www.emega.com.tw/z/zc/zch/zch_2457.djhtm" htmlTables="1" htmlFormat="all"/>
  </connection>
  <connection id="509" name="連線333" type="4" refreshedVersion="0" background="1">
    <webPr url="http://www.emega.com.tw/z/zc/zch/zch_2459.djhtm" htmlTables="1" htmlFormat="all"/>
  </connection>
  <connection id="510" name="連線334" type="4" refreshedVersion="0" background="1">
    <webPr url="http://www.emega.com.tw/z/zc/zch/zch_2460.djhtm" htmlTables="1" htmlFormat="all"/>
  </connection>
  <connection id="511" name="連線335" type="4" refreshedVersion="0" background="1">
    <webPr url="http://www.emega.com.tw/z/zc/zch/zch_2461.djhtm" htmlTables="1" htmlFormat="all"/>
  </connection>
  <connection id="512" name="連線336" type="4" refreshedVersion="0" background="1">
    <webPr url="http://justdata.yuanta.com.tw/z/zc/zc3/zc3_1733.asp.htm" htmlTables="1" htmlFormat="all"/>
  </connection>
  <connection id="513" name="連線337" type="4" refreshedVersion="0" background="1">
    <webPr url="http://www.emega.com.tw/z/zc/zch/zch_2462.djhtm" htmlTables="1" htmlFormat="all"/>
  </connection>
  <connection id="514" name="連線338" type="4" refreshedVersion="0" background="1">
    <webPr url="http://www.emega.com.tw/z/zc/zch/zch_1517.djhtm" htmlTables="1" htmlFormat="all"/>
  </connection>
  <connection id="515" name="連線339" type="4" refreshedVersion="0" background="1">
    <webPr url="http://www.emega.com.tw/z/zc/zch/zch_2464.djhtm" htmlTables="1" htmlFormat="all"/>
  </connection>
  <connection id="516" name="連線34" type="4" refreshedVersion="0" background="1">
    <webPr url="http://tw.stock.yahoo.com/q/q?s=1326" htmlTables="1" htmlFormat="all"/>
  </connection>
  <connection id="517" name="連線340" type="4" refreshedVersion="0" background="1">
    <webPr url="http://www.emega.com.tw/z/zc/zch/zch_2465.djhtm" htmlTables="1" htmlFormat="all"/>
  </connection>
  <connection id="518" name="連線341" type="4" refreshedVersion="0" background="1">
    <webPr url="http://www.emega.com.tw/z/zc/zch/zch_2468.djhtm" htmlTables="1" htmlFormat="all"/>
  </connection>
  <connection id="519" name="連線342" type="4" refreshedVersion="0" background="1">
    <webPr url="http://www.emega.com.tw/z/zc/zch/zch_2475.djhtm" htmlTables="1" htmlFormat="all"/>
  </connection>
  <connection id="520" name="連線343" type="4" refreshedVersion="0" background="1">
    <webPr url="http://www.emega.com.tw/z/zc/zch/zch_2477.djhtm" htmlTables="1" htmlFormat="all"/>
  </connection>
  <connection id="521" name="連線344" type="4" refreshedVersion="0" background="1">
    <webPr url="http://www.emega.com.tw/z/zc/zch/zch_2481.djhtm" htmlTables="1" htmlFormat="all"/>
  </connection>
  <connection id="522" name="連線345" type="4" refreshedVersion="0" background="1">
    <webPr url="http://www.emega.com.tw/z/zc/zch/zch_2482.djhtm" htmlTables="1" htmlFormat="all"/>
  </connection>
  <connection id="523" name="連線346" type="4" refreshedVersion="0" background="1">
    <webPr url="http://www.emega.com.tw/z/zc/zch/zch_2483.djhtm" htmlTables="1" htmlFormat="all"/>
  </connection>
  <connection id="524" name="連線347" type="4" refreshedVersion="0" background="1">
    <webPr url="http://www.emega.com.tw/z/zc/zch/zch_2484.djhtm" htmlTables="1" htmlFormat="all"/>
  </connection>
  <connection id="525" name="連線348" type="4" refreshedVersion="0" background="1">
    <webPr url="http://www.emega.com.tw/z/zc/zch/zch_2485.djhtm" htmlTables="1" htmlFormat="all"/>
  </connection>
  <connection id="526" name="連線349" type="4" refreshedVersion="0" background="1">
    <webPr url="http://stockchannel.sinotrade.com.tw/z/zc/zca/zca_15951.djhtm" htmlTables="1" htmlFormat="all"/>
  </connection>
  <connection id="527" name="連線35" type="4" refreshedVersion="0" background="1">
    <webPr url="http://www.emega.com.tw/z/zc/zch/zch_1215.djhtm" htmlTables="1" htmlFormat="all"/>
  </connection>
  <connection id="528" name="連線350" type="4" refreshedVersion="0" background="1">
    <webPr url="http://stockchannel.sinotrade.com.tw/z/zc/zca/zca_17091.djhtm" htmlTables="1" htmlFormat="all"/>
  </connection>
  <connection id="529" name="連線351" type="4" refreshedVersion="0" background="1">
    <webPr url="http://stockchannel.sinotrade.com.tw/z/zc/zca/zca_17153.djhtm" htmlTables="1" htmlFormat="all"/>
  </connection>
  <connection id="530" name="連線352" type="4" refreshedVersion="0" background="1">
    <webPr url="http://stockchannel.sinotrade.com.tw/z/zc/zca/zca_17150.djhtm" htmlTables="1" htmlFormat="all"/>
  </connection>
  <connection id="531" name="連線353" type="4" refreshedVersion="0" background="1">
    <webPr url="http://stockchannel.sinotrade.com.tw/z/zc/zca/zca_18083.djhtm" htmlTables="1" htmlFormat="all"/>
  </connection>
  <connection id="532" name="連線354" type="4" refreshedVersion="0" background="1">
    <webPr url="http://stockchannel.sinotrade.com.tw/z/zc/zca/zca_19093.djhtm" htmlTables="1" htmlFormat="all"/>
  </connection>
  <connection id="533" name="連線355" type="4" refreshedVersion="0" background="1">
    <webPr url="http://justdata.yuanta.com.tw/z/zc/zcq/zcq_1201.asp.htm" htmlTables="1" htmlFormat="all"/>
  </connection>
  <connection id="534" name="連線356" type="4" refreshedVersion="0" background="1">
    <webPr url="http://stockchannel.sinotrade.com.tw/z/zc/zca/zca_21151.djhtm" htmlTables="1" htmlFormat="all"/>
  </connection>
  <connection id="535" name="連線357" type="4" refreshedVersion="0" background="1">
    <webPr url="http://stockchannel.sinotrade.com.tw/z/zc/zca/zca_23320.djhtm" htmlTables="1" htmlFormat="all"/>
  </connection>
  <connection id="536" name="連線358" type="4" refreshedVersion="0" background="1">
    <webPr url="http://stockchannel.sinotrade.com.tw/z/zc/zca/zca_23532.djhtm" htmlTables="1" htmlFormat="all"/>
  </connection>
  <connection id="537" name="連線359" type="4" refreshedVersion="0" background="1">
    <webPr url="http://stockchannel.sinotrade.com.tw/z/zc/zca/zca_24022.djhtm" htmlTables="1" htmlFormat="all"/>
  </connection>
  <connection id="538" name="連線36" type="4" refreshedVersion="0" background="1">
    <webPr url="http://www.emega.com.tw/z/zc/zch/zch_1452.djhtm" htmlTables="1" htmlFormat="all"/>
  </connection>
  <connection id="539" name="連線360" type="4" refreshedVersion="0" background="1">
    <webPr url="http://www.cnyes.com/twstock/Technical/2106.htm" htmlTables="1" htmlFormat="all"/>
  </connection>
  <connection id="540" name="連線361" type="4" refreshedVersion="0" background="1">
    <webPr url="http://stockchannel.sinotrade.com.tw/z/zc/zca/zca_24391.djhtm" htmlTables="1" htmlFormat="all"/>
  </connection>
  <connection id="541" name="連線362" type="4" refreshedVersion="0" background="1">
    <webPr url="http://stockchannel.sinotrade.com.tw/z/zc/zca/zca_24442.djhtm" htmlTables="1" htmlFormat="all"/>
  </connection>
  <connection id="542" name="連線363" type="4" refreshedVersion="0" background="1">
    <webPr url="http://stockchannel.sinotrade.com.tw/z/zc/zca/zca_24564.djhtm" htmlTables="1" htmlFormat="all"/>
  </connection>
  <connection id="543" name="連線364" type="4" refreshedVersion="0" background="1">
    <webPr url="https://tw.stock.yahoo.com/d/s/earning_3627.html" htmlTables="1" htmlFormat="all"/>
  </connection>
  <connection id="544" name="連線365" type="4" refreshedVersion="0" background="1">
    <webPr url="http://www.emega.com.tw/z/zc/zch/zch_2491.djhtm" htmlTables="1" htmlFormat="all"/>
  </connection>
  <connection id="545" name="連線366" type="4" refreshedVersion="0" background="1">
    <webPr url="http://www.emega.com.tw/z/zc/zch/zch_2493.djhtm" htmlTables="1" htmlFormat="all"/>
  </connection>
  <connection id="546" name="連線367" type="4" refreshedVersion="0" background="1">
    <webPr url="http://www.emega.com.tw/z/zc/zch/zch_2495.djhtm" htmlTables="1" htmlFormat="all"/>
  </connection>
  <connection id="547" name="連線368" type="4" refreshedVersion="0" background="1">
    <webPr url="http://www.emega.com.tw/z/zc/zch/zch_2496.djhtm" htmlTables="1" htmlFormat="all"/>
  </connection>
  <connection id="548" name="連線369" type="4" refreshedVersion="0" background="1">
    <webPr url="http://www.emega.com.tw/z/zc/zch/zch_1446.djhtm" htmlTables="1" htmlFormat="all"/>
  </connection>
  <connection id="549" name="連線37" type="4" refreshedVersion="0" background="1">
    <webPr url="http://www.emega.com.tw/z/zc/zch/zch_2637.djhtm" htmlTables="1" htmlFormat="all"/>
  </connection>
  <connection id="550" name="連線370" type="4" refreshedVersion="0" background="1">
    <webPr url="http://www.emega.com.tw/z/zc/zch/zch_2501.djhtm" htmlTables="1" htmlFormat="all"/>
  </connection>
  <connection id="551" name="連線371" type="4" refreshedVersion="0" background="1">
    <webPr url="http://justdata.yuanta.com.tw/z/zc/zcq/zcq_1233.asp.htm" htmlTables="1" htmlFormat="all"/>
  </connection>
  <connection id="552" name="連線372" type="4" refreshedVersion="0" background="1">
    <webPr url="http://www.emega.com.tw/z/zc/zch/zch_2505.djhtm" htmlTables="1" htmlFormat="all"/>
  </connection>
  <connection id="553" name="連線373" type="4" refreshedVersion="0" background="1">
    <webPr url="http://www.emega.com.tw/z/zc/zch/zch_2515.djhtm" htmlTables="1" htmlFormat="all"/>
  </connection>
  <connection id="554" name="連線374" type="4" refreshedVersion="0" background="1">
    <webPr url="http://www.emega.com.tw/z/zc/zch/zch_1316.djhtm" htmlTables="1" htmlFormat="all"/>
  </connection>
  <connection id="555" name="連線375" type="4" refreshedVersion="0" background="1">
    <webPr url="http://www.emega.com.tw/z/zc/zch/zch_2520.djhtm" htmlTables="1" htmlFormat="all"/>
  </connection>
  <connection id="556" name="連線376" type="4" refreshedVersion="0" background="1">
    <webPr url="http://www.emega.com.tw/z/zc/zch/zch_2424.djhtm" htmlTables="1" htmlFormat="all"/>
  </connection>
  <connection id="557" name="連線377" type="4" refreshedVersion="0" background="1">
    <webPr url="http://www.emega.com.tw/z/zc/zch/zch_2527.djhtm" htmlTables="1" htmlFormat="all"/>
  </connection>
  <connection id="558" name="連線378" type="4" refreshedVersion="0" background="1">
    <webPr url="http://www.emega.com.tw/z/zc/zch/zch_2534.djhtm" htmlTables="1" htmlFormat="all"/>
  </connection>
  <connection id="559" name="連線379" type="4" refreshedVersion="0" background="1">
    <webPr url="http://www.emega.com.tw/z/zc/zch/zch_2535.djhtm" htmlTables="1" htmlFormat="all"/>
  </connection>
  <connection id="560" name="連線38" type="4" refreshedVersion="0" background="1">
    <webPr url="http://tw.stock.yahoo.com/q/q?s=1203" htmlTables="1" htmlFormat="all"/>
  </connection>
  <connection id="561" name="連線380" type="4" refreshedVersion="0" background="1">
    <webPr url="http://www.emega.com.tw/z/zc/zch/zch_2539.djhtm" htmlTables="1" htmlFormat="all"/>
  </connection>
  <connection id="562" name="連線381" type="4" refreshedVersion="0" background="1">
    <webPr url="http://www.emega.com.tw/z/zc/zch/zch_2540.djhtm" htmlTables="1" htmlFormat="all"/>
  </connection>
  <connection id="563" name="連線382" type="4" refreshedVersion="0" background="1">
    <webPr url="http://www.emega.com.tw/z/zc/zch/zch_2542.djhtm" htmlTables="1" htmlFormat="all"/>
  </connection>
  <connection id="564" name="連線383" type="4" refreshedVersion="0" background="1">
    <webPr url="http://www.emega.com.tw/z/zc/zch/zch_2543.djhtm" htmlTables="1" htmlFormat="all"/>
  </connection>
  <connection id="565" name="連線384" type="4" refreshedVersion="0" background="1">
    <webPr url="http://www.emega.com.tw/z/zc/zch/zch_4930.djhtm" htmlTables="1" htmlFormat="all"/>
  </connection>
  <connection id="566" name="連線385" type="4" refreshedVersion="0" background="1">
    <webPr url="http://www.emega.com.tw/z/zc/zch/zch_2545.djhtm" htmlTables="1" htmlFormat="all"/>
  </connection>
  <connection id="567" name="連線386" type="4" refreshedVersion="0" background="1">
    <webPr url="http://www.tdcc.com.tw/smWeb/QryStock.jsp?SCA_DATE=20160318&amp;SqlMethod=StockNo&amp;StockNo=1229&amp;StockName=&amp;sub=%ACd%B8%DF" htmlTables="1" htmlFormat="all"/>
  </connection>
  <connection id="568" name="連線387" type="4" refreshedVersion="0" background="1">
    <webPr url="http://www.tdcc.com.tw/smWeb/QryStock.jsp?SCA_DATE=單季EPS&amp;SqlMethod=StockNo&amp;StockNo=0&amp;StockName=&amp;sub=%ACd%B8%DF" htmlTables="1" htmlFormat="all"/>
  </connection>
  <connection id="569" name="連線388" type="4" refreshedVersion="0" background="1">
    <webPr url="http://www.emega.com.tw/z/zc/zch/zch_2546.djhtm" htmlTables="1" htmlFormat="all"/>
  </connection>
  <connection id="570" name="連線389" type="4" refreshedVersion="0" background="1">
    <webPr url="http://www.emega.com.tw/z/zc/zch/zch_2597.djhtm" htmlTables="1" htmlFormat="all"/>
  </connection>
  <connection id="571" name="連線39" type="4" refreshedVersion="0" background="1">
    <webPr url="http://justdata.yuanta.com.tw/z/zc/zc3/zc3_1626.asp.htm" htmlTables="1" htmlFormat="all"/>
  </connection>
  <connection id="572" name="連線390" type="4" refreshedVersion="0" background="1">
    <webPr url="http://www.emega.com.tw/z/zc/zch/zch_2603.djhtm" htmlTables="1" htmlFormat="all"/>
  </connection>
  <connection id="573" name="連線391" type="4" refreshedVersion="0" background="1">
    <webPr url="http://www.emega.com.tw/z/zc/zch/zch_2606.djhtm" htmlTables="1" htmlFormat="all"/>
  </connection>
  <connection id="574" name="連線392" type="4" refreshedVersion="0" background="1">
    <webPr url="http://www.emega.com.tw/z/zc/zch/zch_2607.djhtm" htmlTables="1" htmlFormat="all"/>
  </connection>
  <connection id="575" name="連線393" type="4" refreshedVersion="0" background="1">
    <webPr url="http://www.emega.com.tw/z/zc/zch/zch_2612.djhtm" htmlTables="1" htmlFormat="all"/>
  </connection>
  <connection id="576" name="連線394" type="4" refreshedVersion="0" background="1">
    <webPr url="http://www.emega.com.tw/z/zc/zch/zch_2613.djhtm" htmlTables="1" htmlFormat="all"/>
  </connection>
  <connection id="577" name="連線395" type="4" refreshedVersion="0" background="1">
    <webPr url="http://www.emega.com.tw/z/zc/zch/zch_2614.djhtm" htmlTables="1" htmlFormat="all"/>
  </connection>
  <connection id="578" name="連線396" type="4" refreshedVersion="0" background="1">
    <webPr url="http://www.emega.com.tw/z/zc/zch/zch_2615.djhtm" htmlTables="1" htmlFormat="all"/>
  </connection>
  <connection id="579" name="連線397" type="4" refreshedVersion="0" background="1">
    <webPr url="http://www.emega.com.tw/z/zc/zch/zch_2617.djhtm" htmlTables="1" htmlFormat="all"/>
  </connection>
  <connection id="580" name="連線398" type="4" refreshedVersion="0" background="1">
    <webPr url="http://www.emega.com.tw/z/zc/zch/zch_2618.djhtm" htmlTables="1" htmlFormat="all"/>
  </connection>
  <connection id="581" name="連線399" type="4" refreshedVersion="0" background="1">
    <webPr url="http://www.emega.com.tw/z/zc/zch/zch_2634.djhtm" htmlTables="1" htmlFormat="all"/>
  </connection>
  <connection id="582" name="連線4" type="4" refreshedVersion="0" background="1">
    <webPr url="http://www.tdcc.com.tw/smWeb/QryStock.jsp?SCA_DATE=20150302&amp;SqlMethod=StockNo&amp;StockNo=1103&amp;StockName=&amp;sub=%ACd%B8%DF" htmlTables="1" htmlFormat="all"/>
  </connection>
  <connection id="583" name="連線40" type="4" refreshedVersion="0" background="1">
    <webPr url="http://http://www.cnyes.com/twstock/margin/2344.htm" htmlTables="1" htmlFormat="all"/>
  </connection>
  <connection id="584" name="連線400" type="4" refreshedVersion="0" background="1">
    <webPr url="http://www.emega.com.tw/z/zc/zch/zch_2637.djhtm" htmlTables="1" htmlFormat="all"/>
  </connection>
  <connection id="585" name="連線401" type="4" refreshedVersion="0" background="1">
    <webPr url="http://www.emega.com.tw/z/zc/zch/zch_2642.djhtm" htmlTables="1" htmlFormat="all"/>
  </connection>
  <connection id="586" name="連線402" type="4" refreshedVersion="0" background="1">
    <webPr url="http://www.emega.com.tw/z/zc/zch/zch_2705.djhtm" htmlTables="1" htmlFormat="all"/>
  </connection>
  <connection id="587" name="連線403" type="4" refreshedVersion="0" background="1">
    <webPr url="http://www.emega.com.tw/z/zc/zch/zch_2706.djhtm" htmlTables="1" htmlFormat="all"/>
  </connection>
  <connection id="588" name="連線404" type="4" refreshedVersion="0" background="1">
    <webPr url="http://www.emega.com.tw/z/zc/zch/zch_2707.djhtm" htmlTables="1" htmlFormat="all"/>
  </connection>
  <connection id="589" name="連線405" type="4" refreshedVersion="0" background="1">
    <webPr url="http://www.emega.com.tw/z/zc/zch/zch_2712.djhtm" htmlTables="1" htmlFormat="all"/>
  </connection>
  <connection id="590" name="連線406" type="4" refreshedVersion="0" background="1">
    <webPr url="http://www.emega.com.tw/z/zc/zch/zch_2722.djhtm" htmlTables="1" htmlFormat="all"/>
  </connection>
  <connection id="591" name="連線407" type="4" refreshedVersion="0" background="1">
    <webPr url="http://www.emega.com.tw/z/zc/zch/zch_2739.djhtm" htmlTables="1" htmlFormat="all"/>
  </connection>
  <connection id="592" name="連線408" type="4" refreshedVersion="0" background="1">
    <webPr url="http://www.emega.com.tw/z/zc/zch/zch_2901.djhtm" htmlTables="1" htmlFormat="all"/>
  </connection>
  <connection id="593" name="連線409" type="4" refreshedVersion="0" background="1">
    <webPr url="http://tw.stock.yahoo.com/q/q?s=8421" htmlTables="1" htmlFormat="all"/>
  </connection>
  <connection id="594" name="連線41" type="4" refreshedVersion="0" background="1">
    <webPr url="http://www.tdcc.com.tw/smWeb/QryStock.jsp?SCA_DATE=2015/10/23&amp;SqlMethod=StockNo&amp;StockNo=1203&amp;StockName=&amp;sub=%ACd%B8%DF" htmlTables="1" htmlFormat="all"/>
  </connection>
  <connection id="595" name="連線410" type="4" refreshedVersion="0" background="1">
    <webPr url="http://www.emega.com.tw/z/zc/zch/zch_2904.djhtm" htmlTables="1" htmlFormat="all"/>
  </connection>
  <connection id="596" name="連線411" type="4" refreshedVersion="0" background="1">
    <webPr url="http://www.emega.com.tw/z/zc/zch/zch_2908.djhtm" htmlTables="1" htmlFormat="all"/>
  </connection>
  <connection id="597" name="連線412" type="4" refreshedVersion="0" background="1">
    <webPr url="http://www.emega.com.tw/z/zc/zch/zch_2911.djhtm" htmlTables="1" htmlFormat="all"/>
  </connection>
  <connection id="598" name="連線413" type="4" refreshedVersion="0" background="1">
    <webPr url="http://www.tdcc.com.tw/smWeb/QryStock.jsp?SCA_DATE=本年累計合併稅前損益&amp;SqlMethod=StockNo&amp;StockNo=2303&amp;StockName=&amp;sub=%ACd%B8%DF" htmlTables="1" htmlFormat="all"/>
  </connection>
  <connection id="599" name="連線414" type="4" refreshedVersion="0" background="1">
    <webPr url="http://www.emega.com.tw/z/zc/zch/zch_2913.djhtm" htmlTables="1" htmlFormat="all"/>
  </connection>
  <connection id="600" name="連線415" type="4" refreshedVersion="0" background="1">
    <webPr url="http://www.emega.com.tw/z/zc/zch/zch_2923.djhtm" htmlTables="1" htmlFormat="all"/>
  </connection>
  <connection id="601" name="連線416" type="4" refreshedVersion="0" background="1">
    <webPr url="http://www.tdcc.com.tw/smWeb/QryStock.jsp?SCA_DATE=單季EPS&amp;SqlMethod=StockNo&amp;StockNo=1215&amp;StockName=&amp;sub=%ACd%B8%DF" htmlTables="1" htmlFormat="all"/>
  </connection>
  <connection id="602" name="連線417" type="4" refreshedVersion="0" background="1">
    <webPr url="http://www.tdcc.com.tw/smWeb/QryStock.jsp?SCA_DATE=本年累計合併稅前損益&amp;SqlMethod=StockNo&amp;StockNo=1215&amp;StockName=&amp;sub=%ACd%B8%DF" htmlTables="1" htmlFormat="all"/>
  </connection>
  <connection id="603" name="連線418" type="4" refreshedVersion="0" background="1">
    <webPr url="http://www.emega.com.tw/z/zc/zch/zch_3002.djhtm" htmlTables="1" htmlFormat="all"/>
  </connection>
  <connection id="604" name="連線419" type="4" refreshedVersion="0" background="1">
    <webPr url="http://www.emega.com.tw/z/zc/zch/zch_3003.djhtm" htmlTables="1" htmlFormat="all"/>
  </connection>
  <connection id="605" name="連線42" type="4" refreshedVersion="0" background="1">
    <webPr url="http://tw.stock.yahoo.com/q/q?s=1213" htmlTables="1" htmlFormat="all"/>
  </connection>
  <connection id="606" name="連線420" type="4" refreshedVersion="0" background="1">
    <webPr url="http://www.emega.com.tw/z/zc/zch/zch_3004.djhtm" htmlTables="1" htmlFormat="all"/>
  </connection>
  <connection id="607" name="連線421" type="4" refreshedVersion="0" background="1">
    <webPr url="http://www.emega.com.tw/z/zc/zch/zch_3005.djhtm" htmlTables="1" htmlFormat="all"/>
  </connection>
  <connection id="608" name="連線422" type="4" refreshedVersion="0" background="1">
    <webPr url="http://www.emega.com.tw/z/zc/zch/zch_3008.djhtm" htmlTables="1" htmlFormat="all"/>
  </connection>
  <connection id="609" name="連線423" type="4" refreshedVersion="0" background="1">
    <webPr url="http://www.emega.com.tw/z/zc/zch/zch_3010.djhtm" htmlTables="1" htmlFormat="all"/>
  </connection>
  <connection id="610" name="連線424" type="4" refreshedVersion="0" background="1">
    <webPr url="http://www.emega.com.tw/z/zc/zch/zch_3013.djhtm" htmlTables="1" htmlFormat="all"/>
  </connection>
  <connection id="611" name="連線425" type="4" refreshedVersion="0" background="1">
    <webPr url="http://www.emega.com.tw/z/zc/zch/zch_3014.djhtm" htmlTables="1" htmlFormat="all"/>
  </connection>
  <connection id="612" name="連線426" type="4" refreshedVersion="0" background="1">
    <webPr url="http://www.emega.com.tw/z/zc/zch/zch_3016.djhtm" htmlTables="1" htmlFormat="all"/>
  </connection>
  <connection id="613" name="連線427" type="4" refreshedVersion="0" background="1">
    <webPr url="http://www.emega.com.tw/z/zc/zch/zch_3018.djhtm" htmlTables="1" htmlFormat="all"/>
  </connection>
  <connection id="614" name="連線428" type="4" refreshedVersion="0" background="1">
    <webPr url="http://www.emega.com.tw/z/zc/zch/zch_3021.djhtm" htmlTables="1" htmlFormat="all"/>
  </connection>
  <connection id="615" name="連線429" type="4" refreshedVersion="0" background="1">
    <webPr url="http://www.emega.com.tw/z/zc/zch/zch_3022.djhtm" htmlTables="1" htmlFormat="all"/>
  </connection>
  <connection id="616" name="連線43" type="4" refreshedVersion="0" background="1">
    <webPr url="http://www.emega.com.tw/z/zc/zch/zch_1301.djhtm" htmlTables="1" htmlFormat="all"/>
  </connection>
  <connection id="617" name="連線430" type="4" refreshedVersion="0" background="1">
    <webPr url="http://www.emega.com.tw/z/zc/zch/zch_3024.djhtm" htmlTables="1" htmlFormat="all"/>
  </connection>
  <connection id="618" name="連線431" type="4" refreshedVersion="0" background="1">
    <webPr url="http://www.emega.com.tw/z/zc/zch/zch_3025.djhtm" htmlTables="1" htmlFormat="all"/>
  </connection>
  <connection id="619" name="連線432" type="4" refreshedVersion="0" background="1">
    <webPr url="http://www.emega.com.tw/z/zc/zch/zch_3027.djhtm" htmlTables="1" htmlFormat="all"/>
  </connection>
  <connection id="620" name="連線433" type="4" refreshedVersion="0" background="1">
    <webPr url="http://www.emega.com.tw/z/zc/zch/zch_3028.djhtm" htmlTables="1" htmlFormat="all"/>
  </connection>
  <connection id="621" name="連線434" type="4" refreshedVersion="0" background="1">
    <webPr url="http://www.emega.com.tw/z/zc/zch/zch_3030.djhtm" htmlTables="1" htmlFormat="all"/>
  </connection>
  <connection id="622" name="連線435" type="4" refreshedVersion="0" background="1">
    <webPr url="http://www.tdcc.com.tw/smWeb/QryStock.jsp?SCA_DATE=20151113&amp;SqlMethod=StockNo&amp;StockNo=1203&amp;StockName=&amp;sub=%ACd%B8%DF" htmlTables="1" htmlFormat="all"/>
  </connection>
  <connection id="623" name="連線436" type="4" refreshedVersion="0" background="1">
    <webPr url="http://www.emega.com.tw/z/zc/zch/zch_3031.djhtm" htmlTables="1" htmlFormat="all"/>
  </connection>
  <connection id="624" name="連線437" type="4" refreshedVersion="0" background="1">
    <webPr url="http://www.emega.com.tw/z/zc/zch/zch_3041.djhtm" htmlTables="1" htmlFormat="all"/>
  </connection>
  <connection id="625" name="連線438" type="4" refreshedVersion="0" background="1">
    <webPr url="http://www.emega.com.tw/z/zc/zch/zch_3042.djhtm" htmlTables="1" htmlFormat="all"/>
  </connection>
  <connection id="626" name="連線439" type="4" refreshedVersion="0" background="1">
    <webPr url="http://www.emega.com.tw/z/zc/zch/zch_3046.djhtm" htmlTables="1" htmlFormat="all"/>
  </connection>
  <connection id="627" name="連線44" type="4" refreshedVersion="0" background="1">
    <webPr url="http://tw.stock.yahoo.com/q/q?s=1710" htmlTables="1" htmlFormat="all"/>
  </connection>
  <connection id="628" name="連線440" type="4" refreshedVersion="0" background="1">
    <webPr url="http://www.emega.com.tw/z/zc/zch/zch_3049.djhtm" htmlTables="1" htmlFormat="all"/>
  </connection>
  <connection id="629" name="連線441" type="4" refreshedVersion="0" background="1">
    <webPr url="http://www.emega.com.tw/z/zc/zch/zch_3050.djhtm" htmlTables="1" htmlFormat="all"/>
  </connection>
  <connection id="630" name="連線442" type="4" refreshedVersion="0" background="1">
    <webPr url="http://www.emega.com.tw/z/zc/zch/zch_3052.djhtm" htmlTables="1" htmlFormat="all"/>
  </connection>
  <connection id="631" name="連線443" type="4" refreshedVersion="0" background="1">
    <webPr url="http://www.emega.com.tw/z/zc/zch/zch_3058.djhtm" htmlTables="1" htmlFormat="all"/>
  </connection>
  <connection id="632" name="連線444" type="4" refreshedVersion="0" background="1">
    <webPr url="http://www.emega.com.tw/z/zc/zch/zch_3059.djhtm" htmlTables="1" htmlFormat="all"/>
  </connection>
  <connection id="633" name="連線445" type="4" refreshedVersion="0" background="1">
    <webPr url="http://www.emega.com.tw/z/zc/zch/zch_3062.djhtm" htmlTables="1" htmlFormat="all"/>
  </connection>
  <connection id="634" name="連線446" type="4" refreshedVersion="0" background="1">
    <webPr url="http://www.emega.com.tw/z/zc/zch/zch_3164.djhtm" htmlTables="1" htmlFormat="all"/>
  </connection>
  <connection id="635" name="連線447" type="4" refreshedVersion="0" background="1">
    <webPr url="http://www.emega.com.tw/z/zc/zch/zch_3229.djhtm" htmlTables="1" htmlFormat="all"/>
  </connection>
  <connection id="636" name="連線448" type="4" refreshedVersion="0" background="1">
    <webPr url="http://www.emega.com.tw/z/zc/zch/zch_3266.djhtm" htmlTables="1" htmlFormat="all"/>
  </connection>
  <connection id="637" name="連線449" type="4" refreshedVersion="0" background="1">
    <webPr url="http://www.emega.com.tw/z/zc/zch/zch_3296.djhtm" htmlTables="1" htmlFormat="all"/>
  </connection>
  <connection id="638" name="連線45" type="4" refreshedVersion="0" background="1">
    <webPr url="http://www.emega.com.tw/z/zc/zch/zch_3479.djhtm" htmlTables="1" htmlFormat="all"/>
  </connection>
  <connection id="639" name="連線450" type="4" refreshedVersion="0" background="1">
    <webPr url="http://www.emega.com.tw/z/zc/zch/zch_3305.djhtm" htmlTables="1" htmlFormat="all"/>
  </connection>
  <connection id="640" name="連線451" type="4" refreshedVersion="0" background="1">
    <webPr url="http://www.emega.com.tw/z/zc/zch/zch_3308.djhtm" htmlTables="1" htmlFormat="all"/>
  </connection>
  <connection id="641" name="連線452" type="4" refreshedVersion="0" background="1">
    <webPr url="http://www.emega.com.tw/z/zc/zch/zch_3311.djhtm" htmlTables="1" htmlFormat="all"/>
  </connection>
  <connection id="642" name="連線453" type="4" refreshedVersion="0" background="1">
    <webPr url="http://www.emega.com.tw/z/zc/zch/zch_3312.djhtm" htmlTables="1" htmlFormat="all"/>
  </connection>
  <connection id="643" name="連線454" type="4" refreshedVersion="0" background="1">
    <webPr url="http://www.emega.com.tw/z/zc/zch/zch_3315.djhtm" htmlTables="1" htmlFormat="all"/>
  </connection>
  <connection id="644" name="連線455" type="4" refreshedVersion="0" background="1">
    <webPr url="http://www.emega.com.tw/z/zc/zch/zch_3356.djhtm" htmlTables="1" htmlFormat="all"/>
  </connection>
  <connection id="645" name="連線456" type="4" refreshedVersion="0" background="1">
    <webPr url="http://www.cnyes.com/twstock/Technical/5388.htm" htmlTables="1" htmlFormat="all"/>
  </connection>
  <connection id="646" name="連線457" type="4" refreshedVersion="0" background="1">
    <webPr url="http://www.emega.com.tw/z/zc/zch/zch_3376.djhtm" htmlTables="1" htmlFormat="all"/>
  </connection>
  <connection id="647" name="連線458" type="4" refreshedVersion="0" background="1">
    <webPr url="http://www.emega.com.tw/z/zc/zch/zch_3383.djhtm" htmlTables="1" htmlFormat="all"/>
  </connection>
  <connection id="648" name="連線459" type="4" refreshedVersion="0" background="1">
    <webPr url="http://www.tdcc.com.tw/smWeb/QryStock.jsp?SCA_DATE=本年累計合併稅前損益&amp;SqlMethod=StockNo&amp;StockNo=2480&amp;StockName=&amp;sub=%ACd%B8%DF" htmlTables="1" htmlFormat="all"/>
  </connection>
  <connection id="649" name="連線46" type="4" refreshedVersion="0" background="1">
    <webPr url="http://www.emega.com.tw/z/zc/zch/zch_1235.djhtm" htmlTables="1" htmlFormat="all"/>
  </connection>
  <connection id="650" name="連線460" type="4" refreshedVersion="0" background="1">
    <webPr url="http://www.emega.com.tw/z/zc/zch/zch_3406.djhtm" htmlTables="1" htmlFormat="all"/>
  </connection>
  <connection id="651" name="連線461" type="4" refreshedVersion="0" background="1">
    <webPr url="http://www.emega.com.tw/z/zc/zch/zch_3413.djhtm" htmlTables="1" htmlFormat="all"/>
  </connection>
  <connection id="652" name="連線462" type="4" refreshedVersion="0" background="1">
    <webPr url="http://www.emega.com.tw/z/zc/zch/zch_3416.djhtm" htmlTables="1" htmlFormat="all"/>
  </connection>
  <connection id="653" name="連線463" type="4" refreshedVersion="0" background="1">
    <webPr url="http://www.emega.com.tw/z/zc/zch/zch_3443.djhtm" htmlTables="1" htmlFormat="all"/>
  </connection>
  <connection id="654" name="連線464" type="4" refreshedVersion="0" background="1">
    <webPr url="http://www.emega.com.tw/z/zc/zch/zch_3450.djhtm" htmlTables="1" htmlFormat="all"/>
  </connection>
  <connection id="655" name="連線465" type="4" refreshedVersion="0" background="1">
    <webPr url="http://www.emega.com.tw/z/zc/zch/zch_3481.djhtm" htmlTables="1" htmlFormat="all"/>
  </connection>
  <connection id="656" name="連線466" type="4" refreshedVersion="0" background="1">
    <webPr url="http://www.emega.com.tw/z/zc/zch/zch_3494.djhtm" htmlTables="1" htmlFormat="all"/>
  </connection>
  <connection id="657" name="連線467" type="4" refreshedVersion="0" background="1">
    <webPr url="http://www.emega.com.tw/z/zc/zch/zch_3501.djhtm" htmlTables="1" htmlFormat="all"/>
  </connection>
  <connection id="658" name="連線468" type="4" refreshedVersion="0" background="1">
    <webPr url="http://www.emega.com.tw/z/zc/zch/zch_1463.djhtm" htmlTables="1" htmlFormat="all"/>
  </connection>
  <connection id="659" name="連線469" type="4" refreshedVersion="0" background="1">
    <webPr url="http://www.emega.com.tw/z/zc/zch/zch_3518.djhtm" htmlTables="1" htmlFormat="all"/>
  </connection>
  <connection id="660" name="連線47" type="4" refreshedVersion="5" background="1" saveData="1">
    <webPr sourceData="1" parsePre="1" consecutive="1" xl2000="1" url="http://justdata.yuanta.com.tw/z/zc/zcp/zcpa/zcpa_1582.asp.htm" htmlTables="1"/>
  </connection>
  <connection id="661" name="連線470" type="4" refreshedVersion="0" background="1">
    <webPr url="http://www.emega.com.tw/z/zc/zch/zch_3519.djhtm" htmlTables="1" htmlFormat="all"/>
  </connection>
  <connection id="662" name="連線471" type="4" refreshedVersion="0" background="1">
    <webPr url="http://www.tdcc.com.tw/smWeb/QryStock.jsp?SCA_DATE=20160325&amp;SqlMethod=StockNo&amp;StockNo=6118&amp;StockName=&amp;sub=%ACd%B8%DF" htmlTables="1" htmlFormat="all"/>
  </connection>
  <connection id="663" name="連線472" type="4" refreshedVersion="0" background="1">
    <webPr url="http://www.emega.com.tw/z/zc/zch/zch_3528.djhtm" htmlTables="1" htmlFormat="all"/>
  </connection>
  <connection id="664" name="連線473" type="4" refreshedVersion="0" background="1">
    <webPr url="http://www.emega.com.tw/z/zc/zch/zch_3536.djhtm" htmlTables="1" htmlFormat="all"/>
  </connection>
  <connection id="665" name="連線474" type="4" refreshedVersion="0" background="1">
    <webPr url="http://www.emega.com.tw/z/zc/zch/zch_3545.djhtm" htmlTables="1" htmlFormat="all"/>
  </connection>
  <connection id="666" name="連線475" type="4" refreshedVersion="0" background="1">
    <webPr url="http://www.emega.com.tw/z/zc/zch/zch_3550.djhtm" htmlTables="1" htmlFormat="all"/>
  </connection>
  <connection id="667" name="連線476" type="4" refreshedVersion="0" background="1">
    <webPr url="http://www.emega.com.tw/z/zc/zch/zch_3561.djhtm" htmlTables="1" htmlFormat="all"/>
  </connection>
  <connection id="668" name="連線477" type="4" refreshedVersion="0" background="1">
    <webPr url="http://www.emega.com.tw/z/zc/zch/zch_3579.djhtm" htmlTables="1" htmlFormat="all"/>
  </connection>
  <connection id="669" name="連線478" type="4" refreshedVersion="0" background="1">
    <webPr url="http://www.emega.com.tw/z/zc/zch/zch_3583.djhtm" htmlTables="1" htmlFormat="all"/>
  </connection>
  <connection id="670" name="連線479" type="4" refreshedVersion="0" background="1">
    <webPr url="http://www.emega.com.tw/z/zc/zch/zch_3591.djhtm" htmlTables="1" htmlFormat="all"/>
  </connection>
  <connection id="671" name="連線48" type="4" refreshedVersion="0" background="1">
    <webPr url="http://www.emega.com.tw/z/zc/zch/zch_4433.djhtm" htmlTables="1" htmlFormat="all"/>
  </connection>
  <connection id="672" name="連線480" type="4" refreshedVersion="0" background="1">
    <webPr url="http://www.emega.com.tw/z/zc/zch/zch_3593.djhtm" htmlTables="1" htmlFormat="all"/>
  </connection>
  <connection id="673" name="連線481" type="4" refreshedVersion="0" background="1">
    <webPr url="http://www.emega.com.tw/z/zc/zch/zch_3605.djhtm" htmlTables="1" htmlFormat="all"/>
  </connection>
  <connection id="674" name="連線482" type="4" refreshedVersion="0" background="1">
    <webPr url="http://www.emega.com.tw/z/zc/zch/zch_3617.djhtm" htmlTables="1" htmlFormat="all"/>
  </connection>
  <connection id="675" name="連線483" type="4" refreshedVersion="0" background="1">
    <webPr url="http://www.emega.com.tw/z/zc/zch/zch_3653.djhtm" htmlTables="1" htmlFormat="all"/>
  </connection>
  <connection id="676" name="連線484" type="4" refreshedVersion="0" background="1">
    <webPr url="http://www.emega.com.tw/z/zc/zch/zch_3661.djhtm" htmlTables="1" htmlFormat="all"/>
  </connection>
  <connection id="677" name="連線485" type="4" refreshedVersion="0" background="1">
    <webPr url="http://www.emega.com.tw/z/zc/zch/zch_3665.djhtm" htmlTables="1" htmlFormat="all"/>
  </connection>
  <connection id="678" name="連線486" type="4" refreshedVersion="0" background="1">
    <webPr url="http://www.emega.com.tw/z/zc/zch/zch_3682.djhtm" htmlTables="1" htmlFormat="all"/>
  </connection>
  <connection id="679" name="連線487" type="4" refreshedVersion="0" background="1">
    <webPr url="http://www.emega.com.tw/z/zc/zch/zch_3694.djhtm" htmlTables="1" htmlFormat="all"/>
  </connection>
  <connection id="680" name="連線488" type="4" refreshedVersion="0" background="1">
    <webPr url="http://www.emega.com.tw/z/zc/zch/zch_3702.djhtm" htmlTables="1" htmlFormat="all"/>
  </connection>
  <connection id="681" name="連線489" type="4" refreshedVersion="0" background="1">
    <webPr url="http://www.emega.com.tw/z/zc/zch/zch_3703.djhtm" htmlTables="1" htmlFormat="all"/>
  </connection>
  <connection id="682" name="連線49" type="4" refreshedVersion="0" background="1">
    <webPr url="http://www.tdcc.com.tw/smWeb/QryStock.jsp?SCA_DATE=20151113&amp;SqlMethod=StockNo&amp;StockNo=1336&amp;StockName=&amp;sub=%ACd%B8%DF" htmlTables="1" htmlFormat="all"/>
  </connection>
  <connection id="683" name="連線490" type="4" refreshedVersion="0" background="1">
    <webPr url="http://www.emega.com.tw/z/zc/zch/zch_3704.djhtm" htmlTables="1" htmlFormat="all"/>
  </connection>
  <connection id="684" name="連線491" type="4" refreshedVersion="0" background="1">
    <webPr url="http://www.tdcc.com.tw/smWeb/QryStock.jsp?SCA_DATE=單季EPS&amp;SqlMethod=StockNo&amp;StockNo=2208&amp;StockName=&amp;sub=%ACd%B8%DF" htmlTables="1" htmlFormat="all"/>
  </connection>
  <connection id="685" name="連線492" type="4" refreshedVersion="0" background="1">
    <webPr url="http://www.tdcc.com.tw/smWeb/QryStock.jsp?SCA_DATE=20151106&amp;SqlMethod=StockNo&amp;StockNo=1477&amp;StockName=&amp;sub=%ACd%B8%DF" htmlTables="1" htmlFormat="all"/>
  </connection>
  <connection id="686" name="連線493" type="4" refreshedVersion="0" background="1">
    <webPr url="http://www.tdcc.com.tw/smWeb/QryStock.jsp?SCA_DATE=本年累計合併稅前損益&amp;SqlMethod=StockNo&amp;StockNo=1215&amp;StockName=&amp;sub=%ACd%B8%DF" htmlTables="1" htmlFormat="all"/>
  </connection>
  <connection id="687" name="連線494" type="4" refreshedVersion="0" background="1">
    <webPr url="http://www.emega.com.tw/z/zc/zch/zch_3705.djhtm" htmlTables="1" htmlFormat="all"/>
  </connection>
  <connection id="688" name="連線495" type="4" refreshedVersion="0" background="1">
    <webPr url="http://www.tdcc.com.tw/smWeb/QryStock.jsp?SCA_DATE=20160318&amp;SqlMethod=StockNo&amp;StockNo=1323&amp;StockName=&amp;sub=%ACd%B8%DF" htmlTables="1" htmlFormat="all"/>
  </connection>
  <connection id="689" name="連線496" type="4" refreshedVersion="0" background="1">
    <webPr url="http://www.tdcc.com.tw/smWeb/QryStock.jsp?SCA_DATE=20160722&amp;SqlMethod=StockNo&amp;StockNo=1215&amp;StockName=&amp;sub=%ACd%B8%DF" htmlTables="1" htmlFormat="all"/>
  </connection>
  <connection id="690" name="連線497" type="4" refreshedVersion="0" background="1">
    <webPr url="http://www.emega.com.tw/z/zc/zch/zch_4104.djhtm" htmlTables="1" htmlFormat="all"/>
  </connection>
  <connection id="691" name="連線498" type="4" refreshedVersion="0" background="1">
    <webPr url="http://www.emega.com.tw/z/zc/zch/zch_4106.djhtm" htmlTables="1" htmlFormat="all"/>
  </connection>
  <connection id="692" name="連線499" type="4" refreshedVersion="0" background="1">
    <webPr url="http://www.emega.com.tw/z/zc/zch/zch_4119.djhtm" htmlTables="1" htmlFormat="all"/>
  </connection>
  <connection id="693" name="連線5" type="4" refreshedVersion="0" background="1">
    <webPr url="http://www.tdcc.com.tw/smWeb/QryStock.jsp?SCA_DATE=2015/10/30&amp;SqlMethod=StockNo&amp;StockNo=1104&amp;StockName=&amp;sub=%ACd%B8%DF" htmlTables="1" htmlFormat="all"/>
  </connection>
  <connection id="694" name="連線50" type="4" refreshedVersion="0" background="1">
    <webPr url="http://www.emega.com.tw/z/zc/zch/zch_1264.djhtm" htmlTables="1" htmlFormat="all"/>
  </connection>
  <connection id="695" name="連線500" type="4" refreshedVersion="0" background="1">
    <webPr url="http://www.emega.com.tw/z/zc/zch/zch_4133.djhtm" htmlTables="1" htmlFormat="all"/>
  </connection>
  <connection id="696" name="連線501" type="4" refreshedVersion="0" background="1">
    <webPr url="http://www.emega.com.tw/z/zc/zch/zch_4137.djhtm" htmlTables="1" htmlFormat="all"/>
  </connection>
  <connection id="697" name="連線502" type="4" refreshedVersion="0" background="1">
    <webPr url="http://www.emega.com.tw/z/zc/zch/zch_4141.djhtm" htmlTables="1" htmlFormat="all"/>
  </connection>
  <connection id="698" name="連線503" type="4" refreshedVersion="0" background="1">
    <webPr url="http://www.emega.com.tw/z/zc/zch/zch_4144.djhtm" htmlTables="1" htmlFormat="all"/>
  </connection>
  <connection id="699" name="連線504" type="4" refreshedVersion="0" background="1">
    <webPr url="http://www.emega.com.tw/z/zc/zch/zch_4164.djhtm" htmlTables="1" htmlFormat="all"/>
  </connection>
  <connection id="700" name="連線505" type="4" refreshedVersion="0" background="1">
    <webPr url="http://www.emega.com.tw/z/zc/zch/zch_4190.djhtm" htmlTables="1" htmlFormat="all"/>
  </connection>
  <connection id="701" name="連線506" type="4" refreshedVersion="0" background="1">
    <webPr url="http://www.emega.com.tw/z/zc/zch/zch_4414.djhtm" htmlTables="1" htmlFormat="all"/>
  </connection>
  <connection id="702" name="連線507" type="4" refreshedVersion="0" background="1">
    <webPr url="http://www.emega.com.tw/z/zc/zch/zch_4426.djhtm" htmlTables="1" htmlFormat="all"/>
  </connection>
  <connection id="703" name="連線508" type="4" refreshedVersion="0" background="1">
    <webPr url="http://www.emega.com.tw/z/zc/zch/zch_4536.djhtm" htmlTables="1" htmlFormat="all"/>
  </connection>
  <connection id="704" name="連線509" type="4" refreshedVersion="0" background="1">
    <webPr url="http://www.emega.com.tw/z/zc/zch/zch_4551.djhtm" htmlTables="1" htmlFormat="all"/>
  </connection>
  <connection id="705" name="連線51" type="4" refreshedVersion="0" background="1">
    <webPr url="http://tw.stock.yahoo.com/q/q?s=3529" htmlTables="1" htmlFormat="all"/>
  </connection>
  <connection id="706" name="連線510" type="4" refreshedVersion="0" background="1">
    <webPr url="http://www.emega.com.tw/z/zc/zch/zch_4552.djhtm" htmlTables="1" htmlFormat="all"/>
  </connection>
  <connection id="707" name="連線511" type="4" refreshedVersion="0" background="1">
    <webPr url="http://www.emega.com.tw/z/zc/zch/zch_4555.djhtm" htmlTables="1" htmlFormat="all"/>
  </connection>
  <connection id="708" name="連線512" type="4" refreshedVersion="0" background="1">
    <webPr url="http://www.emega.com.tw/z/zc/zch/zch_6197.djhtm" htmlTables="1" htmlFormat="all"/>
  </connection>
  <connection id="709" name="連線513" type="4" refreshedVersion="0" background="1">
    <webPr url="http://www.emega.com.tw/z/zc/zch/zch_4557.djhtm" htmlTables="1" htmlFormat="all"/>
  </connection>
  <connection id="710" name="連線514" type="4" refreshedVersion="0" background="1">
    <webPr url="http://www.emega.com.tw/z/zc/zch/zch_4725.djhtm" htmlTables="1" htmlFormat="all"/>
  </connection>
  <connection id="711" name="連線515" type="4" refreshedVersion="0" background="1">
    <webPr url="http://www.emega.com.tw/z/zc/zch/zch_4737.djhtm" htmlTables="1" htmlFormat="all"/>
  </connection>
  <connection id="712" name="連線516" type="4" refreshedVersion="0" background="1">
    <webPr url="http://www.emega.com.tw/z/zc/zch/zch_4746.djhtm" htmlTables="1" htmlFormat="all"/>
  </connection>
  <connection id="713" name="連線517" type="4" refreshedVersion="0" background="1">
    <webPr url="http://www.emega.com.tw/z/zc/zch/zch_4755.djhtm" htmlTables="1" htmlFormat="all"/>
  </connection>
  <connection id="714" name="連線518" type="4" refreshedVersion="0" background="1">
    <webPr url="http://www.emega.com.tw/z/zc/zch/zch_4763.djhtm" htmlTables="1" htmlFormat="all"/>
  </connection>
  <connection id="715" name="連線519" type="4" refreshedVersion="0" background="1">
    <webPr url="http://www.emega.com.tw/z/zc/zch/zch_4912.djhtm" htmlTables="1" htmlFormat="all"/>
  </connection>
  <connection id="716" name="連線52" type="4" refreshedVersion="0" background="1">
    <webPr url="http://www.emega.com.tw/z/zc/zch/zch_1471.djhtm" htmlTables="1" htmlFormat="all"/>
  </connection>
  <connection id="717" name="連線520" type="4" refreshedVersion="0" background="1">
    <webPr url="http://www.emega.com.tw/z/zc/zch/zch_4915.djhtm" htmlTables="1" htmlFormat="all"/>
  </connection>
  <connection id="718" name="連線521" type="4" refreshedVersion="0" background="1">
    <webPr url="http://www.emega.com.tw/z/zc/zch/zch_4927.djhtm" htmlTables="1" htmlFormat="all"/>
  </connection>
  <connection id="719" name="連線522" type="4" refreshedVersion="0" background="1">
    <webPr url="http://www.emega.com.tw/z/zc/zch/zch_4935.djhtm" htmlTables="1" htmlFormat="all"/>
  </connection>
  <connection id="720" name="連線523" type="4" refreshedVersion="0" background="1">
    <webPr url="http://www.emega.com.tw/z/zc/zch/zch_4938.djhtm" htmlTables="1" htmlFormat="all"/>
  </connection>
  <connection id="721" name="連線524" type="4" refreshedVersion="0" background="1">
    <webPr url="http://www.emega.com.tw/z/zc/zch/zch_4952.djhtm" htmlTables="1" htmlFormat="all"/>
  </connection>
  <connection id="722" name="連線525" type="4" refreshedVersion="0" background="1">
    <webPr url="http://www.emega.com.tw/z/zc/zch/zch_4958.djhtm" htmlTables="1" htmlFormat="all"/>
  </connection>
  <connection id="723" name="連線526" type="4" refreshedVersion="0" background="1">
    <webPr url="http://www.emega.com.tw/z/zc/zch/zch_4960.djhtm" htmlTables="1" htmlFormat="all"/>
  </connection>
  <connection id="724" name="連線527" type="4" refreshedVersion="0" background="1">
    <webPr url="http://www.emega.com.tw/z/zc/zch/zch_4976.djhtm" htmlTables="1" htmlFormat="all"/>
  </connection>
  <connection id="725" name="連線528" type="4" refreshedVersion="0" background="1">
    <webPr url="http://www.emega.com.tw/z/zc/zch/zch_4977.djhtm" htmlTables="1" htmlFormat="all"/>
  </connection>
  <connection id="726" name="連線529" type="4" refreshedVersion="0" background="1">
    <webPr url="http://www.emega.com.tw/z/zc/zch/zch_5225.djhtm" htmlTables="1" htmlFormat="all"/>
  </connection>
  <connection id="727" name="連線53" type="4" refreshedVersion="0" background="1">
    <webPr url="http://www.emega.com.tw/z/zc/zch/zch_1718.djhtm" htmlTables="1" htmlFormat="all"/>
  </connection>
  <connection id="728" name="連線530" type="4" refreshedVersion="0" background="1">
    <webPr url="http://www.emega.com.tw/z/zc/zch/zch_5259.djhtm" htmlTables="1" htmlFormat="all"/>
  </connection>
  <connection id="729" name="連線531" type="4" refreshedVersion="0" background="1">
    <webPr url="http://www.emega.com.tw/z/zc/zch/zch_5285.djhtm" htmlTables="1" htmlFormat="all"/>
  </connection>
  <connection id="730" name="連線532" type="4" refreshedVersion="0" background="1">
    <webPr url="http://www.emega.com.tw/z/zc/zch/zch_5288.djhtm" htmlTables="1" htmlFormat="all"/>
  </connection>
  <connection id="731" name="連線533" type="4" refreshedVersion="0" background="1">
    <webPr url="http://www.emega.com.tw/z/zc/zch/zch_5305.djhtm" htmlTables="1" htmlFormat="all"/>
  </connection>
  <connection id="732" name="連線534" type="4" refreshedVersion="0" background="1">
    <webPr url="http://www.emega.com.tw/z/zc/zch/zch_5388.djhtm" htmlTables="1" htmlFormat="all"/>
  </connection>
  <connection id="733" name="連線535" type="4" refreshedVersion="0" background="1">
    <webPr url="http://www.emega.com.tw/z/zc/zch/zch_5434.djhtm" htmlTables="1" htmlFormat="all"/>
  </connection>
  <connection id="734" name="連線536" type="4" refreshedVersion="0" background="1">
    <webPr url="http://www.emega.com.tw/z/zc/zch/zch_5469.djhtm" htmlTables="1" htmlFormat="all"/>
  </connection>
  <connection id="735" name="連線537" type="4" refreshedVersion="0" background="1">
    <webPr url="http://www.emega.com.tw/z/zc/zch/zch_5471.djhtm" htmlTables="1" htmlFormat="all"/>
  </connection>
  <connection id="736" name="連線538" type="4" refreshedVersion="0" background="1">
    <webPr url="http://www.emega.com.tw/z/zc/zch/zch_5484.djhtm" htmlTables="1" htmlFormat="all"/>
  </connection>
  <connection id="737" name="連線539" type="4" refreshedVersion="0" background="1">
    <webPr url="http://www.emega.com.tw/z/zc/zch/zch_5515.djhtm" htmlTables="1" htmlFormat="all"/>
  </connection>
  <connection id="738" name="連線54" type="4" refreshedVersion="0" background="1">
    <webPr url="http://www.emega.com.tw/z/zc/zch/zch_8454.djhtm" htmlTables="1" htmlFormat="all"/>
  </connection>
  <connection id="739" name="連線540" type="4" refreshedVersion="0" background="1">
    <webPr url="http://www.emega.com.tw/z/zc/zch/zch_5522.djhtm" htmlTables="1" htmlFormat="all"/>
  </connection>
  <connection id="740" name="連線541" type="4" refreshedVersion="0" background="1">
    <webPr url="http://www.emega.com.tw/z/zc/zch/zch_5525.djhtm" htmlTables="1" htmlFormat="all"/>
  </connection>
  <connection id="741" name="連線542" type="4" refreshedVersion="0" background="1">
    <webPr url="http://www.emega.com.tw/z/zc/zch/zch_5534.djhtm" htmlTables="1" htmlFormat="all"/>
  </connection>
  <connection id="742" name="連線543" type="4" refreshedVersion="0" background="1">
    <webPr url="http://www.emega.com.tw/z/zc/zch/zch_5538.djhtm" htmlTables="1" htmlFormat="all"/>
  </connection>
  <connection id="743" name="連線544" type="4" refreshedVersion="0" background="1">
    <webPr url="http://www.emega.com.tw/z/zc/zch/zch_5706.djhtm" htmlTables="1" htmlFormat="all"/>
  </connection>
  <connection id="744" name="連線545" type="4" refreshedVersion="0" background="1">
    <webPr url="http://www.emega.com.tw/z/zc/zch/zch_5907.djhtm" htmlTables="1" htmlFormat="all"/>
  </connection>
  <connection id="745" name="連線546" type="4" refreshedVersion="0" background="1">
    <webPr url="http://www.emega.com.tw/z/zc/zch/zch_6112.djhtm" htmlTables="1" htmlFormat="all"/>
  </connection>
  <connection id="746" name="連線547" type="4" refreshedVersion="0" background="1">
    <webPr url="http://www.emega.com.tw/z/zc/zch/zch_6115.djhtm" htmlTables="1" htmlFormat="all"/>
  </connection>
  <connection id="747" name="連線548" type="4" refreshedVersion="0" background="1">
    <webPr url="http://www.emega.com.tw/z/zc/zch/zch_6116.djhtm" htmlTables="1" htmlFormat="all"/>
  </connection>
  <connection id="748" name="連線549" type="4" refreshedVersion="0" background="1">
    <webPr url="http://www.emega.com.tw/z/zc/zch/zch_6117.djhtm" htmlTables="1" htmlFormat="all"/>
  </connection>
  <connection id="749" name="連線55" type="4" refreshedVersion="0" background="1">
    <webPr url="http://www.emega.com.tw/z/zc/zch/zch_2905.djhtm" htmlTables="1" htmlFormat="all"/>
  </connection>
  <connection id="750" name="連線550" type="4" refreshedVersion="0" background="1">
    <webPr url="http://www.emega.com.tw/z/zc/zch/zch_6131.djhtm" htmlTables="1" htmlFormat="all"/>
  </connection>
  <connection id="751" name="連線551" type="4" refreshedVersion="0" background="1">
    <webPr url="http://www.emega.com.tw/z/zc/zch/zch_6133.djhtm" htmlTables="1" htmlFormat="all"/>
  </connection>
  <connection id="752" name="連線552" type="4" refreshedVersion="0" background="1">
    <webPr url="http://www.emega.com.tw/z/zc/zch/zch_6136.djhtm" htmlTables="1" htmlFormat="all"/>
  </connection>
  <connection id="753" name="連線553" type="4" refreshedVersion="0" background="1">
    <webPr url="http://www.emega.com.tw/z/zc/zch/zch_6139.djhtm" htmlTables="1" htmlFormat="all"/>
  </connection>
  <connection id="754" name="連線554" type="4" refreshedVersion="0" background="1">
    <webPr url="http://www.emega.com.tw/z/zc/zch/zch_6141.djhtm" htmlTables="1" htmlFormat="all"/>
  </connection>
  <connection id="755" name="連線555" type="4" refreshedVersion="0" background="1">
    <webPr url="http://www.emega.com.tw/z/zc/zch/zch_6142.djhtm" htmlTables="1" htmlFormat="all"/>
  </connection>
  <connection id="756" name="連線556" type="4" refreshedVersion="0" background="1">
    <webPr url="http://www.emega.com.tw/z/zc/zch/zch_6145.djhtm" htmlTables="1" htmlFormat="all"/>
  </connection>
  <connection id="757" name="連線557" type="4" refreshedVersion="0" background="1">
    <webPr url="http://www.emega.com.tw/z/zc/zch/zch_6152.djhtm" htmlTables="1" htmlFormat="all"/>
  </connection>
  <connection id="758" name="連線558" type="4" refreshedVersion="0" background="1">
    <webPr url="http://www.emega.com.tw/z/zc/zch/zch_6153.djhtm" htmlTables="1" htmlFormat="all"/>
  </connection>
  <connection id="759" name="連線559" type="4" refreshedVersion="0" background="1">
    <webPr url="http://www.emega.com.tw/z/zc/zch/zch_6164.djhtm" htmlTables="1" htmlFormat="all"/>
  </connection>
  <connection id="760" name="連線56" type="4" refreshedVersion="0" background="1">
    <webPr url="http://www.tdcc.com.tw/smWeb/QryStock.jsp?SCA_DATE=20150605&amp;SqlMethod=StockNo&amp;StockNo=1539&amp;StockName=&amp;sub=%ACd%B8%DF" htmlTables="1" htmlFormat="all"/>
  </connection>
  <connection id="761" name="連線560" type="4" refreshedVersion="0" background="1">
    <webPr url="http://www.emega.com.tw/z/zc/zch/zch_6165.djhtm" htmlTables="1" htmlFormat="all"/>
  </connection>
  <connection id="762" name="連線561" type="4" refreshedVersion="0" background="1">
    <webPr url="http://www.emega.com.tw/z/zc/zch/zch_6168.djhtm" htmlTables="1" htmlFormat="all"/>
  </connection>
  <connection id="763" name="連線562" type="4" refreshedVersion="0" background="1">
    <webPr url="http://www.emega.com.tw/z/zc/zch/zch_6172.djhtm" htmlTables="1" htmlFormat="all"/>
  </connection>
  <connection id="764" name="連線563" type="4" refreshedVersion="0" background="1">
    <webPr url="http://www.emega.com.tw/z/zc/zch/zch_6183.djhtm" htmlTables="1" htmlFormat="all"/>
  </connection>
  <connection id="765" name="連線564" type="4" refreshedVersion="0" background="1">
    <webPr url="http://www.emega.com.tw/z/zc/zch/zch_6196.djhtm" htmlTables="1" htmlFormat="all"/>
  </connection>
  <connection id="766" name="連線565" type="4" refreshedVersion="0" background="1">
    <webPr url="http://www.emega.com.tw/z/zc/zch/zch_6197.djhtm" htmlTables="1" htmlFormat="all"/>
  </connection>
  <connection id="767" name="連線566" type="4" refreshedVersion="0" background="1">
    <webPr url="http://www.emega.com.tw/z/zc/zch/zch_6205.djhtm" htmlTables="1" htmlFormat="all"/>
  </connection>
  <connection id="768" name="連線567" type="4" refreshedVersion="0" background="1">
    <webPr url="http://www.emega.com.tw/z/zc/zch/zch_6214.djhtm" htmlTables="1" htmlFormat="all"/>
  </connection>
  <connection id="769" name="連線568" type="4" refreshedVersion="0" background="1">
    <webPr url="http://www.emega.com.tw/z/zc/zch/zch_6215.djhtm" htmlTables="1" htmlFormat="all"/>
  </connection>
  <connection id="770" name="連線569" type="4" refreshedVersion="0" background="1">
    <webPr url="http://www.emega.com.tw/z/zc/zch/zch_6216.djhtm" htmlTables="1" htmlFormat="all"/>
  </connection>
  <connection id="771" name="連線57" type="4" refreshedVersion="0" background="1">
    <webPr url="http://www.emega.com.tw/z/zc/zch/zch_1109.djhtm" htmlTables="1" htmlFormat="all"/>
  </connection>
  <connection id="772" name="連線570" type="4" refreshedVersion="0" background="1">
    <webPr url="http://www.emega.com.tw/z/zc/zch/zch_6224.djhtm" htmlTables="1" htmlFormat="all"/>
  </connection>
  <connection id="773" name="連線571" type="4" refreshedVersion="0" background="1">
    <webPr url="http://www.emega.com.tw/z/zc/zch/zch_6226.djhtm" htmlTables="1" htmlFormat="all"/>
  </connection>
  <connection id="774" name="連線572" type="4" refreshedVersion="0" background="1">
    <webPr url="http://www.emega.com.tw/z/zc/zch/zch_6243.djhtm" htmlTables="1" htmlFormat="all"/>
  </connection>
  <connection id="775" name="連線573" type="4" refreshedVersion="0" background="1">
    <webPr url="http://www.emega.com.tw/z/zc/zch/zch_6271.djhtm" htmlTables="1" htmlFormat="all"/>
  </connection>
  <connection id="776" name="連線574" type="4" refreshedVersion="0" background="1">
    <webPr url="http://www.emega.com.tw/z/zc/zch/zch_6277.djhtm" htmlTables="1" htmlFormat="all"/>
  </connection>
  <connection id="777" name="連線575" type="4" refreshedVersion="0" background="1">
    <webPr url="http://www.emega.com.tw/z/zc/zch/zch_6283.djhtm" htmlTables="1" htmlFormat="all"/>
  </connection>
  <connection id="778" name="連線576" type="4" refreshedVersion="0" background="1">
    <webPr url="http://www.emega.com.tw/z/zc/zch/zch_6289.djhtm" htmlTables="1" htmlFormat="all"/>
  </connection>
  <connection id="779" name="連線577" type="4" refreshedVersion="0" background="1">
    <webPr url="http://www.emega.com.tw/z/zc/zch/zch_6405.djhtm" htmlTables="1" htmlFormat="all"/>
  </connection>
  <connection id="780" name="連線578" type="4" refreshedVersion="0" background="1">
    <webPr url="http://www.emega.com.tw/z/zc/zch/zch_6412.djhtm" htmlTables="1" htmlFormat="all"/>
  </connection>
  <connection id="781" name="連線579" type="4" refreshedVersion="0" background="1">
    <webPr url="http://www.tdcc.com.tw/smWeb/QryStock.jsp?SCA_DATE=20160331&amp;SqlMethod=StockNo&amp;StockNo=2312&amp;StockName=&amp;sub=%ACd%B8%DF" htmlTables="1" htmlFormat="all"/>
  </connection>
  <connection id="782" name="連線58" type="4" refreshedVersion="0" background="1">
    <webPr url="http://www.emega.com.tw/z/zc/zch/zch_1718.djhtm" htmlTables="1" htmlFormat="all"/>
  </connection>
  <connection id="783" name="連線580" type="4" refreshedVersion="0" background="1">
    <webPr url="http://www.emega.com.tw/z/zc/zch/zch_6422.djhtm" htmlTables="1" htmlFormat="all"/>
  </connection>
  <connection id="784" name="連線581" type="4" refreshedVersion="0" background="1">
    <webPr url="http://www.emega.com.tw/z/zc/zch/zch_6431.djhtm" htmlTables="1" htmlFormat="all"/>
  </connection>
  <connection id="785" name="連線582" type="4" refreshedVersion="0" background="1">
    <webPr url="http://www.emega.com.tw/z/zc/zch/zch_6442.djhtm" htmlTables="1" htmlFormat="all"/>
  </connection>
  <connection id="786" name="連線583" type="4" refreshedVersion="0" background="1">
    <webPr url="http://www.emega.com.tw/z/zc/zch/zch_6449.djhtm" htmlTables="1" htmlFormat="all"/>
  </connection>
  <connection id="787" name="連線584" type="4" refreshedVersion="0" background="1">
    <webPr url="http://www.emega.com.tw/z/zc/zch/zch_6451.djhtm" htmlTables="1" htmlFormat="all"/>
  </connection>
  <connection id="788" name="連線585" type="4" refreshedVersion="0" background="1">
    <webPr url="http://www.emega.com.tw/z/zc/zch/zch_6452.djhtm" htmlTables="1" htmlFormat="all"/>
  </connection>
  <connection id="789" name="連線586" type="4" refreshedVersion="0" background="1">
    <webPr url="http://www.emega.com.tw/z/zc/zch/zch_2115.djhtm" htmlTables="1" htmlFormat="all"/>
  </connection>
  <connection id="790" name="連線587" type="4" refreshedVersion="0" background="1">
    <webPr url="http://www.emega.com.tw/z/zc/zch/zch_6456.djhtm" htmlTables="1" htmlFormat="all"/>
  </connection>
  <connection id="791" name="連線588" type="4" refreshedVersion="0" background="1">
    <webPr url="http://www.emega.com.tw/z/zc/zch/zch_6477.djhtm" htmlTables="1" htmlFormat="all"/>
  </connection>
  <connection id="792" name="連線589" type="4" refreshedVersion="0" background="1">
    <webPr url="http://www.emega.com.tw/z/zc/zch/zch_6504.djhtm" htmlTables="1" htmlFormat="all"/>
  </connection>
  <connection id="793" name="連線59" type="4" refreshedVersion="0" background="1">
    <webPr url="http://justdata.yuanta.com.tw/z/zc/zcl/zcl.djhtm?a=2441&amp;b=2" htmlTables="1" htmlFormat="all"/>
  </connection>
  <connection id="794" name="連線590" type="4" refreshedVersion="0" background="1">
    <webPr url="http://www.emega.com.tw/z/zc/zch/zch_6605.djhtm" htmlTables="1" htmlFormat="all"/>
  </connection>
  <connection id="795" name="連線591" type="4" refreshedVersion="0" background="1">
    <webPr url="http://www.emega.com.tw/z/zc/zch/zch_8011.djhtm" htmlTables="1" htmlFormat="all"/>
  </connection>
  <connection id="796" name="連線592" type="4" refreshedVersion="0" background="1">
    <webPr url="http://www.emega.com.tw/z/zc/zch/zch_8016.djhtm" htmlTables="1" htmlFormat="all"/>
  </connection>
  <connection id="797" name="連線593" type="4" refreshedVersion="0" background="1">
    <webPr url="http://www.emega.com.tw/z/zc/zch/zch_8021.djhtm" htmlTables="1" htmlFormat="all"/>
  </connection>
  <connection id="798" name="連線594" type="4" refreshedVersion="0" background="1">
    <webPr url="http://www.emega.com.tw/z/zc/zch/zch_8033.djhtm" htmlTables="1" htmlFormat="all"/>
  </connection>
  <connection id="799" name="連線595" type="4" refreshedVersion="0" background="1">
    <webPr url="http://www.emega.com.tw/z/zc/zch/zch_8072.djhtm" htmlTables="1" htmlFormat="all"/>
  </connection>
  <connection id="800" name="連線596" type="4" refreshedVersion="0" background="1">
    <webPr url="http://www.emega.com.tw/z/zc/zch/zch_8081.djhtm" htmlTables="1" htmlFormat="all"/>
  </connection>
  <connection id="801" name="連線597" type="4" refreshedVersion="0" background="1">
    <webPr url="http://www.emega.com.tw/z/zc/zch/zch_8101.djhtm" htmlTables="1" htmlFormat="all"/>
  </connection>
  <connection id="802" name="連線598" type="4" refreshedVersion="0" background="1">
    <webPr url="http://www.emega.com.tw/z/zc/zch/zch_8110.djhtm" htmlTables="1" htmlFormat="all"/>
  </connection>
  <connection id="803" name="連線599" type="4" refreshedVersion="0" background="1">
    <webPr url="http://www.emega.com.tw/z/zc/zch/zch_8131.djhtm" htmlTables="1" htmlFormat="all"/>
  </connection>
  <connection id="804" name="連線6" type="4" refreshedVersion="0" background="1">
    <webPr url="http://www.tdcc.com.tw/smWeb/QryStock.jsp?SCA_DATE=20150522&amp;SqlMethod=StockNo&amp;StockNo=1312&amp;StockName=&amp;sub=%ACd%B8%DF" htmlTables="1" htmlFormat="all"/>
  </connection>
  <connection id="805" name="連線60" type="4" refreshedVersion="0" background="1">
    <webPr url="http://www.emega.com.tw/z/zc/zch/zch_2905.djhtm" htmlTables="1" htmlFormat="all"/>
  </connection>
  <connection id="806" name="連線600" type="4" refreshedVersion="0" background="1">
    <webPr url="http://www.emega.com.tw/z/zc/zch/zch_8150.djhtm" htmlTables="1" htmlFormat="all"/>
  </connection>
  <connection id="807" name="連線601" type="4" refreshedVersion="0" background="1">
    <webPr url="http://www.emega.com.tw/z/zc/zch/zch_8201.djhtm" htmlTables="1" htmlFormat="all"/>
  </connection>
  <connection id="808" name="連線602" type="4" refreshedVersion="0" background="1">
    <webPr url="http://www.emega.com.tw/z/zc/zch/zch_8249.djhtm" htmlTables="1" htmlFormat="all"/>
  </connection>
  <connection id="809" name="連線603" type="4" refreshedVersion="0" background="1">
    <webPr url="http://www.tdcc.com.tw/smWeb/QryStock.jsp?SCA_DATE=20151121&amp;SqlMethod=StockNo&amp;StockNo=1773&amp;StockName=&amp;sub=%ACd%B8%DF" htmlTables="1" htmlFormat="all"/>
  </connection>
  <connection id="810" name="連線604" type="4" refreshedVersion="0" background="1">
    <webPr url="http://www.emega.com.tw/z/zc/zch/zch_8271.djhtm" htmlTables="1" htmlFormat="all"/>
  </connection>
  <connection id="811" name="連線605" type="4" refreshedVersion="0" background="1">
    <webPr url="http://www.emega.com.tw/z/zc/zch/zch_8341.djhtm" htmlTables="1" htmlFormat="all"/>
  </connection>
  <connection id="812" name="連線606" type="4" refreshedVersion="0" background="1">
    <webPr url="http://www.emega.com.tw/z/zc/zch/zch_8374.djhtm" htmlTables="1" htmlFormat="all"/>
  </connection>
  <connection id="813" name="連線607" type="4" refreshedVersion="0" background="1">
    <webPr url="http://www.emega.com.tw/z/zc/zch/zch_8404.djhtm" htmlTables="1" htmlFormat="all"/>
  </connection>
  <connection id="814" name="連線608" type="4" refreshedVersion="0" background="1">
    <webPr url="http://www.emega.com.tw/z/zc/zch/zch_8427.djhtm" htmlTables="1" htmlFormat="all"/>
  </connection>
  <connection id="815" name="連線609" type="4" refreshedVersion="0" background="1">
    <webPr url="http://www.emega.com.tw/z/zc/zch/zch_8429.djhtm" htmlTables="1" htmlFormat="all"/>
  </connection>
  <connection id="816" name="連線61" type="4" refreshedVersion="0" background="1">
    <webPr url="http://www.emega.com.tw/z/zc/zch/zch_1233.djhtm" htmlTables="1" htmlFormat="all"/>
  </connection>
  <connection id="817" name="連線610" type="4" refreshedVersion="0" background="1">
    <webPr url="http://www.emega.com.tw/z/zc/zch/zch_8443.djhtm" htmlTables="1" htmlFormat="all"/>
  </connection>
  <connection id="818" name="連線611" type="4" refreshedVersion="0" background="1">
    <webPr url="http://www.emega.com.tw/z/zc/zch/zch_8463.djhtm" htmlTables="1" htmlFormat="all"/>
  </connection>
  <connection id="819" name="連線612" type="4" refreshedVersion="0" background="1">
    <webPr url="http://jsjustweb.jihsun.com.tw/z/zc/zco/zco0/zco0.djhtm?a=1568&amp;b=" htmlTables="1" htmlFormat="all"/>
  </connection>
  <connection id="820" name="連線613" type="4" refreshedVersion="0" background="1">
    <webPr url="http://www.emega.com.tw/z/zc/zch/zch_8926.djhtm" htmlTables="1" htmlFormat="all"/>
  </connection>
  <connection id="821" name="連線614" type="4" refreshedVersion="0" background="1">
    <webPr url="http://jsjustweb.jihsun.com.tw/z/zc/zco/zco0/zco0.djhtm?a=1568&amp;b=" htmlTables="1" htmlFormat="all"/>
  </connection>
  <connection id="822" name="連線615" type="4" refreshedVersion="0" background="1">
    <webPr url="http://www.emega.com.tw/z/zc/zch/zch_9902.djhtm" htmlTables="1" htmlFormat="all"/>
  </connection>
  <connection id="823" name="連線616" type="4" refreshedVersion="0" background="1">
    <webPr url="http://www.emega.com.tw/z/zc/zch/zch_9905.djhtm" htmlTables="1" htmlFormat="all"/>
  </connection>
  <connection id="824" name="連線617" type="4" refreshedVersion="0" background="1">
    <webPr url="http://www.emega.com.tw/z/zc/zch/zch_9906.djhtm" htmlTables="1" htmlFormat="all"/>
  </connection>
  <connection id="825" name="連線618" type="4" refreshedVersion="0" background="1">
    <webPr url="http://jsjustweb.jihsun.com.tw/z/zc/zco/zco0/zco0.djhtm?a=1568&amp;b=" htmlTables="1" htmlFormat="all"/>
  </connection>
  <connection id="826" name="連線619" type="4" refreshedVersion="0" background="1">
    <webPr url="http://www.emega.com.tw/z/zc/zch/zch_9908.djhtm" htmlTables="1" htmlFormat="all"/>
  </connection>
  <connection id="827" name="連線62" type="4" refreshedVersion="0" background="1">
    <webPr url="http://www.tdcc.com.tw/smWeb/QryStock.jsp?SCA_DATE=2015/10/16&amp;SqlMethod=StockNo&amp;StockNo=1215&amp;StockName=&amp;sub=%ACd%B8%DF" htmlTables="1" htmlFormat="all"/>
  </connection>
  <connection id="828" name="連線620" type="4" refreshedVersion="0" background="1">
    <webPr url="http://www.emega.com.tw/z/zc/zch/zch_9910.djhtm" htmlTables="1" htmlFormat="all"/>
  </connection>
  <connection id="829" name="連線621" type="4" refreshedVersion="0" background="1">
    <webPr url="http://www.emega.com.tw/z/zc/zch/zch_9911.djhtm" htmlTables="1" htmlFormat="all"/>
  </connection>
  <connection id="830" name="連線622" type="4" refreshedVersion="0" background="1">
    <webPr url="http://www.emega.com.tw/z/zc/zch/zch_9912.djhtm" htmlTables="1" htmlFormat="all"/>
  </connection>
  <connection id="831" name="連線623" type="4" refreshedVersion="0" background="1">
    <webPr url="http://www.emega.com.tw/z/zc/zch/zch_9914.djhtm" htmlTables="1" htmlFormat="all"/>
  </connection>
  <connection id="832" name="連線624" type="4" refreshedVersion="0" background="1">
    <webPr url="http://www.emega.com.tw/z/zc/zch/zch_9917.djhtm" htmlTables="1" htmlFormat="all"/>
  </connection>
  <connection id="833" name="連線625" type="4" refreshedVersion="0" background="1">
    <webPr url="http://www.emega.com.tw/z/zc/zch/zch_9918.djhtm" htmlTables="1" htmlFormat="all"/>
  </connection>
  <connection id="834" name="連線626" type="4" refreshedVersion="0" background="1">
    <webPr url="http://www.emega.com.tw/z/zc/zch/zch_9919.djhtm" htmlTables="1" htmlFormat="all"/>
  </connection>
  <connection id="835" name="連線627" type="4" refreshedVersion="0" background="1">
    <webPr url="http://www.emega.com.tw/z/zc/zch/zch_9921.djhtm" htmlTables="1" htmlFormat="all"/>
  </connection>
  <connection id="836" name="連線628" type="4" refreshedVersion="0" background="1">
    <webPr url="http://www.emega.com.tw/z/zc/zch/zch_9926.djhtm" htmlTables="1" htmlFormat="all"/>
  </connection>
  <connection id="837" name="連線629" type="4" refreshedVersion="0" background="1">
    <webPr url="http://www.emega.com.tw/z/zc/zch/zch_9927.djhtm" htmlTables="1" htmlFormat="all"/>
  </connection>
  <connection id="838" name="連線63" type="4" refreshedVersion="0" background="1">
    <webPr url="http://www.emega.com.tw/z/zc/zch/zch_1109.djhtm" htmlTables="1" htmlFormat="all"/>
  </connection>
  <connection id="839" name="連線630" type="4" refreshedVersion="0" background="1">
    <webPr url="http://www.emega.com.tw/z/zc/zch/zch_9928.djhtm" htmlTables="1" htmlFormat="all"/>
  </connection>
  <connection id="840" name="連線631" type="4" refreshedVersion="0" background="1">
    <webPr url="http://www.emega.com.tw/z/zc/zch/zch_9929.djhtm" htmlTables="1" htmlFormat="all"/>
  </connection>
  <connection id="841" name="連線632" type="4" refreshedVersion="0" background="1">
    <webPr url="http://www.emega.com.tw/z/zc/zch/zch_9937.djhtm" htmlTables="1" htmlFormat="all"/>
  </connection>
  <connection id="842" name="連線633" type="4" refreshedVersion="0" background="1">
    <webPr url="http://www.emega.com.tw/z/zc/zcn/zcn.djhtm?a=1773&amp;b=4" htmlTables="1" htmlFormat="all"/>
  </connection>
  <connection id="843" name="連線634" type="4" refreshedVersion="0" background="1">
    <webPr url="http://www.emega.com.tw/z/zc/zch/zch_9938.djhtm" htmlTables="1" htmlFormat="all"/>
  </connection>
  <connection id="844" name="連線635" type="4" refreshedVersion="0" background="1">
    <webPr url="http://jsjustweb.jihsun.com.tw/z/zc/zco/zco0/zco0.djhtm?a=1568&amp;b=1440" htmlTables="1" htmlFormat="all"/>
  </connection>
  <connection id="845" name="連線636" type="4" refreshedVersion="0" background="1">
    <webPr url="http://www.emega.com.tw/z/zc/zch/zch_9939.djhtm" htmlTables="1" htmlFormat="all"/>
  </connection>
  <connection id="846" name="連線637" type="4" refreshedVersion="0" background="1">
    <webPr url="http://www.emega.com.tw/z/zc/zch/zch_9941.djhtm" htmlTables="1" htmlFormat="all"/>
  </connection>
  <connection id="847" name="連線638" type="4" refreshedVersion="0" background="1">
    <webPr url="http://www.emega.com.tw/z/zc/zch/zch_9942.djhtm" htmlTables="1" htmlFormat="all"/>
  </connection>
  <connection id="848" name="連線639" type="4" refreshedVersion="0" background="1">
    <webPr url="http://www.emega.com.tw/z/zc/zch/zch_9944.djhtm" htmlTables="1" htmlFormat="all"/>
  </connection>
  <connection id="849" name="連線64" type="4" refreshedVersion="0" background="1">
    <webPr url="http://justdata.yuanta.com.tw/z/zc/zcq/zcq_1717.asp.htm" htmlTables="1" htmlFormat="all"/>
  </connection>
  <connection id="850" name="連線640" type="4" refreshedVersion="0" background="1">
    <webPr url="http://www.emega.com.tw/z/zc/zch/zch_9958.djhtm" htmlTables="1" htmlFormat="all"/>
  </connection>
  <connection id="851" name="連線641" type="4" refreshedVersion="0" background="1">
    <webPr url="http://www.emega.com.tw/z/zc/zch/zch_1258.djhtm" htmlTables="1" htmlFormat="all"/>
  </connection>
  <connection id="852" name="連線642" type="4" refreshedVersion="0" background="1">
    <webPr url="http://www.emega.com.tw/z/zc/zch/zch_1259.djhtm" htmlTables="1" htmlFormat="all"/>
  </connection>
  <connection id="853" name="連線643" type="4" refreshedVersion="0" background="1">
    <webPr url="http://www.emega.com.tw/z/zc/zch/zch_1566.djhtm" htmlTables="1" htmlFormat="all"/>
  </connection>
  <connection id="854" name="連線644" type="4" refreshedVersion="0" background="1">
    <webPr url="http://www.emega.com.tw/z/zc/zch/zch_1580.djhtm" htmlTables="1" htmlFormat="all"/>
  </connection>
  <connection id="855" name="連線645" type="4" refreshedVersion="0" background="1">
    <webPr url="http://www.emega.com.tw/z/zc/zch/zch_2349.djhtm" htmlTables="1" htmlFormat="all"/>
  </connection>
  <connection id="856" name="連線646" type="4" refreshedVersion="0" background="1">
    <webPr url="http://www.emega.com.tw/z/zc/zch/zch_1591.djhtm" htmlTables="1" htmlFormat="all"/>
  </connection>
  <connection id="857" name="連線647" type="4" refreshedVersion="0" background="1">
    <webPr url="http://www.emega.com.tw/z/zc/zch/zch_1784.djhtm" htmlTables="1" htmlFormat="all"/>
  </connection>
  <connection id="858" name="連線648" type="4" refreshedVersion="0" background="1">
    <webPr url="http://jsjustweb.jihsun.com.tw/z/zc/zco/zco0/zco0.djhtm?a=1217&amp;b=7750" htmlTables="1" htmlFormat="all"/>
  </connection>
  <connection id="859" name="連線649" type="4" refreshedVersion="0" background="1">
    <webPr url="http://www.emega.com.tw/z/zc/zch/zch_1787.djhtm" htmlTables="1" htmlFormat="all"/>
  </connection>
  <connection id="860" name="連線65" type="4" refreshedVersion="0" background="1">
    <webPr url="http://jsjustweb.jihsun.com.tw/z/zc/zco/zco0/zco0.djhtm?a=6235&amp;b=0840" htmlTables="1" htmlFormat="all"/>
  </connection>
  <connection id="861" name="連線650" type="4" refreshedVersion="0" background="1">
    <webPr url="http://www.emega.com.tw/z/zc/zch/zch_1788.djhtm" htmlTables="1" htmlFormat="all"/>
  </connection>
  <connection id="862" name="連線651" type="4" refreshedVersion="0" background="1">
    <webPr url="http://www.emega.com.tw/z/zc/zch/zch_1815.djhtm" htmlTables="1" htmlFormat="all"/>
  </connection>
  <connection id="863" name="連線652" type="4" refreshedVersion="0" background="1">
    <webPr url="http://www.emega.com.tw/z/zc/zch/zch_2035.djhtm" htmlTables="1" htmlFormat="all"/>
  </connection>
  <connection id="864" name="連線653" type="4" refreshedVersion="0" background="1">
    <webPr url="http://www.emega.com.tw/z/zc/zch/zch_2061.djhtm" htmlTables="1" htmlFormat="all"/>
  </connection>
  <connection id="865" name="連線654" type="4" refreshedVersion="0" background="1">
    <webPr url="http://www.emega.com.tw/z/zc/zch/zch_2063.djhtm" htmlTables="1" htmlFormat="all"/>
  </connection>
  <connection id="866" name="連線655" type="4" refreshedVersion="0" background="1">
    <webPr url="http://www.emega.com.tw/z/zc/zch/zch_2066.djhtm" htmlTables="1" htmlFormat="all"/>
  </connection>
  <connection id="867" name="連線656" type="4" refreshedVersion="0" background="1">
    <webPr url="http://www.emega.com.tw/z/zc/zch/zch_2067.djhtm" htmlTables="1" htmlFormat="all"/>
  </connection>
  <connection id="868" name="連線657" type="4" refreshedVersion="0" background="1">
    <webPr url="http://www.emega.com.tw/z/zc/zch/zch_2221.djhtm" htmlTables="1" htmlFormat="all"/>
  </connection>
  <connection id="869" name="連線658" type="4" refreshedVersion="0" background="1">
    <webPr url="http://www.emega.com.tw/z/zc/zch/zch_2235.djhtm" htmlTables="1" htmlFormat="all"/>
  </connection>
  <connection id="870" name="連線659" type="4" refreshedVersion="0" background="1">
    <webPr url="http://www.emega.com.tw/z/zc/zch/zch_2596.djhtm" htmlTables="1" htmlFormat="all"/>
  </connection>
  <connection id="871" name="連線66" type="4" refreshedVersion="0" background="1">
    <webPr url="http://www.emega.com.tw/z/zc/zch/zch_1110.djhtm" htmlTables="1" htmlFormat="all"/>
  </connection>
  <connection id="872" name="連線660" type="4" refreshedVersion="0" background="1">
    <webPr url="http://www.emega.com.tw/z/zc/zch/zch_2640.djhtm" htmlTables="1" htmlFormat="all"/>
  </connection>
  <connection id="873" name="連線661" type="4" refreshedVersion="0" background="1">
    <webPr url="http://justdata.yuanta.com.tw/z/zc/zcl/zcl.djhtm?a=1524&amp;b=2" htmlTables="1" htmlFormat="all"/>
  </connection>
  <connection id="874" name="連線662" type="4" refreshedVersion="0" background="1">
    <webPr url="http://www.emega.com.tw/z/zc/zch/zch_2718.djhtm" htmlTables="1" htmlFormat="all"/>
  </connection>
  <connection id="875" name="連線663" type="4" refreshedVersion="0" background="1">
    <webPr url="http://www.emega.com.tw/z/zc/zch/zch_2719.djhtm" htmlTables="1" htmlFormat="all"/>
  </connection>
  <connection id="876" name="連線664" type="4" refreshedVersion="0" background="1">
    <webPr url="http://www.emega.com.tw/z/zc/zch/zch_2726.djhtm" htmlTables="1" htmlFormat="all"/>
  </connection>
  <connection id="877" name="連線665" type="4" refreshedVersion="0" background="1">
    <webPr url="http://www.emega.com.tw/z/zc/zch/zch_2732.djhtm" htmlTables="1" htmlFormat="all"/>
  </connection>
  <connection id="878" name="連線666" type="4" refreshedVersion="0" background="1">
    <webPr url="http://www.emega.com.tw/z/zc/zch/zch_2734.djhtm" htmlTables="1" htmlFormat="all"/>
  </connection>
  <connection id="879" name="連線667" type="4" refreshedVersion="0" background="1">
    <webPr url="http://www.emega.com.tw/z/zc/zch/zch_2740.djhtm" htmlTables="1" htmlFormat="all"/>
  </connection>
  <connection id="880" name="連線668" type="4" refreshedVersion="0" background="1">
    <webPr url="http://www.emega.com.tw/z/zc/zch/zch_2916.djhtm" htmlTables="1" htmlFormat="all"/>
  </connection>
  <connection id="881" name="連線669" type="4" refreshedVersion="0" background="1">
    <webPr url="http://www.emega.com.tw/z/zc/zch/zch_2924.djhtm" htmlTables="1" htmlFormat="all"/>
  </connection>
  <connection id="882" name="連線67" type="4" refreshedVersion="0" background="1">
    <webPr url="http://www.emega.com.tw/z/zc/zch/zch_1210.djhtm" htmlTables="1" htmlFormat="all"/>
  </connection>
  <connection id="883" name="連線670" type="4" refreshedVersion="0" background="1">
    <webPr url="http://www.emega.com.tw/z/zc/zch/zch_2928.djhtm" htmlTables="1" htmlFormat="all"/>
  </connection>
  <connection id="884" name="連線671" type="4" refreshedVersion="0" background="1">
    <webPr url="http://www.emega.com.tw/z/zc/zch/zch_3066.djhtm" htmlTables="1" htmlFormat="all"/>
  </connection>
  <connection id="885" name="連線672" type="4" refreshedVersion="0" background="1">
    <webPr url="http://www.emega.com.tw/z/zc/zch/zch_3073.djhtm" htmlTables="1" htmlFormat="all"/>
  </connection>
  <connection id="886" name="連線673" type="4" refreshedVersion="0" background="1">
    <webPr url="http://www.emega.com.tw/z/zc/zch/zch_3085.djhtm" htmlTables="1" htmlFormat="all"/>
  </connection>
  <connection id="887" name="連線674" type="4" refreshedVersion="0" background="1">
    <webPr url="http://www.emega.com.tw/z/zc/zch/zch_3086.djhtm" htmlTables="1" htmlFormat="all"/>
  </connection>
  <connection id="888" name="連線675" type="4" refreshedVersion="0" background="1">
    <webPr url="http://www.emega.com.tw/z/zc/zch/zch_3092.djhtm" htmlTables="1" htmlFormat="all"/>
  </connection>
  <connection id="889" name="連線676" type="4" refreshedVersion="0" background="1">
    <webPr url="http://www.emega.com.tw/z/zc/zch/zch_3093.djhtm" htmlTables="1" htmlFormat="all"/>
  </connection>
  <connection id="890" name="連線677" type="4" refreshedVersion="0" background="1">
    <webPr url="http://www.emega.com.tw/z/zc/zch/zch_3105.djhtm" htmlTables="1" htmlFormat="all"/>
  </connection>
  <connection id="891" name="連線678" type="4" refreshedVersion="0" background="1">
    <webPr url="http://www.emega.com.tw/z/zc/zch/zch_3115.djhtm" htmlTables="1" htmlFormat="all"/>
  </connection>
  <connection id="892" name="連線679" type="4" refreshedVersion="0" background="1">
    <webPr url="http://www.emega.com.tw/z/zc/zch/zch_3118.djhtm" htmlTables="1" htmlFormat="all"/>
  </connection>
  <connection id="893" name="連線68" type="4" refreshedVersion="0" background="1">
    <webPr url="http://www.emega.com.tw/z/zc/zch/zch_1217.djhtm" htmlTables="1" htmlFormat="all"/>
  </connection>
  <connection id="894" name="連線680" type="4" refreshedVersion="0" background="1">
    <webPr url="http://www.emega.com.tw/z/zc/zch/zch_3122.djhtm" htmlTables="1" htmlFormat="all"/>
  </connection>
  <connection id="895" name="連線681" type="4" refreshedVersion="0" background="1">
    <webPr url="http://www.emega.com.tw/z/zc/zch/zch_3128.djhtm" htmlTables="1" htmlFormat="all"/>
  </connection>
  <connection id="896" name="連線682" type="4" refreshedVersion="0" background="1">
    <webPr url="http://www.tdcc.com.tw/smWeb/QryStock.jsp?SCA_DATE=20150605&amp;SqlMethod=StockNo&amp;StockNo=1612&amp;StockName=&amp;sub=%ACd%B8%DF" htmlTables="1" htmlFormat="all"/>
  </connection>
  <connection id="897" name="連線683" type="4" refreshedVersion="0" background="1">
    <webPr url="http://www.emega.com.tw/z/zc/zch/zch_3131.djhtm" htmlTables="1" htmlFormat="all"/>
  </connection>
  <connection id="898" name="連線684" type="4" refreshedVersion="0" background="1">
    <webPr url="http://www.emega.com.tw/z/zc/zch/zch_3144.djhtm" htmlTables="1" htmlFormat="all"/>
  </connection>
  <connection id="899" name="連線685" type="4" refreshedVersion="0" background="1">
    <webPr url="http://www.emega.com.tw/z/zc/zch/zch_3169.djhtm" htmlTables="1" htmlFormat="all"/>
  </connection>
  <connection id="900" name="連線686" type="4" refreshedVersion="0" background="1">
    <webPr url="http://www.emega.com.tw/z/zc/zch/zch_3176.djhtm" htmlTables="1" htmlFormat="all"/>
  </connection>
  <connection id="901" name="連線687" type="4" refreshedVersion="0" background="1">
    <webPr url="http://www.emega.com.tw/z/zc/zch/zch_3191.djhtm" htmlTables="1" htmlFormat="all"/>
  </connection>
  <connection id="902" name="連線688" type="4" refreshedVersion="0" background="1">
    <webPr url="http://www.emega.com.tw/z/zc/zch/zch_3202.djhtm" htmlTables="1" htmlFormat="all"/>
  </connection>
  <connection id="903" name="連線689" type="4" refreshedVersion="0" background="1">
    <webPr url="http://www.emega.com.tw/z/zc/zch/zch_3205.djhtm" htmlTables="1" htmlFormat="all"/>
  </connection>
  <connection id="904" name="連線69" type="4" refreshedVersion="0" background="1">
    <webPr url="http://www.cnyes.com/twstock/Technical/1537_1.65%.htm" htmlTables="1" htmlFormat="all"/>
  </connection>
  <connection id="905" name="連線690" type="4" refreshedVersion="0" background="1">
    <webPr url="http://www.emega.com.tw/z/zc/zch/zch_3207.djhtm" htmlTables="1" htmlFormat="all"/>
  </connection>
  <connection id="906" name="連線691" type="4" refreshedVersion="0" background="1">
    <webPr url="http://www.emega.com.tw/z/zc/zch/zch_3217.djhtm" htmlTables="1" htmlFormat="all"/>
  </connection>
  <connection id="907" name="連線692" type="4" refreshedVersion="0" background="1">
    <webPr url="http://www.emega.com.tw/z/zc/zch/zch_3218.djhtm" htmlTables="1" htmlFormat="all"/>
  </connection>
  <connection id="908" name="連線693" type="4" refreshedVersion="0" background="1">
    <webPr url="http://www.emega.com.tw/z/zc/zch/zch_3219.djhtm" htmlTables="1" htmlFormat="all"/>
  </connection>
  <connection id="909" name="連線694" type="4" refreshedVersion="0" background="1">
    <webPr url="http://www.emega.com.tw/z/zc/zch/zch_3224.djhtm" htmlTables="1" htmlFormat="all"/>
  </connection>
  <connection id="910" name="連線695" type="4" refreshedVersion="0" background="1">
    <webPr url="http://www.emega.com.tw/z/zc/zch/zch_3226.djhtm" htmlTables="1" htmlFormat="all"/>
  </connection>
  <connection id="911" name="連線696" type="4" refreshedVersion="0" background="1">
    <webPr url="http://www.emega.com.tw/z/zc/zch/zch_3228.djhtm" htmlTables="1" htmlFormat="all"/>
  </connection>
  <connection id="912" name="連線697" type="4" refreshedVersion="0" background="1">
    <webPr url="http://www.emega.com.tw/z/zc/zch/zch_3230.djhtm" htmlTables="1" htmlFormat="all"/>
  </connection>
  <connection id="913" name="連線698" type="4" refreshedVersion="0" background="1">
    <webPr url="http://www.emega.com.tw/z/zc/zch/zch_3232.djhtm" htmlTables="1" htmlFormat="all"/>
  </connection>
  <connection id="914" name="連線699" type="4" refreshedVersion="0" background="1">
    <webPr url="http://www.emega.com.tw/z/zc/zch/zch_3234.djhtm" htmlTables="1" htmlFormat="all"/>
  </connection>
  <connection id="915" name="連線7" type="4" refreshedVersion="0" background="1">
    <webPr url="http://justdata.yuanta.com.tw/z/zc/zcq/zcq_1108.asp.htm" htmlTables="1" htmlFormat="all"/>
  </connection>
  <connection id="916" name="連線70" type="4" refreshedVersion="0" background="1">
    <webPr url="http://www.cnyes.com/twstock/Technical/1537_1.65%.htm" htmlTables="1" htmlFormat="all"/>
  </connection>
  <connection id="917" name="連線700" type="4" refreshedVersion="0" background="1">
    <webPr url="http://www.emega.com.tw/z/zc/zch/zch_3236.djhtm" htmlTables="1" htmlFormat="all"/>
  </connection>
  <connection id="918" name="連線701" type="4" refreshedVersion="0" background="1">
    <webPr url="http://www.emega.com.tw/z/zc/zch/zch_3252.djhtm" htmlTables="1" htmlFormat="all"/>
  </connection>
  <connection id="919" name="連線702" type="4" refreshedVersion="0" background="1">
    <webPr url="http://www.emega.com.tw/z/zc/zch/zch_3264.djhtm" htmlTables="1" htmlFormat="all"/>
  </connection>
  <connection id="920" name="連線703" type="4" refreshedVersion="0" background="1">
    <webPr url="http://www.emega.com.tw/z/zc/zch/zch_3268.djhtm" htmlTables="1" htmlFormat="all"/>
  </connection>
  <connection id="921" name="連線704" type="4" refreshedVersion="0" background="1">
    <webPr url="http://www.emega.com.tw/z/zc/zch/zch_3288.djhtm" htmlTables="1" htmlFormat="all"/>
  </connection>
  <connection id="922" name="連線705" type="4" refreshedVersion="0" background="1">
    <webPr url="http://www.emega.com.tw/z/zc/zch/zch_3290.djhtm" htmlTables="1" htmlFormat="all"/>
  </connection>
  <connection id="923" name="連線706" type="4" refreshedVersion="0" background="1">
    <webPr url="http://www.emega.com.tw/z/zc/zch/zch_3291.djhtm" htmlTables="1" htmlFormat="all"/>
  </connection>
  <connection id="924" name="連線707" type="4" refreshedVersion="0" background="1">
    <webPr url="http://www.emega.com.tw/z/zc/zch/zch_3294.djhtm" htmlTables="1" htmlFormat="all"/>
  </connection>
  <connection id="925" name="連線708" type="4" refreshedVersion="0" background="1">
    <webPr url="http://www.tdcc.com.tw/smWeb/QryStock.jsp?SCA_DATE=20151113&amp;SqlMethod=StockNo&amp;StockNo=1438&amp;StockName=&amp;sub=%ACd%B8%DF" htmlTables="1" htmlFormat="all"/>
  </connection>
  <connection id="926" name="連線709" type="4" refreshedVersion="0" background="1">
    <webPr url="http://www.emega.com.tw/z/zc/zch/zch_3297.djhtm" htmlTables="1" htmlFormat="all"/>
  </connection>
  <connection id="927" name="連線71" type="4" refreshedVersion="0" background="1">
    <webPr url="http://www.emega.com.tw/z/zc/zch/zch_1218.djhtm" htmlTables="1" htmlFormat="all"/>
  </connection>
  <connection id="928" name="連線710" type="4" refreshedVersion="0" background="1">
    <webPr url="http://www.emega.com.tw/z/zc/zch/zch_3306.djhtm" htmlTables="1" htmlFormat="all"/>
  </connection>
  <connection id="929" name="連線711" type="4" refreshedVersion="0" background="1">
    <webPr url="http://www.emega.com.tw/z/zc/zch/zch_3313.djhtm" htmlTables="1" htmlFormat="all"/>
  </connection>
  <connection id="930" name="連線712" type="4" refreshedVersion="0" background="1">
    <webPr url="http://www.emega.com.tw/z/zc/zch/zch_3322.djhtm" htmlTables="1" htmlFormat="all"/>
  </connection>
  <connection id="931" name="連線713" type="4" refreshedVersion="0" background="1">
    <webPr url="http://www.emega.com.tw/z/zc/zch/zch_3339.djhtm" htmlTables="1" htmlFormat="all"/>
  </connection>
  <connection id="932" name="連線714" type="4" refreshedVersion="0" background="1">
    <webPr url="http://www.emega.com.tw/z/zc/zch/zch_3354.djhtm" htmlTables="1" htmlFormat="all"/>
  </connection>
  <connection id="933" name="連線715" type="4" refreshedVersion="0" background="1">
    <webPr url="http://www.emega.com.tw/z/zc/zch/zch_3360.djhtm" htmlTables="1" htmlFormat="all"/>
  </connection>
  <connection id="934" name="連線716" type="4" refreshedVersion="0" background="1">
    <webPr url="http://www.emega.com.tw/z/zc/zch/zch_3362.djhtm" htmlTables="1" htmlFormat="all"/>
  </connection>
  <connection id="935" name="連線717" type="4" refreshedVersion="0" background="1">
    <webPr url="http://www.emega.com.tw/z/zc/zch/zch_3363.djhtm" htmlTables="1" htmlFormat="all"/>
  </connection>
  <connection id="936" name="連線718" type="4" refreshedVersion="0" background="1">
    <webPr url="http://www.emega.com.tw/z/zc/zch/zch_3379.djhtm" htmlTables="1" htmlFormat="all"/>
  </connection>
  <connection id="937" name="連線719" type="4" refreshedVersion="0" background="1">
    <webPr url="http://www.emega.com.tw/z/zc/zch/zch_3390.djhtm" htmlTables="1" htmlFormat="all"/>
  </connection>
  <connection id="938" name="連線72" type="4" refreshedVersion="0" background="1">
    <webPr url="http://www.tdcc.com.tw/smWeb/QryStock.jsp?SCA_DATE=20160727&amp;SqlMethod=StockNo&amp;StockNo=3527&amp;StockName=&amp;sub=%ACd%B8%DF" htmlTables="1" htmlFormat="all"/>
  </connection>
  <connection id="939" name="連線720" type="4" refreshedVersion="0" background="1">
    <webPr url="http://www.emega.com.tw/z/zc/zch/zch_3402.djhtm" htmlTables="1" htmlFormat="all"/>
  </connection>
  <connection id="940" name="連線721" type="4" refreshedVersion="0" background="1">
    <webPr url="http://www.emega.com.tw/z/zc/zch/zch_3428.djhtm" htmlTables="1" htmlFormat="all"/>
  </connection>
  <connection id="941" name="連線722" type="4" refreshedVersion="0" background="1">
    <webPr url="http://www.emega.com.tw/z/zc/zch/zch_3434.djhtm" htmlTables="1" htmlFormat="all"/>
  </connection>
  <connection id="942" name="連線723" type="4" refreshedVersion="0" background="1">
    <webPr url="http://www.emega.com.tw/z/zc/zch/zch_3438.djhtm" htmlTables="1" htmlFormat="all"/>
  </connection>
  <connection id="943" name="連線724" type="4" refreshedVersion="0" background="1">
    <webPr url="http://www.emega.com.tw/z/zc/zch/zch_3479.djhtm" htmlTables="1" htmlFormat="all"/>
  </connection>
  <connection id="944" name="連線725" type="4" refreshedVersion="0" background="1">
    <webPr url="http://www.emega.com.tw/z/zc/zch/zch_3483.djhtm" htmlTables="1" htmlFormat="all"/>
  </connection>
  <connection id="945" name="連線726" type="4" refreshedVersion="0" background="1">
    <webPr url="http://www.emega.com.tw/z/zc/zch/zch_3484.djhtm" htmlTables="1" htmlFormat="all"/>
  </connection>
  <connection id="946" name="連線727" type="4" refreshedVersion="0" background="1">
    <webPr url="http://www.emega.com.tw/z/zc/zch/zch_3492.djhtm" htmlTables="1" htmlFormat="all"/>
  </connection>
  <connection id="947" name="連線728" type="4" refreshedVersion="0" background="1">
    <webPr url="http://www.emega.com.tw/z/zc/zch/zch_3499.djhtm" htmlTables="1" htmlFormat="all"/>
  </connection>
  <connection id="948" name="連線729" type="4" refreshedVersion="0" background="1">
    <webPr url="http://www.emega.com.tw/z/zc/zch/zch_3508.djhtm" htmlTables="1" htmlFormat="all"/>
  </connection>
  <connection id="949" name="連線73" type="4" refreshedVersion="0" background="1">
    <webPr url="http://www.emega.com.tw/z/zc/zch/zch_1219.djhtm" htmlTables="1" htmlFormat="all"/>
  </connection>
  <connection id="950" name="連線730" type="4" refreshedVersion="0" background="1">
    <webPr url="http://www.cnyes.com/twstock/Technical/1219.htm" htmlTables="1" htmlFormat="all"/>
  </connection>
  <connection id="951" name="連線731" type="4" refreshedVersion="0" background="1">
    <webPr url="http://www.emega.com.tw/z/zc/zch/zch_3512.djhtm" htmlTables="1" htmlFormat="all"/>
  </connection>
  <connection id="952" name="連線732" type="4" refreshedVersion="0" background="1">
    <webPr url="http://www.emega.com.tw/z/zc/zch/zch_3516.djhtm" htmlTables="1" htmlFormat="all"/>
  </connection>
  <connection id="953" name="連線733" type="4" refreshedVersion="0" background="1">
    <webPr url="http://www.emega.com.tw/z/zc/zch/zch_3520.djhtm" htmlTables="1" htmlFormat="all"/>
  </connection>
  <connection id="954" name="連線734" type="4" refreshedVersion="0" background="1">
    <webPr url="http://www.emega.com.tw/z/zc/zch/zch_3521.djhtm" htmlTables="1" htmlFormat="all"/>
  </connection>
  <connection id="955" name="連線735" type="4" refreshedVersion="0" background="1">
    <webPr url="http://www.emega.com.tw/z/zc/zch/zch_3523.djhtm" htmlTables="1" htmlFormat="all"/>
  </connection>
  <connection id="956" name="連線736" type="4" refreshedVersion="0" background="1">
    <webPr url="http://www.emega.com.tw/z/zc/zch/zch_3537.djhtm" htmlTables="1" htmlFormat="all"/>
  </connection>
  <connection id="957" name="連線737" type="4" refreshedVersion="0" background="1">
    <webPr url="http://www.emega.com.tw/z/zc/zch/zch_3541.djhtm" htmlTables="1" htmlFormat="all"/>
  </connection>
  <connection id="958" name="連線738" type="4" refreshedVersion="0" background="1">
    <webPr url="http://www.emega.com.tw/z/zc/zch/zch_3546.djhtm" htmlTables="1" htmlFormat="all"/>
  </connection>
  <connection id="959" name="連線739" type="4" refreshedVersion="0" background="1">
    <webPr url="http://www.emega.com.tw/z/zc/zch/zch_3548.djhtm" htmlTables="1" htmlFormat="all"/>
  </connection>
  <connection id="960" name="連線74" type="4" refreshedVersion="0" background="1">
    <webPr url="http://www.emega.com.tw/z/zc/zch/zch_1220.djhtm" htmlTables="1" htmlFormat="all"/>
  </connection>
  <connection id="961" name="連線740" type="4" refreshedVersion="0" background="1">
    <webPr url="http://www.tdcc.com.tw/smWeb/QryStock.jsp?SCA_DATE=20151120&amp;SqlMethod=StockNo&amp;StockNo=1108&amp;StockName=&amp;sub=%ACd%B8%DF" htmlTables="1" htmlFormat="all"/>
  </connection>
  <connection id="962" name="連線741" type="4" refreshedVersion="0" background="1">
    <webPr url="http://www.emega.com.tw/z/zc/zch/zch_3551.djhtm" htmlTables="1" htmlFormat="all"/>
  </connection>
  <connection id="963" name="連線742" type="4" refreshedVersion="0" background="1">
    <webPr url="http://www.emega.com.tw/z/zc/zch/zch_3553.djhtm" htmlTables="1" htmlFormat="all"/>
  </connection>
  <connection id="964" name="連線743" type="4" refreshedVersion="0" background="1">
    <webPr url="http://www.emega.com.tw/z/zc/zch/zch_3562.djhtm" htmlTables="1" htmlFormat="all"/>
  </connection>
  <connection id="965" name="連線744" type="4" refreshedVersion="0" background="1">
    <webPr url="http://www.emega.com.tw/z/zc/zch/zch_3564.djhtm" htmlTables="1" htmlFormat="all"/>
  </connection>
  <connection id="966" name="連線745" type="4" refreshedVersion="0" background="1">
    <webPr url="http://www.emega.com.tw/z/zc/zch/zch_3567.djhtm" htmlTables="1" htmlFormat="all"/>
  </connection>
  <connection id="967" name="連線746" type="4" refreshedVersion="0" background="1">
    <webPr url="http://www.emega.com.tw/z/zc/zch/zch_3580.djhtm" htmlTables="1" htmlFormat="all"/>
  </connection>
  <connection id="968" name="連線747" type="4" refreshedVersion="0" background="1">
    <webPr url="http://www.emega.com.tw/z/zc/zch/zch_3611.djhtm" htmlTables="1" htmlFormat="all"/>
  </connection>
  <connection id="969" name="連線748" type="4" refreshedVersion="0" background="1">
    <webPr url="http://www.tdcc.com.tw/smWeb/QryStock.jsp?SCA_DATE=20151120&amp;SqlMethod=StockNo&amp;StockNo=1201&amp;StockName=&amp;sub=%ACd%B8%DF" htmlTables="1" htmlFormat="all"/>
  </connection>
  <connection id="970" name="連線749" type="4" refreshedVersion="0" background="1">
    <webPr url="http://www.emega.com.tw/z/zc/zch/zch_3615.djhtm" htmlTables="1" htmlFormat="all"/>
  </connection>
  <connection id="971" name="連線75" type="4" refreshedVersion="0" background="1">
    <webPr url="http://www.emega.com.tw/z/zc/zch/zch_1225.djhtm" htmlTables="1" htmlFormat="all"/>
  </connection>
  <connection id="972" name="連線750" type="4" refreshedVersion="0" background="1">
    <webPr url="http://justdata.yuanta.com.tw/z/zc/zcq/zcq_3017.asp.htm" htmlTables="1" htmlFormat="all"/>
  </connection>
  <connection id="973" name="連線751" type="4" refreshedVersion="0" background="1">
    <webPr url="http://www.emega.com.tw/z/zc/zch/zch_3624.djhtm" htmlTables="1" htmlFormat="all"/>
  </connection>
  <connection id="974" name="連線752" type="4" refreshedVersion="0" background="1">
    <webPr url="http://www.emega.com.tw/z/zc/zch/zch_3628.djhtm" htmlTables="1" htmlFormat="all"/>
  </connection>
  <connection id="975" name="連線753" type="4" refreshedVersion="0" background="1">
    <webPr url="http://www.emega.com.tw/z/zc/zch/zch_3629.djhtm" htmlTables="1" htmlFormat="all"/>
  </connection>
  <connection id="976" name="連線754" type="4" refreshedVersion="0" background="1">
    <webPr url="http://www.emega.com.tw/z/zc/zch/zch_3630.djhtm" htmlTables="1" htmlFormat="all"/>
  </connection>
  <connection id="977" name="連線755" type="4" refreshedVersion="0" background="1">
    <webPr url="http://www.emega.com.tw/z/zc/zch/zch_3631.djhtm" htmlTables="1" htmlFormat="all"/>
  </connection>
  <connection id="978" name="連線756" type="4" refreshedVersion="0" background="1">
    <webPr url="http://www.emega.com.tw/z/zc/zch/zch_3632.djhtm" htmlTables="1" htmlFormat="all"/>
  </connection>
  <connection id="979" name="連線757" type="4" refreshedVersion="0" background="1">
    <webPr url="http://www.emega.com.tw/z/zc/zch/zch_3646.djhtm" htmlTables="1" htmlFormat="all"/>
  </connection>
  <connection id="980" name="連線758" type="4" refreshedVersion="0" background="1">
    <webPr url="http://www.emega.com.tw/z/zc/zch/zch_3652.djhtm" htmlTables="1" htmlFormat="all"/>
  </connection>
  <connection id="981" name="連線759" type="4" refreshedVersion="0" background="1">
    <webPr url="http://www.tdcc.com.tw/smWeb/QryStock.jsp?SCA_DATE=20151204&amp;SqlMethod=StockNo&amp;StockNo=1110&amp;StockName=&amp;sub=%ACd%B8%DF" htmlTables="1" htmlFormat="all"/>
  </connection>
  <connection id="982" name="連線76" type="4" refreshedVersion="0" background="1">
    <webPr url="http://www.tdcc.com.tw/smWeb/QryStock.jsp?SCA_DATE=20160729&amp;SqlMethod=StockNo&amp;StockNo=2303&amp;StockName=&amp;sub=%ACd%B8%DF" htmlTables="1" htmlFormat="all"/>
  </connection>
  <connection id="983" name="連線760" type="4" refreshedVersion="0" background="1">
    <webPr url="http://www.emega.com.tw/z/zc/zch/zch_3663.djhtm" htmlTables="1" htmlFormat="all"/>
  </connection>
  <connection id="984" name="連線761" type="4" refreshedVersion="0" background="1">
    <webPr url="http://www.emega.com.tw/z/zc/zch/zch_3666.djhtm" htmlTables="1" htmlFormat="all"/>
  </connection>
  <connection id="985" name="連線762" type="4" refreshedVersion="0" background="1">
    <webPr url="http://www.emega.com.tw/z/zc/zch/zch_3672.djhtm" htmlTables="1" htmlFormat="all"/>
  </connection>
  <connection id="986" name="連線763" type="4" refreshedVersion="0" background="1">
    <webPr url="http://www.emega.com.tw/z/zc/zch/zch_3687.djhtm" htmlTables="1" htmlFormat="all"/>
  </connection>
  <connection id="987" name="連線764" type="4" refreshedVersion="0" background="1">
    <webPr url="http://www.emega.com.tw/z/zc/zch/zch_3707.djhtm" htmlTables="1" htmlFormat="all"/>
  </connection>
  <connection id="988" name="連線765" type="4" refreshedVersion="0" background="1">
    <webPr url="http://www.tdcc.com.tw/smWeb/QryStock.jsp?SCA_DATE=20150508&amp;SqlMethod=StockNo&amp;StockNo=1444&amp;StockName=&amp;sub=%ACd%B8%DF" htmlTables="1" htmlFormat="all"/>
  </connection>
  <connection id="989" name="連線766" type="4" refreshedVersion="0" background="1">
    <webPr url="http://www.emega.com.tw/z/zc/zch/zch_4102.djhtm" htmlTables="1" htmlFormat="all"/>
  </connection>
  <connection id="990" name="連線767" type="4" refreshedVersion="0" background="1">
    <webPr url="http://www.emega.com.tw/z/zc/zch/zch_4105.djhtm" htmlTables="1" htmlFormat="all"/>
  </connection>
  <connection id="991" name="連線768" type="4" refreshedVersion="0" background="1">
    <webPr url="http://www.emega.com.tw/z/zc/zch/zch_4109.djhtm" htmlTables="1" htmlFormat="all"/>
  </connection>
  <connection id="992" name="連線769" type="4" refreshedVersion="0" background="1">
    <webPr url="http://www.emega.com.tw/z/zc/zch/zch_4111.djhtm" htmlTables="1" htmlFormat="all"/>
  </connection>
  <connection id="993" name="連線77" type="4" refreshedVersion="0" background="1">
    <webPr url="http://www.emega.com.tw/z/zc/zch/zch_6286.djhtm" htmlTables="1" htmlFormat="all"/>
  </connection>
  <connection id="994" name="連線770" type="4" refreshedVersion="0" background="1">
    <webPr url="http://www.emega.com.tw/z/zc/zch/zch_4127.djhtm" htmlTables="1" htmlFormat="all"/>
  </connection>
  <connection id="995" name="連線771" type="4" refreshedVersion="0" background="1">
    <webPr url="http://www.emega.com.tw/z/zc/zch/zch_4128.djhtm" htmlTables="1" htmlFormat="all"/>
  </connection>
  <connection id="996" name="連線772" type="4" refreshedVersion="0" background="1">
    <webPr url="http://www.emega.com.tw/z/zc/zch/zch_4130.djhtm" htmlTables="1" htmlFormat="all"/>
  </connection>
  <connection id="997" name="連線773" type="4" refreshedVersion="0" background="1">
    <webPr url="http://www.emega.com.tw/z/zc/zch/zch_4138.djhtm" htmlTables="1" htmlFormat="all"/>
  </connection>
  <connection id="998" name="連線774" type="4" refreshedVersion="0" background="1">
    <webPr url="http://www.emega.com.tw/z/zc/zch/zch_4147.djhtm" htmlTables="1" htmlFormat="all"/>
  </connection>
  <connection id="999" name="連線775" type="4" refreshedVersion="0" background="1">
    <webPr url="http://www.emega.com.tw/z/zc/zch/zch_4152.djhtm" htmlTables="1" htmlFormat="all"/>
  </connection>
  <connection id="1000" name="連線776" type="4" refreshedVersion="0" background="1">
    <webPr url="http://www.emega.com.tw/z/zc/zch/zch_4157.djhtm" htmlTables="1" htmlFormat="all"/>
  </connection>
  <connection id="1001" name="連線777" type="4" refreshedVersion="0" background="1">
    <webPr url="http://www.emega.com.tw/z/zc/zch/zch_4160.djhtm" htmlTables="1" htmlFormat="all"/>
  </connection>
  <connection id="1002" name="連線778" type="4" refreshedVersion="0" background="1">
    <webPr url="http://www.tdcc.com.tw/smWeb/QryStock.jsp?SCA_DATE=20150605&amp;SqlMethod=StockNo&amp;StockNo=1314&amp;StockName=&amp;sub=%ACd%B8%DF" htmlTables="1" htmlFormat="all"/>
  </connection>
  <connection id="1003" name="連線779" type="4" refreshedVersion="0" background="1">
    <webPr url="http://www.emega.com.tw/z/zc/zch/zch_4161.djhtm" htmlTables="1" htmlFormat="all"/>
  </connection>
  <connection id="1004" name="連線78" type="4" refreshedVersion="0" background="1">
    <webPr url="http://www.emega.com.tw/z/zc/zch/zch_1303.djhtm" htmlTables="1" htmlFormat="all"/>
  </connection>
  <connection id="1005" name="連線780" type="4" refreshedVersion="0" background="1">
    <webPr url="http://www.emega.com.tw/z/zc/zch/zch_4162.djhtm" htmlTables="1" htmlFormat="all"/>
  </connection>
  <connection id="1006" name="連線781" type="4" refreshedVersion="0" background="1">
    <webPr url="http://www.emega.com.tw/z/zc/zch/zch_4174.djhtm" htmlTables="1" htmlFormat="all"/>
  </connection>
  <connection id="1007" name="連線782" type="4" refreshedVersion="0" background="1">
    <webPr url="http://www.emega.com.tw/z/zc/zch/zch_4175.djhtm" htmlTables="1" htmlFormat="all"/>
  </connection>
  <connection id="1008" name="連線783" type="4" refreshedVersion="0" background="1">
    <webPr url="http://www.emega.com.tw/z/zc/zch/zch_4192.djhtm" htmlTables="1" htmlFormat="all"/>
  </connection>
  <connection id="1009" name="連線784" type="4" refreshedVersion="0" background="1">
    <webPr url="http://www.emega.com.tw/z/zc/zch/zch_4198.djhtm" htmlTables="1" htmlFormat="all"/>
  </connection>
  <connection id="1010" name="連線785" type="4" refreshedVersion="0" background="1">
    <webPr url="http://www.emega.com.tw/z/zc/zch/zch_4303.djhtm" htmlTables="1" htmlFormat="all"/>
  </connection>
  <connection id="1011" name="連線786" type="4" refreshedVersion="0" background="1">
    <webPr url="http://www.emega.com.tw/z/zc/zch/zch_4305.djhtm" htmlTables="1" htmlFormat="all"/>
  </connection>
  <connection id="1012" name="連線787" type="4" refreshedVersion="0" background="1">
    <webPr url="http://www.emega.com.tw/z/zc/zch/zch_4402.djhtm" htmlTables="1" htmlFormat="all"/>
  </connection>
  <connection id="1013" name="連線788" type="4" refreshedVersion="0" background="1">
    <webPr url="http://www.emega.com.tw/z/zc/zch/zch_4406.djhtm" htmlTables="1" htmlFormat="all"/>
  </connection>
  <connection id="1014" name="連線789" type="4" refreshedVersion="0" background="1">
    <webPr url="http://www.emega.com.tw/z/zc/zch/zch_4413.djhtm" htmlTables="1" htmlFormat="all"/>
  </connection>
  <connection id="1015" name="連線79" type="4" refreshedVersion="0" background="1">
    <webPr url="http://www.emega.com.tw/z/zc/zch/zch_1227.djhtm" htmlTables="1" htmlFormat="all"/>
  </connection>
  <connection id="1016" name="連線790" type="4" refreshedVersion="0" background="1">
    <webPr url="http://www.tdcc.com.tw/smWeb/QryStock.jsp?SCA_DATE=20150605&amp;SqlMethod=StockNo&amp;StockNo=1310&amp;StockName=&amp;sub=%ACd%B8%DF" htmlTables="1" htmlFormat="all"/>
  </connection>
  <connection id="1017" name="連線791" type="4" refreshedVersion="0" background="1">
    <webPr url="http://www.emega.com.tw/z/zc/zch/zch_4416.djhtm" htmlTables="1" htmlFormat="all"/>
  </connection>
  <connection id="1018" name="連線792" type="4" refreshedVersion="0" background="1">
    <webPr url="http://www.emega.com.tw/z/zc/zch/zch_4419.djhtm" htmlTables="1" htmlFormat="all"/>
  </connection>
  <connection id="1019" name="連線793" type="4" refreshedVersion="0" background="1">
    <webPr url="http://www.emega.com.tw/z/zc/zch/zch_4429.djhtm" htmlTables="1" htmlFormat="all"/>
  </connection>
  <connection id="1020" name="連線794" type="4" refreshedVersion="0" background="1">
    <webPr url="http://www.emega.com.tw/z/zc/zch/zch_4430.djhtm" htmlTables="1" htmlFormat="all"/>
  </connection>
  <connection id="1021" name="連線795" type="4" refreshedVersion="0" background="1">
    <webPr url="http://www.emega.com.tw/z/zc/zch/zch_4432.djhtm" htmlTables="1" htmlFormat="all"/>
  </connection>
  <connection id="1022" name="連線796" type="4" refreshedVersion="0" background="1">
    <webPr url="http://www.emega.com.tw/z/zc/zch/zch_4433.djhtm" htmlTables="1" htmlFormat="all"/>
  </connection>
  <connection id="1023" name="連線797" type="4" refreshedVersion="0" background="1">
    <webPr url="http://www.emega.com.tw/z/zc/zch/zch_4502.djhtm" htmlTables="1" htmlFormat="all"/>
  </connection>
  <connection id="1024" name="連線798" type="4" refreshedVersion="0" background="1">
    <webPr url="http://www.emega.com.tw/z/zc/zch/zch_2344.djhtm" htmlTables="1" htmlFormat="all"/>
  </connection>
  <connection id="1025" name="連線799" type="4" refreshedVersion="0" background="1">
    <webPr url="http://www.emega.com.tw/z/zc/zch/zch_6171.djhtm" htmlTables="1" htmlFormat="all"/>
  </connection>
  <connection id="1026" name="連線8" type="4" refreshedVersion="0" background="1">
    <webPr url="http://justdata.yuanta.com.tw/z/zc/zcp/zcpa/zcpa_8109.asp.htm" htmlTables="1" htmlFormat="all"/>
  </connection>
  <connection id="1027" name="連線80" type="4" refreshedVersion="0" background="1">
    <webPr url="http://www.emega.com.tw/z/zc/zch/zch_1229.djhtm" htmlTables="1" htmlFormat="all"/>
  </connection>
  <connection id="1028" name="連線800" type="4" refreshedVersion="0" background="1">
    <webPr url="http://www.emega.com.tw/z/zc/zch/zch_4503.djhtm" htmlTables="1" htmlFormat="all"/>
  </connection>
  <connection id="1029" name="連線801" type="4" refreshedVersion="0" background="1">
    <webPr url="http://www.emega.com.tw/z/zc/zch/zch_4506.djhtm" htmlTables="1" htmlFormat="all"/>
  </connection>
  <connection id="1030" name="連線802" type="4" refreshedVersion="0" background="1">
    <webPr url="http://www.emega.com.tw/z/zc/zch/zch_4510.djhtm" htmlTables="1" htmlFormat="all"/>
  </connection>
  <connection id="1031" name="連線803" type="4" refreshedVersion="0" background="1">
    <webPr url="http://www.emega.com.tw/z/zc/zch/zch_4513.djhtm" htmlTables="1" htmlFormat="all"/>
  </connection>
  <connection id="1032" name="連線804" type="4" refreshedVersion="0" background="1">
    <webPr url="http://www.emega.com.tw/z/zc/zch/zch_4529.djhtm" htmlTables="1" htmlFormat="all"/>
  </connection>
  <connection id="1033" name="連線805" type="4" refreshedVersion="0" background="1">
    <webPr url="http://www.emega.com.tw/z/zc/zch/zch_4534.djhtm" htmlTables="1" htmlFormat="all"/>
  </connection>
  <connection id="1034" name="連線806" type="4" refreshedVersion="0" background="1">
    <webPr url="http://www.emega.com.tw/z/zc/zch/zch_4535.djhtm" htmlTables="1" htmlFormat="all"/>
  </connection>
  <connection id="1035" name="連線807" type="4" refreshedVersion="0" background="1">
    <webPr url="http://www.emega.com.tw/z/zc/zch/zch_4542.djhtm" htmlTables="1" htmlFormat="all"/>
  </connection>
  <connection id="1036" name="連線808" type="4" refreshedVersion="0" background="1">
    <webPr url="http://www.emega.com.tw/z/zc/zch/zch_4543.djhtm" htmlTables="1" htmlFormat="all"/>
  </connection>
  <connection id="1037" name="連線809" type="4" refreshedVersion="0" background="1">
    <webPr url="http://www.emega.com.tw/z/zc/zch/zch_4549.djhtm" htmlTables="1" htmlFormat="all"/>
  </connection>
  <connection id="1038" name="連線81" type="4" refreshedVersion="0" background="1">
    <webPr url="http://www.emega.com.tw/z/zc/zch/zch_1231.djhtm" htmlTables="1" htmlFormat="all"/>
  </connection>
  <connection id="1039" name="連線810" type="4" refreshedVersion="0" background="1">
    <webPr url="http://www.emega.com.tw/z/zc/zch/zch_4550.djhtm" htmlTables="1" htmlFormat="all"/>
  </connection>
  <connection id="1040" name="連線811" type="4" refreshedVersion="0" background="1">
    <webPr url="http://www.emega.com.tw/z/zc/zch/zch_4556.djhtm" htmlTables="1" htmlFormat="all"/>
  </connection>
  <connection id="1041" name="連線812" type="4" refreshedVersion="0" background="1">
    <webPr url="http://jsjustweb.jihsun.com.tw/z/zc/zco/zco0/zco0.djhtm?a=1319&amp;b=7750" htmlTables="1" htmlFormat="all"/>
  </connection>
  <connection id="1042" name="連線813" type="4" refreshedVersion="0" background="1">
    <webPr url="http://jsjustweb.jihsun.com.tw/z/zc/zco/zco0/zco0.djhtm?a=1101&amp;b=7750" htmlTables="1" htmlFormat="all"/>
  </connection>
  <connection id="1043" name="連線814" type="4" refreshedVersion="0" background="1">
    <webPr url="http://www.emega.com.tw/z/zc/zch/zch_4609.djhtm" htmlTables="1" htmlFormat="all"/>
  </connection>
  <connection id="1044" name="連線815" type="4" refreshedVersion="0" background="1">
    <webPr url="http://www.emega.com.tw/z/zc/zch/zch_4702.djhtm" htmlTables="1" htmlFormat="all"/>
  </connection>
  <connection id="1045" name="連線816" type="4" refreshedVersion="0" background="1">
    <webPr url="http://www.emega.com.tw/z/zc/zch/zch_4707.djhtm" htmlTables="1" htmlFormat="all"/>
  </connection>
  <connection id="1046" name="連線817" type="4" refreshedVersion="0" background="1">
    <webPr url="http://www.emega.com.tw/z/zc/zch/zch_4711.djhtm" htmlTables="1" htmlFormat="all"/>
  </connection>
  <connection id="1047" name="連線818" type="4" refreshedVersion="0" background="1">
    <webPr url="http://www.emega.com.tw/z/zc/zch/zch_4714.djhtm" htmlTables="1" htmlFormat="all"/>
  </connection>
  <connection id="1048" name="連線819" type="4" refreshedVersion="0" background="1">
    <webPr url="http://www.emega.com.tw/z/zc/zch/zch_4716.djhtm" htmlTables="1" htmlFormat="all"/>
  </connection>
  <connection id="1049" name="連線82" type="4" refreshedVersion="0" background="1">
    <webPr url="http://www.emega.com.tw/z/zc/zch/zch_1234.djhtm" htmlTables="1" htmlFormat="all"/>
  </connection>
  <connection id="1050" name="連線820" type="4" refreshedVersion="0" background="1">
    <webPr url="http://www.emega.com.tw/z/zc/zch/zch_4721.djhtm" htmlTables="1" htmlFormat="all"/>
  </connection>
  <connection id="1051" name="連線821" type="4" refreshedVersion="0" background="1">
    <webPr url="http://www.emega.com.tw/z/zc/zch/zch_4726.djhtm" htmlTables="1" htmlFormat="all"/>
  </connection>
  <connection id="1052" name="連線822" type="4" refreshedVersion="0" background="1">
    <webPr url="http://www.emega.com.tw/z/zc/zch/zch_4728.djhtm" htmlTables="1" htmlFormat="all"/>
  </connection>
  <connection id="1053" name="連線823" type="4" refreshedVersion="0" background="1">
    <webPr url="http://www.emega.com.tw/z/zc/zch/zch_4729.djhtm" htmlTables="1" htmlFormat="all"/>
  </connection>
  <connection id="1054" name="連線824" type="4" refreshedVersion="0" background="1">
    <webPr url="http://www.emega.com.tw/z/zc/zch/zch_4735.djhtm" htmlTables="1" htmlFormat="all"/>
  </connection>
  <connection id="1055" name="連線825" type="4" refreshedVersion="0" background="1">
    <webPr url="http://www.emega.com.tw/z/zc/zch/zch_4736.djhtm" htmlTables="1" htmlFormat="all"/>
  </connection>
  <connection id="1056" name="連線826" type="4" refreshedVersion="0" background="1">
    <webPr url="http://www.emega.com.tw/z/zc/zch/zch_4747.djhtm" htmlTables="1" htmlFormat="all"/>
  </connection>
  <connection id="1057" name="連線827" type="4" refreshedVersion="0" background="1">
    <webPr url="http://www.emega.com.tw/z/zc/zch/zch_4762.djhtm" htmlTables="1" htmlFormat="all"/>
  </connection>
  <connection id="1058" name="連線828" type="4" refreshedVersion="0" background="1">
    <webPr url="http://www.emega.com.tw/z/zc/zch/zch_4804.djhtm" htmlTables="1" htmlFormat="all"/>
  </connection>
  <connection id="1059" name="連線829" type="4" refreshedVersion="0" background="1">
    <webPr url="http://www.emega.com.tw/z/zc/zch/zch_4806.djhtm" htmlTables="1" htmlFormat="all"/>
  </connection>
  <connection id="1060" name="連線83" type="4" refreshedVersion="0" background="1">
    <webPr url="http://justdata.yuanta.com.tw/z/zc/zcl/zcl.djhtm?a=2455&amp;b=2" htmlTables="1" htmlFormat="all"/>
  </connection>
  <connection id="1061" name="連線830" type="4" refreshedVersion="0" background="1">
    <webPr url="http://www.emega.com.tw/z/zc/zch/zch_4909.djhtm" htmlTables="1" htmlFormat="all"/>
  </connection>
  <connection id="1062" name="連線831" type="4" refreshedVersion="0" background="1">
    <webPr url="http://www.emega.com.tw/z/zc/zch/zch_4944.djhtm" htmlTables="1" htmlFormat="all"/>
  </connection>
  <connection id="1063" name="連線832" type="4" refreshedVersion="0" background="1">
    <webPr url="http://www.emega.com.tw/z/zc/zch/zch_4946.djhtm" htmlTables="1" htmlFormat="all"/>
  </connection>
  <connection id="1064" name="連線833" type="4" refreshedVersion="0" background="1">
    <webPr url="http://www.emega.com.tw/z/zc/zch/zch_4947.djhtm" htmlTables="1" htmlFormat="all"/>
  </connection>
  <connection id="1065" name="連線834" type="4" refreshedVersion="0" background="1">
    <webPr url="http://www.emega.com.tw/z/zc/zch/zch_4950.djhtm" htmlTables="1" htmlFormat="all"/>
  </connection>
  <connection id="1066" name="連線835" type="4" refreshedVersion="0" background="1">
    <webPr url="http://www.emega.com.tw/z/zc/zch/zch_4953.djhtm" htmlTables="1" htmlFormat="all"/>
  </connection>
  <connection id="1067" name="連線836" type="4" refreshedVersion="0" background="1">
    <webPr url="http://www.emega.com.tw/z/zc/zch/zch_4965.djhtm" htmlTables="1" htmlFormat="all"/>
  </connection>
  <connection id="1068" name="連線837" type="4" refreshedVersion="0" background="1">
    <webPr url="http://www.emega.com.tw/z/zc/zch/zch_4979.djhtm" htmlTables="1" htmlFormat="all"/>
  </connection>
  <connection id="1069" name="連線838" type="4" refreshedVersion="0" background="1">
    <webPr url="http://www.emega.com.tw/z/zc/zch/zch_4995.djhtm" htmlTables="1" htmlFormat="all"/>
  </connection>
  <connection id="1070" name="連線839" type="4" refreshedVersion="0" background="1">
    <webPr url="http://www.emega.com.tw/z/zc/zch/zch_5009.djhtm" htmlTables="1" htmlFormat="all"/>
  </connection>
  <connection id="1071" name="連線84" type="4" refreshedVersion="0" background="1">
    <webPr url="http://www.emega.com.tw/z/zc/zch/zch_1236.djhtm" htmlTables="1" htmlFormat="all"/>
  </connection>
  <connection id="1072" name="連線840" type="4" refreshedVersion="0" background="1">
    <webPr url="http://www.emega.com.tw/z/zc/zch/zch_5011.djhtm" htmlTables="1" htmlFormat="all"/>
  </connection>
  <connection id="1073" name="連線841" type="4" refreshedVersion="0" background="1">
    <webPr url="http://www.emega.com.tw/z/zc/zch/zch_5013.djhtm" htmlTables="1" htmlFormat="all"/>
  </connection>
  <connection id="1074" name="連線842" type="4" refreshedVersion="0" background="1">
    <webPr url="http://www.tdcc.com.tw/smWeb/QryStock.jsp?SCA_DATE=20160407&amp;SqlMethod=StockNo&amp;StockNo=2356&amp;StockName=&amp;sub=%ACd%B8%DF" htmlTables="1" htmlFormat="all"/>
  </connection>
  <connection id="1075" name="連線843" type="4" refreshedVersion="0" background="1">
    <webPr url="http://www.emega.com.tw/z/zc/zch/zch_5014.djhtm" htmlTables="1" htmlFormat="all"/>
  </connection>
  <connection id="1076" name="連線844" type="4" refreshedVersion="0" background="1">
    <webPr url="http://www.emega.com.tw/z/zc/zch/zch_5016.djhtm" htmlTables="1" htmlFormat="all"/>
  </connection>
  <connection id="1077" name="連線845" type="4" refreshedVersion="0" background="1">
    <webPr url="http://www.emega.com.tw/z/zc/zch/zch_5102.djhtm" htmlTables="1" htmlFormat="all"/>
  </connection>
  <connection id="1078" name="連線846" type="4" refreshedVersion="0" background="1">
    <webPr url="http://www.emega.com.tw/z/zc/zch/zch_5201.djhtm" htmlTables="1" htmlFormat="all"/>
  </connection>
  <connection id="1079" name="連線847" type="4" refreshedVersion="0" background="1">
    <webPr url="http://www.emega.com.tw/z/zc/zch/zch_5206.djhtm" htmlTables="1" htmlFormat="all"/>
  </connection>
  <connection id="1080" name="連線848" type="4" refreshedVersion="0" background="1">
    <webPr url="http://www.emega.com.tw/z/zc/zch/zch_5213.djhtm" htmlTables="1" htmlFormat="all"/>
  </connection>
  <connection id="1081" name="連線849" type="4" refreshedVersion="0" background="1">
    <webPr url="http://www.emega.com.tw/z/zc/zch/zch_5230.djhtm" htmlTables="1" htmlFormat="all"/>
  </connection>
  <connection id="1082" name="連線85" type="4" refreshedVersion="0" background="1">
    <webPr url="http://www.emega.com.tw/z/zc/zch/zch_1262.djhtm" htmlTables="1" htmlFormat="all"/>
  </connection>
  <connection id="1083" name="連線850" type="4" refreshedVersion="0" background="1">
    <webPr url="http://www.emega.com.tw/z/zc/zch/zch_5255.djhtm" htmlTables="1" htmlFormat="all"/>
  </connection>
  <connection id="1084" name="連線851" type="4" refreshedVersion="0" background="1">
    <webPr url="http://www.emega.com.tw/z/zc/zch/zch_5276.djhtm" htmlTables="1" htmlFormat="all"/>
  </connection>
  <connection id="1085" name="連線852" type="4" refreshedVersion="0" background="1">
    <webPr url="http://www.emega.com.tw/z/zc/zch/zch_5284.djhtm" htmlTables="1" htmlFormat="all"/>
  </connection>
  <connection id="1086" name="連線853" type="4" refreshedVersion="0" background="1">
    <webPr url="http://www.emega.com.tw/z/zc/zch/zch_5287.djhtm" htmlTables="1" htmlFormat="all"/>
  </connection>
  <connection id="1087" name="連線854" type="4" refreshedVersion="0" background="1">
    <webPr url="http://www.emega.com.tw/z/zc/zch/zch_5301.djhtm" htmlTables="1" htmlFormat="all"/>
  </connection>
  <connection id="1088" name="連線855" type="4" refreshedVersion="0" background="1">
    <webPr url="http://www.emega.com.tw/z/zc/zch/zch_5302.djhtm" htmlTables="1" htmlFormat="all"/>
  </connection>
  <connection id="1089" name="連線856" type="4" refreshedVersion="0" background="1">
    <webPr url="http://www.emega.com.tw/z/zc/zch/zch_5304.djhtm" htmlTables="1" htmlFormat="all"/>
  </connection>
  <connection id="1090" name="連線857" type="4" refreshedVersion="0" background="1">
    <webPr url="http://www.emega.com.tw/z/zc/zch/zch_5306.djhtm" htmlTables="1" htmlFormat="all"/>
  </connection>
  <connection id="1091" name="連線858" type="4" refreshedVersion="0" background="1">
    <webPr url="http://www.emega.com.tw/z/zc/zch/zch_5309.djhtm" htmlTables="1" htmlFormat="all"/>
  </connection>
  <connection id="1092" name="連線859" type="4" refreshedVersion="0" background="1">
    <webPr url="http://www.emega.com.tw/z/zc/zch/zch_5310.djhtm" htmlTables="1" htmlFormat="all"/>
  </connection>
  <connection id="1093" name="連線86" type="4" refreshedVersion="0" background="1">
    <webPr url="http://justdata.yuanta.com.tw/z/zc/zcq/zcq_6126.asp.htm" htmlTables="1" htmlFormat="all"/>
  </connection>
  <connection id="1094" name="連線860" type="4" refreshedVersion="0" background="1">
    <webPr url="http://www.emega.com.tw/z/zc/zch/zch_5312.djhtm" htmlTables="1" htmlFormat="all"/>
  </connection>
  <connection id="1095" name="連線861" type="4" refreshedVersion="0" background="1">
    <webPr url="http://www.emega.com.tw/z/zc/zch/zch_5317.djhtm" htmlTables="1" htmlFormat="all"/>
  </connection>
  <connection id="1096" name="連線862" type="4" refreshedVersion="0" background="1">
    <webPr url="http://www.emega.com.tw/z/zc/zch/zch_5321.djhtm" htmlTables="1" htmlFormat="all"/>
  </connection>
  <connection id="1097" name="連線863" type="4" refreshedVersion="0" background="1">
    <webPr url="http://www.emega.com.tw/z/zc/zch/zch_5324.djhtm" htmlTables="1" htmlFormat="all"/>
  </connection>
  <connection id="1098" name="連線864" type="4" refreshedVersion="0" background="1">
    <webPr url="http://www.emega.com.tw/z/zc/zch/zch_5328.djhtm" htmlTables="1" htmlFormat="all"/>
  </connection>
  <connection id="1099" name="連線865" type="4" refreshedVersion="0" background="1">
    <webPr url="http://www.emega.com.tw/z/zc/zch/zch_5340.djhtm" htmlTables="1" htmlFormat="all"/>
  </connection>
  <connection id="1100" name="連線866" type="4" refreshedVersion="0" background="1">
    <webPr url="http://www.emega.com.tw/z/zc/zch/zch_5344.djhtm" htmlTables="1" htmlFormat="all"/>
  </connection>
  <connection id="1101" name="連線867" type="4" refreshedVersion="0" background="1">
    <webPr url="http://www.emega.com.tw/z/zc/zch/zch_5345.djhtm" htmlTables="1" htmlFormat="all"/>
  </connection>
  <connection id="1102" name="連線868" type="4" refreshedVersion="0" background="1">
    <webPr url="http://www.emega.com.tw/z/zc/zch/zch_5348.djhtm" htmlTables="1" htmlFormat="all"/>
  </connection>
  <connection id="1103" name="連線869" type="4" refreshedVersion="0" background="1">
    <webPr url="http://www.emega.com.tw/z/zc/zch/zch_5351.djhtm" htmlTables="1" htmlFormat="all"/>
  </connection>
  <connection id="1104" name="連線87" type="4" refreshedVersion="0" background="1">
    <webPr url="http://www.emega.com.tw/z/zc/zch/zch_1303.djhtm" htmlTables="1" htmlFormat="all"/>
  </connection>
  <connection id="1105" name="連線870" type="4" refreshedVersion="0" background="1">
    <webPr url="http://www.emega.com.tw/z/zc/zch/zch_5355.djhtm" htmlTables="1" htmlFormat="all"/>
  </connection>
  <connection id="1106" name="連線871" type="4" refreshedVersion="0" background="1">
    <webPr url="http://www.emega.com.tw/z/zc/zch/zch_5356.djhtm" htmlTables="1" htmlFormat="all"/>
  </connection>
  <connection id="1107" name="連線872" type="4" refreshedVersion="0" background="1">
    <webPr url="http://www.emega.com.tw/z/zc/zch/zch_5381.djhtm" htmlTables="1" htmlFormat="all"/>
  </connection>
  <connection id="1108" name="連線873" type="4" refreshedVersion="0" background="1">
    <webPr url="http://www.emega.com.tw/z/zc/zch/zch_5383.djhtm" htmlTables="1" htmlFormat="all"/>
  </connection>
  <connection id="1109" name="連線874" type="4" refreshedVersion="0" background="1">
    <webPr url="http://www.emega.com.tw/z/zc/zch/zch_5386.djhtm" htmlTables="1" htmlFormat="all"/>
  </connection>
  <connection id="1110" name="連線875" type="4" refreshedVersion="0" background="1">
    <webPr url="http://www.emega.com.tw/z/zc/zch/zch_5395.djhtm" htmlTables="1" htmlFormat="all"/>
  </connection>
  <connection id="1111" name="連線876" type="4" refreshedVersion="0" background="1">
    <webPr url="http://www.emega.com.tw/z/zc/zch/zch_5403.djhtm" htmlTables="1" htmlFormat="all"/>
  </connection>
  <connection id="1112" name="連線877" type="4" refreshedVersion="0" background="1">
    <webPr url="http://www.emega.com.tw/z/zc/zch/zch_5425.djhtm" htmlTables="1" htmlFormat="all"/>
  </connection>
  <connection id="1113" name="連線878" type="4" refreshedVersion="0" background="1">
    <webPr url="http://www.emega.com.tw/z/zc/zch/zch_5432.djhtm" htmlTables="1" htmlFormat="all"/>
  </connection>
  <connection id="1114" name="連線879" type="4" refreshedVersion="0" background="1">
    <webPr url="http://www.emega.com.tw/z/zc/zch/zch_5452.djhtm" htmlTables="1" htmlFormat="all"/>
  </connection>
  <connection id="1115" name="連線88" type="4" refreshedVersion="0" background="1">
    <webPr url="http://www.tdcc.com.tw/smWeb/QryStock.jsp?SCA_DATE=20160527&amp;SqlMethod=StockNo&amp;StockNo=1215&amp;StockName=&amp;sub=%ACd%B8%DF" htmlTables="1" htmlFormat="all"/>
  </connection>
  <connection id="1116" name="連線880" type="4" refreshedVersion="0" background="1">
    <webPr url="http://www.emega.com.tw/z/zc/zch/zch_5457.djhtm" htmlTables="1" htmlFormat="all"/>
  </connection>
  <connection id="1117" name="連線881" type="4" refreshedVersion="0" background="1">
    <webPr url="http://www.emega.com.tw/z/zc/zch/zch_5460.djhtm" htmlTables="1" htmlFormat="all"/>
  </connection>
  <connection id="1118" name="連線882" type="4" refreshedVersion="0" background="1">
    <webPr url="http://www.emega.com.tw/z/zc/zch/zch_5465.djhtm" htmlTables="1" htmlFormat="all"/>
  </connection>
  <connection id="1119" name="連線883" type="4" refreshedVersion="0" background="1">
    <webPr url="http://www.emega.com.tw/z/zc/zch/zch_5481.djhtm" htmlTables="1" htmlFormat="all"/>
  </connection>
  <connection id="1120" name="連線884" type="4" refreshedVersion="0" background="1">
    <webPr url="http://www.emega.com.tw/z/zc/zch/zch_5487.djhtm" htmlTables="1" htmlFormat="all"/>
  </connection>
  <connection id="1121" name="連線885" type="4" refreshedVersion="0" background="1">
    <webPr url="http://www.emega.com.tw/z/zc/zch/zch_5488.djhtm" htmlTables="1" htmlFormat="all"/>
  </connection>
  <connection id="1122" name="連線886" type="4" refreshedVersion="0" background="1">
    <webPr url="http://www.emega.com.tw/z/zc/zch/zch_5489.djhtm" htmlTables="1" htmlFormat="all"/>
  </connection>
  <connection id="1123" name="連線887" type="4" refreshedVersion="0" background="1">
    <webPr url="http://www.emega.com.tw/z/zc/zch/zch_5493.djhtm" htmlTables="1" htmlFormat="all"/>
  </connection>
  <connection id="1124" name="連線888" type="4" refreshedVersion="0" background="1">
    <webPr url="http://www.tdcc.com.tw/smWeb/QryStock.jsp?SCA_DATE=20150508&amp;SqlMethod=StockNo&amp;StockNo=3005&amp;StockName=&amp;sub=%ACd%B8%DF" htmlTables="1" htmlFormat="all"/>
  </connection>
  <connection id="1125" name="連線889" type="4" refreshedVersion="0" background="1">
    <webPr url="http://www.emega.com.tw/z/zc/zch/zch_5511.djhtm" htmlTables="1" htmlFormat="all"/>
  </connection>
  <connection id="1126" name="連線89" type="4" refreshedVersion="0" background="1">
    <webPr url="http://www.emega.com.tw/z/zc/zch/zch_1304.djhtm" htmlTables="1" htmlFormat="all"/>
  </connection>
  <connection id="1127" name="連線890" type="4" refreshedVersion="0" background="1">
    <webPr url="http://www.emega.com.tw/z/zc/zch/zch_5520.djhtm" htmlTables="1" htmlFormat="all"/>
  </connection>
  <connection id="1128" name="連線891" type="4" refreshedVersion="0" background="1">
    <webPr url="http://www.emega.com.tw/z/zc/zch/zch_5529.djhtm" htmlTables="1" htmlFormat="all"/>
  </connection>
  <connection id="1129" name="連線892" type="4" refreshedVersion="0" background="1">
    <webPr url="http://www.emega.com.tw/z/zc/zch/zch_5536.djhtm" htmlTables="1" htmlFormat="all"/>
  </connection>
  <connection id="1130" name="連線893" type="4" refreshedVersion="0" background="1">
    <webPr url="http://www.emega.com.tw/z/zc/zch/zch_5543.djhtm" htmlTables="1" htmlFormat="all"/>
  </connection>
  <connection id="1131" name="連線894" type="4" refreshedVersion="0" background="1">
    <webPr url="http://www.emega.com.tw/z/zc/zch/zch_5601.djhtm" htmlTables="1" htmlFormat="all"/>
  </connection>
  <connection id="1132" name="連線895" type="4" refreshedVersion="0" background="1">
    <webPr url="http://www.emega.com.tw/z/zc/zch/zch_5701.djhtm" htmlTables="1" htmlFormat="all"/>
  </connection>
  <connection id="1133" name="連線896" type="4" refreshedVersion="0" background="1">
    <webPr url="http://www.emega.com.tw/z/zc/zch/zch_5703.djhtm" htmlTables="1" htmlFormat="all"/>
  </connection>
  <connection id="1134" name="連線897" type="4" refreshedVersion="0" background="1">
    <webPr url="http://www.emega.com.tw/z/zc/zch/zch_6101.djhtm" htmlTables="1" htmlFormat="all"/>
  </connection>
  <connection id="1135" name="連線898" type="4" refreshedVersion="0" background="1">
    <webPr url="http://www.emega.com.tw/z/zc/zch/zch_6103.djhtm" htmlTables="1" htmlFormat="all"/>
  </connection>
  <connection id="1136" name="連線899" type="4" refreshedVersion="0" background="1">
    <webPr url="http://www.emega.com.tw/z/zc/zch/zch_6105.djhtm" htmlTables="1" htmlFormat="all"/>
  </connection>
  <connection id="1137" name="連線9" type="4" refreshedVersion="0" background="1">
    <webPr url="http://justdata.yuanta.com.tw/z/zc/zcq/zcq_5511.asp.htm" htmlTables="1" htmlFormat="all"/>
  </connection>
  <connection id="1138" name="連線90" type="4" refreshedVersion="0" background="1">
    <webPr url="http://www.emega.com.tw/z/zc/zch/zch_1305.djhtm" htmlTables="1" htmlFormat="all"/>
  </connection>
  <connection id="1139" name="連線900" type="4" refreshedVersion="0" background="1">
    <webPr url="http://www.emega.com.tw/z/zc/zch/zch_6109.djhtm" htmlTables="1" htmlFormat="all"/>
  </connection>
  <connection id="1140" name="連線901" type="4" refreshedVersion="0" background="1">
    <webPr url="http://www.emega.com.tw/z/zc/zch/zch_6111.djhtm" htmlTables="1" htmlFormat="all"/>
  </connection>
  <connection id="1141" name="連線902" type="4" refreshedVersion="0" background="1">
    <webPr url="http://www.emega.com.tw/z/zc/zch/zch_6113.djhtm" htmlTables="1" htmlFormat="all"/>
  </connection>
  <connection id="1142" name="連線903" type="4" refreshedVersion="0" background="1">
    <webPr url="http://www.tdcc.com.tw/smWeb/QryStock.jsp?SCA_DATE=20160311&amp;SqlMethod=StockNo&amp;StockNo=1104&amp;StockName=&amp;sub=%ACd%B8%DF" htmlTables="1" htmlFormat="all"/>
  </connection>
  <connection id="1143" name="連線904" type="4" refreshedVersion="0" background="1">
    <webPr url="http://www.emega.com.tw/z/zc/zch/zch_6121.djhtm" htmlTables="1" htmlFormat="all"/>
  </connection>
  <connection id="1144" name="連線905" type="4" refreshedVersion="0" background="1">
    <webPr url="http://www.emega.com.tw/z/zc/zch/zch_6122.djhtm" htmlTables="1" htmlFormat="all"/>
  </connection>
  <connection id="1145" name="連線906" type="4" refreshedVersion="0" background="1">
    <webPr url="http://www.emega.com.tw/z/zc/zch/zch_6123.djhtm" htmlTables="1" htmlFormat="all"/>
  </connection>
  <connection id="1146" name="連線907" type="4" refreshedVersion="0" background="1">
    <webPr url="http://www.emega.com.tw/z/zc/zch/zch_6124.djhtm" htmlTables="1" htmlFormat="all"/>
  </connection>
  <connection id="1147" name="連線908" type="4" refreshedVersion="0" background="1">
    <webPr url="http://www.emega.com.tw/z/zc/zch/zch_6127.djhtm" htmlTables="1" htmlFormat="all"/>
  </connection>
  <connection id="1148" name="連線909" type="4" refreshedVersion="0" background="1">
    <webPr url="http://www.emega.com.tw/z/zc/zch/zch_6130.djhtm" htmlTables="1" htmlFormat="all"/>
  </connection>
  <connection id="1149" name="連線91" type="4" refreshedVersion="0" background="1">
    <webPr url="http://justdata.yuanta.com.tw/z/zc/zcp/zcpa/zcpa_1262.asp.htm" htmlTables="1" htmlFormat="all"/>
  </connection>
  <connection id="1150" name="連線910" type="4" refreshedVersion="0" background="1">
    <webPr url="http://www.cnyes.com/twstock/Technical/3520.htm" htmlTables="1" htmlFormat="all"/>
  </connection>
  <connection id="1151" name="連線911" type="4" refreshedVersion="0" background="1">
    <webPr url="http://www.hjsjustweb.jihsun.com.tw/z/zc/zco/zco0/zco0.djhtm?a=1101&amp;b=1650" htmlTables="1" htmlFormat="all"/>
  </connection>
  <connection id="1152" name="連線912" type="4" refreshedVersion="0" background="1">
    <webPr url="http://www.emega.com.tw/z/zc/zch/zch_6134.djhtm" htmlTables="1" htmlFormat="all"/>
  </connection>
  <connection id="1153" name="連線913" type="4" refreshedVersion="0" background="1">
    <webPr url="http://www.emega.com.tw/z/zc/zch/zch_6138.djhtm" htmlTables="1" htmlFormat="all"/>
  </connection>
  <connection id="1154" name="連線914" type="4" refreshedVersion="0" background="1">
    <webPr url="http://www.tdcc.com.tw/smWeb/QryStock.jsp?SCA_DATE=20151225&amp;SqlMethod=StockNo&amp;StockNo=1409&amp;StockName=&amp;sub=%ACd%B8%DF" htmlTables="1" htmlFormat="all"/>
  </connection>
  <connection id="1155" name="連線915" type="4" refreshedVersion="0" background="1">
    <webPr url="http://www.emega.com.tw/z/zc/zch/zch_6140.djhtm" htmlTables="1" htmlFormat="all"/>
  </connection>
  <connection id="1156" name="連線916" type="4" refreshedVersion="0" background="1">
    <webPr url="http://www.emega.com.tw/z/zc/zch/zch_6148.djhtm" htmlTables="1" htmlFormat="all"/>
  </connection>
  <connection id="1157" name="連線917" type="4" refreshedVersion="0" background="1">
    <webPr url="http://www.emega.com.tw/z/zc/zch/zch_6154.djhtm" htmlTables="1" htmlFormat="all"/>
  </connection>
  <connection id="1158" name="連線918" type="4" refreshedVersion="0" background="1">
    <webPr url="http://www.emega.com.tw/z/zc/zch/zch_6156.djhtm" htmlTables="1" htmlFormat="all"/>
  </connection>
  <connection id="1159" name="連線919" type="4" refreshedVersion="0" background="1">
    <webPr url="http://www.emega.com.tw/z/zc/zch/zch_6167.djhtm" htmlTables="1" htmlFormat="all"/>
  </connection>
  <connection id="1160" name="連線92" type="4" refreshedVersion="0" background="1">
    <webPr url="http://www.emega.com.tw/z/zc/zch/zch_1307.djhtm" htmlTables="1" htmlFormat="all"/>
  </connection>
  <connection id="1161" name="連線920" type="4" refreshedVersion="0" background="1">
    <webPr url="http://www.emega.com.tw/z/zc/zch/zch_6169.djhtm" htmlTables="1" htmlFormat="all"/>
  </connection>
  <connection id="1162" name="連線921" type="4" refreshedVersion="0" background="1">
    <webPr url="http://www.emega.com.tw/z/zc/zch/zch_6170.djhtm" htmlTables="1" htmlFormat="all"/>
  </connection>
  <connection id="1163" name="連線922" type="4" refreshedVersion="0" background="1">
    <webPr url="http://www.emega.com.tw/z/zc/zch/zch_6174.djhtm" htmlTables="1" htmlFormat="all"/>
  </connection>
  <connection id="1164" name="連線923" type="4" refreshedVersion="0" background="1">
    <webPr url="http://www.emega.com.tw/z/zc/zch/zch_6180.djhtm" htmlTables="1" htmlFormat="all"/>
  </connection>
  <connection id="1165" name="連線924" type="4" refreshedVersion="0" background="1">
    <webPr url="http://www.emega.com.tw/z/zc/zch/zch_6186.djhtm" htmlTables="1" htmlFormat="all"/>
  </connection>
  <connection id="1166" name="連線925" type="4" refreshedVersion="0" background="1">
    <webPr url="http://www.emega.com.tw/z/zc/zch/zch_6198.djhtm" htmlTables="1" htmlFormat="all"/>
  </connection>
  <connection id="1167" name="連線926" type="4" refreshedVersion="0" background="1">
    <webPr url="http://www.emega.com.tw/z/zc/zch/zch_6203.djhtm" htmlTables="1" htmlFormat="all"/>
  </connection>
  <connection id="1168" name="連線927" type="4" refreshedVersion="0" background="1">
    <webPr url="http://www.emega.com.tw/z/zc/zch/zch_6207.djhtm" htmlTables="1" htmlFormat="all"/>
  </connection>
  <connection id="1169" name="連線928" type="4" refreshedVersion="0" background="1">
    <webPr url="http://www.emega.com.tw/z/zc/zch/zch_6208.djhtm" htmlTables="1" htmlFormat="all"/>
  </connection>
  <connection id="1170" name="連線929" type="4" refreshedVersion="0" background="1">
    <webPr url="http://www.emega.com.tw/z/zc/zch/zch_6218.djhtm" htmlTables="1" htmlFormat="all"/>
  </connection>
  <connection id="1171" name="連線93" type="4" refreshedVersion="0" background="1">
    <webPr url="http://www.emega.com.tw/z/zc/zch/zch_1232.djhtm" htmlTables="1" htmlFormat="all"/>
  </connection>
  <connection id="1172" name="連線930" type="4" refreshedVersion="0" background="1">
    <webPr url="http://www.emega.com.tw/z/zc/zch/zch_3706.djhtm" htmlTables="1" htmlFormat="all"/>
  </connection>
  <connection id="1173" name="連線931" type="4" refreshedVersion="0" background="1">
    <webPr url="http://www.emega.com.tw/z/zc/zch/zch_6219.djhtm" htmlTables="1" htmlFormat="all"/>
  </connection>
  <connection id="1174" name="連線932" type="4" refreshedVersion="0" background="1">
    <webPr url="http://www.emega.com.tw/z/zc/zch/zch_6220.djhtm" htmlTables="1" htmlFormat="all"/>
  </connection>
  <connection id="1175" name="連線933" type="4" refreshedVersion="0" background="1">
    <webPr url="http://www.emega.com.tw/z/zc/zch/zch_6221.djhtm" htmlTables="1" htmlFormat="all"/>
  </connection>
  <connection id="1176" name="連線934" type="4" refreshedVersion="0" background="1">
    <webPr url="http://www.emega.com.tw/z/zc/zch/zch_6227.djhtm" htmlTables="1" htmlFormat="all"/>
  </connection>
  <connection id="1177" name="連線935" type="4" refreshedVersion="0" background="1">
    <webPr url="http://www.emega.com.tw/z/zc/zch/zch_6229.djhtm" htmlTables="1" htmlFormat="all"/>
  </connection>
  <connection id="1178" name="連線936" type="4" refreshedVersion="0" background="1">
    <webPr url="http://www.emega.com.tw/z/zc/zch/zch_6236.djhtm" htmlTables="1" htmlFormat="all"/>
  </connection>
  <connection id="1179" name="連線937" type="4" refreshedVersion="0" background="1">
    <webPr url="http://www.emega.com.tw/z/zc/zch/zch_6237.djhtm" htmlTables="1" htmlFormat="all"/>
  </connection>
  <connection id="1180" name="連線938" type="4" refreshedVersion="0" background="1">
    <webPr url="http://www.emega.com.tw/z/zc/zch/zch_6241.djhtm" htmlTables="1" htmlFormat="all"/>
  </connection>
  <connection id="1181" name="連線939" type="4" refreshedVersion="0" background="1">
    <webPr url="http://www.emega.com.tw/z/zc/zch/zch_6244.djhtm" htmlTables="1" htmlFormat="all"/>
  </connection>
  <connection id="1182" name="連線94" type="4" refreshedVersion="0" background="1">
    <webPr url="http://www.emega.com.tw/z/zc/zch/zch_1308.djhtm" htmlTables="1" htmlFormat="all"/>
  </connection>
  <connection id="1183" name="連線940" type="4" refreshedVersion="0" background="1">
    <webPr url="http://www.tdcc.com.tw/smWeb/QryStock.jsp?SCA_DATE=20150508&amp;SqlMethod=StockNo&amp;StockNo=1470&amp;StockName=&amp;sub=%ACd%B8%DF" htmlTables="1" htmlFormat="all"/>
  </connection>
  <connection id="1184" name="連線941" type="4" refreshedVersion="0" background="1">
    <webPr url="http://www.emega.com.tw/z/zc/zch/zch_6247.djhtm" htmlTables="1" htmlFormat="all"/>
  </connection>
  <connection id="1185" name="連線942" type="4" refreshedVersion="0" background="1">
    <webPr url="http://www.emega.com.tw/z/zc/zch/zch_6261.djhtm" htmlTables="1" htmlFormat="all"/>
  </connection>
  <connection id="1186" name="連線943" type="4" refreshedVersion="0" background="1">
    <webPr url="http://www.emega.com.tw/z/zc/zch/zch_6265.djhtm" htmlTables="1" htmlFormat="all"/>
  </connection>
  <connection id="1187" name="連線944" type="4" refreshedVersion="0" background="1">
    <webPr url="http://www.emega.com.tw/z/zc/zch/zch_6287.djhtm" htmlTables="1" htmlFormat="all"/>
  </connection>
  <connection id="1188" name="連線945" type="4" refreshedVersion="0" background="1">
    <webPr url="http://www.emega.com.tw/z/zc/zch/zch_6290.djhtm" htmlTables="1" htmlFormat="all"/>
  </connection>
  <connection id="1189" name="連線946" type="4" refreshedVersion="0" background="1">
    <webPr url="http://www.emega.com.tw/z/zc/zch/zch_6291.djhtm" htmlTables="1" htmlFormat="all"/>
  </connection>
  <connection id="1190" name="連線947" type="4" refreshedVersion="0" background="1">
    <webPr url="http://www.emega.com.tw/z/zc/zch/zch_6298.djhtm" htmlTables="1" htmlFormat="all"/>
  </connection>
  <connection id="1191" name="連線948" type="4" refreshedVersion="0" background="1">
    <webPr url="http://www.emega.com.tw/z/zc/zch/zch_6404.djhtm" htmlTables="1" htmlFormat="all"/>
  </connection>
  <connection id="1192" name="連線949" type="4" refreshedVersion="0" background="1">
    <webPr url="http://www.emega.com.tw/z/zc/zch/zch_6432.djhtm" htmlTables="1" htmlFormat="all"/>
  </connection>
  <connection id="1193" name="連線95" type="4" refreshedVersion="0" background="1">
    <webPr url="http://www.emega.com.tw/z/zc/zch/zch_1309.djhtm" htmlTables="1" htmlFormat="all"/>
  </connection>
  <connection id="1194" name="連線950" type="4" refreshedVersion="0" background="1">
    <webPr url="http://www.emega.com.tw/z/zc/zch/zch_6435.djhtm" htmlTables="1" htmlFormat="all"/>
  </connection>
  <connection id="1195" name="連線951" type="4" refreshedVersion="0" background="1">
    <webPr url="http://www.emega.com.tw/z/zc/zch/zch_6446.djhtm" htmlTables="1" htmlFormat="all"/>
  </connection>
  <connection id="1196" name="連線952" type="4" refreshedVersion="0" background="1">
    <webPr url="http://www.emega.com.tw/z/zc/zch/zch_6457.djhtm" htmlTables="1" htmlFormat="all"/>
  </connection>
  <connection id="1197" name="連線953" type="4" refreshedVersion="0" background="1">
    <webPr url="http://www.emega.com.tw/z/zc/zch/zch_6462.djhtm" htmlTables="1" htmlFormat="all"/>
  </connection>
  <connection id="1198" name="連線954" type="4" refreshedVersion="0" background="1">
    <webPr url="http://www.emega.com.tw/z/zc/zch/zch_6469.djhtm" htmlTables="1" htmlFormat="all"/>
  </connection>
  <connection id="1199" name="連線955" type="4" refreshedVersion="0" background="1">
    <webPr url="http://www.emega.com.tw/z/zc/zch/zch_6482.djhtm" htmlTables="1" htmlFormat="all"/>
  </connection>
  <connection id="1200" name="連線956" type="4" refreshedVersion="0" background="1">
    <webPr url="http://www.emega.com.tw/z/zc/zch/zch_6494.djhtm" htmlTables="1" htmlFormat="all"/>
  </connection>
  <connection id="1201" name="連線957" type="4" refreshedVersion="0" background="1">
    <webPr url="http://www.emega.com.tw/z/zc/zch/zch_6508.djhtm" htmlTables="1" htmlFormat="all"/>
  </connection>
  <connection id="1202" name="連線958" type="4" refreshedVersion="0" background="1">
    <webPr url="http://www.emega.com.tw/z/zc/zch/zch_6509.djhtm" htmlTables="1" htmlFormat="all"/>
  </connection>
  <connection id="1203" name="連線959" type="4" refreshedVersion="0" background="1">
    <webPr url="http://www.emega.com.tw/z/zc/zch/zch_6514.djhtm" htmlTables="1" htmlFormat="all"/>
  </connection>
  <connection id="1204" name="連線96" type="4" refreshedVersion="0" background="1">
    <webPr url="http://www.tdcc.com.tw/smWeb/QryStock.jsp?SCA_DATE=20160727&amp;SqlMethod=StockNo&amp;StockNo=3527&amp;StockName=&amp;sub=%ACd%B8%DF" htmlTables="1" htmlFormat="all"/>
  </connection>
  <connection id="1205" name="連線960" type="4" refreshedVersion="0" background="1">
    <webPr url="http://www.emega.com.tw/z/zc/zch/zch_6603.djhtm" htmlTables="1" htmlFormat="all"/>
  </connection>
  <connection id="1206" name="連線961" type="4" refreshedVersion="0" background="1">
    <webPr url="http://www.emega.com.tw/z/zc/zch/zch_6609.djhtm" htmlTables="1" htmlFormat="all"/>
  </connection>
  <connection id="1207" name="連線962" type="4" refreshedVersion="0" background="1">
    <webPr url="http://www.emega.com.tw/z/zc/zch/zch_7402.djhtm" htmlTables="1" htmlFormat="all"/>
  </connection>
  <connection id="1208" name="連線963" type="4" refreshedVersion="0" background="1">
    <webPr url="http://www.emega.com.tw/z/zc/zch/zch_8027.djhtm" htmlTables="1" htmlFormat="all"/>
  </connection>
  <connection id="1209" name="連線964" type="4" refreshedVersion="0" background="1">
    <webPr url="http://www.emega.com.tw/z/zc/zch/zch_8032.djhtm" htmlTables="1" htmlFormat="all"/>
  </connection>
  <connection id="1210" name="連線965" type="4" refreshedVersion="0" background="1">
    <webPr url="http://www.emega.com.tw/z/zc/zch/zch_8040.djhtm" htmlTables="1" htmlFormat="all"/>
  </connection>
  <connection id="1211" name="連線966" type="4" refreshedVersion="0" background="1">
    <webPr url="http://www.emega.com.tw/z/zc/zch/zch_8042.djhtm" htmlTables="1" htmlFormat="all"/>
  </connection>
  <connection id="1212" name="連線967" type="4" refreshedVersion="0" background="1">
    <webPr url="http://www.emega.com.tw/z/zc/zch/zch_8044.djhtm" htmlTables="1" htmlFormat="all"/>
  </connection>
  <connection id="1213" name="連線968" type="4" refreshedVersion="0" background="1">
    <webPr url="http://www.emega.com.tw/z/zc/zch/zch_8047.djhtm" htmlTables="1" htmlFormat="all"/>
  </connection>
  <connection id="1214" name="連線969" type="4" refreshedVersion="0" background="1">
    <webPr url="http://www.emega.com.tw/z/zc/zch/zch_8048.djhtm" htmlTables="1" htmlFormat="all"/>
  </connection>
  <connection id="1215" name="連線97" type="4" refreshedVersion="0" background="1">
    <webPr url="http://www.tdcc.com.tw/smWeb/QryStock.jsp?SCA_DATE=20150302&amp;SqlMethod=StockNo&amp;StockNo=2010&amp;StockName=&amp;sub=%ACd%B8%DF" htmlTables="1" htmlFormat="all"/>
  </connection>
  <connection id="1216" name="連線970" type="4" refreshedVersion="0" background="1">
    <webPr url="http://www.emega.com.tw/z/zc/zch/zch_8059.djhtm" htmlTables="1" htmlFormat="all"/>
  </connection>
  <connection id="1217" name="連線971" type="4" refreshedVersion="0" background="1">
    <webPr url="http://www.emega.com.tw/z/zc/zch/zch_8064.djhtm" htmlTables="1" htmlFormat="all"/>
  </connection>
  <connection id="1218" name="連線972" type="4" refreshedVersion="0" background="1">
    <webPr url="http://www.emega.com.tw/z/zc/zch/zch_8066.djhtm" htmlTables="1" htmlFormat="all"/>
  </connection>
  <connection id="1219" name="連線973" type="4" refreshedVersion="0" background="1">
    <webPr url="http://www.emega.com.tw/z/zc/zch/zch_8067.djhtm" htmlTables="1" htmlFormat="all"/>
  </connection>
  <connection id="1220" name="連線974" type="4" refreshedVersion="0" background="1">
    <webPr url="http://www.emega.com.tw/z/zc/zch/zch_8068.djhtm" htmlTables="1" htmlFormat="all"/>
  </connection>
  <connection id="1221" name="連線975" type="4" refreshedVersion="0" background="1">
    <webPr url="http://www.emega.com.tw/z/zc/zch/zch_8076.djhtm" htmlTables="1" htmlFormat="all"/>
  </connection>
  <connection id="1222" name="連線976" type="4" refreshedVersion="0" background="1">
    <webPr url="http://www.emega.com.tw/z/zc/zch/zch_8077.djhtm" htmlTables="1" htmlFormat="all"/>
  </connection>
  <connection id="1223" name="連線977" type="4" refreshedVersion="0" background="1">
    <webPr url="http://www.emega.com.tw/z/zc/zch/zch_8085.djhtm" htmlTables="1" htmlFormat="all"/>
  </connection>
  <connection id="1224" name="連線978" type="4" refreshedVersion="0" background="1">
    <webPr url="http://www.emega.com.tw/z/zc/zch/zch_8087.djhtm" htmlTables="1" htmlFormat="all"/>
  </connection>
  <connection id="1225" name="連線979" type="4" refreshedVersion="0" background="1">
    <webPr url="http://www.emega.com.tw/z/zc/zch/zch_8088.djhtm" htmlTables="1" htmlFormat="all"/>
  </connection>
  <connection id="1226" name="連線98" type="4" refreshedVersion="0" background="1">
    <webPr url="http://www.tdcc.com.tw/smWeb/QryStock.jsp?SCA_DATE=20160401&amp;SqlMethod=StockNo&amp;StockNo=1203&amp;StockName=&amp;sub=%ACd%B8%DF" htmlTables="1" htmlFormat="all"/>
  </connection>
  <connection id="1227" name="連線980" type="4" refreshedVersion="0" background="1">
    <webPr url="http://www.emega.com.tw/z/zc/zch/zch_8091.djhtm" htmlTables="1" htmlFormat="all"/>
  </connection>
  <connection id="1228" name="連線981" type="4" refreshedVersion="0" background="1">
    <webPr url="http://www.emega.com.tw/z/zc/zch/zch_8092.djhtm" htmlTables="1" htmlFormat="all"/>
  </connection>
  <connection id="1229" name="連線982" type="4" refreshedVersion="0" background="1">
    <webPr url="http://www.emega.com.tw/z/zc/zch/zch_8107.djhtm" htmlTables="1" htmlFormat="all"/>
  </connection>
  <connection id="1230" name="連線983" type="4" refreshedVersion="0" background="1">
    <webPr url="http://www.emega.com.tw/z/zc/zch/zch_8111.djhtm" htmlTables="1" htmlFormat="all"/>
  </connection>
  <connection id="1231" name="連線984" type="4" refreshedVersion="0" background="1">
    <webPr url="http://www.emega.com.tw/z/zc/zch/zch_8121.djhtm" htmlTables="1" htmlFormat="all"/>
  </connection>
  <connection id="1232" name="連線985" type="4" refreshedVersion="0" background="1">
    <webPr url="http://www.emega.com.tw/z/zc/zch/zch_8155.djhtm" htmlTables="1" htmlFormat="all"/>
  </connection>
  <connection id="1233" name="連線986" type="4" refreshedVersion="0" background="1">
    <webPr url="http://www.emega.com.tw/z/zc/zch/zch_8176.djhtm" htmlTables="1" htmlFormat="all"/>
  </connection>
  <connection id="1234" name="連線987" type="4" refreshedVersion="0" background="1">
    <webPr url="http://www.emega.com.tw/z/zc/zch/zch_8183.djhtm" htmlTables="1" htmlFormat="all"/>
  </connection>
  <connection id="1235" name="連線988" type="4" refreshedVersion="0" background="1">
    <webPr url="http://www.emega.com.tw/z/zc/zch/zch_8234.djhtm" htmlTables="1" htmlFormat="all"/>
  </connection>
  <connection id="1236" name="連線989" type="4" refreshedVersion="0" background="1">
    <webPr url="http://www.emega.com.tw/z/zc/zch/zch_8240.djhtm" htmlTables="1" htmlFormat="all"/>
  </connection>
  <connection id="1237" name="連線99" type="4" refreshedVersion="0" background="1">
    <webPr url="http://www.tdcc.com.tw/smWeb/QryStock.jsp?SCA_DATE=20151030&amp;SqlMethod=StockNo&amp;StockNo=1213&amp;StockName=&amp;sub=%ACd%B8%DF" htmlTables="1" htmlFormat="all"/>
  </connection>
  <connection id="1238" name="連線990" type="4" refreshedVersion="0" background="1">
    <webPr url="http://www.emega.com.tw/z/zc/zch/zch_8266.djhtm" htmlTables="1" htmlFormat="all"/>
  </connection>
  <connection id="1239" name="連線991" type="4" refreshedVersion="0" background="1">
    <webPr url="http://www.emega.com.tw/z/zc/zch/zch_8277.djhtm" htmlTables="1" htmlFormat="all"/>
  </connection>
  <connection id="1240" name="連線992" type="4" refreshedVersion="0" background="1">
    <webPr url="http://www.emega.com.tw/z/zc/zch/zch_8289.djhtm" htmlTables="1" htmlFormat="all"/>
  </connection>
  <connection id="1241" name="連線993" type="4" refreshedVersion="0" background="1">
    <webPr url="http://www.emega.com.tw/z/zc/zch/zch_8299.djhtm" htmlTables="1" htmlFormat="all"/>
  </connection>
  <connection id="1242" name="連線994" type="4" refreshedVersion="0" background="1">
    <webPr url="http://www.emega.com.tw/z/zc/zch/zch_8349.djhtm" htmlTables="1" htmlFormat="all"/>
  </connection>
  <connection id="1243" name="連線995" type="4" refreshedVersion="0" background="1">
    <webPr url="http://www.emega.com.tw/z/zc/zch/zch_8354.djhtm" htmlTables="1" htmlFormat="all"/>
  </connection>
  <connection id="1244" name="連線996" type="4" refreshedVersion="0" background="1">
    <webPr url="http://www.emega.com.tw/z/zc/zch/zch_8383.djhtm" htmlTables="1" htmlFormat="all"/>
  </connection>
  <connection id="1245" name="連線997" type="4" refreshedVersion="0" background="1">
    <webPr url="http://www.emega.com.tw/z/zc/zch/zch_8403.djhtm" htmlTables="1" htmlFormat="all"/>
  </connection>
  <connection id="1246" name="連線998" type="4" refreshedVersion="0" background="1">
    <webPr url="http://www.emega.com.tw/z/zc/zch/zch_8406.djhtm" htmlTables="1" htmlFormat="all"/>
  </connection>
  <connection id="1247" name="連線999" type="4" refreshedVersion="0" background="1">
    <webPr url="http://www.emega.com.tw/z/zc/zch/zch_8409.djhtm" htmlTables="1" htmlFormat="all"/>
  </connection>
</connections>
</file>

<file path=xl/sharedStrings.xml><?xml version="1.0" encoding="utf-8"?>
<sst xmlns="http://schemas.openxmlformats.org/spreadsheetml/2006/main" count="6127" uniqueCount="3399">
  <si>
    <t>數字(百萬)</t>
    <phoneticPr fontId="2" type="noConversion"/>
  </si>
  <si>
    <t>Q-7</t>
    <phoneticPr fontId="2" type="noConversion"/>
  </si>
  <si>
    <t>Q-6</t>
    <phoneticPr fontId="2" type="noConversion"/>
  </si>
  <si>
    <t>Q-5</t>
  </si>
  <si>
    <t>Q-3</t>
  </si>
  <si>
    <t>Q-2</t>
  </si>
  <si>
    <t>Q-1</t>
  </si>
  <si>
    <t>Q</t>
    <phoneticPr fontId="2" type="noConversion"/>
  </si>
  <si>
    <t>營業收入淨額</t>
  </si>
  <si>
    <t>營業成本</t>
  </si>
  <si>
    <t>營業外收入合計</t>
    <phoneticPr fontId="2" type="noConversion"/>
  </si>
  <si>
    <t>本期稅後淨利</t>
  </si>
  <si>
    <t>每股盈餘 (元)</t>
  </si>
  <si>
    <t xml:space="preserve"> 存貨</t>
  </si>
  <si>
    <t xml:space="preserve"> 應付帳款及票據</t>
  </si>
  <si>
    <t>負債總額</t>
  </si>
  <si>
    <t>資產總額</t>
  </si>
  <si>
    <t>來自營運之現金流量</t>
  </si>
  <si>
    <t xml:space="preserve"> 固定資產(購置)</t>
  </si>
  <si>
    <t xml:space="preserve"> 長期投資(新增)</t>
  </si>
  <si>
    <t xml:space="preserve"> 折舊</t>
    <phoneticPr fontId="2" type="noConversion"/>
  </si>
  <si>
    <t xml:space="preserve"> 攤提</t>
    <phoneticPr fontId="2" type="noConversion"/>
  </si>
  <si>
    <t>股東權益總額</t>
    <phoneticPr fontId="2" type="noConversion"/>
  </si>
  <si>
    <t>毛利率</t>
  </si>
  <si>
    <t xml:space="preserve">負債比 </t>
  </si>
  <si>
    <t>付款天數</t>
    <phoneticPr fontId="2" type="noConversion"/>
  </si>
  <si>
    <t>收款天數</t>
  </si>
  <si>
    <t>出貨天數</t>
  </si>
  <si>
    <t>營運天數</t>
  </si>
  <si>
    <t>折舊+攤提</t>
  </si>
  <si>
    <t>折舊與攤提率</t>
  </si>
  <si>
    <t>營業現金效益</t>
    <phoneticPr fontId="2" type="noConversion"/>
  </si>
  <si>
    <t>本業基期</t>
    <phoneticPr fontId="2" type="noConversion"/>
  </si>
  <si>
    <t>本業比率</t>
    <phoneticPr fontId="2" type="noConversion"/>
  </si>
  <si>
    <t>ROE</t>
    <phoneticPr fontId="2" type="noConversion"/>
  </si>
  <si>
    <t>季線</t>
    <phoneticPr fontId="2" type="noConversion"/>
  </si>
  <si>
    <t>標的</t>
    <phoneticPr fontId="2" type="noConversion"/>
  </si>
  <si>
    <t>代碼</t>
    <phoneticPr fontId="2" type="noConversion"/>
  </si>
  <si>
    <t>EPS</t>
    <phoneticPr fontId="2" type="noConversion"/>
  </si>
  <si>
    <t>純益</t>
    <phoneticPr fontId="2" type="noConversion"/>
  </si>
  <si>
    <t>周轉率</t>
    <phoneticPr fontId="2" type="noConversion"/>
  </si>
  <si>
    <t>現流</t>
    <phoneticPr fontId="2" type="noConversion"/>
  </si>
  <si>
    <t>自由現金流量</t>
    <phoneticPr fontId="2" type="noConversion"/>
  </si>
  <si>
    <t>單位:百萬</t>
  </si>
  <si>
    <t>期別</t>
  </si>
  <si>
    <t>104.1Q</t>
  </si>
  <si>
    <t>103.4Q</t>
  </si>
  <si>
    <t>103.3Q</t>
  </si>
  <si>
    <t>103.2Q</t>
  </si>
  <si>
    <t>營業毛利</t>
  </si>
  <si>
    <t>聯屬公司已(未)實現銷</t>
  </si>
  <si>
    <t>已實現銷貨毛利</t>
  </si>
  <si>
    <t>營業費用</t>
  </si>
  <si>
    <t>營業費用─推銷費用</t>
  </si>
  <si>
    <t>營業費用─管理費用</t>
  </si>
  <si>
    <t>營業費用─研究發展</t>
  </si>
  <si>
    <t>營業利益</t>
  </si>
  <si>
    <t>利息收入</t>
  </si>
  <si>
    <t>投資收入／股利收入</t>
  </si>
  <si>
    <t>處分投資利得</t>
  </si>
  <si>
    <t>處分資產利得</t>
  </si>
  <si>
    <t>金融資產評價利益</t>
  </si>
  <si>
    <t>金融負債評價利益</t>
  </si>
  <si>
    <t>其他評價利益</t>
  </si>
  <si>
    <t>金融商品減損迴轉</t>
  </si>
  <si>
    <t>減損迴轉利益</t>
  </si>
  <si>
    <t>存貨跌價損失回轉</t>
  </si>
  <si>
    <t>兌換盈益</t>
  </si>
  <si>
    <t>其他收入</t>
  </si>
  <si>
    <t>營業外收入合計</t>
  </si>
  <si>
    <t>利息支出</t>
  </si>
  <si>
    <t>負債性特別股股息</t>
  </si>
  <si>
    <t>投資損失</t>
  </si>
  <si>
    <t>處分投資損失</t>
  </si>
  <si>
    <t>處分資產損失</t>
  </si>
  <si>
    <t>金融資產評價損失</t>
  </si>
  <si>
    <t>金融負債評價損失</t>
  </si>
  <si>
    <t xml:space="preserve">其他評價損失  </t>
  </si>
  <si>
    <t>金融商品減損損失</t>
  </si>
  <si>
    <t>減損損失</t>
  </si>
  <si>
    <t>兌換損失</t>
  </si>
  <si>
    <t>存貨評價損失</t>
  </si>
  <si>
    <t>其他損失</t>
  </si>
  <si>
    <t>營業外支出合計</t>
  </si>
  <si>
    <t>稅前淨利</t>
  </si>
  <si>
    <t>所得稅費用</t>
  </si>
  <si>
    <t>經常利益</t>
  </si>
  <si>
    <t>停業部門損益</t>
  </si>
  <si>
    <t>非常項目</t>
  </si>
  <si>
    <t>累計影響數</t>
  </si>
  <si>
    <t>少數股權前稅後淨利</t>
  </si>
  <si>
    <t>取得多數股權前淨利</t>
  </si>
  <si>
    <t>N/A</t>
  </si>
  <si>
    <t>少數股權淨利</t>
  </si>
  <si>
    <t>子公司董監酬勞</t>
  </si>
  <si>
    <t>稀釋每股盈餘 (元)</t>
  </si>
  <si>
    <t>加權平均股本</t>
  </si>
  <si>
    <t>發放特別股股息</t>
  </si>
  <si>
    <t>EPS －員工分紅費用化</t>
  </si>
  <si>
    <t>庫藏股數--母公司</t>
  </si>
  <si>
    <t>庫藏股數－子公司持有</t>
  </si>
  <si>
    <t>稅前息前淨利</t>
  </si>
  <si>
    <t>稅前息前折舊前淨利</t>
  </si>
  <si>
    <t>常續性稅後淨利</t>
  </si>
  <si>
    <t>以上資料僅供參考，本公司不負任何法律責任，投資人若依此以為買賣依據，須自負盈虧之責。</t>
  </si>
  <si>
    <t>數據以台灣證券交易所與證券櫃檯買賣中心公告之內容為準。</t>
  </si>
  <si>
    <t>稅後淨利</t>
  </si>
  <si>
    <t>不動用現金之非常損益</t>
  </si>
  <si>
    <t xml:space="preserve"> 折舊</t>
  </si>
  <si>
    <t xml:space="preserve"> 攤提</t>
  </si>
  <si>
    <t xml:space="preserve"> 投資收益－權益法</t>
  </si>
  <si>
    <t xml:space="preserve"> 投資損失－權益法</t>
  </si>
  <si>
    <t xml:space="preserve"> 現金股利收入－權益法</t>
  </si>
  <si>
    <t xml:space="preserve"> 短期投資處分損(益)</t>
  </si>
  <si>
    <t xml:space="preserve"> 固定資產處分損(益)</t>
  </si>
  <si>
    <t xml:space="preserve"> 長期投資處分損(益)</t>
  </si>
  <si>
    <t xml:space="preserve"> 準備提列(迴轉)</t>
  </si>
  <si>
    <t xml:space="preserve"> 應收帳款(增)減</t>
  </si>
  <si>
    <t xml:space="preserve"> 存貨(增)減</t>
  </si>
  <si>
    <t xml:space="preserve"> 應付帳款增(減)</t>
  </si>
  <si>
    <t xml:space="preserve"> 其他調整項─營業</t>
  </si>
  <si>
    <t xml:space="preserve"> 短期投資出售(新購)</t>
  </si>
  <si>
    <t xml:space="preserve"> 出售長期投資價款</t>
  </si>
  <si>
    <t xml:space="preserve"> 處分固定資產價款</t>
  </si>
  <si>
    <t xml:space="preserve"> 其他調整項─投資</t>
  </si>
  <si>
    <t>投資活動之現金流量</t>
  </si>
  <si>
    <t xml:space="preserve"> 現金增資</t>
  </si>
  <si>
    <t xml:space="preserve"> 支付現金股利</t>
  </si>
  <si>
    <t xml:space="preserve"> 支付董監酬勞員工紅利</t>
  </si>
  <si>
    <t xml:space="preserve"> 短期借款新增(償還)</t>
  </si>
  <si>
    <t xml:space="preserve"> 長期借款新增(償還)</t>
  </si>
  <si>
    <t xml:space="preserve"> 發行公司債</t>
  </si>
  <si>
    <t xml:space="preserve"> 償還公司債</t>
  </si>
  <si>
    <t xml:space="preserve"> 庫藏股票減(增)</t>
  </si>
  <si>
    <t xml:space="preserve"> 其他調整項─理財</t>
  </si>
  <si>
    <t>理財活動之現金流量</t>
  </si>
  <si>
    <t>匯率影響數</t>
  </si>
  <si>
    <t>本期產生現金流量</t>
  </si>
  <si>
    <t>期初現金約當現金</t>
  </si>
  <si>
    <t>期末現金及約當現金</t>
  </si>
  <si>
    <t>本期支付利息</t>
  </si>
  <si>
    <t>本期支付所得稅</t>
  </si>
  <si>
    <t>[說明]上列會計科目中，投資收益－權益法、長期投資(新增)、固定資產(購置)、</t>
  </si>
  <si>
    <t>支付現金股利與支付董監酬勞員工紅利等科目視為現金流出。</t>
  </si>
  <si>
    <t>營收A</t>
    <phoneticPr fontId="15" type="noConversion"/>
  </si>
  <si>
    <t xml:space="preserve"> 現金及約當現金</t>
  </si>
  <si>
    <t xml:space="preserve"> 短期投資</t>
  </si>
  <si>
    <t xml:space="preserve"> 其他應收款</t>
  </si>
  <si>
    <t xml:space="preserve"> 預付費用及預付款</t>
  </si>
  <si>
    <t xml:space="preserve"> 其他流動資產</t>
  </si>
  <si>
    <t>流動資產</t>
  </si>
  <si>
    <t>長期投資</t>
  </si>
  <si>
    <t xml:space="preserve"> 土地成本</t>
  </si>
  <si>
    <t xml:space="preserve"> 房屋及建築成本</t>
  </si>
  <si>
    <t xml:space="preserve"> 機器及儀器設備成本</t>
  </si>
  <si>
    <t xml:space="preserve"> 其他設備成本</t>
  </si>
  <si>
    <t xml:space="preserve"> 固定資產重估增值</t>
  </si>
  <si>
    <t xml:space="preserve"> 固定資產累計折舊</t>
  </si>
  <si>
    <t xml:space="preserve"> 固定資產損失準備</t>
  </si>
  <si>
    <t xml:space="preserve"> 未完工程及預付款</t>
  </si>
  <si>
    <t>固定資產</t>
  </si>
  <si>
    <t xml:space="preserve"> 遞延資產</t>
  </si>
  <si>
    <t xml:space="preserve"> 無形資產</t>
  </si>
  <si>
    <t xml:space="preserve"> 什項資產</t>
  </si>
  <si>
    <t>其他資產</t>
  </si>
  <si>
    <t xml:space="preserve"> 應付費用</t>
  </si>
  <si>
    <t xml:space="preserve"> 預收款項</t>
  </si>
  <si>
    <t xml:space="preserve"> 其他應付款</t>
  </si>
  <si>
    <t xml:space="preserve"> 應付所得稅</t>
  </si>
  <si>
    <t xml:space="preserve"> 一年內到期長期負債</t>
  </si>
  <si>
    <t xml:space="preserve"> 其他流動負債</t>
  </si>
  <si>
    <t>流動負債</t>
  </si>
  <si>
    <t>長期負債</t>
  </si>
  <si>
    <t xml:space="preserve"> 遞延貸項</t>
  </si>
  <si>
    <t xml:space="preserve"> 退休金準備</t>
  </si>
  <si>
    <t xml:space="preserve"> 遞延所得稅</t>
  </si>
  <si>
    <t xml:space="preserve"> 土地增值稅準備</t>
  </si>
  <si>
    <t xml:space="preserve"> 各項損失準備</t>
  </si>
  <si>
    <t xml:space="preserve"> 什項負債</t>
  </si>
  <si>
    <t>其他負債及準備</t>
  </si>
  <si>
    <t>股東權益總額</t>
  </si>
  <si>
    <t>少數股權</t>
  </si>
  <si>
    <t>負債及股東權益總額</t>
  </si>
  <si>
    <t xml:space="preserve"> 應收帳款及票據</t>
  </si>
  <si>
    <t xml:space="preserve"> 短期借支</t>
  </si>
  <si>
    <t xml:space="preserve"> 在建工程</t>
  </si>
  <si>
    <t xml:space="preserve"> 短期借款</t>
  </si>
  <si>
    <t xml:space="preserve"> 應付商業本票</t>
  </si>
  <si>
    <t xml:space="preserve"> 普通股股本</t>
  </si>
  <si>
    <t xml:space="preserve"> 特別股股本</t>
  </si>
  <si>
    <t xml:space="preserve"> 資本公積</t>
  </si>
  <si>
    <t xml:space="preserve"> 法定盈餘公積</t>
  </si>
  <si>
    <t xml:space="preserve"> 特別盈餘公積</t>
  </si>
  <si>
    <t xml:space="preserve"> 未分配盈餘</t>
  </si>
  <si>
    <t xml:space="preserve"> 長期投資評價損失</t>
  </si>
  <si>
    <t>稅前淨利</t>
    <phoneticPr fontId="2" type="noConversion"/>
  </si>
  <si>
    <t>營收 與 毛利率</t>
    <phoneticPr fontId="2" type="noConversion"/>
  </si>
  <si>
    <t>應收轉轉天數</t>
    <phoneticPr fontId="2" type="noConversion"/>
  </si>
  <si>
    <t>存貨轉轉天數</t>
    <phoneticPr fontId="2" type="noConversion"/>
  </si>
  <si>
    <t>代碼</t>
  </si>
  <si>
    <t>極端值</t>
  </si>
  <si>
    <t>每股盈餘 (元)</t>
    <phoneticPr fontId="2" type="noConversion"/>
  </si>
  <si>
    <t>來自營運之現金流量</t>
    <phoneticPr fontId="2" type="noConversion"/>
  </si>
  <si>
    <t>來自營運之現金流量</t>
    <phoneticPr fontId="2" type="noConversion"/>
  </si>
  <si>
    <t>營業費用</t>
    <phoneticPr fontId="2" type="noConversion"/>
  </si>
  <si>
    <t xml:space="preserve"> 應收週轉天數</t>
  </si>
  <si>
    <t xml:space="preserve"> 存貨 週轉天數</t>
  </si>
  <si>
    <t xml:space="preserve"> 負債比 </t>
  </si>
  <si>
    <t>蘭指標_A</t>
    <phoneticPr fontId="2" type="noConversion"/>
  </si>
  <si>
    <t>折舊率</t>
    <phoneticPr fontId="2" type="noConversion"/>
  </si>
  <si>
    <t>營業費用率</t>
    <phoneticPr fontId="2" type="noConversion"/>
  </si>
  <si>
    <t>營業收入淨額</t>
    <phoneticPr fontId="2" type="noConversion"/>
  </si>
  <si>
    <t xml:space="preserve"> 應收帳款及票據</t>
    <phoneticPr fontId="2" type="noConversion"/>
  </si>
  <si>
    <t>營業利益</t>
    <phoneticPr fontId="2" type="noConversion"/>
  </si>
  <si>
    <t>折舊模擬</t>
    <phoneticPr fontId="2" type="noConversion"/>
  </si>
  <si>
    <t>104.2Q</t>
  </si>
  <si>
    <t>營收</t>
    <phoneticPr fontId="2" type="noConversion"/>
  </si>
  <si>
    <t>集保</t>
    <phoneticPr fontId="2" type="noConversion"/>
  </si>
  <si>
    <t>財報面[50%]</t>
    <phoneticPr fontId="2" type="noConversion"/>
  </si>
  <si>
    <t>市價</t>
    <phoneticPr fontId="2" type="noConversion"/>
  </si>
  <si>
    <t>PE</t>
    <phoneticPr fontId="2" type="noConversion"/>
  </si>
  <si>
    <t xml:space="preserve">1312A </t>
  </si>
  <si>
    <t xml:space="preserve">2002A </t>
  </si>
  <si>
    <t>安心</t>
  </si>
  <si>
    <t>德麥</t>
  </si>
  <si>
    <t>恩得利</t>
  </si>
  <si>
    <t>台翰</t>
  </si>
  <si>
    <t>捷邦</t>
  </si>
  <si>
    <t>濱川</t>
  </si>
  <si>
    <t>祺驊</t>
  </si>
  <si>
    <t>直得</t>
  </si>
  <si>
    <t>南光</t>
  </si>
  <si>
    <t>生泰</t>
  </si>
  <si>
    <t>福盈科</t>
  </si>
  <si>
    <t>易威</t>
  </si>
  <si>
    <t>寶利徠</t>
  </si>
  <si>
    <t>風青</t>
  </si>
  <si>
    <t>世鎧</t>
  </si>
  <si>
    <t>晉椿</t>
  </si>
  <si>
    <t>世德</t>
  </si>
  <si>
    <t>泰茂</t>
  </si>
  <si>
    <t>宇隆</t>
  </si>
  <si>
    <t>謚源</t>
  </si>
  <si>
    <t>燦星旅</t>
  </si>
  <si>
    <t>易飛網</t>
  </si>
  <si>
    <t>全域</t>
  </si>
  <si>
    <t>美磊</t>
  </si>
  <si>
    <t>久大</t>
  </si>
  <si>
    <t>艾訊</t>
  </si>
  <si>
    <t>遠昇</t>
  </si>
  <si>
    <t>鴻碩</t>
  </si>
  <si>
    <t>港建</t>
  </si>
  <si>
    <t>及成</t>
  </si>
  <si>
    <t>穩懋</t>
  </si>
  <si>
    <t>晶宏</t>
  </si>
  <si>
    <t>新揚科</t>
  </si>
  <si>
    <t>波若威</t>
  </si>
  <si>
    <t>基亞</t>
  </si>
  <si>
    <t>安茂</t>
  </si>
  <si>
    <t>佰研</t>
  </si>
  <si>
    <t>耀勝</t>
  </si>
  <si>
    <t>大學光</t>
  </si>
  <si>
    <t>至寶電</t>
  </si>
  <si>
    <t>原相</t>
  </si>
  <si>
    <t>金麗科</t>
  </si>
  <si>
    <t>昱捷</t>
  </si>
  <si>
    <t>光環</t>
  </si>
  <si>
    <t>千如</t>
  </si>
  <si>
    <t>海灣</t>
  </si>
  <si>
    <t>台星科</t>
  </si>
  <si>
    <t>海德威</t>
  </si>
  <si>
    <t>東碩</t>
  </si>
  <si>
    <t>太普高</t>
  </si>
  <si>
    <t>微端</t>
  </si>
  <si>
    <t>遠翔科</t>
  </si>
  <si>
    <t>英濟</t>
  </si>
  <si>
    <t>杭特</t>
  </si>
  <si>
    <t>帛漢</t>
  </si>
  <si>
    <t>岱稜</t>
  </si>
  <si>
    <t>斐成</t>
  </si>
  <si>
    <t>加百裕</t>
  </si>
  <si>
    <t>幸康</t>
  </si>
  <si>
    <t>尚立</t>
  </si>
  <si>
    <t>上詮</t>
  </si>
  <si>
    <t>典範</t>
  </si>
  <si>
    <t>熱映</t>
  </si>
  <si>
    <t>精材</t>
  </si>
  <si>
    <t>崇越電</t>
  </si>
  <si>
    <t>光燿科</t>
  </si>
  <si>
    <t>哲固</t>
  </si>
  <si>
    <t>由田</t>
  </si>
  <si>
    <t>致振</t>
  </si>
  <si>
    <t>力致</t>
  </si>
  <si>
    <t>崧騰</t>
  </si>
  <si>
    <t>森寶</t>
  </si>
  <si>
    <t>單井</t>
  </si>
  <si>
    <t>環天科</t>
  </si>
  <si>
    <t>位速</t>
  </si>
  <si>
    <t>亞帝歐</t>
  </si>
  <si>
    <t>宏森</t>
  </si>
  <si>
    <t>聚積</t>
  </si>
  <si>
    <t>力旺</t>
  </si>
  <si>
    <t>堡達</t>
  </si>
  <si>
    <t>兆利</t>
  </si>
  <si>
    <t>世禾</t>
  </si>
  <si>
    <t>力積</t>
  </si>
  <si>
    <t>禾瑞亞</t>
  </si>
  <si>
    <t>神準</t>
  </si>
  <si>
    <t>頂晶科</t>
  </si>
  <si>
    <t>牧德</t>
  </si>
  <si>
    <t>磐儀</t>
  </si>
  <si>
    <t>東林</t>
  </si>
  <si>
    <t>鼎翰</t>
  </si>
  <si>
    <t>富晶通</t>
  </si>
  <si>
    <t>光頡</t>
  </si>
  <si>
    <t>西勝</t>
  </si>
  <si>
    <t>新鉅科</t>
  </si>
  <si>
    <t>晟楠</t>
  </si>
  <si>
    <t>精聯</t>
  </si>
  <si>
    <t>漢微科</t>
  </si>
  <si>
    <t>光耀</t>
  </si>
  <si>
    <t>康聯訊</t>
  </si>
  <si>
    <t>歐買尬</t>
  </si>
  <si>
    <t>營邦</t>
  </si>
  <si>
    <t>漢磊</t>
  </si>
  <si>
    <t>聯上</t>
  </si>
  <si>
    <t>友華</t>
  </si>
  <si>
    <t>太醫</t>
  </si>
  <si>
    <t>健亞</t>
  </si>
  <si>
    <t>台微體</t>
  </si>
  <si>
    <t>鈺緯</t>
  </si>
  <si>
    <t>智擎</t>
  </si>
  <si>
    <t>展旺</t>
  </si>
  <si>
    <t>醣聯</t>
  </si>
  <si>
    <t>久裕</t>
  </si>
  <si>
    <t>浩鼎</t>
  </si>
  <si>
    <t>杏一</t>
  </si>
  <si>
    <t>環瑞醫</t>
  </si>
  <si>
    <t>勝昱</t>
  </si>
  <si>
    <t>福大</t>
  </si>
  <si>
    <t>三圓</t>
  </si>
  <si>
    <t>聚紡</t>
  </si>
  <si>
    <t>金雨</t>
  </si>
  <si>
    <t>崇友</t>
  </si>
  <si>
    <t>科嶠</t>
  </si>
  <si>
    <t>桓達</t>
  </si>
  <si>
    <t>長佳</t>
  </si>
  <si>
    <t>中美實</t>
  </si>
  <si>
    <t>磐亞</t>
  </si>
  <si>
    <t>南璋</t>
  </si>
  <si>
    <t>永捷</t>
  </si>
  <si>
    <t>美琪瑪</t>
  </si>
  <si>
    <t>雙美</t>
  </si>
  <si>
    <t>熒茂</t>
  </si>
  <si>
    <t>泰博</t>
  </si>
  <si>
    <t>新復興</t>
  </si>
  <si>
    <t>德英</t>
  </si>
  <si>
    <t>友輝</t>
  </si>
  <si>
    <t>亞電</t>
  </si>
  <si>
    <t>牧東</t>
  </si>
  <si>
    <t>商店街</t>
  </si>
  <si>
    <t>亞泰</t>
  </si>
  <si>
    <t>華星光</t>
  </si>
  <si>
    <t>榮剛</t>
  </si>
  <si>
    <t>久陽</t>
  </si>
  <si>
    <t>華祺</t>
  </si>
  <si>
    <t>富強</t>
  </si>
  <si>
    <t>坤悅</t>
  </si>
  <si>
    <t>寶碩</t>
  </si>
  <si>
    <t>蒙恬</t>
  </si>
  <si>
    <t>雷笛克</t>
  </si>
  <si>
    <t>智晶</t>
  </si>
  <si>
    <t>天鉞電</t>
  </si>
  <si>
    <t>美桀</t>
  </si>
  <si>
    <t>笙科</t>
  </si>
  <si>
    <t>尚凡</t>
  </si>
  <si>
    <t>數字</t>
  </si>
  <si>
    <t>邑昇</t>
  </si>
  <si>
    <t>寶得利</t>
  </si>
  <si>
    <t>太欣</t>
  </si>
  <si>
    <t>鼎創達</t>
  </si>
  <si>
    <t>寶島科</t>
  </si>
  <si>
    <t>凱美</t>
  </si>
  <si>
    <t>士開</t>
  </si>
  <si>
    <t>天揚</t>
  </si>
  <si>
    <t>世界</t>
  </si>
  <si>
    <t>佳總</t>
  </si>
  <si>
    <t>力麗店</t>
  </si>
  <si>
    <t>中光電</t>
  </si>
  <si>
    <t>捷元</t>
  </si>
  <si>
    <t>力瑋</t>
  </si>
  <si>
    <t>台半</t>
  </si>
  <si>
    <t>振發</t>
  </si>
  <si>
    <t>高技</t>
  </si>
  <si>
    <t>寶聯通</t>
  </si>
  <si>
    <t>佶優</t>
  </si>
  <si>
    <t>訊利電</t>
  </si>
  <si>
    <t>宣德</t>
  </si>
  <si>
    <t>富驊</t>
  </si>
  <si>
    <t>凱鈺</t>
  </si>
  <si>
    <t>智冠</t>
  </si>
  <si>
    <t>通泰</t>
  </si>
  <si>
    <t>同亨</t>
  </si>
  <si>
    <t>力麒</t>
  </si>
  <si>
    <t>豐謙</t>
  </si>
  <si>
    <t>聖暉</t>
  </si>
  <si>
    <t>陸海</t>
  </si>
  <si>
    <t>中菲行</t>
  </si>
  <si>
    <t>台名</t>
  </si>
  <si>
    <t>德記</t>
  </si>
  <si>
    <t>寶雅</t>
  </si>
  <si>
    <t>大展證</t>
  </si>
  <si>
    <t>大慶證</t>
  </si>
  <si>
    <t>群益期</t>
  </si>
  <si>
    <t>新普</t>
  </si>
  <si>
    <t>廣運</t>
  </si>
  <si>
    <t>基因</t>
  </si>
  <si>
    <t>耕興</t>
  </si>
  <si>
    <t>順發</t>
  </si>
  <si>
    <t>禾昌</t>
  </si>
  <si>
    <t>捷波</t>
  </si>
  <si>
    <t>華電網</t>
  </si>
  <si>
    <t>統振</t>
  </si>
  <si>
    <t>亞銳士</t>
  </si>
  <si>
    <t>立敦</t>
  </si>
  <si>
    <t>亞通</t>
  </si>
  <si>
    <t>合晶</t>
  </si>
  <si>
    <t>新潤</t>
  </si>
  <si>
    <t>萬泰科</t>
  </si>
  <si>
    <t>詩肯</t>
  </si>
  <si>
    <t>海韻電</t>
  </si>
  <si>
    <t>雷科</t>
  </si>
  <si>
    <t>理銘</t>
  </si>
  <si>
    <t>岳豐</t>
  </si>
  <si>
    <t>晉泰</t>
  </si>
  <si>
    <t>旺矽</t>
  </si>
  <si>
    <t>茂綸</t>
  </si>
  <si>
    <t>研通</t>
  </si>
  <si>
    <t>系微</t>
  </si>
  <si>
    <t>高僑</t>
  </si>
  <si>
    <t>康呈</t>
  </si>
  <si>
    <t>驊訊</t>
  </si>
  <si>
    <t>易通展</t>
  </si>
  <si>
    <t>茂迪</t>
  </si>
  <si>
    <t>臺龍</t>
  </si>
  <si>
    <t>沛波</t>
  </si>
  <si>
    <t>百徽</t>
  </si>
  <si>
    <t>久元</t>
  </si>
  <si>
    <t>富裔</t>
  </si>
  <si>
    <t>方土昶</t>
  </si>
  <si>
    <t>台燿</t>
  </si>
  <si>
    <t>安鈦克</t>
  </si>
  <si>
    <t>沛亨</t>
  </si>
  <si>
    <t>晶焱</t>
  </si>
  <si>
    <t>統新</t>
  </si>
  <si>
    <t>惠光</t>
  </si>
  <si>
    <t>聚和</t>
  </si>
  <si>
    <t>富強鑫</t>
  </si>
  <si>
    <t>瀧澤科</t>
  </si>
  <si>
    <t>佑華</t>
  </si>
  <si>
    <t>長園科</t>
  </si>
  <si>
    <t>安國</t>
  </si>
  <si>
    <t>東捷</t>
  </si>
  <si>
    <t>全達</t>
  </si>
  <si>
    <t>能率豐</t>
  </si>
  <si>
    <t>奧斯特</t>
  </si>
  <si>
    <t>漢承泰</t>
  </si>
  <si>
    <t>瑞穎</t>
  </si>
  <si>
    <t>福華</t>
  </si>
  <si>
    <t>華鎂鑫</t>
  </si>
  <si>
    <t>品安</t>
  </si>
  <si>
    <t>大億科</t>
  </si>
  <si>
    <t>新漢</t>
  </si>
  <si>
    <t>千附</t>
  </si>
  <si>
    <t>森田</t>
  </si>
  <si>
    <t>實威</t>
  </si>
  <si>
    <t>明揚</t>
  </si>
  <si>
    <t>旭源</t>
  </si>
  <si>
    <t>惠普</t>
  </si>
  <si>
    <t>匯鑽科</t>
  </si>
  <si>
    <t>東生華</t>
  </si>
  <si>
    <t>弘帆</t>
  </si>
  <si>
    <t>鉅邁</t>
  </si>
  <si>
    <t>霹靂</t>
  </si>
  <si>
    <t>欣雄</t>
  </si>
  <si>
    <t>全銓</t>
  </si>
  <si>
    <t>光隆</t>
  </si>
  <si>
    <t>欣泰</t>
  </si>
  <si>
    <t>北基</t>
  </si>
  <si>
    <t>鉅明</t>
  </si>
  <si>
    <t>富堡</t>
  </si>
  <si>
    <t>青鋼</t>
  </si>
  <si>
    <t>邦泰</t>
  </si>
  <si>
    <t>明安</t>
  </si>
  <si>
    <t>關中</t>
  </si>
  <si>
    <t>琉園</t>
  </si>
  <si>
    <t>邁達康</t>
  </si>
  <si>
    <t>蘭值</t>
    <phoneticPr fontId="2" type="noConversion"/>
  </si>
  <si>
    <t>台蠟</t>
  </si>
  <si>
    <t>韋僑</t>
  </si>
  <si>
    <t>合計</t>
    <phoneticPr fontId="2" type="noConversion"/>
  </si>
  <si>
    <t xml:space="preserve"> 普通股股本</t>
    <phoneticPr fontId="2" type="noConversion"/>
  </si>
  <si>
    <t>每股營業現金</t>
    <phoneticPr fontId="2" type="noConversion"/>
  </si>
  <si>
    <t>每股營業額</t>
    <phoneticPr fontId="2" type="noConversion"/>
  </si>
  <si>
    <t xml:space="preserve">台泥            </t>
  </si>
  <si>
    <t xml:space="preserve">亞泥            </t>
  </si>
  <si>
    <t xml:space="preserve">嘉泥            </t>
  </si>
  <si>
    <t xml:space="preserve">環泥            </t>
  </si>
  <si>
    <t xml:space="preserve">幸福            </t>
  </si>
  <si>
    <t xml:space="preserve">東泥            </t>
  </si>
  <si>
    <t xml:space="preserve">味全            </t>
  </si>
  <si>
    <t xml:space="preserve">味王            </t>
  </si>
  <si>
    <t xml:space="preserve">大成            </t>
  </si>
  <si>
    <t xml:space="preserve">大飲            </t>
  </si>
  <si>
    <t xml:space="preserve">卜蜂            </t>
  </si>
  <si>
    <t xml:space="preserve">統一            </t>
  </si>
  <si>
    <t xml:space="preserve">愛之味          </t>
  </si>
  <si>
    <t xml:space="preserve">泰山            </t>
  </si>
  <si>
    <t xml:space="preserve">福壽            </t>
  </si>
  <si>
    <t xml:space="preserve">台榮            </t>
  </si>
  <si>
    <t xml:space="preserve">福懋油          </t>
  </si>
  <si>
    <t xml:space="preserve">佳格            </t>
  </si>
  <si>
    <t xml:space="preserve">聯華            </t>
  </si>
  <si>
    <t xml:space="preserve">聯華食          </t>
  </si>
  <si>
    <t xml:space="preserve">大統益          </t>
  </si>
  <si>
    <t xml:space="preserve">天仁            </t>
  </si>
  <si>
    <t xml:space="preserve">黑松            </t>
  </si>
  <si>
    <t xml:space="preserve">興泰            </t>
  </si>
  <si>
    <t xml:space="preserve">宏亞            </t>
  </si>
  <si>
    <t xml:space="preserve">台塑            </t>
  </si>
  <si>
    <t xml:space="preserve">南亞            </t>
  </si>
  <si>
    <t xml:space="preserve">台聚            </t>
  </si>
  <si>
    <t xml:space="preserve">華夏            </t>
  </si>
  <si>
    <t xml:space="preserve">三芳            </t>
  </si>
  <si>
    <t xml:space="preserve">亞聚            </t>
  </si>
  <si>
    <t xml:space="preserve">台達化          </t>
  </si>
  <si>
    <t xml:space="preserve">台苯            </t>
  </si>
  <si>
    <t xml:space="preserve">國喬            </t>
  </si>
  <si>
    <t xml:space="preserve">國喬特          </t>
  </si>
  <si>
    <t xml:space="preserve">聯成            </t>
  </si>
  <si>
    <t xml:space="preserve">中石化          </t>
  </si>
  <si>
    <t xml:space="preserve">達新            </t>
  </si>
  <si>
    <t xml:space="preserve">上曜            </t>
  </si>
  <si>
    <t xml:space="preserve">東陽            </t>
  </si>
  <si>
    <t xml:space="preserve">大洋            </t>
  </si>
  <si>
    <t xml:space="preserve">永裕            </t>
  </si>
  <si>
    <t xml:space="preserve">地球            </t>
  </si>
  <si>
    <t xml:space="preserve">恆大            </t>
  </si>
  <si>
    <t xml:space="preserve">台化            </t>
  </si>
  <si>
    <t xml:space="preserve">昭輝            </t>
  </si>
  <si>
    <t xml:space="preserve">遠東新          </t>
  </si>
  <si>
    <t xml:space="preserve">新纖            </t>
  </si>
  <si>
    <t xml:space="preserve">南染            </t>
  </si>
  <si>
    <t xml:space="preserve">宏洲            </t>
  </si>
  <si>
    <t xml:space="preserve">東和            </t>
  </si>
  <si>
    <t xml:space="preserve">廣豐            </t>
  </si>
  <si>
    <t xml:space="preserve">嘉裕            </t>
  </si>
  <si>
    <t xml:space="preserve">東華            </t>
  </si>
  <si>
    <t xml:space="preserve">新紡            </t>
  </si>
  <si>
    <t xml:space="preserve">利華            </t>
  </si>
  <si>
    <t xml:space="preserve">大魯閣          </t>
  </si>
  <si>
    <t xml:space="preserve">福懋            </t>
  </si>
  <si>
    <t xml:space="preserve">中福            </t>
  </si>
  <si>
    <t xml:space="preserve">華友聯          </t>
  </si>
  <si>
    <t xml:space="preserve">勤益控          </t>
  </si>
  <si>
    <t xml:space="preserve">裕豐            </t>
  </si>
  <si>
    <t xml:space="preserve">中和            </t>
  </si>
  <si>
    <t xml:space="preserve">南紡            </t>
  </si>
  <si>
    <t xml:space="preserve">大東            </t>
  </si>
  <si>
    <t xml:space="preserve">名軒            </t>
  </si>
  <si>
    <t xml:space="preserve">立益            </t>
  </si>
  <si>
    <t xml:space="preserve">力麗            </t>
  </si>
  <si>
    <t xml:space="preserve">大宇            </t>
  </si>
  <si>
    <t xml:space="preserve">宏和            </t>
  </si>
  <si>
    <t xml:space="preserve">力鵬            </t>
  </si>
  <si>
    <t xml:space="preserve">佳和            </t>
  </si>
  <si>
    <t xml:space="preserve">年興            </t>
  </si>
  <si>
    <t xml:space="preserve">宏益            </t>
  </si>
  <si>
    <t xml:space="preserve">大將            </t>
  </si>
  <si>
    <t xml:space="preserve">台富            </t>
  </si>
  <si>
    <t xml:space="preserve">集盛            </t>
  </si>
  <si>
    <t xml:space="preserve">怡華            </t>
  </si>
  <si>
    <t xml:space="preserve">宜進            </t>
  </si>
  <si>
    <t xml:space="preserve">聯發            </t>
  </si>
  <si>
    <t xml:space="preserve">宏遠            </t>
  </si>
  <si>
    <t xml:space="preserve">強盛            </t>
  </si>
  <si>
    <t xml:space="preserve">得力            </t>
  </si>
  <si>
    <t xml:space="preserve">偉全            </t>
  </si>
  <si>
    <t xml:space="preserve">聚隆            </t>
  </si>
  <si>
    <t xml:space="preserve">南緯            </t>
  </si>
  <si>
    <t xml:space="preserve">昶和            </t>
  </si>
  <si>
    <t xml:space="preserve">理隆            </t>
  </si>
  <si>
    <t xml:space="preserve">大統染          </t>
  </si>
  <si>
    <t xml:space="preserve">首利            </t>
  </si>
  <si>
    <t xml:space="preserve">三洋紡          </t>
  </si>
  <si>
    <t xml:space="preserve">台南            </t>
  </si>
  <si>
    <t xml:space="preserve">弘裕            </t>
  </si>
  <si>
    <t xml:space="preserve">本盟            </t>
  </si>
  <si>
    <t xml:space="preserve">儒鴻            </t>
  </si>
  <si>
    <t xml:space="preserve">聚陽            </t>
  </si>
  <si>
    <t xml:space="preserve">士電            </t>
  </si>
  <si>
    <t xml:space="preserve">東元            </t>
  </si>
  <si>
    <t xml:space="preserve">正道            </t>
  </si>
  <si>
    <t xml:space="preserve">永大            </t>
  </si>
  <si>
    <t xml:space="preserve">瑞利            </t>
  </si>
  <si>
    <t xml:space="preserve">中興電          </t>
  </si>
  <si>
    <t xml:space="preserve">亞力            </t>
  </si>
  <si>
    <t xml:space="preserve">力山            </t>
  </si>
  <si>
    <t xml:space="preserve">川飛            </t>
  </si>
  <si>
    <t xml:space="preserve">利奇            </t>
  </si>
  <si>
    <t xml:space="preserve">華城            </t>
  </si>
  <si>
    <t xml:space="preserve">大億            </t>
  </si>
  <si>
    <t xml:space="preserve">堤維西          </t>
  </si>
  <si>
    <t xml:space="preserve">耿鼎            </t>
  </si>
  <si>
    <t xml:space="preserve">江申            </t>
  </si>
  <si>
    <t xml:space="preserve">日馳            </t>
  </si>
  <si>
    <t xml:space="preserve">鑽全            </t>
  </si>
  <si>
    <t xml:space="preserve">恩德            </t>
  </si>
  <si>
    <t xml:space="preserve">樂士            </t>
  </si>
  <si>
    <t xml:space="preserve">亞崴            </t>
  </si>
  <si>
    <t xml:space="preserve">高林股          </t>
  </si>
  <si>
    <t xml:space="preserve">勤美            </t>
  </si>
  <si>
    <t xml:space="preserve">車王電          </t>
  </si>
  <si>
    <t xml:space="preserve">中宇            </t>
  </si>
  <si>
    <t xml:space="preserve">和大            </t>
  </si>
  <si>
    <t xml:space="preserve">廣隆            </t>
  </si>
  <si>
    <t xml:space="preserve">正峰新          </t>
  </si>
  <si>
    <t xml:space="preserve">巨庭            </t>
  </si>
  <si>
    <t xml:space="preserve">喬福            </t>
  </si>
  <si>
    <t xml:space="preserve">錩泰            </t>
  </si>
  <si>
    <t xml:space="preserve">伸興            </t>
  </si>
  <si>
    <t xml:space="preserve">中砂            </t>
  </si>
  <si>
    <t xml:space="preserve">倉佑            </t>
  </si>
  <si>
    <t xml:space="preserve">信錦            </t>
  </si>
  <si>
    <t xml:space="preserve">程泰            </t>
  </si>
  <si>
    <t xml:space="preserve">華電            </t>
  </si>
  <si>
    <t xml:space="preserve">聲寶            </t>
  </si>
  <si>
    <t xml:space="preserve">華新            </t>
  </si>
  <si>
    <t xml:space="preserve">華榮            </t>
  </si>
  <si>
    <t xml:space="preserve">大亞            </t>
  </si>
  <si>
    <t xml:space="preserve">中電            </t>
  </si>
  <si>
    <t xml:space="preserve">宏泰            </t>
  </si>
  <si>
    <t xml:space="preserve">台一            </t>
  </si>
  <si>
    <t xml:space="preserve">三洋電          </t>
  </si>
  <si>
    <t xml:space="preserve">大山            </t>
  </si>
  <si>
    <t xml:space="preserve">億泰            </t>
  </si>
  <si>
    <t xml:space="preserve">榮星            </t>
  </si>
  <si>
    <t xml:space="preserve">合機            </t>
  </si>
  <si>
    <t xml:space="preserve">中化            </t>
  </si>
  <si>
    <t xml:space="preserve">南僑            </t>
  </si>
  <si>
    <t xml:space="preserve">榮化            </t>
  </si>
  <si>
    <t xml:space="preserve">葡萄王          </t>
  </si>
  <si>
    <t xml:space="preserve">東鹼            </t>
  </si>
  <si>
    <t xml:space="preserve">和益            </t>
  </si>
  <si>
    <t xml:space="preserve">東聯            </t>
  </si>
  <si>
    <t xml:space="preserve">永光            </t>
  </si>
  <si>
    <t xml:space="preserve">興農            </t>
  </si>
  <si>
    <t xml:space="preserve">國化            </t>
  </si>
  <si>
    <t xml:space="preserve">和桐            </t>
  </si>
  <si>
    <t xml:space="preserve">萬洲            </t>
  </si>
  <si>
    <t xml:space="preserve">長興            </t>
  </si>
  <si>
    <t xml:space="preserve">中纖            </t>
  </si>
  <si>
    <t xml:space="preserve">生達            </t>
  </si>
  <si>
    <t xml:space="preserve">三晃            </t>
  </si>
  <si>
    <t xml:space="preserve">台肥            </t>
  </si>
  <si>
    <t xml:space="preserve">中碳            </t>
  </si>
  <si>
    <t xml:space="preserve">台硝            </t>
  </si>
  <si>
    <t xml:space="preserve">元禎            </t>
  </si>
  <si>
    <t xml:space="preserve">永記            </t>
  </si>
  <si>
    <t xml:space="preserve">中華化          </t>
  </si>
  <si>
    <t xml:space="preserve">必翔            </t>
  </si>
  <si>
    <t xml:space="preserve">花仙子          </t>
  </si>
  <si>
    <t xml:space="preserve">美吾華          </t>
  </si>
  <si>
    <t xml:space="preserve">毛寶            </t>
  </si>
  <si>
    <t xml:space="preserve">五鼎            </t>
  </si>
  <si>
    <t xml:space="preserve">杏輝            </t>
  </si>
  <si>
    <t xml:space="preserve">日勝化          </t>
  </si>
  <si>
    <t xml:space="preserve">喬山            </t>
  </si>
  <si>
    <t xml:space="preserve">臺鹽            </t>
  </si>
  <si>
    <t xml:space="preserve">中化生          </t>
  </si>
  <si>
    <t xml:space="preserve">勝一            </t>
  </si>
  <si>
    <t xml:space="preserve">和康生          </t>
  </si>
  <si>
    <t xml:space="preserve">科妍            </t>
  </si>
  <si>
    <t xml:space="preserve">神隆            </t>
  </si>
  <si>
    <t xml:space="preserve">台玻            </t>
  </si>
  <si>
    <t xml:space="preserve">寶徠            </t>
  </si>
  <si>
    <t xml:space="preserve">冠軍            </t>
  </si>
  <si>
    <t xml:space="preserve">潤隆            </t>
  </si>
  <si>
    <t xml:space="preserve">中釉            </t>
  </si>
  <si>
    <t xml:space="preserve">和成            </t>
  </si>
  <si>
    <t xml:space="preserve">凱撒衛          </t>
  </si>
  <si>
    <t xml:space="preserve">台紙            </t>
  </si>
  <si>
    <t xml:space="preserve">士紙            </t>
  </si>
  <si>
    <t xml:space="preserve">正隆            </t>
  </si>
  <si>
    <t xml:space="preserve">寶隆            </t>
  </si>
  <si>
    <t xml:space="preserve">永豐餘          </t>
  </si>
  <si>
    <t xml:space="preserve">榮成            </t>
  </si>
  <si>
    <t xml:space="preserve">中鋼            </t>
  </si>
  <si>
    <t xml:space="preserve">中鋼特          </t>
  </si>
  <si>
    <t xml:space="preserve">燁興            </t>
  </si>
  <si>
    <t xml:space="preserve">高興昌          </t>
  </si>
  <si>
    <t xml:space="preserve">第一銅          </t>
  </si>
  <si>
    <t xml:space="preserve">春源            </t>
  </si>
  <si>
    <t xml:space="preserve">春雨            </t>
  </si>
  <si>
    <t xml:space="preserve">中鋼構          </t>
  </si>
  <si>
    <t xml:space="preserve">中鴻            </t>
  </si>
  <si>
    <t xml:space="preserve">豐興            </t>
  </si>
  <si>
    <t xml:space="preserve">官田鋼          </t>
  </si>
  <si>
    <t xml:space="preserve">美亞            </t>
  </si>
  <si>
    <t xml:space="preserve">聚亨            </t>
  </si>
  <si>
    <t xml:space="preserve">燁輝            </t>
  </si>
  <si>
    <t xml:space="preserve">志聯            </t>
  </si>
  <si>
    <t xml:space="preserve">千興            </t>
  </si>
  <si>
    <t xml:space="preserve">大成鋼          </t>
  </si>
  <si>
    <t xml:space="preserve">威致            </t>
  </si>
  <si>
    <t xml:space="preserve">盛餘            </t>
  </si>
  <si>
    <t xml:space="preserve">彰源            </t>
  </si>
  <si>
    <t xml:space="preserve">新光鋼          </t>
  </si>
  <si>
    <t xml:space="preserve">新鋼            </t>
  </si>
  <si>
    <t xml:space="preserve">佳大            </t>
  </si>
  <si>
    <t xml:space="preserve">允強            </t>
  </si>
  <si>
    <t xml:space="preserve">海光            </t>
  </si>
  <si>
    <t xml:space="preserve">上銀            </t>
  </si>
  <si>
    <t xml:space="preserve">川湖            </t>
  </si>
  <si>
    <t xml:space="preserve">橋椿            </t>
  </si>
  <si>
    <t xml:space="preserve">南港            </t>
  </si>
  <si>
    <t xml:space="preserve">泰豐            </t>
  </si>
  <si>
    <t xml:space="preserve">台橡            </t>
  </si>
  <si>
    <t xml:space="preserve">中橡            </t>
  </si>
  <si>
    <t xml:space="preserve">正新            </t>
  </si>
  <si>
    <t xml:space="preserve">建大            </t>
  </si>
  <si>
    <t xml:space="preserve">厚生            </t>
  </si>
  <si>
    <t xml:space="preserve">南帝            </t>
  </si>
  <si>
    <t xml:space="preserve">華豐            </t>
  </si>
  <si>
    <t xml:space="preserve">鑫永銓          </t>
  </si>
  <si>
    <t xml:space="preserve">裕隆            </t>
  </si>
  <si>
    <t xml:space="preserve">中華            </t>
  </si>
  <si>
    <t xml:space="preserve">和泰車          </t>
  </si>
  <si>
    <t xml:space="preserve">台船            </t>
  </si>
  <si>
    <t xml:space="preserve">裕日車          </t>
  </si>
  <si>
    <t xml:space="preserve">劍麟            </t>
  </si>
  <si>
    <t xml:space="preserve">為升            </t>
  </si>
  <si>
    <t xml:space="preserve">光寶科          </t>
  </si>
  <si>
    <t xml:space="preserve">麗正            </t>
  </si>
  <si>
    <t xml:space="preserve">聯電            </t>
  </si>
  <si>
    <t xml:space="preserve">全友            </t>
  </si>
  <si>
    <t xml:space="preserve">台達電          </t>
  </si>
  <si>
    <t xml:space="preserve">日月光          </t>
  </si>
  <si>
    <t xml:space="preserve">金寶            </t>
  </si>
  <si>
    <t xml:space="preserve">華通            </t>
  </si>
  <si>
    <t xml:space="preserve">台揚            </t>
  </si>
  <si>
    <t xml:space="preserve">楠梓電          </t>
  </si>
  <si>
    <t xml:space="preserve">鴻海            </t>
  </si>
  <si>
    <t xml:space="preserve">東訊            </t>
  </si>
  <si>
    <t xml:space="preserve">中環            </t>
  </si>
  <si>
    <t xml:space="preserve">仁寶            </t>
  </si>
  <si>
    <t xml:space="preserve">矽品            </t>
  </si>
  <si>
    <t xml:space="preserve">國巨            </t>
  </si>
  <si>
    <t xml:space="preserve">廣宇            </t>
  </si>
  <si>
    <t xml:space="preserve">華泰            </t>
  </si>
  <si>
    <t xml:space="preserve">台積電          </t>
  </si>
  <si>
    <t xml:space="preserve">精英            </t>
  </si>
  <si>
    <t xml:space="preserve">友訊            </t>
  </si>
  <si>
    <t xml:space="preserve">旺宏            </t>
  </si>
  <si>
    <t xml:space="preserve">光罩            </t>
  </si>
  <si>
    <t xml:space="preserve">光磊            </t>
  </si>
  <si>
    <t xml:space="preserve">茂矽            </t>
  </si>
  <si>
    <t xml:space="preserve">華邦電          </t>
  </si>
  <si>
    <t xml:space="preserve">智邦            </t>
  </si>
  <si>
    <t xml:space="preserve">聯強            </t>
  </si>
  <si>
    <t xml:space="preserve">海悅            </t>
  </si>
  <si>
    <t xml:space="preserve">錸德            </t>
  </si>
  <si>
    <t xml:space="preserve">順德            </t>
  </si>
  <si>
    <t xml:space="preserve">佳世達          </t>
  </si>
  <si>
    <t xml:space="preserve">宏碁            </t>
  </si>
  <si>
    <t xml:space="preserve">鴻準            </t>
  </si>
  <si>
    <t xml:space="preserve">敬鵬            </t>
  </si>
  <si>
    <t xml:space="preserve">英業達          </t>
  </si>
  <si>
    <t xml:space="preserve">華碩            </t>
  </si>
  <si>
    <t xml:space="preserve">廷鑫            </t>
  </si>
  <si>
    <t xml:space="preserve">所羅門          </t>
  </si>
  <si>
    <t xml:space="preserve">致茂            </t>
  </si>
  <si>
    <t xml:space="preserve">藍天            </t>
  </si>
  <si>
    <t xml:space="preserve">矽統            </t>
  </si>
  <si>
    <t xml:space="preserve">倫飛            </t>
  </si>
  <si>
    <t xml:space="preserve">昆盈            </t>
  </si>
  <si>
    <t xml:space="preserve">燿華            </t>
  </si>
  <si>
    <t xml:space="preserve">金像電          </t>
  </si>
  <si>
    <t xml:space="preserve">菱生            </t>
  </si>
  <si>
    <t xml:space="preserve">大同            </t>
  </si>
  <si>
    <t xml:space="preserve">震旦行          </t>
  </si>
  <si>
    <t xml:space="preserve">佳能            </t>
  </si>
  <si>
    <t xml:space="preserve">智寶            </t>
  </si>
  <si>
    <t xml:space="preserve">技嘉            </t>
  </si>
  <si>
    <t xml:space="preserve">微星            </t>
  </si>
  <si>
    <t xml:space="preserve">瑞昱            </t>
  </si>
  <si>
    <t xml:space="preserve">虹光            </t>
  </si>
  <si>
    <t xml:space="preserve">廣達            </t>
  </si>
  <si>
    <t xml:space="preserve">台光電          </t>
  </si>
  <si>
    <t xml:space="preserve">群光            </t>
  </si>
  <si>
    <t xml:space="preserve">精元            </t>
  </si>
  <si>
    <t xml:space="preserve">威盛            </t>
  </si>
  <si>
    <t xml:space="preserve">云辰            </t>
  </si>
  <si>
    <t xml:space="preserve">正崴            </t>
  </si>
  <si>
    <t xml:space="preserve">億光            </t>
  </si>
  <si>
    <t xml:space="preserve">研華            </t>
  </si>
  <si>
    <t xml:space="preserve">友通            </t>
  </si>
  <si>
    <t xml:space="preserve">映泰            </t>
  </si>
  <si>
    <t xml:space="preserve">凌陽            </t>
  </si>
  <si>
    <t xml:space="preserve">毅嘉            </t>
  </si>
  <si>
    <t xml:space="preserve">漢唐            </t>
  </si>
  <si>
    <t xml:space="preserve">浩鑫            </t>
  </si>
  <si>
    <t xml:space="preserve">國碩            </t>
  </si>
  <si>
    <t xml:space="preserve">南亞科          </t>
  </si>
  <si>
    <t xml:space="preserve">友達            </t>
  </si>
  <si>
    <t xml:space="preserve">中華電          </t>
  </si>
  <si>
    <t xml:space="preserve">環科            </t>
  </si>
  <si>
    <t xml:space="preserve">精技            </t>
  </si>
  <si>
    <t xml:space="preserve">錩新            </t>
  </si>
  <si>
    <t xml:space="preserve">圓剛            </t>
  </si>
  <si>
    <t xml:space="preserve">仲琦            </t>
  </si>
  <si>
    <t xml:space="preserve">新巨            </t>
  </si>
  <si>
    <t xml:space="preserve">建準            </t>
  </si>
  <si>
    <t xml:space="preserve">固緯            </t>
  </si>
  <si>
    <t xml:space="preserve">隴華            </t>
  </si>
  <si>
    <t xml:space="preserve">承啟            </t>
  </si>
  <si>
    <t xml:space="preserve">鼎元            </t>
  </si>
  <si>
    <t xml:space="preserve">三商電          </t>
  </si>
  <si>
    <t xml:space="preserve">興勤            </t>
  </si>
  <si>
    <t xml:space="preserve">銘旺科          </t>
  </si>
  <si>
    <t xml:space="preserve">燦坤            </t>
  </si>
  <si>
    <t xml:space="preserve">聯昌            </t>
  </si>
  <si>
    <t xml:space="preserve">互盛電          </t>
  </si>
  <si>
    <t xml:space="preserve">統懋            </t>
  </si>
  <si>
    <t xml:space="preserve">偉詮電          </t>
  </si>
  <si>
    <t xml:space="preserve">旺詮            </t>
  </si>
  <si>
    <t xml:space="preserve">翔耀            </t>
  </si>
  <si>
    <t xml:space="preserve">美律            </t>
  </si>
  <si>
    <t xml:space="preserve">太空梭          </t>
  </si>
  <si>
    <t xml:space="preserve">超豐            </t>
  </si>
  <si>
    <t xml:space="preserve">新美齊          </t>
  </si>
  <si>
    <t xml:space="preserve">新利虹          </t>
  </si>
  <si>
    <t xml:space="preserve">友旺            </t>
  </si>
  <si>
    <t xml:space="preserve">晶電            </t>
  </si>
  <si>
    <t xml:space="preserve">神腦            </t>
  </si>
  <si>
    <t xml:space="preserve">創見            </t>
  </si>
  <si>
    <t xml:space="preserve">凌群            </t>
  </si>
  <si>
    <t xml:space="preserve">聯發科          </t>
  </si>
  <si>
    <t xml:space="preserve">全新            </t>
  </si>
  <si>
    <t xml:space="preserve">奇力新          </t>
  </si>
  <si>
    <t xml:space="preserve">飛宏            </t>
  </si>
  <si>
    <t xml:space="preserve">義隆            </t>
  </si>
  <si>
    <t xml:space="preserve">敦吉            </t>
  </si>
  <si>
    <t xml:space="preserve">建通            </t>
  </si>
  <si>
    <t xml:space="preserve">光群雷          </t>
  </si>
  <si>
    <t xml:space="preserve">良得電          </t>
  </si>
  <si>
    <t xml:space="preserve">盟立            </t>
  </si>
  <si>
    <t xml:space="preserve">麗臺            </t>
  </si>
  <si>
    <t xml:space="preserve">冠西電          </t>
  </si>
  <si>
    <t xml:space="preserve">志聖            </t>
  </si>
  <si>
    <t xml:space="preserve">華經            </t>
  </si>
  <si>
    <t xml:space="preserve">資通            </t>
  </si>
  <si>
    <t xml:space="preserve">可成            </t>
  </si>
  <si>
    <t xml:space="preserve">華映            </t>
  </si>
  <si>
    <t xml:space="preserve">鉅祥            </t>
  </si>
  <si>
    <t xml:space="preserve">美隆電          </t>
  </si>
  <si>
    <t xml:space="preserve">大毅            </t>
  </si>
  <si>
    <t xml:space="preserve">敦陽科          </t>
  </si>
  <si>
    <t xml:space="preserve">強茂            </t>
  </si>
  <si>
    <t xml:space="preserve">連宇            </t>
  </si>
  <si>
    <t xml:space="preserve">百容            </t>
  </si>
  <si>
    <t xml:space="preserve">希華            </t>
  </si>
  <si>
    <t xml:space="preserve">兆赫            </t>
  </si>
  <si>
    <t xml:space="preserve">一詮            </t>
  </si>
  <si>
    <t xml:space="preserve">漢平            </t>
  </si>
  <si>
    <t xml:space="preserve">瑞軒            </t>
  </si>
  <si>
    <t xml:space="preserve">吉祥全          </t>
  </si>
  <si>
    <t xml:space="preserve">華新科          </t>
  </si>
  <si>
    <t xml:space="preserve">揚博            </t>
  </si>
  <si>
    <t xml:space="preserve">普安            </t>
  </si>
  <si>
    <t xml:space="preserve">卓越            </t>
  </si>
  <si>
    <t xml:space="preserve">怡利電          </t>
  </si>
  <si>
    <t xml:space="preserve">宏達電          </t>
  </si>
  <si>
    <t xml:space="preserve">東貝            </t>
  </si>
  <si>
    <t xml:space="preserve">國建            </t>
  </si>
  <si>
    <t xml:space="preserve">國產            </t>
  </si>
  <si>
    <t xml:space="preserve">國揚            </t>
  </si>
  <si>
    <t xml:space="preserve">太設            </t>
  </si>
  <si>
    <t xml:space="preserve">全坤建          </t>
  </si>
  <si>
    <t xml:space="preserve">太子            </t>
  </si>
  <si>
    <t xml:space="preserve">龍邦            </t>
  </si>
  <si>
    <t xml:space="preserve">中工            </t>
  </si>
  <si>
    <t xml:space="preserve">新建            </t>
  </si>
  <si>
    <t xml:space="preserve">冠德            </t>
  </si>
  <si>
    <t xml:space="preserve">京城            </t>
  </si>
  <si>
    <t xml:space="preserve">宏璟            </t>
  </si>
  <si>
    <t xml:space="preserve">皇普            </t>
  </si>
  <si>
    <t xml:space="preserve">華建            </t>
  </si>
  <si>
    <t xml:space="preserve">宏盛            </t>
  </si>
  <si>
    <t xml:space="preserve">達欣工          </t>
  </si>
  <si>
    <t xml:space="preserve">宏普            </t>
  </si>
  <si>
    <t xml:space="preserve">聯上發          </t>
  </si>
  <si>
    <t xml:space="preserve">基泰            </t>
  </si>
  <si>
    <t xml:space="preserve">櫻花建          </t>
  </si>
  <si>
    <t xml:space="preserve">愛山林          </t>
  </si>
  <si>
    <t xml:space="preserve">興富發          </t>
  </si>
  <si>
    <t xml:space="preserve">皇昌            </t>
  </si>
  <si>
    <t xml:space="preserve">皇翔            </t>
  </si>
  <si>
    <t xml:space="preserve">根基            </t>
  </si>
  <si>
    <t xml:space="preserve">日勝生          </t>
  </si>
  <si>
    <t xml:space="preserve">華固            </t>
  </si>
  <si>
    <t xml:space="preserve">潤弘            </t>
  </si>
  <si>
    <t xml:space="preserve">益航            </t>
  </si>
  <si>
    <t xml:space="preserve">長榮            </t>
  </si>
  <si>
    <t xml:space="preserve">新興            </t>
  </si>
  <si>
    <t xml:space="preserve">裕民            </t>
  </si>
  <si>
    <t xml:space="preserve">榮運            </t>
  </si>
  <si>
    <t xml:space="preserve">大榮            </t>
  </si>
  <si>
    <t xml:space="preserve">陽明            </t>
  </si>
  <si>
    <t xml:space="preserve">華航            </t>
  </si>
  <si>
    <t xml:space="preserve">志信            </t>
  </si>
  <si>
    <t xml:space="preserve">中航            </t>
  </si>
  <si>
    <t xml:space="preserve">中櫃            </t>
  </si>
  <si>
    <t xml:space="preserve">東森            </t>
  </si>
  <si>
    <t xml:space="preserve">萬海            </t>
  </si>
  <si>
    <t xml:space="preserve">山隆            </t>
  </si>
  <si>
    <t xml:space="preserve">台航            </t>
  </si>
  <si>
    <t xml:space="preserve">長榮航          </t>
  </si>
  <si>
    <t xml:space="preserve">漢翔            </t>
  </si>
  <si>
    <t xml:space="preserve">宅配通          </t>
  </si>
  <si>
    <t xml:space="preserve">萬企            </t>
  </si>
  <si>
    <t xml:space="preserve">華園            </t>
  </si>
  <si>
    <t xml:space="preserve">國賓            </t>
  </si>
  <si>
    <t xml:space="preserve">六福            </t>
  </si>
  <si>
    <t xml:space="preserve">第一店          </t>
  </si>
  <si>
    <t xml:space="preserve">晶華            </t>
  </si>
  <si>
    <t xml:space="preserve">遠雄來          </t>
  </si>
  <si>
    <t xml:space="preserve">夏都            </t>
  </si>
  <si>
    <t xml:space="preserve">王品            </t>
  </si>
  <si>
    <t xml:space="preserve">雄獅            </t>
  </si>
  <si>
    <t xml:space="preserve">彰銀            </t>
  </si>
  <si>
    <t xml:space="preserve">京城銀          </t>
  </si>
  <si>
    <t xml:space="preserve">台中銀          </t>
  </si>
  <si>
    <t xml:space="preserve">旺旺保          </t>
  </si>
  <si>
    <t xml:space="preserve">華票            </t>
  </si>
  <si>
    <t xml:space="preserve">中壽            </t>
  </si>
  <si>
    <t xml:space="preserve">台產            </t>
  </si>
  <si>
    <t xml:space="preserve">臺企銀          </t>
  </si>
  <si>
    <t xml:space="preserve">高雄銀          </t>
  </si>
  <si>
    <t xml:space="preserve">聯邦銀          </t>
  </si>
  <si>
    <t xml:space="preserve">台開            </t>
  </si>
  <si>
    <t xml:space="preserve">遠東銀          </t>
  </si>
  <si>
    <t xml:space="preserve">安泰銀          </t>
  </si>
  <si>
    <t xml:space="preserve">新產            </t>
  </si>
  <si>
    <t xml:space="preserve">中再保          </t>
  </si>
  <si>
    <t xml:space="preserve">第一保          </t>
  </si>
  <si>
    <t xml:space="preserve">統一證          </t>
  </si>
  <si>
    <t xml:space="preserve">元富證          </t>
  </si>
  <si>
    <t xml:space="preserve">三商壽          </t>
  </si>
  <si>
    <t xml:space="preserve">華南金          </t>
  </si>
  <si>
    <t xml:space="preserve">富邦金          </t>
  </si>
  <si>
    <t xml:space="preserve">國泰金          </t>
  </si>
  <si>
    <t xml:space="preserve">開發金          </t>
  </si>
  <si>
    <t xml:space="preserve">玉山金          </t>
  </si>
  <si>
    <t xml:space="preserve">元大金          </t>
  </si>
  <si>
    <t xml:space="preserve">兆豐金          </t>
  </si>
  <si>
    <t xml:space="preserve">台新金          </t>
  </si>
  <si>
    <t xml:space="preserve">新光金          </t>
  </si>
  <si>
    <t xml:space="preserve">國票金          </t>
  </si>
  <si>
    <t xml:space="preserve">永豐金          </t>
  </si>
  <si>
    <t xml:space="preserve">中信金          </t>
  </si>
  <si>
    <t xml:space="preserve">第一金          </t>
  </si>
  <si>
    <t xml:space="preserve">欣欣            </t>
  </si>
  <si>
    <t xml:space="preserve">遠百            </t>
  </si>
  <si>
    <t xml:space="preserve">匯僑            </t>
  </si>
  <si>
    <t xml:space="preserve">三商            </t>
  </si>
  <si>
    <t xml:space="preserve">高林            </t>
  </si>
  <si>
    <t xml:space="preserve">特力            </t>
  </si>
  <si>
    <t xml:space="preserve">統領            </t>
  </si>
  <si>
    <t xml:space="preserve">麗嬰房          </t>
  </si>
  <si>
    <t xml:space="preserve">統一超          </t>
  </si>
  <si>
    <t xml:space="preserve">農林            </t>
  </si>
  <si>
    <t xml:space="preserve">潤泰全          </t>
  </si>
  <si>
    <t xml:space="preserve">歐格            </t>
  </si>
  <si>
    <t xml:space="preserve">健和興          </t>
  </si>
  <si>
    <t xml:space="preserve">豐達科          </t>
  </si>
  <si>
    <t xml:space="preserve">神基            </t>
  </si>
  <si>
    <t xml:space="preserve">晶豪科          </t>
  </si>
  <si>
    <t xml:space="preserve">大立光          </t>
  </si>
  <si>
    <t xml:space="preserve">華立            </t>
  </si>
  <si>
    <t xml:space="preserve">今皓            </t>
  </si>
  <si>
    <t xml:space="preserve">晟銘電          </t>
  </si>
  <si>
    <t xml:space="preserve">聯陽            </t>
  </si>
  <si>
    <t xml:space="preserve">嘉晶            </t>
  </si>
  <si>
    <t xml:space="preserve">奇鋐            </t>
  </si>
  <si>
    <t xml:space="preserve">同開            </t>
  </si>
  <si>
    <t xml:space="preserve">亞光            </t>
  </si>
  <si>
    <t xml:space="preserve">鴻名            </t>
  </si>
  <si>
    <t xml:space="preserve">威強電          </t>
  </si>
  <si>
    <t xml:space="preserve">信邦            </t>
  </si>
  <si>
    <t xml:space="preserve">憶聲            </t>
  </si>
  <si>
    <t xml:space="preserve">星通            </t>
  </si>
  <si>
    <t xml:space="preserve">禾伸堂          </t>
  </si>
  <si>
    <t xml:space="preserve">盛達            </t>
  </si>
  <si>
    <t xml:space="preserve">增你強          </t>
  </si>
  <si>
    <t xml:space="preserve">零壹            </t>
  </si>
  <si>
    <t xml:space="preserve">德律            </t>
  </si>
  <si>
    <t xml:space="preserve">佰鴻            </t>
  </si>
  <si>
    <t xml:space="preserve">偉訓            </t>
  </si>
  <si>
    <t xml:space="preserve">威健            </t>
  </si>
  <si>
    <t xml:space="preserve">聯詠            </t>
  </si>
  <si>
    <t xml:space="preserve">智原            </t>
  </si>
  <si>
    <t xml:space="preserve">文曄            </t>
  </si>
  <si>
    <t xml:space="preserve">欣興            </t>
  </si>
  <si>
    <t xml:space="preserve">全台            </t>
  </si>
  <si>
    <t xml:space="preserve">遠見            </t>
  </si>
  <si>
    <t xml:space="preserve">揚智            </t>
  </si>
  <si>
    <t xml:space="preserve">晶技            </t>
  </si>
  <si>
    <t xml:space="preserve">科風            </t>
  </si>
  <si>
    <t xml:space="preserve">健鼎            </t>
  </si>
  <si>
    <t xml:space="preserve">台灣大          </t>
  </si>
  <si>
    <t xml:space="preserve">建碁            </t>
  </si>
  <si>
    <t xml:space="preserve">訊舟            </t>
  </si>
  <si>
    <t xml:space="preserve">益登            </t>
  </si>
  <si>
    <t xml:space="preserve">和鑫            </t>
  </si>
  <si>
    <t xml:space="preserve">鈺德            </t>
  </si>
  <si>
    <t xml:space="preserve">力特            </t>
  </si>
  <si>
    <t xml:space="preserve">夆典            </t>
  </si>
  <si>
    <t xml:space="preserve">立萬利          </t>
  </si>
  <si>
    <t xml:space="preserve">蔚華科          </t>
  </si>
  <si>
    <t xml:space="preserve">總太            </t>
  </si>
  <si>
    <t xml:space="preserve">喬鼎            </t>
  </si>
  <si>
    <t xml:space="preserve">立德            </t>
  </si>
  <si>
    <t xml:space="preserve">華晶科          </t>
  </si>
  <si>
    <t xml:space="preserve">銘異            </t>
  </si>
  <si>
    <t xml:space="preserve">建漢            </t>
  </si>
  <si>
    <t xml:space="preserve">日電貿          </t>
  </si>
  <si>
    <t xml:space="preserve">聯傑            </t>
  </si>
  <si>
    <t xml:space="preserve">一零四          </t>
  </si>
  <si>
    <t xml:space="preserve">正達            </t>
  </si>
  <si>
    <t xml:space="preserve">景岳            </t>
  </si>
  <si>
    <t xml:space="preserve">大量            </t>
  </si>
  <si>
    <t xml:space="preserve">景碩            </t>
  </si>
  <si>
    <t xml:space="preserve">全科            </t>
  </si>
  <si>
    <t xml:space="preserve">晟鈦            </t>
  </si>
  <si>
    <t xml:space="preserve">緯創            </t>
  </si>
  <si>
    <t xml:space="preserve">虹冠電          </t>
  </si>
  <si>
    <t xml:space="preserve">昇陽            </t>
  </si>
  <si>
    <t xml:space="preserve">勝德            </t>
  </si>
  <si>
    <t xml:space="preserve">昇貿            </t>
  </si>
  <si>
    <t xml:space="preserve">聯德            </t>
  </si>
  <si>
    <t xml:space="preserve">閎暉            </t>
  </si>
  <si>
    <t xml:space="preserve">弘憶股          </t>
  </si>
  <si>
    <t xml:space="preserve">宣昶            </t>
  </si>
  <si>
    <t xml:space="preserve">泰碩            </t>
  </si>
  <si>
    <t xml:space="preserve">奇偶            </t>
  </si>
  <si>
    <t xml:space="preserve">新日興          </t>
  </si>
  <si>
    <t xml:space="preserve">明泰            </t>
  </si>
  <si>
    <t xml:space="preserve">新世紀          </t>
  </si>
  <si>
    <t xml:space="preserve">玉晶光          </t>
  </si>
  <si>
    <t xml:space="preserve">京鼎            </t>
  </si>
  <si>
    <t xml:space="preserve">融程電          </t>
  </si>
  <si>
    <t xml:space="preserve">譁裕            </t>
  </si>
  <si>
    <t xml:space="preserve">台端            </t>
  </si>
  <si>
    <t xml:space="preserve">榮創            </t>
  </si>
  <si>
    <t xml:space="preserve">創意            </t>
  </si>
  <si>
    <t xml:space="preserve">聯鈞            </t>
  </si>
  <si>
    <t xml:space="preserve">晶睿            </t>
  </si>
  <si>
    <t xml:space="preserve">華亞科          </t>
  </si>
  <si>
    <t xml:space="preserve">群創            </t>
  </si>
  <si>
    <t xml:space="preserve">誠研            </t>
  </si>
  <si>
    <t xml:space="preserve">維熹            </t>
  </si>
  <si>
    <t xml:space="preserve">揚明光          </t>
  </si>
  <si>
    <t xml:space="preserve">昱晶            </t>
  </si>
  <si>
    <t xml:space="preserve">華擎            </t>
  </si>
  <si>
    <t xml:space="preserve">柏騰            </t>
  </si>
  <si>
    <t xml:space="preserve">綠能            </t>
  </si>
  <si>
    <t xml:space="preserve">台勝科          </t>
  </si>
  <si>
    <t xml:space="preserve">嘉澤            </t>
  </si>
  <si>
    <t xml:space="preserve">晶彩科          </t>
  </si>
  <si>
    <t xml:space="preserve">誠創            </t>
  </si>
  <si>
    <t xml:space="preserve">敦泰            </t>
  </si>
  <si>
    <t xml:space="preserve">聯穎            </t>
  </si>
  <si>
    <t xml:space="preserve">嘉威            </t>
  </si>
  <si>
    <t xml:space="preserve">全智科          </t>
  </si>
  <si>
    <t xml:space="preserve">穎台            </t>
  </si>
  <si>
    <t xml:space="preserve">新日光          </t>
  </si>
  <si>
    <t xml:space="preserve">尚志            </t>
  </si>
  <si>
    <t xml:space="preserve">辛耘            </t>
  </si>
  <si>
    <t xml:space="preserve">通嘉            </t>
  </si>
  <si>
    <t xml:space="preserve">艾笛森          </t>
  </si>
  <si>
    <t xml:space="preserve">力銘            </t>
  </si>
  <si>
    <t xml:space="preserve">智易            </t>
  </si>
  <si>
    <t xml:space="preserve">奕力            </t>
  </si>
  <si>
    <t xml:space="preserve">宏致            </t>
  </si>
  <si>
    <t xml:space="preserve">谷崧            </t>
  </si>
  <si>
    <t xml:space="preserve">碩天            </t>
  </si>
  <si>
    <t xml:space="preserve">洋華            </t>
  </si>
  <si>
    <t xml:space="preserve">達邁            </t>
  </si>
  <si>
    <t xml:space="preserve">健策            </t>
  </si>
  <si>
    <t xml:space="preserve">圓展            </t>
  </si>
  <si>
    <t xml:space="preserve">新至陞          </t>
  </si>
  <si>
    <t xml:space="preserve">亞太電          </t>
  </si>
  <si>
    <t xml:space="preserve">達能            </t>
  </si>
  <si>
    <t xml:space="preserve">海華            </t>
  </si>
  <si>
    <t xml:space="preserve">隆達            </t>
  </si>
  <si>
    <t xml:space="preserve">大眾控          </t>
  </si>
  <si>
    <t xml:space="preserve">大聯大          </t>
  </si>
  <si>
    <t xml:space="preserve">欣陸            </t>
  </si>
  <si>
    <t xml:space="preserve">合勤控          </t>
  </si>
  <si>
    <t xml:space="preserve">永信            </t>
  </si>
  <si>
    <t xml:space="preserve">神達            </t>
  </si>
  <si>
    <t xml:space="preserve">佳醫            </t>
  </si>
  <si>
    <t xml:space="preserve">雃博            </t>
  </si>
  <si>
    <t xml:space="preserve">懷特            </t>
  </si>
  <si>
    <t xml:space="preserve">旭富            </t>
  </si>
  <si>
    <t xml:space="preserve">亞諾法          </t>
  </si>
  <si>
    <t xml:space="preserve">國光生          </t>
  </si>
  <si>
    <t xml:space="preserve">承業醫          </t>
  </si>
  <si>
    <t xml:space="preserve">炎洲            </t>
  </si>
  <si>
    <t xml:space="preserve">如興            </t>
  </si>
  <si>
    <t xml:space="preserve">利勤            </t>
  </si>
  <si>
    <t xml:space="preserve">東台            </t>
  </si>
  <si>
    <t xml:space="preserve">瑞智            </t>
  </si>
  <si>
    <t xml:space="preserve">拓凱            </t>
  </si>
  <si>
    <t xml:space="preserve">智伸科          </t>
  </si>
  <si>
    <t xml:space="preserve">德淵            </t>
  </si>
  <si>
    <t xml:space="preserve">國精化          </t>
  </si>
  <si>
    <t xml:space="preserve">信昌化          </t>
  </si>
  <si>
    <t xml:space="preserve">上緯            </t>
  </si>
  <si>
    <t xml:space="preserve">華廣            </t>
  </si>
  <si>
    <t xml:space="preserve">台耀            </t>
  </si>
  <si>
    <t xml:space="preserve">三福化          </t>
  </si>
  <si>
    <t xml:space="preserve">遠傳            </t>
  </si>
  <si>
    <t xml:space="preserve">正文            </t>
  </si>
  <si>
    <t xml:space="preserve">致伸            </t>
  </si>
  <si>
    <t xml:space="preserve">事欣科          </t>
  </si>
  <si>
    <t xml:space="preserve">新唐            </t>
  </si>
  <si>
    <t xml:space="preserve">燦星網          </t>
  </si>
  <si>
    <t xml:space="preserve">太極            </t>
  </si>
  <si>
    <t xml:space="preserve">和碩            </t>
  </si>
  <si>
    <t xml:space="preserve">嘉彰            </t>
  </si>
  <si>
    <t xml:space="preserve">凌通            </t>
  </si>
  <si>
    <t xml:space="preserve">光鋐            </t>
  </si>
  <si>
    <t xml:space="preserve">奇美材          </t>
  </si>
  <si>
    <t xml:space="preserve">佳凌            </t>
  </si>
  <si>
    <t xml:space="preserve">傳奇            </t>
  </si>
  <si>
    <t xml:space="preserve">鑫禾            </t>
  </si>
  <si>
    <t xml:space="preserve">三星            </t>
  </si>
  <si>
    <t xml:space="preserve">訊連            </t>
  </si>
  <si>
    <t xml:space="preserve">清惠            </t>
  </si>
  <si>
    <t xml:space="preserve">祥碩            </t>
  </si>
  <si>
    <t xml:space="preserve">界霖            </t>
  </si>
  <si>
    <t xml:space="preserve">敦南            </t>
  </si>
  <si>
    <t xml:space="preserve">中磊            </t>
  </si>
  <si>
    <t xml:space="preserve">崇越            </t>
  </si>
  <si>
    <t xml:space="preserve">瀚宇博          </t>
  </si>
  <si>
    <t xml:space="preserve">松翰            </t>
  </si>
  <si>
    <t xml:space="preserve">慧友            </t>
  </si>
  <si>
    <t xml:space="preserve">建國            </t>
  </si>
  <si>
    <t xml:space="preserve">隆大            </t>
  </si>
  <si>
    <t xml:space="preserve">工信            </t>
  </si>
  <si>
    <t xml:space="preserve">遠雄            </t>
  </si>
  <si>
    <t xml:space="preserve">順天            </t>
  </si>
  <si>
    <t xml:space="preserve">鄉林            </t>
  </si>
  <si>
    <t xml:space="preserve">皇鼎            </t>
  </si>
  <si>
    <t xml:space="preserve">長虹            </t>
  </si>
  <si>
    <t xml:space="preserve">遠雄港          </t>
  </si>
  <si>
    <t xml:space="preserve">四維航          </t>
  </si>
  <si>
    <t xml:space="preserve">鳳凰            </t>
  </si>
  <si>
    <t xml:space="preserve">合庫金          </t>
  </si>
  <si>
    <t xml:space="preserve">群益證          </t>
  </si>
  <si>
    <t xml:space="preserve">競國            </t>
  </si>
  <si>
    <t xml:space="preserve">聚碩            </t>
  </si>
  <si>
    <t xml:space="preserve">鎰勝            </t>
  </si>
  <si>
    <t xml:space="preserve">彩晶            </t>
  </si>
  <si>
    <t xml:space="preserve">迎廣            </t>
  </si>
  <si>
    <t xml:space="preserve">達運            </t>
  </si>
  <si>
    <t xml:space="preserve">上福            </t>
  </si>
  <si>
    <t xml:space="preserve">金橋            </t>
  </si>
  <si>
    <t xml:space="preserve">富爾特          </t>
  </si>
  <si>
    <t xml:space="preserve">亞翔            </t>
  </si>
  <si>
    <t xml:space="preserve">柏承            </t>
  </si>
  <si>
    <t xml:space="preserve">友勁            </t>
  </si>
  <si>
    <t xml:space="preserve">勁永            </t>
  </si>
  <si>
    <t xml:space="preserve">百一            </t>
  </si>
  <si>
    <t xml:space="preserve">嘉聯益          </t>
  </si>
  <si>
    <t xml:space="preserve">鈞寶            </t>
  </si>
  <si>
    <t xml:space="preserve">華興            </t>
  </si>
  <si>
    <t xml:space="preserve">捷泰            </t>
  </si>
  <si>
    <t xml:space="preserve">凌華            </t>
  </si>
  <si>
    <t xml:space="preserve">宏齊            </t>
  </si>
  <si>
    <t xml:space="preserve">互億            </t>
  </si>
  <si>
    <t xml:space="preserve">瑞儀            </t>
  </si>
  <si>
    <t xml:space="preserve">達麗            </t>
  </si>
  <si>
    <t xml:space="preserve">關貿            </t>
  </si>
  <si>
    <t xml:space="preserve">大豐電          </t>
  </si>
  <si>
    <t xml:space="preserve">豐藝            </t>
  </si>
  <si>
    <t xml:space="preserve">精成科          </t>
  </si>
  <si>
    <t xml:space="preserve">巨路            </t>
  </si>
  <si>
    <t xml:space="preserve">帆宣            </t>
  </si>
  <si>
    <t xml:space="preserve">佳必琪          </t>
  </si>
  <si>
    <t xml:space="preserve">亞弘電          </t>
  </si>
  <si>
    <t xml:space="preserve">盛群            </t>
  </si>
  <si>
    <t xml:space="preserve">詮欣            </t>
  </si>
  <si>
    <t xml:space="preserve">飛捷            </t>
  </si>
  <si>
    <t xml:space="preserve">今國光          </t>
  </si>
  <si>
    <t xml:space="preserve">聯茂            </t>
  </si>
  <si>
    <t xml:space="preserve">精誠            </t>
  </si>
  <si>
    <t xml:space="preserve">和椿            </t>
  </si>
  <si>
    <t xml:space="preserve">居易            </t>
  </si>
  <si>
    <t xml:space="preserve">聚鼎            </t>
  </si>
  <si>
    <t xml:space="preserve">天瀚            </t>
  </si>
  <si>
    <t xml:space="preserve">光鼎            </t>
  </si>
  <si>
    <t xml:space="preserve">超眾            </t>
  </si>
  <si>
    <t xml:space="preserve">華孚            </t>
  </si>
  <si>
    <t xml:space="preserve">力成            </t>
  </si>
  <si>
    <t xml:space="preserve">迅杰            </t>
  </si>
  <si>
    <t xml:space="preserve">定穎            </t>
  </si>
  <si>
    <t xml:space="preserve">矽格            </t>
  </si>
  <si>
    <t xml:space="preserve">台郡            </t>
  </si>
  <si>
    <t xml:space="preserve">同欣電          </t>
  </si>
  <si>
    <t xml:space="preserve">宏正            </t>
  </si>
  <si>
    <t xml:space="preserve">台表科          </t>
  </si>
  <si>
    <t xml:space="preserve">全國電          </t>
  </si>
  <si>
    <t xml:space="preserve">康舒            </t>
  </si>
  <si>
    <t xml:space="preserve">淳安            </t>
  </si>
  <si>
    <t xml:space="preserve">啟碁            </t>
  </si>
  <si>
    <t xml:space="preserve">華上            </t>
  </si>
  <si>
    <t xml:space="preserve">悅城            </t>
  </si>
  <si>
    <t xml:space="preserve">旭隼            </t>
  </si>
  <si>
    <t xml:space="preserve">群電            </t>
  </si>
  <si>
    <t xml:space="preserve">樺漢            </t>
  </si>
  <si>
    <t xml:space="preserve">光聖            </t>
  </si>
  <si>
    <t xml:space="preserve">元晶            </t>
  </si>
  <si>
    <t xml:space="preserve">鈺邦            </t>
  </si>
  <si>
    <t xml:space="preserve">南六            </t>
  </si>
  <si>
    <t xml:space="preserve">台塑化          </t>
  </si>
  <si>
    <t xml:space="preserve">帝寶            </t>
  </si>
  <si>
    <t xml:space="preserve">興航            </t>
  </si>
  <si>
    <t xml:space="preserve">台通            </t>
  </si>
  <si>
    <t xml:space="preserve">矽創            </t>
  </si>
  <si>
    <t xml:space="preserve">尖點            </t>
  </si>
  <si>
    <t xml:space="preserve">雷虎            </t>
  </si>
  <si>
    <t xml:space="preserve">台虹            </t>
  </si>
  <si>
    <t xml:space="preserve">南電            </t>
  </si>
  <si>
    <t xml:space="preserve">長華            </t>
  </si>
  <si>
    <t xml:space="preserve">陞泰            </t>
  </si>
  <si>
    <t xml:space="preserve">致新            </t>
  </si>
  <si>
    <t xml:space="preserve">華冠            </t>
  </si>
  <si>
    <t xml:space="preserve">瀚荃            </t>
  </si>
  <si>
    <t xml:space="preserve">凌巨            </t>
  </si>
  <si>
    <t xml:space="preserve">華東            </t>
  </si>
  <si>
    <t xml:space="preserve">至上            </t>
  </si>
  <si>
    <t xml:space="preserve">振樺電          </t>
  </si>
  <si>
    <t xml:space="preserve">福懋科          </t>
  </si>
  <si>
    <t xml:space="preserve">南茂            </t>
  </si>
  <si>
    <t xml:space="preserve">達方            </t>
  </si>
  <si>
    <t xml:space="preserve">無敵            </t>
  </si>
  <si>
    <t xml:space="preserve">勤誠            </t>
  </si>
  <si>
    <t xml:space="preserve">志超            </t>
  </si>
  <si>
    <t xml:space="preserve">明基材          </t>
  </si>
  <si>
    <t xml:space="preserve">寶一            </t>
  </si>
  <si>
    <t xml:space="preserve">菱光            </t>
  </si>
  <si>
    <t xml:space="preserve">富鼎            </t>
  </si>
  <si>
    <t xml:space="preserve">宇瞻            </t>
  </si>
  <si>
    <t xml:space="preserve">日友            </t>
  </si>
  <si>
    <t xml:space="preserve">羅昇            </t>
  </si>
  <si>
    <t xml:space="preserve">可寧衛          </t>
  </si>
  <si>
    <t xml:space="preserve">阿瘦            </t>
  </si>
  <si>
    <t xml:space="preserve">富邦媒          </t>
  </si>
  <si>
    <t xml:space="preserve">潤泰材          </t>
  </si>
  <si>
    <t xml:space="preserve">台汽電          </t>
  </si>
  <si>
    <t xml:space="preserve">新天地          </t>
  </si>
  <si>
    <t xml:space="preserve">高力            </t>
  </si>
  <si>
    <t xml:space="preserve">台火            </t>
  </si>
  <si>
    <t xml:space="preserve">寶成            </t>
  </si>
  <si>
    <t xml:space="preserve">大華            </t>
  </si>
  <si>
    <t xml:space="preserve">欣巴巴          </t>
  </si>
  <si>
    <t xml:space="preserve">統一實          </t>
  </si>
  <si>
    <t xml:space="preserve">大台北          </t>
  </si>
  <si>
    <t xml:space="preserve">豐泰            </t>
  </si>
  <si>
    <t xml:space="preserve">櫻花            </t>
  </si>
  <si>
    <t xml:space="preserve">偉聯            </t>
  </si>
  <si>
    <t xml:space="preserve">美利達          </t>
  </si>
  <si>
    <t xml:space="preserve">中保            </t>
  </si>
  <si>
    <t xml:space="preserve">欣天然          </t>
  </si>
  <si>
    <t xml:space="preserve">康那香          </t>
  </si>
  <si>
    <t xml:space="preserve">巨大            </t>
  </si>
  <si>
    <t xml:space="preserve">福興            </t>
  </si>
  <si>
    <t xml:space="preserve">新保            </t>
  </si>
  <si>
    <t xml:space="preserve">新海            </t>
  </si>
  <si>
    <t xml:space="preserve">泰銘            </t>
  </si>
  <si>
    <t xml:space="preserve">中視            </t>
  </si>
  <si>
    <t xml:space="preserve">秋雨            </t>
  </si>
  <si>
    <t xml:space="preserve">欣高            </t>
  </si>
  <si>
    <t xml:space="preserve">中鼎            </t>
  </si>
  <si>
    <t xml:space="preserve">成霖            </t>
  </si>
  <si>
    <t xml:space="preserve">慶豐富          </t>
  </si>
  <si>
    <t xml:space="preserve">全國            </t>
  </si>
  <si>
    <t xml:space="preserve">百和            </t>
  </si>
  <si>
    <t xml:space="preserve">宏全            </t>
  </si>
  <si>
    <t xml:space="preserve">信義            </t>
  </si>
  <si>
    <t xml:space="preserve">裕融            </t>
  </si>
  <si>
    <t xml:space="preserve">茂順            </t>
  </si>
  <si>
    <t xml:space="preserve">好樂迪          </t>
  </si>
  <si>
    <t xml:space="preserve">新麗            </t>
  </si>
  <si>
    <t xml:space="preserve">潤泰新          </t>
  </si>
  <si>
    <t xml:space="preserve">佳龍            </t>
  </si>
  <si>
    <t xml:space="preserve">世紀鋼          </t>
  </si>
  <si>
    <t>寶富櫃</t>
  </si>
  <si>
    <t>F-其祥</t>
  </si>
  <si>
    <t>精華</t>
  </si>
  <si>
    <t>力肯</t>
  </si>
  <si>
    <t>新麥</t>
  </si>
  <si>
    <t>精剛</t>
  </si>
  <si>
    <t>和勤</t>
  </si>
  <si>
    <t>F-駿吉</t>
  </si>
  <si>
    <t>川寶</t>
  </si>
  <si>
    <t>宏佳騰</t>
  </si>
  <si>
    <t>合世</t>
  </si>
  <si>
    <t>訊聯</t>
  </si>
  <si>
    <t>光洋科</t>
  </si>
  <si>
    <t>杏昌</t>
  </si>
  <si>
    <t>美時</t>
  </si>
  <si>
    <t>富喬</t>
  </si>
  <si>
    <t>唐榮</t>
  </si>
  <si>
    <t>嘉鋼</t>
  </si>
  <si>
    <t>大甲</t>
  </si>
  <si>
    <t>綠意</t>
  </si>
  <si>
    <t>台驊</t>
  </si>
  <si>
    <t>大車隊</t>
  </si>
  <si>
    <t>正德</t>
  </si>
  <si>
    <t>F-富驛</t>
  </si>
  <si>
    <t>F-雅茗</t>
  </si>
  <si>
    <t>瓦城</t>
  </si>
  <si>
    <t>六角</t>
  </si>
  <si>
    <t>滿心</t>
  </si>
  <si>
    <t>F-東凌</t>
  </si>
  <si>
    <t>誠品生</t>
  </si>
  <si>
    <t>泰偉</t>
  </si>
  <si>
    <t>李洲</t>
  </si>
  <si>
    <t>協禧</t>
  </si>
  <si>
    <t>普格</t>
  </si>
  <si>
    <t>僑威</t>
  </si>
  <si>
    <t>聯亞</t>
  </si>
  <si>
    <t>網龍</t>
  </si>
  <si>
    <t>華義</t>
  </si>
  <si>
    <t>好德</t>
  </si>
  <si>
    <t>寶島極</t>
  </si>
  <si>
    <t>進階</t>
  </si>
  <si>
    <t>笙泉</t>
  </si>
  <si>
    <t>昇銳</t>
  </si>
  <si>
    <t>弘塑</t>
  </si>
  <si>
    <t>璟德</t>
  </si>
  <si>
    <t>精確</t>
  </si>
  <si>
    <t>亞信</t>
  </si>
  <si>
    <t>新洲</t>
  </si>
  <si>
    <t>和進</t>
  </si>
  <si>
    <t>樺晟</t>
  </si>
  <si>
    <t>志豐</t>
  </si>
  <si>
    <t>順達</t>
  </si>
  <si>
    <t>茂訊</t>
  </si>
  <si>
    <t>優群</t>
  </si>
  <si>
    <t>倚強</t>
  </si>
  <si>
    <t>台嘉碩</t>
  </si>
  <si>
    <t>三顧</t>
  </si>
  <si>
    <t>錦明</t>
  </si>
  <si>
    <t>鑫創</t>
  </si>
  <si>
    <t>威剛</t>
  </si>
  <si>
    <t>欣銓</t>
  </si>
  <si>
    <t>宇環</t>
  </si>
  <si>
    <t>廣寰科</t>
  </si>
  <si>
    <t>點晶</t>
  </si>
  <si>
    <t>宜特</t>
  </si>
  <si>
    <t>東浦</t>
  </si>
  <si>
    <t>鈊象</t>
  </si>
  <si>
    <t>鼎天</t>
  </si>
  <si>
    <t>佳穎</t>
  </si>
  <si>
    <t>尼克森</t>
  </si>
  <si>
    <t>建舜電</t>
  </si>
  <si>
    <t>雙鴻</t>
  </si>
  <si>
    <t>旭品</t>
  </si>
  <si>
    <t>泰谷</t>
  </si>
  <si>
    <t>律勝</t>
  </si>
  <si>
    <t>先進光</t>
  </si>
  <si>
    <t>彬台</t>
  </si>
  <si>
    <t>旭軟</t>
  </si>
  <si>
    <t>漢科</t>
  </si>
  <si>
    <t>長天</t>
  </si>
  <si>
    <t>類比科</t>
  </si>
  <si>
    <t>聯一光</t>
  </si>
  <si>
    <t>利機</t>
  </si>
  <si>
    <t>益通</t>
  </si>
  <si>
    <t>祥業</t>
  </si>
  <si>
    <t>安勤</t>
  </si>
  <si>
    <t>昇達科</t>
  </si>
  <si>
    <t>長盛</t>
  </si>
  <si>
    <t>陽程</t>
  </si>
  <si>
    <t>矽瑪</t>
  </si>
  <si>
    <t>能緹</t>
  </si>
  <si>
    <t>振維</t>
  </si>
  <si>
    <t>鴻翊</t>
  </si>
  <si>
    <t>迎輝</t>
  </si>
  <si>
    <t>凡甲</t>
  </si>
  <si>
    <t>安馳</t>
  </si>
  <si>
    <t>先益</t>
  </si>
  <si>
    <t>曜越</t>
  </si>
  <si>
    <t>西柏</t>
  </si>
  <si>
    <t>宇峻</t>
  </si>
  <si>
    <t>同致</t>
  </si>
  <si>
    <t>其陽</t>
  </si>
  <si>
    <t>逸昌</t>
  </si>
  <si>
    <t>大塚</t>
  </si>
  <si>
    <t>泓格</t>
  </si>
  <si>
    <t>友威科</t>
  </si>
  <si>
    <t>博磊</t>
  </si>
  <si>
    <t>閎康</t>
  </si>
  <si>
    <t>安可</t>
  </si>
  <si>
    <t>盈正</t>
  </si>
  <si>
    <t>卓韋</t>
  </si>
  <si>
    <t>研勤</t>
  </si>
  <si>
    <t>駿熠電</t>
  </si>
  <si>
    <t>艾恩特</t>
  </si>
  <si>
    <t>樂陞</t>
  </si>
  <si>
    <t>鑫科</t>
  </si>
  <si>
    <t>F-安瑞</t>
  </si>
  <si>
    <t>德微</t>
  </si>
  <si>
    <t>家登</t>
  </si>
  <si>
    <t>榮昌</t>
  </si>
  <si>
    <t>政翔</t>
  </si>
  <si>
    <t>湧德</t>
  </si>
  <si>
    <t>碩禾</t>
  </si>
  <si>
    <t>永日</t>
  </si>
  <si>
    <t>百略</t>
  </si>
  <si>
    <t>東洋</t>
  </si>
  <si>
    <t>邦特</t>
  </si>
  <si>
    <t>穆拉德</t>
  </si>
  <si>
    <t>濟生</t>
  </si>
  <si>
    <t>健喬</t>
  </si>
  <si>
    <t>優盛</t>
  </si>
  <si>
    <t>晟德</t>
  </si>
  <si>
    <t>天良</t>
  </si>
  <si>
    <t>中天</t>
  </si>
  <si>
    <t>聯合</t>
  </si>
  <si>
    <t>晶宇</t>
  </si>
  <si>
    <t>曜亞</t>
  </si>
  <si>
    <t>F-馬光</t>
  </si>
  <si>
    <t>F-康樂</t>
  </si>
  <si>
    <t>F*太景</t>
  </si>
  <si>
    <t>創源</t>
  </si>
  <si>
    <t>聿新科</t>
  </si>
  <si>
    <t>鐿鈦</t>
  </si>
  <si>
    <t>瑞基</t>
  </si>
  <si>
    <t>安成藥</t>
  </si>
  <si>
    <t>安克</t>
  </si>
  <si>
    <t>杏國</t>
  </si>
  <si>
    <t>中華食</t>
  </si>
  <si>
    <t>環泰</t>
  </si>
  <si>
    <t>信立</t>
  </si>
  <si>
    <t>世坤</t>
  </si>
  <si>
    <t>東隆興</t>
  </si>
  <si>
    <t>新昕纖</t>
  </si>
  <si>
    <t>飛寶</t>
  </si>
  <si>
    <t>台原藥</t>
  </si>
  <si>
    <t>金洲</t>
  </si>
  <si>
    <t>松懋</t>
  </si>
  <si>
    <t>光明</t>
  </si>
  <si>
    <t>耀億</t>
  </si>
  <si>
    <t>銘旺實</t>
  </si>
  <si>
    <t>興采</t>
  </si>
  <si>
    <t>高鋒</t>
  </si>
  <si>
    <t>福裕</t>
  </si>
  <si>
    <t>永彰</t>
  </si>
  <si>
    <t>方土霖</t>
  </si>
  <si>
    <t>江興鍛</t>
  </si>
  <si>
    <t>昶洧</t>
  </si>
  <si>
    <t>宏易</t>
  </si>
  <si>
    <t>協易機</t>
  </si>
  <si>
    <t>慶騰</t>
  </si>
  <si>
    <t>至興</t>
  </si>
  <si>
    <t>晟田</t>
  </si>
  <si>
    <t>唐鋒</t>
  </si>
  <si>
    <t>大恭</t>
  </si>
  <si>
    <t>永純</t>
  </si>
  <si>
    <t>大立</t>
  </si>
  <si>
    <t>永昕</t>
  </si>
  <si>
    <t>豪展</t>
  </si>
  <si>
    <t>康普</t>
  </si>
  <si>
    <t>合一</t>
  </si>
  <si>
    <t>F-合富</t>
  </si>
  <si>
    <t>強生</t>
  </si>
  <si>
    <t>聯光通</t>
  </si>
  <si>
    <t>台聯電</t>
  </si>
  <si>
    <t>富宇</t>
  </si>
  <si>
    <t>前鼎</t>
  </si>
  <si>
    <t>F-欣厚</t>
  </si>
  <si>
    <t>兆遠</t>
  </si>
  <si>
    <t>辣椒</t>
  </si>
  <si>
    <t>F-昂寶</t>
  </si>
  <si>
    <t>緯軟</t>
  </si>
  <si>
    <t>F-譜瑞</t>
  </si>
  <si>
    <t>F-IET</t>
  </si>
  <si>
    <t>湯石</t>
  </si>
  <si>
    <t>廣穎</t>
  </si>
  <si>
    <t>科誠</t>
  </si>
  <si>
    <t>F-環宇</t>
  </si>
  <si>
    <t>晶達</t>
  </si>
  <si>
    <t>強新</t>
  </si>
  <si>
    <t>建錩</t>
  </si>
  <si>
    <t>松和</t>
  </si>
  <si>
    <t>凱衛</t>
  </si>
  <si>
    <t>力新</t>
  </si>
  <si>
    <t>漢康</t>
  </si>
  <si>
    <t>新鼎</t>
  </si>
  <si>
    <t>凌網</t>
  </si>
  <si>
    <t>亞昕</t>
  </si>
  <si>
    <t>F-立凱</t>
  </si>
  <si>
    <t>智崴</t>
  </si>
  <si>
    <t>信驊</t>
  </si>
  <si>
    <t>F-達輝</t>
  </si>
  <si>
    <t>F-jpp</t>
  </si>
  <si>
    <t>宜鼎</t>
  </si>
  <si>
    <t>桂盟</t>
  </si>
  <si>
    <t>系統電</t>
  </si>
  <si>
    <t>天剛</t>
  </si>
  <si>
    <t>世紀</t>
  </si>
  <si>
    <t>光聯</t>
  </si>
  <si>
    <t>友銓</t>
  </si>
  <si>
    <t>華容</t>
  </si>
  <si>
    <t>建榮</t>
  </si>
  <si>
    <t>立衛</t>
  </si>
  <si>
    <t>系通</t>
  </si>
  <si>
    <t>先豐</t>
  </si>
  <si>
    <t>鈺創</t>
  </si>
  <si>
    <t>台林</t>
  </si>
  <si>
    <t>協益</t>
  </si>
  <si>
    <t>合正</t>
  </si>
  <si>
    <t>金利</t>
  </si>
  <si>
    <t>青雲</t>
  </si>
  <si>
    <t>應華</t>
  </si>
  <si>
    <t>圓方</t>
  </si>
  <si>
    <t>國眾</t>
  </si>
  <si>
    <t>達威</t>
  </si>
  <si>
    <t>東友</t>
  </si>
  <si>
    <t>均豪</t>
  </si>
  <si>
    <t>同協</t>
  </si>
  <si>
    <t>霖宏</t>
  </si>
  <si>
    <t>聰泰</t>
  </si>
  <si>
    <t>德宏</t>
  </si>
  <si>
    <t>統盟</t>
  </si>
  <si>
    <t>華韡</t>
  </si>
  <si>
    <t>中美晶</t>
  </si>
  <si>
    <t>松普</t>
  </si>
  <si>
    <t>彩富</t>
  </si>
  <si>
    <t>連展</t>
  </si>
  <si>
    <t>三聯</t>
  </si>
  <si>
    <t>凱崴</t>
  </si>
  <si>
    <t>永信建</t>
  </si>
  <si>
    <t>德昌</t>
  </si>
  <si>
    <t>三豐</t>
  </si>
  <si>
    <t>雙喜</t>
  </si>
  <si>
    <t>力泰</t>
  </si>
  <si>
    <t>志嘉</t>
  </si>
  <si>
    <t>龍巖</t>
  </si>
  <si>
    <t>台聯櫃</t>
  </si>
  <si>
    <t>中連貨</t>
  </si>
  <si>
    <t>劍湖山</t>
  </si>
  <si>
    <t>亞都</t>
  </si>
  <si>
    <t>老爺知</t>
  </si>
  <si>
    <t>日盛金</t>
  </si>
  <si>
    <t>全家</t>
  </si>
  <si>
    <t>南仁湖</t>
  </si>
  <si>
    <t>宏遠證</t>
  </si>
  <si>
    <t>康和證</t>
  </si>
  <si>
    <t>大眾證</t>
  </si>
  <si>
    <t>元大期</t>
  </si>
  <si>
    <t>弘捷</t>
  </si>
  <si>
    <t>合邦</t>
  </si>
  <si>
    <t>創惟</t>
  </si>
  <si>
    <t>瑞傳</t>
  </si>
  <si>
    <t>華美</t>
  </si>
  <si>
    <t>亞元</t>
  </si>
  <si>
    <t>大宇資</t>
  </si>
  <si>
    <t>亞矽</t>
  </si>
  <si>
    <t>久威</t>
  </si>
  <si>
    <t>建達</t>
  </si>
  <si>
    <t>擎邦</t>
  </si>
  <si>
    <t>上奇</t>
  </si>
  <si>
    <t>業強</t>
  </si>
  <si>
    <t>信音</t>
  </si>
  <si>
    <t>九豪</t>
  </si>
  <si>
    <t>普誠</t>
  </si>
  <si>
    <t>萬旭</t>
  </si>
  <si>
    <t>茂達</t>
  </si>
  <si>
    <t>訊達</t>
  </si>
  <si>
    <t>振曜</t>
  </si>
  <si>
    <t>得利影</t>
  </si>
  <si>
    <t>頎邦</t>
  </si>
  <si>
    <t>驊宏資</t>
  </si>
  <si>
    <t>撼訊</t>
  </si>
  <si>
    <t>晉倫</t>
  </si>
  <si>
    <t>欣技</t>
  </si>
  <si>
    <t>久正</t>
  </si>
  <si>
    <t>昱泉</t>
  </si>
  <si>
    <t>信昌電</t>
  </si>
  <si>
    <t>安碁</t>
  </si>
  <si>
    <t>橘子</t>
  </si>
  <si>
    <t>幃翔</t>
  </si>
  <si>
    <t>萬潤</t>
  </si>
  <si>
    <t>廣明</t>
  </si>
  <si>
    <t>育富</t>
  </si>
  <si>
    <t>凌泰</t>
  </si>
  <si>
    <t>天品</t>
  </si>
  <si>
    <t>艾華</t>
  </si>
  <si>
    <t>日揚</t>
  </si>
  <si>
    <t>慶生</t>
  </si>
  <si>
    <t>中探針</t>
  </si>
  <si>
    <t>豪勉</t>
  </si>
  <si>
    <t>富旺</t>
  </si>
  <si>
    <t>上揚</t>
  </si>
  <si>
    <t>全譜</t>
  </si>
  <si>
    <t>旺玖</t>
  </si>
  <si>
    <t>勝麗</t>
  </si>
  <si>
    <t>松崗</t>
  </si>
  <si>
    <t>立康</t>
  </si>
  <si>
    <t>立端</t>
  </si>
  <si>
    <t>淇譽電</t>
  </si>
  <si>
    <t>普萊德</t>
  </si>
  <si>
    <t>泰詠</t>
  </si>
  <si>
    <t>倍微</t>
  </si>
  <si>
    <t>元山</t>
  </si>
  <si>
    <t>胡連</t>
  </si>
  <si>
    <t>佳邦</t>
  </si>
  <si>
    <t>元隆</t>
  </si>
  <si>
    <t>良維</t>
  </si>
  <si>
    <t>迅德</t>
  </si>
  <si>
    <t>智基</t>
  </si>
  <si>
    <t>崴強</t>
  </si>
  <si>
    <t>F-通訊</t>
  </si>
  <si>
    <t>京晨科</t>
  </si>
  <si>
    <t>今展科</t>
  </si>
  <si>
    <t>紘康</t>
  </si>
  <si>
    <t>環球晶</t>
  </si>
  <si>
    <t>雙邦</t>
  </si>
  <si>
    <t>崑鼎</t>
  </si>
  <si>
    <t>鈦昇</t>
  </si>
  <si>
    <t>光菱</t>
  </si>
  <si>
    <t>榮群</t>
  </si>
  <si>
    <t>九暘</t>
  </si>
  <si>
    <t>金山電</t>
  </si>
  <si>
    <t>蜜望實</t>
  </si>
  <si>
    <t>網家</t>
  </si>
  <si>
    <t>星雲</t>
  </si>
  <si>
    <t>德勝</t>
  </si>
  <si>
    <t>晶采</t>
  </si>
  <si>
    <t>廣積</t>
  </si>
  <si>
    <t>凱碩</t>
  </si>
  <si>
    <t>來思達</t>
  </si>
  <si>
    <t>志旭</t>
  </si>
  <si>
    <t>元太</t>
  </si>
  <si>
    <t>鉅橡</t>
  </si>
  <si>
    <t>伍豐</t>
  </si>
  <si>
    <t>洛碁</t>
  </si>
  <si>
    <t>誠遠</t>
  </si>
  <si>
    <t>巨虹</t>
  </si>
  <si>
    <t>宏捷科</t>
  </si>
  <si>
    <t>翔名</t>
  </si>
  <si>
    <t>建暐</t>
  </si>
  <si>
    <t>保銳</t>
  </si>
  <si>
    <t>擎亞</t>
  </si>
  <si>
    <t>常珵</t>
  </si>
  <si>
    <t>大世科</t>
  </si>
  <si>
    <t>博大</t>
  </si>
  <si>
    <t>立碁</t>
  </si>
  <si>
    <t>越峰</t>
  </si>
  <si>
    <t>正淩</t>
  </si>
  <si>
    <t>博智</t>
  </si>
  <si>
    <t>天宇</t>
  </si>
  <si>
    <t>智捷</t>
  </si>
  <si>
    <t>加高</t>
  </si>
  <si>
    <t>精星</t>
  </si>
  <si>
    <t>華宏</t>
  </si>
  <si>
    <t>朋程</t>
  </si>
  <si>
    <t>中日新</t>
  </si>
  <si>
    <t>商丞</t>
  </si>
  <si>
    <t>英格爾</t>
  </si>
  <si>
    <t>泰藝</t>
  </si>
  <si>
    <t>尚茂</t>
  </si>
  <si>
    <t>群聯</t>
  </si>
  <si>
    <t>恒耀</t>
  </si>
  <si>
    <t>冠好</t>
  </si>
  <si>
    <t>金居</t>
  </si>
  <si>
    <t>金益鼎</t>
  </si>
  <si>
    <t>白紗科</t>
  </si>
  <si>
    <t>盛弘</t>
  </si>
  <si>
    <t>F-金可</t>
  </si>
  <si>
    <t>商之器</t>
  </si>
  <si>
    <t>F-必勝</t>
  </si>
  <si>
    <t>F-保綠</t>
  </si>
  <si>
    <t>F-紅木</t>
  </si>
  <si>
    <t>大江</t>
  </si>
  <si>
    <t>F-大地</t>
  </si>
  <si>
    <t>華研</t>
  </si>
  <si>
    <t>裕國</t>
  </si>
  <si>
    <t>花王</t>
  </si>
  <si>
    <t>沈氏</t>
  </si>
  <si>
    <t>時報</t>
  </si>
  <si>
    <t>大田</t>
  </si>
  <si>
    <t>大汽電</t>
  </si>
  <si>
    <t>宏大</t>
  </si>
  <si>
    <t>愛地雅</t>
  </si>
  <si>
    <t>衡平</t>
  </si>
  <si>
    <t>國統</t>
  </si>
  <si>
    <t>合騏</t>
  </si>
  <si>
    <t>森鉅</t>
  </si>
  <si>
    <t>特藝</t>
  </si>
  <si>
    <t>萬國通</t>
  </si>
  <si>
    <t>皇田</t>
  </si>
  <si>
    <t>有益</t>
  </si>
  <si>
    <t xml:space="preserve">信大            </t>
  </si>
  <si>
    <t xml:space="preserve">華紙            </t>
  </si>
  <si>
    <t xml:space="preserve">立隆電          </t>
  </si>
  <si>
    <t xml:space="preserve">全漢            </t>
  </si>
  <si>
    <t>中菲</t>
  </si>
  <si>
    <t>松上</t>
  </si>
  <si>
    <t>%</t>
  </si>
  <si>
    <t>圖例&amp;說明</t>
    <phoneticPr fontId="2" type="noConversion"/>
  </si>
  <si>
    <t>營業活動現金  與  負債比</t>
    <phoneticPr fontId="2" type="noConversion"/>
  </si>
  <si>
    <t>每股盈餘</t>
    <phoneticPr fontId="2" type="noConversion"/>
  </si>
  <si>
    <t>每股資本支出</t>
    <phoneticPr fontId="2" type="noConversion"/>
  </si>
  <si>
    <t>資本支出  與  折舊率</t>
    <phoneticPr fontId="2" type="noConversion"/>
  </si>
  <si>
    <t>股名</t>
    <phoneticPr fontId="2" type="noConversion"/>
  </si>
  <si>
    <t>推估EPS</t>
    <phoneticPr fontId="2" type="noConversion"/>
  </si>
  <si>
    <t>PE</t>
    <phoneticPr fontId="2" type="noConversion"/>
  </si>
  <si>
    <t>PRICE</t>
    <phoneticPr fontId="2" type="noConversion"/>
  </si>
  <si>
    <t>前2週</t>
  </si>
  <si>
    <t>前3週</t>
  </si>
  <si>
    <t>前1週</t>
    <phoneticPr fontId="2" type="noConversion"/>
  </si>
  <si>
    <t>晶悅</t>
  </si>
  <si>
    <t>F-綠河</t>
  </si>
  <si>
    <t xml:space="preserve">氣立            </t>
  </si>
  <si>
    <t>RPS</t>
  </si>
  <si>
    <t>加項</t>
    <phoneticPr fontId="2" type="noConversion"/>
  </si>
  <si>
    <t>--</t>
  </si>
  <si>
    <t>EPS</t>
  </si>
  <si>
    <t>純益</t>
  </si>
  <si>
    <t>現流</t>
  </si>
  <si>
    <t>擴廠</t>
  </si>
  <si>
    <t>宇智</t>
  </si>
  <si>
    <t>參考比率</t>
    <phoneticPr fontId="2" type="noConversion"/>
  </si>
  <si>
    <t>104.3Q</t>
  </si>
  <si>
    <t xml:space="preserve">立積            </t>
  </si>
  <si>
    <t>淨利率</t>
    <phoneticPr fontId="2" type="noConversion"/>
  </si>
  <si>
    <t>威潤</t>
  </si>
  <si>
    <t>點序</t>
  </si>
  <si>
    <t>中裕</t>
  </si>
  <si>
    <t>健信</t>
  </si>
  <si>
    <t>F-大略</t>
  </si>
  <si>
    <t>F-芮特</t>
  </si>
  <si>
    <t>和勤精機</t>
  </si>
  <si>
    <t>鈦昇科技</t>
  </si>
  <si>
    <t>康普材料</t>
  </si>
  <si>
    <t>鐿鈦科技</t>
  </si>
  <si>
    <t>昇銳電子</t>
  </si>
  <si>
    <t>泰谷光電</t>
  </si>
  <si>
    <t>天宇工業</t>
  </si>
  <si>
    <t>川寶科技</t>
  </si>
  <si>
    <t>富喬工業</t>
  </si>
  <si>
    <t>點晶科技</t>
  </si>
  <si>
    <t>祥業科技</t>
  </si>
  <si>
    <t>德宏工業</t>
  </si>
  <si>
    <t>晟田科技</t>
  </si>
  <si>
    <t>國統國際</t>
  </si>
  <si>
    <t>遊戲橘子</t>
  </si>
  <si>
    <t>瑞傳科技</t>
  </si>
  <si>
    <t>廣積科技</t>
  </si>
  <si>
    <t>系統電子</t>
  </si>
  <si>
    <t>佳邦科技</t>
  </si>
  <si>
    <t>鑫科材料</t>
  </si>
  <si>
    <t>勝麗國際</t>
  </si>
  <si>
    <t>綠意開發</t>
  </si>
  <si>
    <t>富旺國際</t>
  </si>
  <si>
    <t>台驊投控</t>
  </si>
  <si>
    <t>正德海運</t>
  </si>
  <si>
    <t xml:space="preserve">同泰            </t>
  </si>
  <si>
    <t xml:space="preserve">台數科          </t>
  </si>
  <si>
    <t>明基醫</t>
  </si>
  <si>
    <t>F-VHQ</t>
  </si>
  <si>
    <t xml:space="preserve">億豐            </t>
  </si>
  <si>
    <t>天蔥</t>
  </si>
  <si>
    <t>旭然</t>
  </si>
  <si>
    <t>神盾</t>
  </si>
  <si>
    <t>宜鼎國際</t>
  </si>
  <si>
    <t>轉換股數</t>
  </si>
  <si>
    <t>CB代碼</t>
  </si>
  <si>
    <t>F-三汰</t>
  </si>
  <si>
    <t>大中</t>
  </si>
  <si>
    <t>邑錡</t>
  </si>
  <si>
    <t>夠麻吉</t>
  </si>
  <si>
    <t>高野</t>
  </si>
  <si>
    <t xml:space="preserve">銘鈺            </t>
  </si>
  <si>
    <t>科懋</t>
  </si>
  <si>
    <t>F-大拓</t>
  </si>
  <si>
    <t>01004T</t>
  </si>
  <si>
    <t>毛利率</t>
    <phoneticPr fontId="2" type="noConversion"/>
  </si>
  <si>
    <t>轉換價差</t>
  </si>
  <si>
    <t>CB市價</t>
  </si>
  <si>
    <t>CB餘額%</t>
  </si>
  <si>
    <t>CB價轉股</t>
  </si>
  <si>
    <t>CB集保人數</t>
  </si>
  <si>
    <t>轉換格價</t>
  </si>
  <si>
    <t>F-紅馬</t>
  </si>
  <si>
    <t>福邦證</t>
  </si>
  <si>
    <t>流通股數</t>
    <phoneticPr fontId="2" type="noConversion"/>
  </si>
  <si>
    <t>比較值</t>
    <phoneticPr fontId="2" type="noConversion"/>
  </si>
  <si>
    <t>營益率與本業比</t>
    <phoneticPr fontId="2" type="noConversion"/>
  </si>
  <si>
    <t>本業與業外EPS</t>
    <phoneticPr fontId="2" type="noConversion"/>
  </si>
  <si>
    <t>股本與單季EPS</t>
    <phoneticPr fontId="2" type="noConversion"/>
  </si>
  <si>
    <t>系統日</t>
    <phoneticPr fontId="2" type="noConversion"/>
  </si>
  <si>
    <t>集保1</t>
    <phoneticPr fontId="15" type="noConversion"/>
  </si>
  <si>
    <t>集保2</t>
    <phoneticPr fontId="15" type="noConversion"/>
  </si>
  <si>
    <t>集保3</t>
    <phoneticPr fontId="15" type="noConversion"/>
  </si>
  <si>
    <t>標準</t>
    <phoneticPr fontId="15" type="noConversion"/>
  </si>
  <si>
    <t>業外EPS</t>
    <phoneticPr fontId="2" type="noConversion"/>
  </si>
  <si>
    <t>極營業額端值</t>
    <phoneticPr fontId="2" type="noConversion"/>
  </si>
  <si>
    <t>分類</t>
    <phoneticPr fontId="2" type="noConversion"/>
  </si>
  <si>
    <t>本業EPS</t>
    <phoneticPr fontId="2" type="noConversion"/>
  </si>
  <si>
    <t>營業額</t>
    <phoneticPr fontId="2" type="noConversion"/>
  </si>
  <si>
    <t xml:space="preserve">查詢日期 : </t>
    <phoneticPr fontId="2" type="noConversion"/>
  </si>
  <si>
    <t>更新收盤價</t>
    <phoneticPr fontId="2" type="noConversion"/>
  </si>
  <si>
    <t>基本設定</t>
    <phoneticPr fontId="2" type="noConversion"/>
  </si>
  <si>
    <r>
      <rPr>
        <b/>
        <sz val="16"/>
        <color rgb="FF00B0F0"/>
        <rFont val="微軟正黑體"/>
        <family val="2"/>
        <charset val="136"/>
      </rPr>
      <t>營收</t>
    </r>
    <r>
      <rPr>
        <b/>
        <sz val="16"/>
        <color theme="0"/>
        <rFont val="微軟正黑體"/>
        <family val="2"/>
        <charset val="136"/>
      </rPr>
      <t>/</t>
    </r>
    <r>
      <rPr>
        <b/>
        <sz val="16"/>
        <color rgb="FFFF0000"/>
        <rFont val="微軟正黑體"/>
        <family val="2"/>
        <charset val="136"/>
      </rPr>
      <t>毛利率</t>
    </r>
    <r>
      <rPr>
        <b/>
        <sz val="16"/>
        <color theme="0"/>
        <rFont val="微軟正黑體"/>
        <family val="2"/>
        <charset val="136"/>
      </rPr>
      <t>/</t>
    </r>
    <r>
      <rPr>
        <b/>
        <sz val="16"/>
        <color theme="5" tint="0.59999389629810485"/>
        <rFont val="微軟正黑體"/>
        <family val="2"/>
        <charset val="136"/>
      </rPr>
      <t>淨利率</t>
    </r>
    <r>
      <rPr>
        <b/>
        <sz val="16"/>
        <color rgb="FFFFFF00"/>
        <rFont val="微軟正黑體"/>
        <family val="2"/>
        <charset val="136"/>
      </rPr>
      <t>/最新三個月營收</t>
    </r>
    <phoneticPr fontId="2" type="noConversion"/>
  </si>
  <si>
    <t>捷迅</t>
  </si>
  <si>
    <t>柏文</t>
  </si>
  <si>
    <t>萬在</t>
  </si>
  <si>
    <t>PSR</t>
    <phoneticPr fontId="2" type="noConversion"/>
  </si>
  <si>
    <t>昇華</t>
  </si>
  <si>
    <t>信音企業</t>
  </si>
  <si>
    <t>今展科技</t>
  </si>
  <si>
    <t>104.4Q</t>
  </si>
  <si>
    <t xml:space="preserve">運錩            </t>
  </si>
  <si>
    <t>精測</t>
  </si>
  <si>
    <t>啟發電</t>
  </si>
  <si>
    <t xml:space="preserve">FB印度          </t>
  </si>
  <si>
    <t>F-大峽</t>
  </si>
  <si>
    <t>大樹</t>
  </si>
  <si>
    <t>股東權益</t>
  </si>
  <si>
    <t>年EPS與同季PEG</t>
    <phoneticPr fontId="2" type="noConversion"/>
  </si>
  <si>
    <t>01001T</t>
  </si>
  <si>
    <t>01002T</t>
  </si>
  <si>
    <t>01003T</t>
  </si>
  <si>
    <t>01007T</t>
  </si>
  <si>
    <t>日期</t>
    <phoneticPr fontId="2" type="noConversion"/>
  </si>
  <si>
    <t>時間</t>
    <phoneticPr fontId="2" type="noConversion"/>
  </si>
  <si>
    <t>每週二</t>
    <phoneticPr fontId="2" type="noConversion"/>
  </si>
  <si>
    <t>每週五</t>
    <phoneticPr fontId="2" type="noConversion"/>
  </si>
  <si>
    <t>每月1號</t>
    <phoneticPr fontId="2" type="noConversion"/>
  </si>
  <si>
    <t>週集保選股</t>
    <phoneticPr fontId="2" type="noConversion"/>
  </si>
  <si>
    <t>收盤後</t>
  </si>
  <si>
    <t>收盤後</t>
    <phoneticPr fontId="2" type="noConversion"/>
  </si>
  <si>
    <t>YOUTUBE直播</t>
    <phoneticPr fontId="2" type="noConversion"/>
  </si>
  <si>
    <t>財報日+3</t>
    <phoneticPr fontId="2" type="noConversion"/>
  </si>
  <si>
    <t>財報日+8</t>
    <phoneticPr fontId="2" type="noConversion"/>
  </si>
  <si>
    <t>週期</t>
    <phoneticPr fontId="2" type="noConversion"/>
  </si>
  <si>
    <t>週</t>
    <phoneticPr fontId="2" type="noConversion"/>
  </si>
  <si>
    <t>月</t>
    <phoneticPr fontId="2" type="noConversion"/>
  </si>
  <si>
    <t>季</t>
    <phoneticPr fontId="2" type="noConversion"/>
  </si>
  <si>
    <t>持股明細與檢討</t>
    <phoneticPr fontId="2" type="noConversion"/>
  </si>
  <si>
    <t>蘭弦的例行發文重點</t>
    <phoneticPr fontId="2" type="noConversion"/>
  </si>
  <si>
    <t>交流會分享</t>
    <phoneticPr fontId="2" type="noConversion"/>
  </si>
  <si>
    <t>本業EPS</t>
    <phoneticPr fontId="2" type="noConversion"/>
  </si>
  <si>
    <t>市值</t>
    <phoneticPr fontId="2" type="noConversion"/>
  </si>
  <si>
    <t>資產
報酬率</t>
    <phoneticPr fontId="2" type="noConversion"/>
  </si>
  <si>
    <t>盈餘
報酬率</t>
    <phoneticPr fontId="2" type="noConversion"/>
  </si>
  <si>
    <t>排名1</t>
    <phoneticPr fontId="2" type="noConversion"/>
  </si>
  <si>
    <t>排名2</t>
    <phoneticPr fontId="2" type="noConversion"/>
  </si>
  <si>
    <t>有息負債</t>
    <phoneticPr fontId="2" type="noConversion"/>
  </si>
  <si>
    <t>市價</t>
    <phoneticPr fontId="2" type="noConversion"/>
  </si>
  <si>
    <t>PE</t>
    <phoneticPr fontId="2" type="noConversion"/>
  </si>
  <si>
    <t>每股
現金流</t>
    <phoneticPr fontId="2" type="noConversion"/>
  </si>
  <si>
    <t>周轉</t>
    <phoneticPr fontId="2" type="noConversion"/>
  </si>
  <si>
    <t>淨營運
資金</t>
    <phoneticPr fontId="2" type="noConversion"/>
  </si>
  <si>
    <t>淨固定
資產</t>
    <phoneticPr fontId="2" type="noConversion"/>
  </si>
  <si>
    <t>營業
現金流</t>
    <phoneticPr fontId="2" type="noConversion"/>
  </si>
  <si>
    <t>近一年營業額</t>
    <phoneticPr fontId="2" type="noConversion"/>
  </si>
  <si>
    <r>
      <rPr>
        <b/>
        <sz val="14"/>
        <color rgb="FF00B0F0"/>
        <rFont val="Adobe 繁黑體 Std B"/>
        <family val="2"/>
        <charset val="136"/>
      </rPr>
      <t>資本支出</t>
    </r>
    <r>
      <rPr>
        <b/>
        <sz val="14"/>
        <color theme="0"/>
        <rFont val="Adobe 繁黑體 Std B"/>
        <family val="2"/>
        <charset val="136"/>
      </rPr>
      <t>/</t>
    </r>
    <r>
      <rPr>
        <b/>
        <sz val="14"/>
        <color rgb="FFFF0000"/>
        <rFont val="Adobe 繁黑體 Std B"/>
        <family val="2"/>
        <charset val="136"/>
      </rPr>
      <t>折舊率</t>
    </r>
    <r>
      <rPr>
        <b/>
        <sz val="14"/>
        <color theme="0"/>
        <rFont val="Adobe 繁黑體 Std B"/>
        <family val="2"/>
        <charset val="136"/>
      </rPr>
      <t>/現增與公司債</t>
    </r>
    <phoneticPr fontId="2" type="noConversion"/>
  </si>
  <si>
    <t>00651R</t>
  </si>
  <si>
    <t xml:space="preserve">00652 </t>
  </si>
  <si>
    <t>00653L</t>
  </si>
  <si>
    <t>00654R</t>
  </si>
  <si>
    <t>00655L</t>
  </si>
  <si>
    <t>00656R</t>
  </si>
  <si>
    <t>008201</t>
  </si>
  <si>
    <t>財務
品質</t>
    <phoneticPr fontId="2" type="noConversion"/>
  </si>
  <si>
    <t>註記</t>
    <phoneticPr fontId="2" type="noConversion"/>
  </si>
  <si>
    <t>葛林
排名</t>
    <phoneticPr fontId="2" type="noConversion"/>
  </si>
  <si>
    <t>每股
現流
排名</t>
    <phoneticPr fontId="2" type="noConversion"/>
  </si>
  <si>
    <t>現流
價差</t>
    <phoneticPr fontId="2" type="noConversion"/>
  </si>
  <si>
    <t>財務
品質
排名</t>
    <phoneticPr fontId="2" type="noConversion"/>
  </si>
  <si>
    <t>現流
平均
排名</t>
    <phoneticPr fontId="2" type="noConversion"/>
  </si>
  <si>
    <t>參考值</t>
    <phoneticPr fontId="2" type="noConversion"/>
  </si>
  <si>
    <t>(本業)
稅前息前
淨利</t>
    <phoneticPr fontId="2" type="noConversion"/>
  </si>
  <si>
    <t>RPS</t>
    <phoneticPr fontId="2" type="noConversion"/>
  </si>
  <si>
    <t>輔助面[40%]</t>
    <phoneticPr fontId="2" type="noConversion"/>
  </si>
  <si>
    <t>葛林</t>
    <phoneticPr fontId="2" type="noConversion"/>
  </si>
  <si>
    <t>重鳥鵬</t>
  </si>
  <si>
    <t>105.1Q</t>
  </si>
  <si>
    <t>正淩精工</t>
  </si>
  <si>
    <t>篩選標準</t>
    <phoneticPr fontId="2" type="noConversion"/>
  </si>
  <si>
    <t>營收選股</t>
    <phoneticPr fontId="2" type="noConversion"/>
  </si>
  <si>
    <t xml:space="preserve">展宇            </t>
  </si>
  <si>
    <t>九齊</t>
  </si>
  <si>
    <t>有益(9962)</t>
  </si>
  <si>
    <t xml:space="preserve">寒舍            </t>
  </si>
  <si>
    <t xml:space="preserve">安馳            </t>
  </si>
  <si>
    <t xml:space="preserve">2881A </t>
  </si>
  <si>
    <t xml:space="preserve">富邦特          </t>
  </si>
  <si>
    <t xml:space="preserve">安集            </t>
  </si>
  <si>
    <t xml:space="preserve">愛普            </t>
  </si>
  <si>
    <t>弘煜科</t>
  </si>
  <si>
    <t>達爾膚</t>
  </si>
  <si>
    <t>上曜</t>
  </si>
  <si>
    <t>大魯閣</t>
  </si>
  <si>
    <t>名軒</t>
  </si>
  <si>
    <t>聚隆</t>
  </si>
  <si>
    <t>聚陽實業</t>
  </si>
  <si>
    <t>正道</t>
  </si>
  <si>
    <t>亞崴機電</t>
  </si>
  <si>
    <t>信錦</t>
  </si>
  <si>
    <t>程泰</t>
  </si>
  <si>
    <t>葡萄王</t>
  </si>
  <si>
    <t>和益化工</t>
  </si>
  <si>
    <t>興農</t>
  </si>
  <si>
    <t>萬洲化學</t>
  </si>
  <si>
    <t>花仙子</t>
  </si>
  <si>
    <t>五鼎</t>
  </si>
  <si>
    <t>潤隆</t>
  </si>
  <si>
    <t>榮成</t>
  </si>
  <si>
    <t>東和鋼鐵</t>
  </si>
  <si>
    <t>新光鋼</t>
  </si>
  <si>
    <t>致茂電子</t>
  </si>
  <si>
    <t>億光電子</t>
  </si>
  <si>
    <t>毅嘉科技</t>
  </si>
  <si>
    <t>國碩科技</t>
  </si>
  <si>
    <t>鼎元</t>
  </si>
  <si>
    <t>旺詮</t>
  </si>
  <si>
    <t>美律</t>
  </si>
  <si>
    <t>新美齊</t>
  </si>
  <si>
    <t>友旺科技</t>
  </si>
  <si>
    <t>奇力新</t>
  </si>
  <si>
    <t>飛宏科技</t>
  </si>
  <si>
    <t>光群雷射</t>
  </si>
  <si>
    <t>冠西電</t>
  </si>
  <si>
    <t>大毅</t>
  </si>
  <si>
    <t>一詮精密</t>
  </si>
  <si>
    <t>中華工程</t>
  </si>
  <si>
    <t>皇普建設</t>
  </si>
  <si>
    <t>達工</t>
  </si>
  <si>
    <t>聯上開發</t>
  </si>
  <si>
    <t>基泰建設</t>
  </si>
  <si>
    <t>益航</t>
  </si>
  <si>
    <t>華航</t>
  </si>
  <si>
    <t>中櫃</t>
  </si>
  <si>
    <t>山隆通運</t>
  </si>
  <si>
    <t>晶華酒店</t>
  </si>
  <si>
    <t>六角國際</t>
  </si>
  <si>
    <t>台灣土地</t>
  </si>
  <si>
    <t>華立</t>
  </si>
  <si>
    <t>同開科技</t>
  </si>
  <si>
    <t>訊舟科技</t>
  </si>
  <si>
    <t>益登</t>
  </si>
  <si>
    <t>萬國科技</t>
  </si>
  <si>
    <t>華義國際</t>
  </si>
  <si>
    <t>正達國際</t>
  </si>
  <si>
    <t>新洲全球</t>
  </si>
  <si>
    <t>建舜電子</t>
  </si>
  <si>
    <t>旭品科技</t>
  </si>
  <si>
    <t>泰碩電子</t>
  </si>
  <si>
    <t>新世紀</t>
  </si>
  <si>
    <t>台灣類比</t>
  </si>
  <si>
    <t>晶彩科</t>
  </si>
  <si>
    <t>嘉威光電</t>
  </si>
  <si>
    <t>友威科技</t>
  </si>
  <si>
    <t>谷崧</t>
  </si>
  <si>
    <t>樂陞科技</t>
  </si>
  <si>
    <t>隆達</t>
  </si>
  <si>
    <t>大聯大</t>
  </si>
  <si>
    <t>健喬信元</t>
  </si>
  <si>
    <t>承業醫</t>
  </si>
  <si>
    <t>如興</t>
  </si>
  <si>
    <t>瑞智精密</t>
  </si>
  <si>
    <t>慶騰精密</t>
  </si>
  <si>
    <t>台耀</t>
  </si>
  <si>
    <t>正文</t>
  </si>
  <si>
    <t>事欣科</t>
  </si>
  <si>
    <t>晶達光電</t>
  </si>
  <si>
    <t>亞昕國際</t>
  </si>
  <si>
    <t>清惠</t>
  </si>
  <si>
    <t>界霖</t>
  </si>
  <si>
    <t>應華精密</t>
  </si>
  <si>
    <t>隆大營建</t>
  </si>
  <si>
    <t>志嘉建設</t>
  </si>
  <si>
    <t>四維航業</t>
  </si>
  <si>
    <t>華美電子</t>
  </si>
  <si>
    <t>鎰勝</t>
  </si>
  <si>
    <t>九豪精密</t>
  </si>
  <si>
    <t>萬旭電業</t>
  </si>
  <si>
    <t>亞翔工程</t>
  </si>
  <si>
    <t>嘉聯益</t>
  </si>
  <si>
    <t>宏齊科技</t>
  </si>
  <si>
    <t>瑞儀光電</t>
  </si>
  <si>
    <t>達麗</t>
  </si>
  <si>
    <t>大豐電</t>
  </si>
  <si>
    <t>光鼎電子</t>
  </si>
  <si>
    <t>立端科技</t>
  </si>
  <si>
    <t>台郡科技</t>
  </si>
  <si>
    <t>同欣電子</t>
  </si>
  <si>
    <t>啟?科技</t>
  </si>
  <si>
    <t>元隆電子</t>
  </si>
  <si>
    <t>樺漢科技</t>
  </si>
  <si>
    <t>華東</t>
  </si>
  <si>
    <t>振樺電子</t>
  </si>
  <si>
    <t>商丞科技</t>
  </si>
  <si>
    <t>?耀國際</t>
  </si>
  <si>
    <t>高力</t>
  </si>
  <si>
    <t>新麗企業</t>
  </si>
  <si>
    <t xml:space="preserve"> </t>
  </si>
  <si>
    <t xml:space="preserve">FH香港反1       </t>
  </si>
  <si>
    <t xml:space="preserve">FB印度正2       </t>
  </si>
  <si>
    <t xml:space="preserve">鮮活果汁-KY     </t>
  </si>
  <si>
    <t xml:space="preserve">綠悅-KY         </t>
  </si>
  <si>
    <t xml:space="preserve">再生-KY         </t>
  </si>
  <si>
    <t xml:space="preserve">廣華-KY         </t>
  </si>
  <si>
    <t xml:space="preserve">勝悅-KY         </t>
  </si>
  <si>
    <t xml:space="preserve">永冠-KY         </t>
  </si>
  <si>
    <t xml:space="preserve">亞德客-KY       </t>
  </si>
  <si>
    <t xml:space="preserve">英瑞-KY         </t>
  </si>
  <si>
    <t xml:space="preserve">艾美特-KY       </t>
  </si>
  <si>
    <t xml:space="preserve">東和鋼鐵        </t>
  </si>
  <si>
    <t xml:space="preserve">六暉-KY         </t>
  </si>
  <si>
    <t xml:space="preserve">三陽工業        </t>
  </si>
  <si>
    <t xml:space="preserve">百達-KY         </t>
  </si>
  <si>
    <t xml:space="preserve">英利-KY         </t>
  </si>
  <si>
    <t xml:space="preserve">京元電子        </t>
  </si>
  <si>
    <t xml:space="preserve">慧洋-KY         </t>
  </si>
  <si>
    <t xml:space="preserve">美食-KY         </t>
  </si>
  <si>
    <t xml:space="preserve">鼎固-KY         </t>
  </si>
  <si>
    <t xml:space="preserve">淘帝-KY         </t>
  </si>
  <si>
    <t xml:space="preserve">昇陽光電        </t>
  </si>
  <si>
    <t xml:space="preserve">世芯-KY         </t>
  </si>
  <si>
    <t xml:space="preserve">貿聯-KY         </t>
  </si>
  <si>
    <t xml:space="preserve">TPK-KY          </t>
  </si>
  <si>
    <t xml:space="preserve">麗豐-KY         </t>
  </si>
  <si>
    <t xml:space="preserve">龍燈-KY         </t>
  </si>
  <si>
    <t xml:space="preserve">康聯-KY         </t>
  </si>
  <si>
    <t xml:space="preserve">佐登-KY         </t>
  </si>
  <si>
    <t xml:space="preserve">永新-KY         </t>
  </si>
  <si>
    <t xml:space="preserve">材料-KY         </t>
  </si>
  <si>
    <t xml:space="preserve">泰鼎-KY         </t>
  </si>
  <si>
    <t xml:space="preserve">茂林-KY         </t>
  </si>
  <si>
    <t xml:space="preserve">臻鼎-KY         </t>
  </si>
  <si>
    <t xml:space="preserve">眾達-KY         </t>
  </si>
  <si>
    <t xml:space="preserve">科納-KY         </t>
  </si>
  <si>
    <t xml:space="preserve">科嘉-KY         </t>
  </si>
  <si>
    <t xml:space="preserve">東科-KY         </t>
  </si>
  <si>
    <t xml:space="preserve">達興材料        </t>
  </si>
  <si>
    <t xml:space="preserve">乙盛-KY         </t>
  </si>
  <si>
    <t xml:space="preserve">鎧勝-KY         </t>
  </si>
  <si>
    <t xml:space="preserve">豐祥-KY         </t>
  </si>
  <si>
    <t xml:space="preserve">東明-KY         </t>
  </si>
  <si>
    <t xml:space="preserve">中租-KY         </t>
  </si>
  <si>
    <t xml:space="preserve">大洋-KY         </t>
  </si>
  <si>
    <t xml:space="preserve">矽力-KY         </t>
  </si>
  <si>
    <t xml:space="preserve">君耀-KY         </t>
  </si>
  <si>
    <t xml:space="preserve">光麗-KY         </t>
  </si>
  <si>
    <t xml:space="preserve">訊芯-KY         </t>
  </si>
  <si>
    <t xml:space="preserve">康友-KY         </t>
  </si>
  <si>
    <t xml:space="preserve">GIS-KY          </t>
  </si>
  <si>
    <t xml:space="preserve">捷敏-KY         </t>
  </si>
  <si>
    <t xml:space="preserve">百和興業-KY     </t>
  </si>
  <si>
    <t xml:space="preserve">福貞-KY         </t>
  </si>
  <si>
    <t xml:space="preserve">基勝-KY         </t>
  </si>
  <si>
    <t xml:space="preserve">金麗-KY         </t>
  </si>
  <si>
    <t xml:space="preserve">波力-KY         </t>
  </si>
  <si>
    <t xml:space="preserve">美德醫療-DR     </t>
  </si>
  <si>
    <t xml:space="preserve">康師傅-DR       </t>
  </si>
  <si>
    <t xml:space="preserve">聖馬丁-DR       </t>
  </si>
  <si>
    <t xml:space="preserve">泰金寶-DR       </t>
  </si>
  <si>
    <t xml:space="preserve">新焦點-DR       </t>
  </si>
  <si>
    <t xml:space="preserve">恒大健-DR       </t>
  </si>
  <si>
    <t xml:space="preserve">金衛-DR         </t>
  </si>
  <si>
    <t xml:space="preserve">神州-DR         </t>
  </si>
  <si>
    <t xml:space="preserve">越南控-DR       </t>
  </si>
  <si>
    <t xml:space="preserve">明輝-DR         </t>
  </si>
  <si>
    <t xml:space="preserve">中泰山-DR       </t>
  </si>
  <si>
    <t xml:space="preserve">杜康-DR         </t>
  </si>
  <si>
    <t xml:space="preserve">耀傑-DR         </t>
  </si>
  <si>
    <t xml:space="preserve">泰聚亨-DR       </t>
  </si>
  <si>
    <t xml:space="preserve">同方友友-DR     </t>
  </si>
  <si>
    <t xml:space="preserve">晨訊科-DR       </t>
  </si>
  <si>
    <t xml:space="preserve">友佳-DR         </t>
  </si>
  <si>
    <t xml:space="preserve">巨騰-DR         </t>
  </si>
  <si>
    <t xml:space="preserve">陽光能源-DR     </t>
  </si>
  <si>
    <t xml:space="preserve">精熙-DR         </t>
  </si>
  <si>
    <t xml:space="preserve">鈺齊-KY         </t>
  </si>
  <si>
    <t xml:space="preserve">中聯資源        </t>
  </si>
  <si>
    <t xml:space="preserve">三發地產        </t>
  </si>
  <si>
    <t>元大富櫃50</t>
  </si>
  <si>
    <t>其祥-KY</t>
  </si>
  <si>
    <t>駿吉-KY</t>
  </si>
  <si>
    <t>富驛-KY</t>
  </si>
  <si>
    <t>雅茗-KY</t>
  </si>
  <si>
    <t>東凌-KY</t>
  </si>
  <si>
    <t>紅馬-KY</t>
  </si>
  <si>
    <t>安瑞-KY</t>
  </si>
  <si>
    <t>馬光-KY</t>
  </si>
  <si>
    <t>康樂-KY</t>
  </si>
  <si>
    <t>太景*-KY</t>
  </si>
  <si>
    <t>合富-KY</t>
  </si>
  <si>
    <t>三汰-KY</t>
  </si>
  <si>
    <t>VHQ-KY</t>
  </si>
  <si>
    <t>大略-KY</t>
  </si>
  <si>
    <t>欣厚-KY</t>
  </si>
  <si>
    <t>昂寶-KY</t>
  </si>
  <si>
    <t>譜瑞-KY</t>
  </si>
  <si>
    <t>IET-KY</t>
  </si>
  <si>
    <t>環宇-KY</t>
  </si>
  <si>
    <t>立凱-KY</t>
  </si>
  <si>
    <t>雷笛克光學</t>
  </si>
  <si>
    <t>達輝-KY</t>
  </si>
  <si>
    <t>大峽谷-KY</t>
  </si>
  <si>
    <t>jpp-KY</t>
  </si>
  <si>
    <t>崇佑-KY</t>
  </si>
  <si>
    <t>通訊-KY</t>
  </si>
  <si>
    <t>芮特-KY</t>
  </si>
  <si>
    <t>金可-KY</t>
  </si>
  <si>
    <t>捷必勝-KY</t>
  </si>
  <si>
    <t>保綠-KY</t>
  </si>
  <si>
    <t>紅木-KY</t>
  </si>
  <si>
    <t>大地-KY</t>
  </si>
  <si>
    <t>綠河-KY</t>
  </si>
  <si>
    <t>大拓-KY</t>
  </si>
  <si>
    <t>為升</t>
  </si>
  <si>
    <t>至上電子</t>
  </si>
  <si>
    <t xml:space="preserve">悠克            </t>
  </si>
  <si>
    <t>成功需要仰賴夢想</t>
  </si>
  <si>
    <t>成功需要仰賴機會</t>
  </si>
  <si>
    <t>成功更需要堅持與不放棄</t>
  </si>
  <si>
    <t>不追高    要拉回</t>
  </si>
  <si>
    <t>不預測股價   要預測機率</t>
  </si>
  <si>
    <t>少在意損益   多注意資金控管</t>
  </si>
  <si>
    <t>不急著停利   要急著停損</t>
  </si>
  <si>
    <t>穩定才是長期生存的辦法</t>
  </si>
  <si>
    <t>大跌出量  期待兩日紅</t>
  </si>
  <si>
    <t>大漲暴量  最怕兩日黑</t>
  </si>
  <si>
    <t>輸縮贏衝  停損保長命</t>
  </si>
  <si>
    <t>中央極限定理:當樣本數越大 =&gt;結果會越接近理論統計值</t>
  </si>
  <si>
    <t>別急著把正在上漲的股票賣掉  要讓他漲   少賺再處理</t>
  </si>
  <si>
    <t>不要只看單一報表投資=&gt;注意報表與報表之間息息相關</t>
  </si>
  <si>
    <t>關於技術分析=&gt;</t>
  </si>
  <si>
    <t>當成一種工具，用來驗證你的財務分析是在對的道路上；用來提升你的進場點效率點；最重要=&gt;利用技術分析對我們發出警訊=&gt;基本面惡化  我相信技術面會先出現警訊</t>
  </si>
  <si>
    <t>所以  不用用技術分析來預測目標價，通常容易賣的過早(我相信在長期架構下用財務模型會比技術面預測來的有用)</t>
  </si>
  <si>
    <t>所以  當股價在季線之下且季線向下   無論基本面如何優異   一慨嚴禁投資</t>
  </si>
  <si>
    <t>移動平均線是落後指標   所以只能當驗證用  不宜用來當長期預徹指標</t>
  </si>
  <si>
    <t>你可以根據扣抵來預測季線未來三五天可能的發展  但你無法預測未來幾十天的季線狀況</t>
  </si>
  <si>
    <t>所以  要善用季線的特性  驗證你當下方向的機率  站錯邊的風險有多少?</t>
  </si>
  <si>
    <t>要改良均線的落後性建議可以搭配威廉指標  若用一樣的參數  威廉指標通常會提早均線反映  所以兩者可以相輔相成</t>
  </si>
  <si>
    <t>財務分析有一個很重要的原則=&gt;經驗夠，你可以根據經驗判斷只做單家分析 ；但若經驗不夠=&gt;可以有一個笨方法=&gt;排名制度=&gt;不管任何財務公式，如果你把所有公司都用同樣公式，用計算後的值進行排名，便可以找到菁英，在輔以其他判斷不難找到具有投資價值的標的；財務分析技術分析某些方面異曲同工，不同的過程，但都在找強恆強的標的。</t>
  </si>
  <si>
    <t>會越來越趨近於理論值</t>
  </si>
  <si>
    <t>錯了停損就好</t>
  </si>
  <si>
    <t>要做交易的人  不能怕錯 怕交易</t>
  </si>
  <si>
    <t>但是要怕  損失被擴大</t>
  </si>
  <si>
    <t>那如何防止損失被擴大</t>
  </si>
  <si>
    <t>為有在小損失的時後就處理掉  就不會被擴大</t>
  </si>
  <si>
    <t xml:space="preserve">賣股的思考三邏輯 </t>
  </si>
  <si>
    <t>1.原始理由不存在   =&gt;    更新資訊   =&gt;    立即處理</t>
  </si>
  <si>
    <t>2.停損                      =&gt;    原始設定   =&gt;    保護機制</t>
  </si>
  <si>
    <t>3.停利                      =&gt;    移動調整   =&gt;    擴大可能</t>
  </si>
  <si>
    <t>穩健型?成長型?轉機型?垃圾黃金股?</t>
  </si>
  <si>
    <t>我把我自己會買的公司分成四種類型</t>
  </si>
  <si>
    <t>趨勢的改變只能被拖延無法改變</t>
  </si>
  <si>
    <t>投資大師  巴菲特  很少對大盤發表看法   多頭 空頭   他總是在尋找  價值被低估的投資標的</t>
  </si>
  <si>
    <t>投資大師  歐尼爾  大環境不好時有75%的公司隨大環境修正  或許如此  他才尋找那25%高度成長的企業</t>
  </si>
  <si>
    <t>本益比評估企業價值  只對穩定的企業有用  對於成長型企業會被低估  對於衰退型企業無論多低的本益比卻永遠高估</t>
  </si>
  <si>
    <t>蘭弦的PSR 標</t>
  </si>
  <si>
    <t>威廉指標的反應早於均線</t>
  </si>
  <si>
    <t>掛牌未滿半年不操作</t>
  </si>
  <si>
    <t xml:space="preserve">勇敢說出自己想法  然後進可能去執行   哈 做錯也可以換經驗  </t>
  </si>
  <si>
    <t>我還是主張  有想法就去做  不用怕犯錯</t>
  </si>
  <si>
    <t>多頭抵抗=&gt;下影線&gt;=實體線 且 下影線&gt;上影線</t>
  </si>
  <si>
    <t>空頭抵抗=&gt;上影線&gt;=實體線 且 上影線&gt;下影線</t>
  </si>
  <si>
    <t>當沖開盤分三種=&gt;巨量盤  量增盤  量縮盤</t>
  </si>
  <si>
    <t>巨量開=&gt;順勢做=&gt;突破拉回做多  跌破反彈做空</t>
  </si>
  <si>
    <t>量增開高盤=&gt;順勢做=&gt;突破不追拉回有量不破底=&gt;多單進場</t>
  </si>
  <si>
    <t>量增開低盤=&gt;逆勢做=&gt;破底出蟄伏量不續殺=&gt;多單進場</t>
  </si>
  <si>
    <t>量縮開低盤=&gt;????</t>
  </si>
  <si>
    <t>量縮開高盤=&gt;????</t>
  </si>
  <si>
    <t>底部三訊號=&gt; A.破底穿頭後B.有像上缺口C.季線開始向上</t>
  </si>
  <si>
    <t>長線底部三訊號  破底穿頭+起漲缺口+季線打平</t>
  </si>
  <si>
    <t>何謂做價    =&gt; 假突破 假跌破  該強轉弱  該弱轉強</t>
  </si>
  <si>
    <t>布林要訣    =&gt; 出軌  非強即反轉  就是不盤</t>
  </si>
  <si>
    <t>量增盤=&gt;布林下軌偏支撐  量縮盤布林上軌當壓力</t>
  </si>
  <si>
    <t>如何找股    =&gt; 曖昧不明時  優先研究</t>
  </si>
  <si>
    <t xml:space="preserve">如何找股    =&gt; 源源不絕時  即是大趨勢  </t>
  </si>
  <si>
    <t>波段的根本        =&gt;型態</t>
  </si>
  <si>
    <t>型態的根本        =&gt;趨勢線</t>
  </si>
  <si>
    <t>趨勢線的根本    =&gt;折線</t>
  </si>
  <si>
    <t>折線的根本        =&gt;碎形</t>
  </si>
  <si>
    <t>碎形的根本        =&gt;K線</t>
  </si>
  <si>
    <t>K線的根本         =&gt;價格</t>
  </si>
  <si>
    <t>價格的根本        =&gt;買賣行為</t>
  </si>
  <si>
    <t>買賣行為根本    =&gt;供給需求</t>
  </si>
  <si>
    <t>供給需求的轉折=&gt;極度情緒</t>
  </si>
  <si>
    <t>極度情緒的表現=&gt;蟄伏量</t>
  </si>
  <si>
    <t>蔡森精華整理=&gt;破頸線  抓等幅  等反向  再破線  再抓等幅</t>
  </si>
  <si>
    <t>行情無法預測論者=&gt;不預設滿足點位 但務必設好最大損失接受度</t>
  </si>
  <si>
    <t>乖離最高檔怕長黑  相對高檔怕下跳空</t>
  </si>
  <si>
    <t>我給自己一條新SOP  融資&gt;MA(融資,55)   不能買進</t>
  </si>
  <si>
    <t>理論上  清單中  多算多方趨勢股  拉回殺出量  反而是買點   部股利用突破買法  因為不耐洗  同樣的股  進場法不同  感覺也會差很大</t>
  </si>
  <si>
    <t>為甚麼鼓勵拉回殺出量時進場   因為停損好設   期望值不是教我們要  大賺小賠   所以  以此立場出發   應該買拉回  買錯  停損會小  買對  空間很大</t>
  </si>
  <si>
    <t xml:space="preserve"> 此方法乃假設在理想的賺大賠小與盡可能增加樣本數的模型之下 進場邏輯</t>
  </si>
  <si>
    <t xml:space="preserve">「蟄伏量」簡單講  就是漲出量  或跌出量  通常代表短趨勢的相對樂觀與相對悲觀  在長參數的趨勢指標下  已有數日短趨勢形成後最後出量時  跟據經驗  隔日會見短趨勢高與短趨勢低  搭配財務面價值衡量  與  技術面假跌破  個人主觀認為是很好的出手點  因為該處出手  停損相當好設  此方法乃假設在理想的賺大賠小與盡可能增加樣本數的模型之下 求最中平均值         金融市場  空頭總在集度樂觀時悄悄來拜訪  多頭總在集度恐慌時復甦   也就是爆量大蟄伏時該思考與謹慎的地方   此觀念全然是一種比較大順勢第下的小逆勢思考方式   請多加觀察體會 </t>
  </si>
  <si>
    <t>是哪一型的話  我都用財務紅綠燈判斷</t>
  </si>
  <si>
    <t>融資在低檔，股價不會在高檔/ 融券在低檔，通常股價在低檔</t>
  </si>
  <si>
    <t>窒息量口訣:  窒息之後  等長紅長黑表態未來</t>
  </si>
  <si>
    <t>低PSR+財務成長=&gt;買   高PSR+財務消退=&gt;賣</t>
  </si>
  <si>
    <t>黃金三角    =&gt; 當"均線團結再一起"  用財務分析輔助未來</t>
  </si>
  <si>
    <t>型態學        =&gt; 重要觀念   型態越久  越有穩定性</t>
  </si>
  <si>
    <t>融資多不容易漲   融券多不容易跌</t>
  </si>
  <si>
    <t>部位賺錢要加碼  試單虧錢不能攤</t>
  </si>
  <si>
    <t>回測缺口是買點   缺口被封閉  當停損</t>
  </si>
  <si>
    <t>淨值不一定可靠(財務比率都一樣)因為容易高估或低估，這時應該回歸會計科目與會計科目趨勢。</t>
  </si>
  <si>
    <t>技術面 量能是推動股價的動力   真實的量能=&gt;集保大戶</t>
  </si>
  <si>
    <t>財務面 盈餘是推動股價的動力   真實的財報=&gt;營運爆發力</t>
  </si>
  <si>
    <t>如何判斷高季節性的公司=&gt;年度比較=&gt;圖示比較一目了然</t>
  </si>
  <si>
    <t>如何判斷景氣循環型的公司=&gt;基礎工業=&gt;鋼鐵、塑化、大型成熟化產業</t>
  </si>
  <si>
    <t>會計上有些"花招"</t>
  </si>
  <si>
    <t>A.時間性安排=&gt;今年入帳?明年入帳?</t>
  </si>
  <si>
    <t>B.準備金計算=&gt;提撥基礎的高低?影響一致性</t>
  </si>
  <si>
    <t>C.估價方法=&gt;先進先出/後進先出?  直線法折舊/加速折舊?</t>
  </si>
  <si>
    <t>因為有這些花招  所以要查核一家公司的真實價值最可靠的指標=&gt;現金餘額 與 現金流量</t>
  </si>
  <si>
    <t>如果公司長期以來，現金很多、負債很低=&gt;顯而易見公司沒有包袱；</t>
  </si>
  <si>
    <t>若同時，呈現營運天數越來越快=&gt;可以樂觀預估原本的成長曲線持續</t>
  </si>
  <si>
    <t>再若，資本支出加速的同時，而每月追蹤營收成長力道也持續未減弱</t>
  </si>
  <si>
    <t>投資成長股=&gt;隨時追蹤成長率是否放緩</t>
  </si>
  <si>
    <t>如果購買的成長股 沒有理由向下攤平=&gt;有機會向下攤平代表不是正在成長</t>
  </si>
  <si>
    <t>操作虛假現金流量表的難度遠遠難於操控損益=&gt;損益表損益非常亮麗，現金流量卻反方向發展=&gt;有可能是過多的帳款未收，有可能是積壓過多存貨，或是背負過多債務而導致=&gt;如果有此情況發生，相對未來會計花招風險就增加，所以這種公司也不宜投資。</t>
  </si>
  <si>
    <t>如果沒有會計年度問題，一家公司從誕生到企業死亡，理論上只有一個週期，所以營運所產生的最終利潤，應該等於營運所產生的最終現金；所以， 因為財報截止點的關係不得不做週期切割，因此要判斷報表的偏虛或偏實需要做一項檢查，首先將營業活動靜現金當分子，然後將營業淨利當方母，相除理應長期  &gt; 1 用來判斷體質虛實；惟公司無法排除小部分的業外交易情外發生，但業外情形應該所占比重極小，所以嚴格將業外所產生損益也一併計入分母，其判斷基準仍以1做區分，實務上，公司賺錢狀況下， 營業活動靜現金流入應該長期&gt;稅後純益，才能扎扎實實代表財務報表的穩健。</t>
  </si>
  <si>
    <t>為什麼嚴禁挑選低毛利或低營益率的公司=&gt;這兩個數字代表營運過程不允許犯錯，一犯錯，下一期財務報表就會相當難看；人非聖賢，孰能無過?何況企業是由一堆人組成，何況更多的天然災害或很難預測的經濟趨勢的發生與變動；匯率變動就是最常發生的例子，試想……如果一家公司淨利率只有5%，匯率變動6%，其結果?再設想…..如果一家企業淨利率不到2%，何必投資這種公司?到不如把股本存放銀行賺取利息，所以 虧錢的公司嚴禁投資、低利潤率的公司不碰為宜；除非....除非你有非常強的信心或....，不然遠離為宜!</t>
  </si>
  <si>
    <t>無法轉成獲利的營業額，對公司營運沒有幫助； 所以 =&gt; (營業額*毛利率)可以有四種排列組合 ，故營業額成長的幅度必須大過於毛利率降低的幅度，對公司才有正面幫助  所以也不能挑毛利率偏低之投資標的，否則營業額成長並不能產生效益。</t>
  </si>
  <si>
    <r>
      <t xml:space="preserve">當然 </t>
    </r>
    <r>
      <rPr>
        <b/>
        <sz val="14"/>
        <color rgb="FF000000"/>
        <rFont val="PMingLiU"/>
        <family val="1"/>
      </rPr>
      <t> </t>
    </r>
    <r>
      <rPr>
        <b/>
        <sz val="14"/>
        <color rgb="FF000000"/>
        <rFont val="Adobe 繁黑體 Std B"/>
        <family val="2"/>
        <charset val="136"/>
      </rPr>
      <t xml:space="preserve">營業額不成長 </t>
    </r>
    <r>
      <rPr>
        <b/>
        <sz val="14"/>
        <color rgb="FF000000"/>
        <rFont val="PMingLiU"/>
        <family val="1"/>
      </rPr>
      <t> </t>
    </r>
    <r>
      <rPr>
        <b/>
        <sz val="14"/>
        <color rgb="FF000000"/>
        <rFont val="Adobe 繁黑體 Std B"/>
        <family val="2"/>
        <charset val="136"/>
      </rPr>
      <t xml:space="preserve">但毛利率的持續提升 </t>
    </r>
    <r>
      <rPr>
        <b/>
        <sz val="14"/>
        <color rgb="FF000000"/>
        <rFont val="PMingLiU"/>
        <family val="1"/>
      </rPr>
      <t> </t>
    </r>
    <r>
      <rPr>
        <b/>
        <sz val="14"/>
        <color rgb="FF000000"/>
        <rFont val="Adobe 繁黑體 Std B"/>
        <family val="2"/>
        <charset val="136"/>
      </rPr>
      <t>也是另一種成長表現</t>
    </r>
  </si>
  <si>
    <t>哪一種成長股式最好的成長股=&gt;自發性成長股=&gt;負債低營收成長力大=&gt;營運天數變化是重要判斷</t>
  </si>
  <si>
    <t>關於本益比</t>
  </si>
  <si>
    <r>
      <t>本益比</t>
    </r>
    <r>
      <rPr>
        <b/>
        <sz val="19.5"/>
        <color rgb="FFCC0000"/>
        <rFont val="Arial"/>
        <family val="2"/>
      </rPr>
      <t xml:space="preserve"> </t>
    </r>
    <r>
      <rPr>
        <b/>
        <sz val="19.5"/>
        <color rgb="FFCC0000"/>
        <rFont val="PMingLiU"/>
        <family val="1"/>
      </rPr>
      <t>就是投入成本</t>
    </r>
    <r>
      <rPr>
        <b/>
        <sz val="19.5"/>
        <color rgb="FFCC0000"/>
        <rFont val="Arial"/>
        <family val="2"/>
      </rPr>
      <t xml:space="preserve"> </t>
    </r>
    <r>
      <rPr>
        <b/>
        <sz val="19.5"/>
        <color rgb="FFCC0000"/>
        <rFont val="PMingLiU"/>
        <family val="1"/>
      </rPr>
      <t>和</t>
    </r>
    <r>
      <rPr>
        <b/>
        <sz val="19.5"/>
        <color rgb="FFCC0000"/>
        <rFont val="Arial"/>
        <family val="2"/>
      </rPr>
      <t xml:space="preserve"> </t>
    </r>
    <r>
      <rPr>
        <b/>
        <sz val="19.5"/>
        <color rgb="FFCC0000"/>
        <rFont val="PMingLiU"/>
        <family val="1"/>
      </rPr>
      <t>每年收益</t>
    </r>
    <r>
      <rPr>
        <b/>
        <sz val="19.5"/>
        <color rgb="FFCC0000"/>
        <rFont val="Arial"/>
        <family val="2"/>
      </rPr>
      <t xml:space="preserve"> </t>
    </r>
    <r>
      <rPr>
        <b/>
        <sz val="19.5"/>
        <color rgb="FFCC0000"/>
        <rFont val="PMingLiU"/>
        <family val="1"/>
      </rPr>
      <t>的比例</t>
    </r>
  </si>
  <si>
    <t>也就是需要幾年回本的概念  一件投資案  幾年才能賺到原本投入的本金?</t>
  </si>
  <si>
    <t>用利率表達</t>
  </si>
  <si>
    <t>投入100萬 年利率2%為例 PE=100萬/(100萬*2%=2萬)  本益比為50倍</t>
  </si>
  <si>
    <t>用租金表達</t>
  </si>
  <si>
    <t>投入500萬無貸款  每月租金收入1萬   PE=500萬/(1萬*12=12萬)  本益比為42倍</t>
  </si>
  <si>
    <t>自備款200萬貸款300萬  每月租金收入1萬  年息2%(每年6萬)  200/(12-6)=33</t>
  </si>
  <si>
    <t>股票的本益比   PE=股價/每股盈餘   更嚴謹的說  (股價+成本)/股利收入</t>
  </si>
  <si>
    <t>相對於利息收入和租金收入來說   股利收入(每股盈餘)  就是一個大學問</t>
  </si>
  <si>
    <t>傳統上股票本益比基於使用人對盈餘觀點的不同區分為兩種A.前瞻性本益比B.歷史性本益比</t>
  </si>
  <si>
    <t xml:space="preserve">蘭弦重點經驗  </t>
  </si>
  <si>
    <t>A考慮本益比之前先將股票分類  高成長才能支撐高本益比</t>
  </si>
  <si>
    <t>B衷合前瞻與歷史本益比觀點用當下最新一季損益為基礎當未來一年損益</t>
  </si>
  <si>
    <t>C 計算本益比之前先將業外損益剔除</t>
  </si>
  <si>
    <t xml:space="preserve">D 不用決對數直定義本益比高低  而用同業甚至考慮所有掛牌公司定義本益比高低 </t>
  </si>
  <si>
    <t>本益比與股東權益報酬率</t>
  </si>
  <si>
    <t>本益比的倒數，就是每股盈餘/每股股價，相當於外部股東報酬率</t>
  </si>
  <si>
    <t>巴菲特常說股東報酬率要高  其實就是本益比要低</t>
  </si>
  <si>
    <t>股東權益報酬率20%  就相當於5倍本益比</t>
  </si>
  <si>
    <t>湯石照明</t>
  </si>
  <si>
    <t xml:space="preserve">FB印度反1       </t>
  </si>
  <si>
    <t xml:space="preserve">國泰中國A50正2  </t>
  </si>
  <si>
    <t xml:space="preserve">國泰中國A50反1  </t>
  </si>
  <si>
    <t xml:space="preserve">國泰日經225     </t>
  </si>
  <si>
    <t xml:space="preserve">國泰日本正2     </t>
  </si>
  <si>
    <t xml:space="preserve">國泰日本反1     </t>
  </si>
  <si>
    <t xml:space="preserve">元大歐洲50      </t>
  </si>
  <si>
    <t xml:space="preserve">元大日經225     </t>
  </si>
  <si>
    <t xml:space="preserve">FB NASDAQ       </t>
  </si>
  <si>
    <t xml:space="preserve">國泰臺灣加權正2 </t>
  </si>
  <si>
    <t xml:space="preserve">國泰臺灣加權反1 </t>
  </si>
  <si>
    <t xml:space="preserve">BP上證50        </t>
  </si>
  <si>
    <t xml:space="preserve">土銀富邦R1      </t>
  </si>
  <si>
    <t xml:space="preserve">土銀國泰R1      </t>
  </si>
  <si>
    <t xml:space="preserve">兆豐新光R1      </t>
  </si>
  <si>
    <t xml:space="preserve">土銀富邦R2      </t>
  </si>
  <si>
    <t xml:space="preserve">兆豐國泰R2      </t>
  </si>
  <si>
    <t xml:space="preserve">力達-KY         </t>
  </si>
  <si>
    <t xml:space="preserve">聯德控股-KY     </t>
  </si>
  <si>
    <t xml:space="preserve">台南-KY         </t>
  </si>
  <si>
    <t>元創精密</t>
  </si>
  <si>
    <t>藥華藥</t>
  </si>
  <si>
    <t xml:space="preserve">元大S&amp;P500反1   </t>
  </si>
  <si>
    <t xml:space="preserve">FH香港          </t>
  </si>
  <si>
    <t xml:space="preserve">FH香港正2       </t>
  </si>
  <si>
    <t>誠品生活</t>
  </si>
  <si>
    <t>益安</t>
  </si>
  <si>
    <t>永冠-KY</t>
  </si>
  <si>
    <t>六暉-KY</t>
  </si>
  <si>
    <t>信邦電子</t>
  </si>
  <si>
    <t>麗豐-KY</t>
  </si>
  <si>
    <t>聿新生技</t>
  </si>
  <si>
    <t>泰鼎-KY</t>
  </si>
  <si>
    <t>兆遠科技</t>
  </si>
  <si>
    <t>科嘉-KY</t>
  </si>
  <si>
    <t>連展科技</t>
  </si>
  <si>
    <t>復興航空</t>
  </si>
  <si>
    <t>金麗-KY</t>
  </si>
  <si>
    <t>鈺齊-KY</t>
  </si>
  <si>
    <t>成霖企業</t>
  </si>
  <si>
    <t>LINK</t>
    <phoneticPr fontId="2" type="noConversion"/>
  </si>
  <si>
    <t>資出</t>
    <phoneticPr fontId="2" type="noConversion"/>
  </si>
  <si>
    <t>A</t>
    <phoneticPr fontId="2" type="noConversion"/>
  </si>
  <si>
    <t>B</t>
    <phoneticPr fontId="2" type="noConversion"/>
  </si>
  <si>
    <t>C</t>
    <phoneticPr fontId="2" type="noConversion"/>
  </si>
  <si>
    <t>D</t>
    <phoneticPr fontId="2" type="noConversion"/>
  </si>
  <si>
    <t>E</t>
    <phoneticPr fontId="2" type="noConversion"/>
  </si>
  <si>
    <t>大盤  與  資金水位</t>
    <phoneticPr fontId="2" type="noConversion"/>
  </si>
  <si>
    <t>機構代碼</t>
  </si>
  <si>
    <t>機構名稱</t>
  </si>
  <si>
    <t>債券代碼</t>
  </si>
  <si>
    <t>到期日期</t>
  </si>
  <si>
    <t>發行總額</t>
  </si>
  <si>
    <t>目前餘額</t>
  </si>
  <si>
    <t>宜特科技</t>
  </si>
  <si>
    <t>雙鴻科技</t>
  </si>
  <si>
    <t>曜亞國際</t>
  </si>
  <si>
    <t>元山科技</t>
  </si>
  <si>
    <t>鉅橡企業</t>
  </si>
  <si>
    <t>到期天數</t>
  </si>
  <si>
    <t>CB價格</t>
  </si>
  <si>
    <t>轉換價格</t>
  </si>
  <si>
    <t>現股市價</t>
  </si>
  <si>
    <t>CB合理價值</t>
  </si>
  <si>
    <t>CB價差</t>
  </si>
  <si>
    <t>利差</t>
  </si>
  <si>
    <t>集保人數</t>
  </si>
  <si>
    <t>蘭值</t>
  </si>
  <si>
    <t>PE</t>
  </si>
  <si>
    <t>每人持有</t>
  </si>
  <si>
    <t>項目</t>
    <phoneticPr fontId="2" type="noConversion"/>
  </si>
  <si>
    <t>次新</t>
    <phoneticPr fontId="2" type="noConversion"/>
  </si>
  <si>
    <t>不新</t>
    <phoneticPr fontId="2" type="noConversion"/>
  </si>
  <si>
    <t>舊的</t>
    <phoneticPr fontId="2" type="noConversion"/>
  </si>
  <si>
    <t>營業收入</t>
    <phoneticPr fontId="2" type="noConversion"/>
  </si>
  <si>
    <t>營運天數</t>
    <phoneticPr fontId="2" type="noConversion"/>
  </si>
  <si>
    <t>蠻舊的</t>
    <phoneticPr fontId="2" type="noConversion"/>
  </si>
  <si>
    <t>營收績效</t>
    <phoneticPr fontId="2" type="noConversion"/>
  </si>
  <si>
    <t>營運績效</t>
    <phoneticPr fontId="2" type="noConversion"/>
  </si>
  <si>
    <t>績效差異</t>
    <phoneticPr fontId="2" type="noConversion"/>
  </si>
  <si>
    <t xml:space="preserve">FB H股正2       </t>
  </si>
  <si>
    <t xml:space="preserve">FB H股反1       </t>
  </si>
  <si>
    <t>橙的</t>
  </si>
  <si>
    <t>最新一季</t>
    <phoneticPr fontId="2" type="noConversion"/>
  </si>
  <si>
    <t>起點</t>
    <phoneticPr fontId="2" type="noConversion"/>
  </si>
  <si>
    <t xml:space="preserve">愛之味三            </t>
  </si>
  <si>
    <t xml:space="preserve">AGV PRODUCTS CORP.                                </t>
  </si>
  <si>
    <t xml:space="preserve">其祥一KY            </t>
  </si>
  <si>
    <t xml:space="preserve">Kee Song Bio-Technology Holdings Limited          </t>
  </si>
  <si>
    <t xml:space="preserve">SUN YAD TECHNOLOGY CO.,LTD                        </t>
  </si>
  <si>
    <t xml:space="preserve">台翰一　　　        </t>
  </si>
  <si>
    <t xml:space="preserve">TAIHAN PRECISION TECHNOLOGY CO., LTD.             </t>
  </si>
  <si>
    <t xml:space="preserve">大魯閣一            </t>
  </si>
  <si>
    <t xml:space="preserve">TAROKO TEXTILE CORP.                              </t>
  </si>
  <si>
    <t xml:space="preserve">大魯閣二            </t>
  </si>
  <si>
    <t xml:space="preserve">名軒三　　　        </t>
  </si>
  <si>
    <t xml:space="preserve">ADVANCETEK ENTERPRISE CO.,LTD.                    </t>
  </si>
  <si>
    <t xml:space="preserve">得力一　　　        </t>
  </si>
  <si>
    <t xml:space="preserve">DE LICACY INDUSTRIAL CO., LTD.                    </t>
  </si>
  <si>
    <t xml:space="preserve">得力二　　　        </t>
  </si>
  <si>
    <t xml:space="preserve">聚隆二　　　        </t>
  </si>
  <si>
    <t xml:space="preserve">Acelon                                            </t>
  </si>
  <si>
    <t xml:space="preserve">聚隆三　　　        </t>
  </si>
  <si>
    <t xml:space="preserve">聚陽四　　　        </t>
  </si>
  <si>
    <t xml:space="preserve">Makalot Industrial Co., Ltd.                      </t>
  </si>
  <si>
    <t xml:space="preserve">正道一　　　        </t>
  </si>
  <si>
    <t xml:space="preserve">RIGHT WAY INDUSTRIAL CO.,LTD                      </t>
  </si>
  <si>
    <t xml:space="preserve">亞崴二　　　        </t>
  </si>
  <si>
    <t xml:space="preserve">Awea mechantronic co.,ltd                         </t>
  </si>
  <si>
    <t xml:space="preserve">捷邦一　　　        </t>
  </si>
  <si>
    <t xml:space="preserve">JaBon International Co.,Ltd.                      </t>
  </si>
  <si>
    <t xml:space="preserve">濱川五　　　        </t>
  </si>
  <si>
    <t xml:space="preserve">Bin Chuan Enterprise Co., Ltd.                    </t>
  </si>
  <si>
    <t xml:space="preserve">信錦二　　　        </t>
  </si>
  <si>
    <t xml:space="preserve">SYNCMOLD ENTERPRISE CORP.                         </t>
  </si>
  <si>
    <t xml:space="preserve">程泰一　　　        </t>
  </si>
  <si>
    <t xml:space="preserve">GOODWAY MACHINE CORP.                             </t>
  </si>
  <si>
    <t xml:space="preserve">和勤一　　　        </t>
  </si>
  <si>
    <t xml:space="preserve">CHINA FINEBLANKING TECHNOLOGY CO.,LTD.            </t>
  </si>
  <si>
    <t xml:space="preserve">永冠一KY            </t>
  </si>
  <si>
    <t xml:space="preserve">Yeong Guan Energy Technology Group Co., Ltd.      </t>
  </si>
  <si>
    <t xml:space="preserve">永冠二KY            </t>
  </si>
  <si>
    <t xml:space="preserve">祺驊一　　　        </t>
  </si>
  <si>
    <t xml:space="preserve">CHI HUA FITNESS CO.,LTD.                          </t>
  </si>
  <si>
    <t xml:space="preserve">川寶一　　　        </t>
  </si>
  <si>
    <t xml:space="preserve">Chime Ball Technology Co.,Ltd.                    </t>
  </si>
  <si>
    <t xml:space="preserve">艾美特一KY          </t>
  </si>
  <si>
    <t xml:space="preserve">Airmate (Cayman) International Co. Limited        </t>
  </si>
  <si>
    <t xml:space="preserve">葡萄王一            </t>
  </si>
  <si>
    <t xml:space="preserve">GRAPE KING BIO LTD                                </t>
  </si>
  <si>
    <t xml:space="preserve">和益一　　　        </t>
  </si>
  <si>
    <t xml:space="preserve">FORMOSAN UNION CHEMICAL CORP.                     </t>
  </si>
  <si>
    <t xml:space="preserve">興農一　　　        </t>
  </si>
  <si>
    <t xml:space="preserve">SINON CORPORATION                                 </t>
  </si>
  <si>
    <t xml:space="preserve">萬洲Ｅ１　　        </t>
  </si>
  <si>
    <t xml:space="preserve">ACHEM Technology Corporation                      </t>
  </si>
  <si>
    <t xml:space="preserve">萬洲一　　　        </t>
  </si>
  <si>
    <t xml:space="preserve">ACHEM Technology Corporation.                     </t>
  </si>
  <si>
    <t xml:space="preserve">萬洲二　　　        </t>
  </si>
  <si>
    <t xml:space="preserve">萬洲三　　　        </t>
  </si>
  <si>
    <t xml:space="preserve">花仙子一            </t>
  </si>
  <si>
    <t xml:space="preserve">FARCENT ENTERPRISE CO.,LTD                        </t>
  </si>
  <si>
    <t xml:space="preserve">五鼎二　　　        </t>
  </si>
  <si>
    <t xml:space="preserve">Apex Biotechnology Corp.                          </t>
  </si>
  <si>
    <t xml:space="preserve">南光二　　　        </t>
  </si>
  <si>
    <t xml:space="preserve">NANG KUANG PHARMACECUTICAL CO., LTD               </t>
  </si>
  <si>
    <t xml:space="preserve">潤隆三　　　        </t>
  </si>
  <si>
    <t xml:space="preserve">RUN LONG CONSTRUCTION CO., LTD.                   </t>
  </si>
  <si>
    <t xml:space="preserve">富喬三　　　        </t>
  </si>
  <si>
    <t xml:space="preserve">FULLTECH FIBER GLASS CORP.                        </t>
  </si>
  <si>
    <t xml:space="preserve">富喬四　　　        </t>
  </si>
  <si>
    <t xml:space="preserve">榮成三　　　        </t>
  </si>
  <si>
    <t xml:space="preserve">Long Chen Paper Co.,Ltd.                          </t>
  </si>
  <si>
    <t xml:space="preserve">東和鋼鐵六          </t>
  </si>
  <si>
    <t xml:space="preserve">Tung Ho Steel Enterprise Corp.                    </t>
  </si>
  <si>
    <t xml:space="preserve">新光鋼四            </t>
  </si>
  <si>
    <t xml:space="preserve">Hsin Kuang Steel co. LTD.,                        </t>
  </si>
  <si>
    <t xml:space="preserve">六暉一KY            </t>
  </si>
  <si>
    <t xml:space="preserve">LU HAI HOLDING CORP.                              </t>
  </si>
  <si>
    <t xml:space="preserve">劍麟一　　　        </t>
  </si>
  <si>
    <t xml:space="preserve">IRON FORCE INDUSTRIAL CO.,                        </t>
  </si>
  <si>
    <t xml:space="preserve">泰茂一              </t>
  </si>
  <si>
    <t xml:space="preserve">C.T.I. TRAFFIC INDUSTRIES CO.,LTD.                </t>
  </si>
  <si>
    <t xml:space="preserve">泰茂二              </t>
  </si>
  <si>
    <t xml:space="preserve">泰茂三              </t>
  </si>
  <si>
    <t xml:space="preserve">友訊Ｅ１　　        </t>
  </si>
  <si>
    <t xml:space="preserve">D-LINK CORPORATION                                </t>
  </si>
  <si>
    <t xml:space="preserve">致茂二　　　        </t>
  </si>
  <si>
    <t xml:space="preserve">CHROMA ATE INC.                                   </t>
  </si>
  <si>
    <t xml:space="preserve">億光五　　　        </t>
  </si>
  <si>
    <t xml:space="preserve">Everlight Electronics Co., Ltd.                   </t>
  </si>
  <si>
    <t xml:space="preserve">億光六　　　        </t>
  </si>
  <si>
    <t xml:space="preserve">毅嘉二　　　        </t>
  </si>
  <si>
    <t xml:space="preserve">ICHIA TECHNOLOGIES, INC                           </t>
  </si>
  <si>
    <t xml:space="preserve">國碩Ｅ２　　        </t>
  </si>
  <si>
    <t xml:space="preserve">GIGASTORAGE CORPORATION                           </t>
  </si>
  <si>
    <t xml:space="preserve">國碩三　　　        </t>
  </si>
  <si>
    <t xml:space="preserve">旺詮一　　　        </t>
  </si>
  <si>
    <t xml:space="preserve">RALEC ELECTRONIC CORPORATION                      </t>
  </si>
  <si>
    <t xml:space="preserve">美律一　　　        </t>
  </si>
  <si>
    <t xml:space="preserve">MERRY ELECTRONICS CO.,LTD.                        </t>
  </si>
  <si>
    <t xml:space="preserve">新美齊二            </t>
  </si>
  <si>
    <t xml:space="preserve">JEAN CO.,LTD                                      </t>
  </si>
  <si>
    <t xml:space="preserve">友旺二　　　        </t>
  </si>
  <si>
    <t xml:space="preserve">AboCom Systems,Inc.                               </t>
  </si>
  <si>
    <t xml:space="preserve">奇力新四            </t>
  </si>
  <si>
    <t xml:space="preserve">CHILISIN ELECTRONICS CORP                         </t>
  </si>
  <si>
    <t xml:space="preserve">飛宏一　　　        </t>
  </si>
  <si>
    <t xml:space="preserve">PHIHONG TECHNOLOGY CO., LTD.                      </t>
  </si>
  <si>
    <t xml:space="preserve">光群雷四            </t>
  </si>
  <si>
    <t xml:space="preserve">K LASER TECHNOLOGY INC.                           </t>
  </si>
  <si>
    <t xml:space="preserve">光群雷五            </t>
  </si>
  <si>
    <t xml:space="preserve">冠西電二            </t>
  </si>
  <si>
    <t xml:space="preserve">Cosmo Electronics Corporation                     </t>
  </si>
  <si>
    <t xml:space="preserve">大毅一　　　        </t>
  </si>
  <si>
    <t xml:space="preserve">TA-I TECHNOLOGY CO.,LTD                           </t>
  </si>
  <si>
    <t xml:space="preserve">強茂六　　　        </t>
  </si>
  <si>
    <t xml:space="preserve">PAN JIT INTERNATIONAL INC.                        </t>
  </si>
  <si>
    <t xml:space="preserve">一詮五　　　        </t>
  </si>
  <si>
    <t xml:space="preserve">I-CHIUN PRECISION INDUSTRY CO., LTD.              </t>
  </si>
  <si>
    <t xml:space="preserve">中工一　　　        </t>
  </si>
  <si>
    <t xml:space="preserve">BES Engineering Co.                               </t>
  </si>
  <si>
    <t xml:space="preserve">中工二　　　        </t>
  </si>
  <si>
    <t xml:space="preserve">皇普一　　　        </t>
  </si>
  <si>
    <t xml:space="preserve">CROWELL DEVELOPMENT CORP.                         </t>
  </si>
  <si>
    <t xml:space="preserve">達欣工二            </t>
  </si>
  <si>
    <t xml:space="preserve">DA-CIN CONSTRUCTION CO.,LTD.                      </t>
  </si>
  <si>
    <t xml:space="preserve">達欣工三            </t>
  </si>
  <si>
    <t xml:space="preserve">聯上發五            </t>
  </si>
  <si>
    <t xml:space="preserve">WE &amp; WIN Development Co., LTD                     </t>
  </si>
  <si>
    <t xml:space="preserve">基泰三　　　        </t>
  </si>
  <si>
    <t xml:space="preserve">Kee Tai Properties Co.,Ltd                        </t>
  </si>
  <si>
    <t xml:space="preserve">綠意二　　　        </t>
  </si>
  <si>
    <t xml:space="preserve">ReaLy Development &amp; Construction Corp.            </t>
  </si>
  <si>
    <t xml:space="preserve">益航一　　　        </t>
  </si>
  <si>
    <t xml:space="preserve">First Steamship Co., Ltd.                         </t>
  </si>
  <si>
    <t xml:space="preserve">益航二　　　        </t>
  </si>
  <si>
    <t xml:space="preserve">陽明四　　　        </t>
  </si>
  <si>
    <t xml:space="preserve">Yang Ming Marine Transport Corp.                  </t>
  </si>
  <si>
    <t xml:space="preserve">華航五　　　        </t>
  </si>
  <si>
    <t xml:space="preserve">China Airlines Ltd.                               </t>
  </si>
  <si>
    <t xml:space="preserve">中櫃一　　　        </t>
  </si>
  <si>
    <t xml:space="preserve">CHINA CONTAINER TERMINAL CORP                     </t>
  </si>
  <si>
    <t xml:space="preserve">中櫃二　　　        </t>
  </si>
  <si>
    <t xml:space="preserve">山隆三　　　        </t>
  </si>
  <si>
    <t xml:space="preserve">SHAN-LOONG TRANSPORTATION CO.,LTD                 </t>
  </si>
  <si>
    <t xml:space="preserve">台驊二　　　        </t>
  </si>
  <si>
    <t xml:space="preserve">T.H.I. Global Holdings Corp.                      </t>
  </si>
  <si>
    <t xml:space="preserve">台驊三　　　        </t>
  </si>
  <si>
    <t xml:space="preserve">T3EX Global Holdings Corp.                        </t>
  </si>
  <si>
    <t xml:space="preserve">慧洋一KY            </t>
  </si>
  <si>
    <t xml:space="preserve">Wisdom Marine Lines Co., Limited.                 </t>
  </si>
  <si>
    <t xml:space="preserve">大車隊一            </t>
  </si>
  <si>
    <t xml:space="preserve">TAIWAN TAXI CO.,LTD.                              </t>
  </si>
  <si>
    <t xml:space="preserve">正德一　　　        </t>
  </si>
  <si>
    <t xml:space="preserve">Franbo Lines Corp.                                </t>
  </si>
  <si>
    <t xml:space="preserve">正德二　　　        </t>
  </si>
  <si>
    <t xml:space="preserve">晶華一　　　        </t>
  </si>
  <si>
    <t xml:space="preserve">FORMOSA INTERNATIONAL HOTELS CORPORATION          </t>
  </si>
  <si>
    <t xml:space="preserve">雅茗一KY            </t>
  </si>
  <si>
    <t xml:space="preserve">Yummy Town (Cayman) Holdings Corporation          </t>
  </si>
  <si>
    <t xml:space="preserve">六角一　　　        </t>
  </si>
  <si>
    <t xml:space="preserve">La Kaffa International Co., LTD.                  </t>
  </si>
  <si>
    <t xml:space="preserve">易飛網一            </t>
  </si>
  <si>
    <t xml:space="preserve">Ezfly International Travel Agent Co., Ltd.        </t>
  </si>
  <si>
    <t xml:space="preserve">台開一　　　        </t>
  </si>
  <si>
    <t xml:space="preserve">Taiwan Land Development Corporation               </t>
  </si>
  <si>
    <t xml:space="preserve">兆豐金E2            </t>
  </si>
  <si>
    <t xml:space="preserve">Mega Financial Holding Company Ltd.               </t>
  </si>
  <si>
    <t xml:space="preserve">新光金二            </t>
  </si>
  <si>
    <t xml:space="preserve">Shin Kong Financial Holding Co.,Ltd.              </t>
  </si>
  <si>
    <t xml:space="preserve">新光金三            </t>
  </si>
  <si>
    <t xml:space="preserve">東凌二KY            </t>
  </si>
  <si>
    <t xml:space="preserve">Cayman Tung Ling co., Limited                     </t>
  </si>
  <si>
    <t xml:space="preserve">東凌三KY            </t>
  </si>
  <si>
    <t xml:space="preserve">華立二　　　        </t>
  </si>
  <si>
    <t xml:space="preserve">WAH LEE INDUSTRIAL CORP.                          </t>
  </si>
  <si>
    <t xml:space="preserve">同開一　　　        </t>
  </si>
  <si>
    <t xml:space="preserve">TUNG KAI TECHNOLOGY ENGINEERING CO.,LTD.          </t>
  </si>
  <si>
    <t xml:space="preserve">同開二　　　        </t>
  </si>
  <si>
    <t xml:space="preserve">信邦五　　　        </t>
  </si>
  <si>
    <t xml:space="preserve">SINBON ELECTRONICS CO.,LTD.                       </t>
  </si>
  <si>
    <t xml:space="preserve">零壹二　　　        </t>
  </si>
  <si>
    <t xml:space="preserve">Zero One Technology Co.,Ltd.                      </t>
  </si>
  <si>
    <t xml:space="preserve">宏傳二　　　        </t>
  </si>
  <si>
    <t xml:space="preserve">WELL COMMUNICATION CORP                           </t>
  </si>
  <si>
    <t xml:space="preserve">訊舟六　　　        </t>
  </si>
  <si>
    <t xml:space="preserve">EDIMAX TECHNOLOGY CO., LTD.                       </t>
  </si>
  <si>
    <t xml:space="preserve">益登一　　　        </t>
  </si>
  <si>
    <t xml:space="preserve">EDOM TECHNOLOGY CO., LTD.                         </t>
  </si>
  <si>
    <t xml:space="preserve">立萬利三            </t>
  </si>
  <si>
    <t xml:space="preserve">CARRY TECHNOLOGY CO., LTD.                        </t>
  </si>
  <si>
    <t xml:space="preserve">華義一　　　        </t>
  </si>
  <si>
    <t xml:space="preserve">Wayi International Digital Entertainment Co.      </t>
  </si>
  <si>
    <t xml:space="preserve">昇銳一　　　        </t>
  </si>
  <si>
    <t xml:space="preserve">HI SHARP ELECTRONICS CO., LTD.                    </t>
  </si>
  <si>
    <t xml:space="preserve">正達一　　　        </t>
  </si>
  <si>
    <t xml:space="preserve">G-TECH Optoelectronics Corporation                </t>
  </si>
  <si>
    <t xml:space="preserve">正達二　　　        </t>
  </si>
  <si>
    <t xml:space="preserve">波若威一            </t>
  </si>
  <si>
    <t xml:space="preserve">Browave Corporation                               </t>
  </si>
  <si>
    <t xml:space="preserve">新洲一　　　        </t>
  </si>
  <si>
    <t xml:space="preserve">XIN CHIO GLOBAL CO., LTD.                         </t>
  </si>
  <si>
    <t xml:space="preserve">Sagittarius Life Science Corp.                    </t>
  </si>
  <si>
    <t xml:space="preserve">佰研二　　　        </t>
  </si>
  <si>
    <t xml:space="preserve">三顧二　　　        </t>
  </si>
  <si>
    <t xml:space="preserve">MetaTech (AP) Inc.                                </t>
  </si>
  <si>
    <t xml:space="preserve">光環一　　　        </t>
  </si>
  <si>
    <t xml:space="preserve">TrueLight Corporation                             </t>
  </si>
  <si>
    <t xml:space="preserve">光環二　　　        </t>
  </si>
  <si>
    <t xml:space="preserve">海灣二　　　        </t>
  </si>
  <si>
    <t xml:space="preserve">Haewan International Development Co.,Ltd          </t>
  </si>
  <si>
    <t xml:space="preserve">海灣三　　　        </t>
  </si>
  <si>
    <t xml:space="preserve">東碩一　　　        </t>
  </si>
  <si>
    <t xml:space="preserve">Good Way Technology Co., Ltd.                     </t>
  </si>
  <si>
    <t xml:space="preserve">點晶一　　　        </t>
  </si>
  <si>
    <t xml:space="preserve">SILICON TOUCH TECHNOLOGY INC.                     </t>
  </si>
  <si>
    <t xml:space="preserve">宜特三　　　        </t>
  </si>
  <si>
    <t xml:space="preserve">INTEGRATED SERVICE TECHNOLOGY INC.                </t>
  </si>
  <si>
    <t xml:space="preserve">帛漢四　　　        </t>
  </si>
  <si>
    <t xml:space="preserve">BOTHHAND ENTERPRISE INC.                          </t>
  </si>
  <si>
    <t xml:space="preserve">建舜電二            </t>
  </si>
  <si>
    <t xml:space="preserve">JOINSOON ELECTRONICS MFG. CO. LTD.,               </t>
  </si>
  <si>
    <t xml:space="preserve">雙鴻二              </t>
  </si>
  <si>
    <t xml:space="preserve">AURAS Technology Co.,Ltd.                         </t>
  </si>
  <si>
    <t xml:space="preserve">旭品二　　　        </t>
  </si>
  <si>
    <t xml:space="preserve">Casing Macron Technology Co., Ltd.                </t>
  </si>
  <si>
    <t xml:space="preserve">泰碩一　　　        </t>
  </si>
  <si>
    <t xml:space="preserve">Taisol Electronics Co., Ltd.                      </t>
  </si>
  <si>
    <t xml:space="preserve">泰谷二　　　        </t>
  </si>
  <si>
    <t xml:space="preserve">TEKCORE CO., LTD                                  </t>
  </si>
  <si>
    <t xml:space="preserve">泰谷三　　　        </t>
  </si>
  <si>
    <t xml:space="preserve">新世紀五            </t>
  </si>
  <si>
    <t xml:space="preserve">Genesis Photonics Inc.                            </t>
  </si>
  <si>
    <t xml:space="preserve">類比科二            </t>
  </si>
  <si>
    <t xml:space="preserve">Advanced Analog Technology Inc                    </t>
  </si>
  <si>
    <t xml:space="preserve">祥業二　　　        </t>
  </si>
  <si>
    <t xml:space="preserve">SAMYA TECHNOLOGY CO.,LTD                          </t>
  </si>
  <si>
    <t xml:space="preserve">崧騰一　　　        </t>
  </si>
  <si>
    <t xml:space="preserve">SOLTEAM ELECTRONICS CO.,LTD.                      </t>
  </si>
  <si>
    <t xml:space="preserve">晶彩科二            </t>
  </si>
  <si>
    <t xml:space="preserve">Favite, Inc.                                      </t>
  </si>
  <si>
    <t xml:space="preserve">敦泰一　　　        </t>
  </si>
  <si>
    <t xml:space="preserve">Orise Technology Co., Ltd.                        </t>
  </si>
  <si>
    <t xml:space="preserve">嘉威一　　　        </t>
  </si>
  <si>
    <t xml:space="preserve">Gamma Optical Co., LTD.                           </t>
  </si>
  <si>
    <t xml:space="preserve">其陽一　　　        </t>
  </si>
  <si>
    <t xml:space="preserve">AEWIN Technologies Co.,Ltd.                       </t>
  </si>
  <si>
    <t xml:space="preserve">新日光一            </t>
  </si>
  <si>
    <t xml:space="preserve">Neo Solar Power Corp.                             </t>
  </si>
  <si>
    <t xml:space="preserve">新日光二            </t>
  </si>
  <si>
    <t xml:space="preserve">友威科一            </t>
  </si>
  <si>
    <t xml:space="preserve">UVAT Technology Co., Ltd.                         </t>
  </si>
  <si>
    <t xml:space="preserve">磐儀一　　　        </t>
  </si>
  <si>
    <t xml:space="preserve">ARBOR Technology Corp.                            </t>
  </si>
  <si>
    <t xml:space="preserve">谷崧二　　　        </t>
  </si>
  <si>
    <t xml:space="preserve">Coxon Precise Industrial Co., Ltd                 </t>
  </si>
  <si>
    <t xml:space="preserve">東林一　　　        </t>
  </si>
  <si>
    <t xml:space="preserve">HEP TECH CO., LTD.                                </t>
  </si>
  <si>
    <t xml:space="preserve">鼎翰一　　　        </t>
  </si>
  <si>
    <t xml:space="preserve">TSC AUTO ID TECHNOLOGY CO., LTD.                  </t>
  </si>
  <si>
    <t xml:space="preserve">西勝一　　　        </t>
  </si>
  <si>
    <t xml:space="preserve">C-TECH UNITED CORP.                               </t>
  </si>
  <si>
    <t xml:space="preserve">晟楠一　　　        </t>
  </si>
  <si>
    <t xml:space="preserve">Chernan Metal Industrial Corp.                    </t>
  </si>
  <si>
    <t xml:space="preserve">樂陞四              </t>
  </si>
  <si>
    <t xml:space="preserve">XPEC Entertainment Inc.                           </t>
  </si>
  <si>
    <t xml:space="preserve">樂陞五              </t>
  </si>
  <si>
    <t xml:space="preserve">樂陞六              </t>
  </si>
  <si>
    <t xml:space="preserve">鑫科一　　　        </t>
  </si>
  <si>
    <t xml:space="preserve">THINTECH MATERIALS TECHNOLOGY CO., LTD.           </t>
  </si>
  <si>
    <t xml:space="preserve">鑫科二　　　        </t>
  </si>
  <si>
    <t xml:space="preserve">碩禾一　　　        </t>
  </si>
  <si>
    <t xml:space="preserve">GIGASOLAR MATERIALS CORPORATION                   </t>
  </si>
  <si>
    <t xml:space="preserve">營邦一　　　        </t>
  </si>
  <si>
    <t xml:space="preserve">AIC Inc.                                          </t>
  </si>
  <si>
    <t xml:space="preserve">隆達一　　　        </t>
  </si>
  <si>
    <t xml:space="preserve">Lextar Electronics Corp.                          </t>
  </si>
  <si>
    <t xml:space="preserve">隆達二　　　        </t>
  </si>
  <si>
    <t xml:space="preserve">大聯大一            </t>
  </si>
  <si>
    <t xml:space="preserve">WPG HOLDINGS LIMITED                              </t>
  </si>
  <si>
    <t xml:space="preserve">漢磊一              </t>
  </si>
  <si>
    <t xml:space="preserve">Episil Holding Inc.                               </t>
  </si>
  <si>
    <t xml:space="preserve">佳醫五　　　        </t>
  </si>
  <si>
    <t xml:space="preserve">EXCELSIOR MEDICAL CO.,LTD                         </t>
  </si>
  <si>
    <t xml:space="preserve">穆拉德三            </t>
  </si>
  <si>
    <t xml:space="preserve">Murad Chia Jei Biotechnology Co., Ltd.            </t>
  </si>
  <si>
    <t xml:space="preserve">聯上四　　　        </t>
  </si>
  <si>
    <t xml:space="preserve">WE&amp;WIN DIVERSIFICATION CO.,LTD.                   </t>
  </si>
  <si>
    <t xml:space="preserve">健喬五　　　        </t>
  </si>
  <si>
    <t xml:space="preserve">SYNMOSA BIOPHARMA CORPORATION                     </t>
  </si>
  <si>
    <t xml:space="preserve">晟德三　　　        </t>
  </si>
  <si>
    <t xml:space="preserve">Center Laboratories, Inc.                         </t>
  </si>
  <si>
    <t xml:space="preserve">健亞一　　　        </t>
  </si>
  <si>
    <t xml:space="preserve">Genovate Biotechnology Co., LTD.                  </t>
  </si>
  <si>
    <t xml:space="preserve">麗豐一KY            </t>
  </si>
  <si>
    <t xml:space="preserve">CHLITINA HOLDING LIMITED                          </t>
  </si>
  <si>
    <t xml:space="preserve">曜亞二　　　        </t>
  </si>
  <si>
    <t xml:space="preserve">DYNAMIC MEDICAL TECHNOLOGIES INC.                 </t>
  </si>
  <si>
    <t xml:space="preserve">龍燈一KY            </t>
  </si>
  <si>
    <t xml:space="preserve">Rotam Global AgroSciences Limited                 </t>
  </si>
  <si>
    <t xml:space="preserve">鈺緯一　　　        </t>
  </si>
  <si>
    <t xml:space="preserve">DIVA Laboratories, Ltd.                           </t>
  </si>
  <si>
    <t xml:space="preserve">鈺緯二　　　        </t>
  </si>
  <si>
    <t xml:space="preserve">聿新科一            </t>
  </si>
  <si>
    <t xml:space="preserve">BIOPTIK TECHNOLOGY, INC                           </t>
  </si>
  <si>
    <t xml:space="preserve">鐿鈦一　　　        </t>
  </si>
  <si>
    <t xml:space="preserve">INTAI TECHNOLOGY CORP.                            </t>
  </si>
  <si>
    <t xml:space="preserve">承業醫二            </t>
  </si>
  <si>
    <t xml:space="preserve">CHC Healthcare Group                              </t>
  </si>
  <si>
    <t xml:space="preserve">炎洲七　　　        </t>
  </si>
  <si>
    <t xml:space="preserve">YEMCHIO COMPANY LTD.                              </t>
  </si>
  <si>
    <t xml:space="preserve">如興四　　　        </t>
  </si>
  <si>
    <t xml:space="preserve">ROO HSING CO., LTD                                </t>
  </si>
  <si>
    <t xml:space="preserve">三圓一　　　        </t>
  </si>
  <si>
    <t xml:space="preserve">SHANYUAN CO.,LTD                                  </t>
  </si>
  <si>
    <t xml:space="preserve">永彰一　　　        </t>
  </si>
  <si>
    <t xml:space="preserve">Taiwan Calsonic Co.,Ltd                           </t>
  </si>
  <si>
    <t xml:space="preserve">瑞智二　　　        </t>
  </si>
  <si>
    <t xml:space="preserve">RECHI PRECISION CO.,LTD.                          </t>
  </si>
  <si>
    <t xml:space="preserve">慶騰三              </t>
  </si>
  <si>
    <t xml:space="preserve">Trinity Precision Technology Co., Ltd.            </t>
  </si>
  <si>
    <t xml:space="preserve">晟田一　　　        </t>
  </si>
  <si>
    <t xml:space="preserve">Magnate Technology Co.,Ltd                        </t>
  </si>
  <si>
    <t xml:space="preserve">晟田二　　　        </t>
  </si>
  <si>
    <t xml:space="preserve">長佳一              </t>
  </si>
  <si>
    <t xml:space="preserve">Chang Jia M&amp;E Engineering Corp.                   </t>
  </si>
  <si>
    <t xml:space="preserve">永捷三　　　        </t>
  </si>
  <si>
    <t xml:space="preserve">U-BEST POLYMER INDUSTRY CO.,LTD                   </t>
  </si>
  <si>
    <t xml:space="preserve">永捷四　　　        </t>
  </si>
  <si>
    <t xml:space="preserve">泰博二　　　        </t>
  </si>
  <si>
    <t xml:space="preserve">Taidoc Technology Corporation                     </t>
  </si>
  <si>
    <t xml:space="preserve">康普一　　　        </t>
  </si>
  <si>
    <t xml:space="preserve">Coremax Corporation                               </t>
  </si>
  <si>
    <t xml:space="preserve">康普二　　　        </t>
  </si>
  <si>
    <t xml:space="preserve">合富一KY            </t>
  </si>
  <si>
    <t xml:space="preserve">Cowealth Medical Holding Co., Ltd.                </t>
  </si>
  <si>
    <t xml:space="preserve">台耀二　　　        </t>
  </si>
  <si>
    <t xml:space="preserve">Formosa Laboratories, Inc.                        </t>
  </si>
  <si>
    <t xml:space="preserve">GEMTEK TECHNOLOGY Co.,Ltd                         </t>
  </si>
  <si>
    <t xml:space="preserve">正文四              </t>
  </si>
  <si>
    <t xml:space="preserve">事欣科一            </t>
  </si>
  <si>
    <t xml:space="preserve">PARPRO CORPORATION                                </t>
  </si>
  <si>
    <t xml:space="preserve">泰鼎二KY            </t>
  </si>
  <si>
    <t xml:space="preserve">Apex International Co., Ltd.                      </t>
  </si>
  <si>
    <t xml:space="preserve">兆遠一　　　        </t>
  </si>
  <si>
    <t xml:space="preserve">CRYSTALWISE TECHNOLOGY INC.                       </t>
  </si>
  <si>
    <t xml:space="preserve">光鋐一　　　        </t>
  </si>
  <si>
    <t xml:space="preserve">Epileds Technologies, Inc.                        </t>
  </si>
  <si>
    <t xml:space="preserve">亞泰二　　　        </t>
  </si>
  <si>
    <t xml:space="preserve">ASIA TECH IMAGE INC.                              </t>
  </si>
  <si>
    <t xml:space="preserve">華星光一            </t>
  </si>
  <si>
    <t xml:space="preserve">LuxNet Corporation                                </t>
  </si>
  <si>
    <t xml:space="preserve">環宇一KY            </t>
  </si>
  <si>
    <t xml:space="preserve">GCS Holdings, Inc.                                </t>
  </si>
  <si>
    <t xml:space="preserve">環宇二KY            </t>
  </si>
  <si>
    <t xml:space="preserve">晶達一　　　        </t>
  </si>
  <si>
    <t xml:space="preserve">Litemax Electronics Inc.                          </t>
  </si>
  <si>
    <t xml:space="preserve">亞昕五　　　        </t>
  </si>
  <si>
    <t xml:space="preserve">YeaShin International Development Co., Ltd.       </t>
  </si>
  <si>
    <t xml:space="preserve">亞昕六　　　        </t>
  </si>
  <si>
    <t xml:space="preserve">科嘉一KY            </t>
  </si>
  <si>
    <t xml:space="preserve">KO JA (CAYMAN) CO., LTD.                          </t>
  </si>
  <si>
    <t xml:space="preserve">LEDLINK OPTICS,INC                                </t>
  </si>
  <si>
    <t xml:space="preserve">雷笛克光學二        </t>
  </si>
  <si>
    <t xml:space="preserve">清惠一　　　        </t>
  </si>
  <si>
    <t xml:space="preserve">CANDMARK ELECTROPTICS CO., LTD.                   </t>
  </si>
  <si>
    <t xml:space="preserve">jpp一KY             </t>
  </si>
  <si>
    <t xml:space="preserve">JPP HOLDING COMPANY LIMITED                       </t>
  </si>
  <si>
    <t xml:space="preserve">界霖一　　　        </t>
  </si>
  <si>
    <t xml:space="preserve">Jih Lin Technology Co., Ltd.                      </t>
  </si>
  <si>
    <t xml:space="preserve">宜鼎一　　　        </t>
  </si>
  <si>
    <t xml:space="preserve">Innodisk Corporation                              </t>
  </si>
  <si>
    <t xml:space="preserve">系統電三            </t>
  </si>
  <si>
    <t xml:space="preserve">SYSGRATION LTD.                                   </t>
  </si>
  <si>
    <t xml:space="preserve">應華四　　　        </t>
  </si>
  <si>
    <t xml:space="preserve">AVY Precision Technology INC.                     </t>
  </si>
  <si>
    <t xml:space="preserve">德宏五　　　        </t>
  </si>
  <si>
    <t xml:space="preserve">GLOTECH INDUSTRIAL CORP                           </t>
  </si>
  <si>
    <t xml:space="preserve">德宏七　　　        </t>
  </si>
  <si>
    <t xml:space="preserve">德宏八　　　        </t>
  </si>
  <si>
    <t xml:space="preserve">德宏九　　　        </t>
  </si>
  <si>
    <t xml:space="preserve">連展三　　　        </t>
  </si>
  <si>
    <t xml:space="preserve">ADVANCED-CONNECTEK INC.                           </t>
  </si>
  <si>
    <t xml:space="preserve">隆大一　　　        </t>
  </si>
  <si>
    <t xml:space="preserve">LongDa Construction &amp; Development Corporation     </t>
  </si>
  <si>
    <t xml:space="preserve">隆大二　　　        </t>
  </si>
  <si>
    <t xml:space="preserve">遠雄六　　　        </t>
  </si>
  <si>
    <t xml:space="preserve">Farglory Land Development Co., Ltd                </t>
  </si>
  <si>
    <t xml:space="preserve">志嘉一　　　        </t>
  </si>
  <si>
    <t xml:space="preserve">Well Glory Development CO.,LTD.                   </t>
  </si>
  <si>
    <t xml:space="preserve">四維航四            </t>
  </si>
  <si>
    <t xml:space="preserve">SHIH WEI NAVIGATION CO., LTD                      </t>
  </si>
  <si>
    <t xml:space="preserve">四維航五            </t>
  </si>
  <si>
    <t xml:space="preserve">南仁湖三            </t>
  </si>
  <si>
    <t xml:space="preserve">NAN REN Hu LEISURE AMUSEMENT CO., LTD.            </t>
  </si>
  <si>
    <t xml:space="preserve">瑞傳三　　　        </t>
  </si>
  <si>
    <t xml:space="preserve">Portwell, Inc.                                    </t>
  </si>
  <si>
    <t xml:space="preserve">華美一　　　        </t>
  </si>
  <si>
    <t xml:space="preserve">SINO-AMERICAN ELECTRONICS CO., LTD                </t>
  </si>
  <si>
    <t xml:space="preserve">鎰勝三　　　        </t>
  </si>
  <si>
    <t xml:space="preserve">I-SHENG ELECTRIC WIRE &amp; CABLE CO., LTD.           </t>
  </si>
  <si>
    <t xml:space="preserve">信音二              </t>
  </si>
  <si>
    <t xml:space="preserve">Singatron Enterprise CO., Ltd.                    </t>
  </si>
  <si>
    <t xml:space="preserve">九豪四　　　        </t>
  </si>
  <si>
    <t xml:space="preserve">LEATEC FINE CERAMICS CO., LTD.                    </t>
  </si>
  <si>
    <t xml:space="preserve">悠克二　　　        </t>
  </si>
  <si>
    <t xml:space="preserve">YOKO TECHNOLOGY CORP.                             </t>
  </si>
  <si>
    <t xml:space="preserve">萬旭一　　　        </t>
  </si>
  <si>
    <t xml:space="preserve">WanShih Electronic Co., Ltd.                      </t>
  </si>
  <si>
    <t xml:space="preserve">亞翔三　　　        </t>
  </si>
  <si>
    <t xml:space="preserve">L &amp; K ENGINEERING CO., LTD.                       </t>
  </si>
  <si>
    <t xml:space="preserve">耕興二　　　        </t>
  </si>
  <si>
    <t xml:space="preserve">SPORTON INTERNATIONAL INC.                        </t>
  </si>
  <si>
    <t xml:space="preserve">嘉聯益四            </t>
  </si>
  <si>
    <t xml:space="preserve">Career Technology (MFG.) Co., Ltd                 </t>
  </si>
  <si>
    <t xml:space="preserve">宏齊四　　　        </t>
  </si>
  <si>
    <t xml:space="preserve">HARVATEK CORPORATION                              </t>
  </si>
  <si>
    <t xml:space="preserve">瑞儀一　　　        </t>
  </si>
  <si>
    <t xml:space="preserve">RADIANT OPTO-ELECTRONICS CORP.                    </t>
  </si>
  <si>
    <t xml:space="preserve">達麗四　　　        </t>
  </si>
  <si>
    <t xml:space="preserve">DA-LI CONSTRUCTION CO., LTD.                      </t>
  </si>
  <si>
    <t xml:space="preserve">達麗五　　　        </t>
  </si>
  <si>
    <t xml:space="preserve">DA-LI DEVELOPMENT CO.,LTD.                        </t>
  </si>
  <si>
    <t xml:space="preserve">達麗六　　　        </t>
  </si>
  <si>
    <t xml:space="preserve">橘子一　　　        </t>
  </si>
  <si>
    <t xml:space="preserve">GAMANIA DIGITAL ENTERTAINMENT CO.,LTD.            </t>
  </si>
  <si>
    <t xml:space="preserve">合晶五　　　        </t>
  </si>
  <si>
    <t xml:space="preserve">WAFER WORKS CORPORATION                           </t>
  </si>
  <si>
    <t xml:space="preserve">大豐電二            </t>
  </si>
  <si>
    <t xml:space="preserve">DAH FUNG CATV CO.,LTD .                           </t>
  </si>
  <si>
    <t xml:space="preserve">萬泰科四            </t>
  </si>
  <si>
    <t xml:space="preserve">WONDERFUL HI-TECH CO., LTD.                       </t>
  </si>
  <si>
    <t xml:space="preserve">富旺一　　　        </t>
  </si>
  <si>
    <t xml:space="preserve">FULL WANG INTERNATIONAL DEVELOPMENT CO.,LTD.      </t>
  </si>
  <si>
    <t xml:space="preserve">YFC-BonEagle ELECTRIC CO.,LTD                     </t>
  </si>
  <si>
    <t xml:space="preserve">岳豐七　　　        </t>
  </si>
  <si>
    <t xml:space="preserve">旺矽三　　　        </t>
  </si>
  <si>
    <t xml:space="preserve">MPI CORPORATION                                   </t>
  </si>
  <si>
    <t xml:space="preserve">光鼎四　　　        </t>
  </si>
  <si>
    <t xml:space="preserve">Para Light Electronics Co., Ltd.                  </t>
  </si>
  <si>
    <t xml:space="preserve">勝麗三　　　        </t>
  </si>
  <si>
    <t xml:space="preserve">Kingpak Technology Inc.                           </t>
  </si>
  <si>
    <t xml:space="preserve">勝麗四　　　        </t>
  </si>
  <si>
    <t xml:space="preserve">立端二　　　        </t>
  </si>
  <si>
    <t xml:space="preserve">Lanner Electronics Inc.                           </t>
  </si>
  <si>
    <t xml:space="preserve">富裔一　　　        </t>
  </si>
  <si>
    <t xml:space="preserve">DSG TECHNOLOGY, INC.                              </t>
  </si>
  <si>
    <t xml:space="preserve">台郡三　　　        </t>
  </si>
  <si>
    <t xml:space="preserve">FLEXIUM INTERCONNECT INC                          </t>
  </si>
  <si>
    <t xml:space="preserve">台郡四              </t>
  </si>
  <si>
    <t xml:space="preserve">同欣電一            </t>
  </si>
  <si>
    <t xml:space="preserve">TONG HSING ELECTRONIC INDUSTRIES ,LTD.            </t>
  </si>
  <si>
    <t xml:space="preserve">元山五              </t>
  </si>
  <si>
    <t xml:space="preserve">YEN SUN TECHNOLOG CORP                            </t>
  </si>
  <si>
    <t xml:space="preserve">佳邦二　　　        </t>
  </si>
  <si>
    <t xml:space="preserve">INPAQ TECHNOLOGY CO., LTD.                        </t>
  </si>
  <si>
    <t xml:space="preserve">啟&amp;#30849;二　　　  </t>
  </si>
  <si>
    <t xml:space="preserve">Wistron NeWeb Corporation                         </t>
  </si>
  <si>
    <t xml:space="preserve">元隆四　　　        </t>
  </si>
  <si>
    <t xml:space="preserve">Advanced Microelectronic Products Inc.            </t>
  </si>
  <si>
    <t xml:space="preserve">樺漢一　　　        </t>
  </si>
  <si>
    <t xml:space="preserve">ENNOCONN CORPORATION                              </t>
  </si>
  <si>
    <t xml:space="preserve">樺漢二              </t>
  </si>
  <si>
    <t xml:space="preserve">今展科一            </t>
  </si>
  <si>
    <t xml:space="preserve">ARLITECH ELECTRONIC CORP.                         </t>
  </si>
  <si>
    <t xml:space="preserve">聚和四　　　        </t>
  </si>
  <si>
    <t xml:space="preserve">TAIWAN HOPAX CHEMS.MFG.CO.,LTD.                   </t>
  </si>
  <si>
    <t xml:space="preserve">富強鑫二            </t>
  </si>
  <si>
    <t xml:space="preserve">FU CHUN SHIN MACHINERY MANUFACTURE CO., LTD.      </t>
  </si>
  <si>
    <t xml:space="preserve">興航一　　　        </t>
  </si>
  <si>
    <t xml:space="preserve">TRANSASIA AIRWAYS CORPORATION                     </t>
  </si>
  <si>
    <t xml:space="preserve">鈦昇一　　　        </t>
  </si>
  <si>
    <t xml:space="preserve">E&amp;R ENGINEERING CORPORATION                       </t>
  </si>
  <si>
    <t xml:space="preserve">長園科一            </t>
  </si>
  <si>
    <t xml:space="preserve">CHANGS ASCENDING ENTERPRISE CO., LTD.             </t>
  </si>
  <si>
    <t xml:space="preserve">金山電三            </t>
  </si>
  <si>
    <t xml:space="preserve">TAIWAN CHINSAN ELECTRONIC INDUSTRIAL CO., LTD     </t>
  </si>
  <si>
    <t xml:space="preserve">金山電四            </t>
  </si>
  <si>
    <t xml:space="preserve">廣積四　　　        </t>
  </si>
  <si>
    <t xml:space="preserve">IBASE TECHNOLOGY INC.                             </t>
  </si>
  <si>
    <t xml:space="preserve">鉅橡五　　　        </t>
  </si>
  <si>
    <t xml:space="preserve">AURONA INDUSTRIES, INC                            </t>
  </si>
  <si>
    <t xml:space="preserve">華東一　　　        </t>
  </si>
  <si>
    <t xml:space="preserve">WALTON ADVANCED ENGINEERING, INC.                 </t>
  </si>
  <si>
    <t xml:space="preserve">至上八              </t>
  </si>
  <si>
    <t xml:space="preserve">Supreme Electronics Co., Ltd.                     </t>
  </si>
  <si>
    <t xml:space="preserve">振樺電一            </t>
  </si>
  <si>
    <t xml:space="preserve">POSIFLEX TECHNOLOGY, INC.                         </t>
  </si>
  <si>
    <t xml:space="preserve">正淩一　　　        </t>
  </si>
  <si>
    <t xml:space="preserve">NEXTRONICS ENGINEERING CORP.                      </t>
  </si>
  <si>
    <t xml:space="preserve">天宇二　　　        </t>
  </si>
  <si>
    <t xml:space="preserve">Formosa Electronic Industries Inc.                </t>
  </si>
  <si>
    <t xml:space="preserve">商丞三　　　        </t>
  </si>
  <si>
    <t xml:space="preserve">UNIFOSA CORP.                                     </t>
  </si>
  <si>
    <t xml:space="preserve">&amp;#24658;耀二　　　  </t>
  </si>
  <si>
    <t xml:space="preserve">QST INTERNATIONAL CORP.                           </t>
  </si>
  <si>
    <t xml:space="preserve">金可一KY            </t>
  </si>
  <si>
    <t xml:space="preserve">Ginko International Co., Ltd.                     </t>
  </si>
  <si>
    <t xml:space="preserve">旭源一　　　        </t>
  </si>
  <si>
    <t xml:space="preserve">XU YUAN PACKAGING TECHNOLOGY CO., LTD.            </t>
  </si>
  <si>
    <t xml:space="preserve">金麗一KY            </t>
  </si>
  <si>
    <t xml:space="preserve">Jinli Group Holdings Limited                      </t>
  </si>
  <si>
    <t xml:space="preserve">匯鑽科一            </t>
  </si>
  <si>
    <t xml:space="preserve">Superior Plating Technology Co., Ltd.             </t>
  </si>
  <si>
    <t xml:space="preserve">大江一　　　        </t>
  </si>
  <si>
    <t xml:space="preserve">TCI CO.,Ltd                                       </t>
  </si>
  <si>
    <t xml:space="preserve">大地一KY            </t>
  </si>
  <si>
    <t xml:space="preserve">Dadi Early-Childhood Education Group Ltd.         </t>
  </si>
  <si>
    <t xml:space="preserve">大地二KY            </t>
  </si>
  <si>
    <t xml:space="preserve">霹靂一　　　        </t>
  </si>
  <si>
    <t xml:space="preserve">Pili International Multimedia Co.,Ltd.            </t>
  </si>
  <si>
    <t xml:space="preserve">愛地雅二            </t>
  </si>
  <si>
    <t xml:space="preserve">IDEAL BIKE CORPORATION                            </t>
  </si>
  <si>
    <t xml:space="preserve">愛地雅三            </t>
  </si>
  <si>
    <t xml:space="preserve">國統四　　　        </t>
  </si>
  <si>
    <t xml:space="preserve">KUO TOONG INTERNATIONAL CO.,LTD.                  </t>
  </si>
  <si>
    <t xml:space="preserve">森鉅四　　　        </t>
  </si>
  <si>
    <t xml:space="preserve">Xxentria Technology Materials Co.,Ltd             </t>
  </si>
  <si>
    <t xml:space="preserve">高力三　　　        </t>
  </si>
  <si>
    <t xml:space="preserve">KAORI HEAT TREATMENT CO.,LTD                      </t>
  </si>
  <si>
    <t xml:space="preserve">鈺齊一KY            </t>
  </si>
  <si>
    <t xml:space="preserve">Fulgent Sun International (Holding) Co., Ltd.     </t>
  </si>
  <si>
    <t xml:space="preserve">鈺齊二KY            </t>
  </si>
  <si>
    <t xml:space="preserve">鈺齊三KY            </t>
  </si>
  <si>
    <t xml:space="preserve">成霖二　　　        </t>
  </si>
  <si>
    <t xml:space="preserve">GLOBE UNION INDUSTRIAL CORP                       </t>
  </si>
  <si>
    <t xml:space="preserve">裕融一　　　        </t>
  </si>
  <si>
    <t xml:space="preserve">TAIWAN ACCEPTANCE CORPORATION                     </t>
  </si>
  <si>
    <t xml:space="preserve">新麗二　　　        </t>
  </si>
  <si>
    <t xml:space="preserve">SHINIH ENTERPRISE CO., LTD.                       </t>
  </si>
  <si>
    <t>股本</t>
    <phoneticPr fontId="2" type="noConversion"/>
  </si>
  <si>
    <t>EPS成長</t>
    <phoneticPr fontId="2" type="noConversion"/>
  </si>
  <si>
    <t>季線準則</t>
    <phoneticPr fontId="2" type="noConversion"/>
  </si>
  <si>
    <t>乖離準則</t>
    <phoneticPr fontId="2" type="noConversion"/>
  </si>
  <si>
    <t>融券準則</t>
    <phoneticPr fontId="2" type="noConversion"/>
  </si>
  <si>
    <t>爆量準則</t>
    <phoneticPr fontId="2" type="noConversion"/>
  </si>
  <si>
    <t>營收準則</t>
    <phoneticPr fontId="2" type="noConversion"/>
  </si>
  <si>
    <t>預測&gt;最新</t>
    <phoneticPr fontId="2" type="noConversion"/>
  </si>
  <si>
    <t>最新&gt;上一期或同期</t>
    <phoneticPr fontId="2" type="noConversion"/>
  </si>
  <si>
    <t>不得向下與季線下同時發生</t>
    <phoneticPr fontId="2" type="noConversion"/>
  </si>
  <si>
    <t>15%為基準</t>
    <phoneticPr fontId="2" type="noConversion"/>
  </si>
  <si>
    <t>不得爆增33%以上</t>
    <phoneticPr fontId="2" type="noConversion"/>
  </si>
  <si>
    <t>不得兩倍量以上買股</t>
    <phoneticPr fontId="2" type="noConversion"/>
  </si>
  <si>
    <t>不超過百億</t>
    <phoneticPr fontId="2" type="noConversion"/>
  </si>
  <si>
    <t>項目</t>
    <phoneticPr fontId="2" type="noConversion"/>
  </si>
  <si>
    <t>準則說明</t>
    <phoneticPr fontId="2" type="noConversion"/>
  </si>
  <si>
    <t>當下數值</t>
    <phoneticPr fontId="2" type="noConversion"/>
  </si>
  <si>
    <t>基準值A</t>
    <phoneticPr fontId="2" type="noConversion"/>
  </si>
  <si>
    <t>基準值B</t>
    <phoneticPr fontId="2" type="noConversion"/>
  </si>
  <si>
    <t>判斷結果</t>
    <phoneticPr fontId="2" type="noConversion"/>
  </si>
  <si>
    <t>相關警語</t>
    <phoneticPr fontId="2" type="noConversion"/>
  </si>
  <si>
    <t>PE標準</t>
    <phoneticPr fontId="2" type="noConversion"/>
  </si>
  <si>
    <t>成長股25轉機20穩健15</t>
    <phoneticPr fontId="2" type="noConversion"/>
  </si>
  <si>
    <t xml:space="preserve">元大S&amp;P500正2   </t>
  </si>
  <si>
    <t>105.2Q</t>
  </si>
  <si>
    <t>張貼者：2014年3月21日 下午7:04Wen-Chieh Lee</t>
  </si>
  <si>
    <t>There are many TW stock information on the web. Here is a list for the information and retrieval method</t>
  </si>
  <si>
    <t>[營業]</t>
  </si>
  <si>
    <t>月營收=http://justdata.yuanta.com.tw/z/zc/zch/zch_[ID].asp.htm</t>
  </si>
  <si>
    <t>季盈餘=http://justdata.yuanta.com.tw/z/zc/zch/zcha_[ID].asp.htm</t>
  </si>
  <si>
    <t>合併營收=http://mops.tse.com.tw/server-java/t05st10?TYPEK=&amp;steps=1&amp;co_id=[ID]&amp;off=1&amp;yearmonth=[CY][MM]&amp;colorchg=1&amp;year=[CY]&amp;month=[MM]</t>
  </si>
  <si>
    <t>產銷組合=http://justdata.yuanta.com.tw/z/zc/zc2/zc2_[ID].asp.htm</t>
  </si>
  <si>
    <t>獲利能力=http://justdata.yuanta.com.tw/z/zc/zce/zce_[ID].asp.htm</t>
  </si>
  <si>
    <t>經營績效=http://justdata.yuanta.com.tw/z/zc/zcd/zcd_[ID].asp.htm</t>
  </si>
  <si>
    <t>股利政策=http://justdata.yuanta.com.tw/z/zc/zcc/zcc_[ID].asp.htm</t>
  </si>
  <si>
    <t>基本資料=http://justdata.yuanta.com.tw/z/zc/zca/zca_[ID].asp.htm</t>
  </si>
  <si>
    <t>產業分類=http://justdata.yuanta.com.tw/z/ZC/ZCS/ZCS_[ID].asp.htm</t>
  </si>
  <si>
    <t>[財務]</t>
  </si>
  <si>
    <t>季資債=http://demand.polaris.com.tw/z/zc/zcp/zcpa/zcpa_[ID].asp.htm</t>
  </si>
  <si>
    <t>季損益=http://demand.polaris.com.tw/z/zc/zcq/zcq_[ID].asp.htm</t>
  </si>
  <si>
    <t>季財務=http://demand.polaris.com.tw/z/zc/zcr/zcr_[ID].asp.htm</t>
  </si>
  <si>
    <t>年資債=http://demand.polaris.com.tw/z/zc/zcp/zcpb/zcpb_[ID].asp.htm</t>
  </si>
  <si>
    <t>年損益=http://demand.polaris.com.tw/z/zc/zcq/zcqa_[ID].asp.htm</t>
  </si>
  <si>
    <t>年財務=http://demand.polaris.com.tw/z/zc/zcr/zcra/zcra_[ID].asp.htm</t>
  </si>
  <si>
    <t>簡資債=http://justdata.yuanta.com.tw/z/zc/zcp/zcp_[ID].asp.htm</t>
  </si>
  <si>
    <t>現金流=http://demand.polaris.com.tw/z/zc/zc3/zc3_[ID].asp.htm</t>
  </si>
  <si>
    <t>分紅=http://mops.tse.com.tw/server-java/t05st09?colorchg=1&amp;off=1&amp;year=[CY]&amp;co_id=[ID]</t>
  </si>
  <si>
    <t>庫藏股=http://mops.tse.com.tw/server-java/t35sb01?colorchg=1&amp;step=1&amp;coid=[ID]</t>
  </si>
  <si>
    <t>轉投資=http://justdata.yuanta.com.tw/z/zc/zcg/zcg_[ID].asp.htm</t>
  </si>
  <si>
    <t>資券=http://justdata.yuanta.com.tw/z/zc/zcn/zcn_[ID].asp.htm</t>
  </si>
  <si>
    <t>集保=http://justdata.yuanta.com.tw/z/zc/zcm/zcm_[ID].asp.htm</t>
  </si>
  <si>
    <t>董監=http://justdata.yuanta.com.tw/z/zc/zck/zck_[ID].asp.htm</t>
  </si>
  <si>
    <t>股本形成=http://justdata.yuanta.com.tw/z/zc/zcb/zcb_[ID].asp.htm</t>
  </si>
  <si>
    <t>萬寶=http://www.e-stock.com.tw/Report/Broker_2.asp?T=&amp;new=1&amp;stockid=[ID]&amp;Action=%B0e%A5X</t>
  </si>
  <si>
    <t>寶來=http://www.finairport.com/polaris/template/iframe_default.aspx?/stockinfo/stockinfopage.asp?country_id=1&amp;product_id=1&amp;stock_code=[ID]&amp;market=TW%20%20%20%20%20%20%20%20&amp;market_country_id=1?fromhelper=[ID].TW</t>
  </si>
  <si>
    <t>元大=http://intra.yuanta.com.tw/report/menu/r[ID].html??result=1</t>
  </si>
  <si>
    <t>台證=http://www.tsc.com.tw/report/stock/company/company.asp?selectmethod=choose&amp;number=[ID]</t>
  </si>
  <si>
    <t>復華=http://www.fhs.com.tw/info/research/report.asp?chk1=on&amp;sendv=送出&amp;topic=[NAME]</t>
  </si>
  <si>
    <t>兆豐=https://www.emega.com.tw/reportweb/Raf3.asp?S7=[NAME]</t>
  </si>
  <si>
    <t>聯合=http://money.udn.com/NASApp/stk/stkRPTSearch?keyword=[NAME]</t>
  </si>
  <si>
    <t>奇摩=http://tw.stock.yahoo.com/report_search.html?ei=Big5&amp;q=[NAME]</t>
  </si>
  <si>
    <t>Yam =http://stock.yam.com/rsh/search.php?keyword=[ID]</t>
  </si>
  <si>
    <t>[新聞]</t>
  </si>
  <si>
    <t>行事曆=http://justdata.yuanta.com.tw/z/zc/zci/zci_[ID].asp.htm</t>
  </si>
  <si>
    <t>動態報導=http://justdata.yuanta.com.tw/z/zc/zcv/zcv_[ID]_[YYYY]-[M]-[D]_1.asp.htm</t>
  </si>
  <si>
    <t>酷狗=http://news.google.com.tw/news?hl=zh-TW&amp;ned=tw&amp;ie=&amp;scoring=d&amp;q={NAME}&amp;btnG=%E6%90%9C%E5%B0%8B%E6%96%B0%E8%81%9E</t>
  </si>
  <si>
    <t>雅虎=http://tw.stock.yahoo.com/q/h?s=[ID]</t>
  </si>
  <si>
    <t>群益=http://www.capital.com.tw/Stock/quote.asp?symbol=[ID]</t>
  </si>
  <si>
    <t>PcHome=http://pchome.syspower.com.tw/stock/?stock_no=[ID]&amp;item=51</t>
  </si>
  <si>
    <t>Hinet=http://money.hinet.net/z/zc/zcv/zcv.djhtm?a=[ID]</t>
  </si>
  <si>
    <t>[討論]</t>
  </si>
  <si>
    <t>萬寶=http://www.e-stock.com.tw/asp/board/v_board.asp?new=1&amp;Action_stockid=1&amp;stockid=[ID]</t>
  </si>
  <si>
    <t>聚財=http://stock.wearn.com/astock.asp?mode=search&amp;kind=[ID]</t>
  </si>
  <si>
    <t>168網站=http://www.168stock.net/asp/news/list.asp?search=[ID]&amp;class=3</t>
  </si>
  <si>
    <t>[台股]</t>
  </si>
  <si>
    <t>成交比重=http://tw.stock.yahoo.com/d/i/cap.html</t>
  </si>
  <si>
    <t>個股權重=http://www.capitalfutures.com.tw/market/new/default-2.asp?xy=5&amp;xt=1</t>
  </si>
  <si>
    <t>法人動向=http://justdata.yuanta.com.tw/z/zb/zbd/zbd.asp.htm</t>
  </si>
  <si>
    <t>資券=http://tw.stock.yahoo.com/d/i/credit.html</t>
  </si>
  <si>
    <t>法人=http://tw.stock.yahoo.com/d/i/major.html</t>
  </si>
  <si>
    <t>熱門=http://tw.stock.yahoo.com/d/i/rank.php?t=vol&amp;e=tse</t>
  </si>
  <si>
    <t>櫃熱門=http://tw.stock.yahoo.com/d/i/rank.php?t=vol&amp;e=otc</t>
  </si>
  <si>
    <t>外買=http://tw.stock.yahoo.com/d/i/fgbuy_tse.html</t>
  </si>
  <si>
    <t>櫃外買=http://tw.stock.yahoo.com/d/i/fgbuy_otc.html</t>
  </si>
  <si>
    <t>自買=http://tw.stock.yahoo.com/d/i/sebuy_tse.html</t>
  </si>
  <si>
    <t>櫃自買=http://tw.stock.yahoo.com/d/i/sebuy_otc.html</t>
  </si>
  <si>
    <t>外賣=http://tw.stock.yahoo.com/d/i/fgsell_tse.html</t>
  </si>
  <si>
    <t>櫃外賣=http://tw.stock.yahoo.com/d/i/fgsell_otc.html</t>
  </si>
  <si>
    <t>自賣=http://tw.stock.yahoo.com/d/i/sesell_tse.html</t>
  </si>
  <si>
    <t>櫃自賣=http://tw.stock.yahoo.com/d/i/sesell_otc.html</t>
  </si>
  <si>
    <t>鉅亨網=http://www.cnyes.com/newscenter/listnewsS.asp?cls=index1_headline</t>
  </si>
  <si>
    <t>萬寶=http://www.e-stock.com.tw/rdiary.asp</t>
  </si>
  <si>
    <t>中時=http://money.chinatimes.com/newmoney/realtime/index.aspx</t>
  </si>
  <si>
    <t>經實=http://www.yuanta.com.tw/EC/html/yzfa.asp</t>
  </si>
  <si>
    <t>[指數]</t>
  </si>
  <si>
    <t>全部=http://demand.polaris.com.tw/z/ze/zeo/zeo.asp.htm</t>
  </si>
  <si>
    <t>道瓊=http://demand.polaris.com.tw/z/ze/zeo/zeoa_AI000010.asp.htm</t>
  </si>
  <si>
    <t>台指=http://demand.polaris.com.tw/z/ze/zeo/zeoa1_EB09999.asp.htm</t>
  </si>
  <si>
    <t>日經=http://demand.polaris.com.tw/z/ze/zeo/zeoa_AI000030.asp.htm</t>
  </si>
  <si>
    <t>韓股=http://demand.polaris.com.tw/z/ze/zeo/zeoa_AI000070.asp.htm</t>
  </si>
  <si>
    <t>恆生=http://demand.polaris.com.tw/z/ze/zeo/zeoa_AI000040.asp.htm</t>
  </si>
  <si>
    <t>上A股=http://demand.polaris.com.tw/z/ze/zeo/zeoa_AI000200.asp.htm</t>
  </si>
  <si>
    <t>星股=http://demand.polaris.com.tw/z/ze/zeo/zeoa_AI000080.asp.htm</t>
  </si>
  <si>
    <t>印度=http://demand.polaris.com.tw/z/ze/zeo/zeoa_AI001005.asp.htm</t>
  </si>
  <si>
    <t>德國=http://demand.polaris.com.tw/z/ze/zeo/zeoa_AI000150.asp.htm</t>
  </si>
  <si>
    <t>法國=http://demand.polaris.com.tw/z/ze/zeo/zeoa_AI000170.asp.htm</t>
  </si>
  <si>
    <t>倫敦=http://demand.polaris.com.tw/z/ze/zeo/zeoa_AI000160.asp.htm</t>
  </si>
  <si>
    <t>俄國=http://demand.polaris.com.tw/z/ze/zeo/zeoa_AI000510.asp.htm</t>
  </si>
  <si>
    <t>巴西=http://demand.polaris.com.tw/z/ze/zeo/zeoa_AI000360.asp.htm</t>
  </si>
  <si>
    <t>[數據]</t>
  </si>
  <si>
    <t>中時=http://money.chinatimes.com/newmoney/stat/index.aspx</t>
  </si>
  <si>
    <t>[選股]</t>
  </si>
  <si>
    <t>專家選股=http://ponet6.jet.net.tw/dval/Apro2.asp</t>
  </si>
  <si>
    <t>選股精靈=http://www.nsc.com.tw/frame/frame/1-7-1-frame.htm</t>
  </si>
  <si>
    <t>法人=http://justdata.yuanta.com.tw/z/zc/zcl/zcl_[ID].asp.htm</t>
    <phoneticPr fontId="2" type="noConversion"/>
  </si>
  <si>
    <t>主力=http://justdata.yuanta.com.tw/z/zc/zco/zco_[ID].asp.htm</t>
    <phoneticPr fontId="2" type="noConversion"/>
  </si>
  <si>
    <t>籌碼分布=http://justdata.yuanta.com.tw/z/zc/zcj/zcj_[ID].asp.htm</t>
    <phoneticPr fontId="2" type="noConversion"/>
  </si>
  <si>
    <t>股權分散=http://mops.tse.com.tw/server-java/t16sn02?colorchg=1&amp;step=2a&amp;YEAR=[CY]&amp;input_id=[ID]</t>
    <phoneticPr fontId="2" type="noConversion"/>
  </si>
  <si>
    <t>http://mops.twse.com.tw/server-java/t39sb01</t>
    <phoneticPr fontId="2" type="noConversion"/>
  </si>
  <si>
    <t>土地=http://justdata.yuanta.com.tw/z/zc/zcf/zcf_[ID].asp.htm</t>
    <phoneticPr fontId="2" type="noConversion"/>
  </si>
  <si>
    <t>W55</t>
    <phoneticPr fontId="2" type="noConversion"/>
  </si>
  <si>
    <t>乖離過大  要買等拉回</t>
    <phoneticPr fontId="2" type="noConversion"/>
  </si>
  <si>
    <t xml:space="preserve">爆量不追  要買等拉回 </t>
    <phoneticPr fontId="2" type="noConversion"/>
  </si>
  <si>
    <t>融券暴增  暫不做多</t>
    <phoneticPr fontId="2" type="noConversion"/>
  </si>
  <si>
    <t>PE過高  是否為高成長股</t>
    <phoneticPr fontId="2" type="noConversion"/>
  </si>
  <si>
    <t>最新營收  未見成長</t>
    <phoneticPr fontId="2" type="noConversion"/>
  </si>
  <si>
    <t xml:space="preserve">EPS   未見成長 </t>
    <phoneticPr fontId="2" type="noConversion"/>
  </si>
  <si>
    <t>季線向下  股價在季線下  別摸底</t>
    <phoneticPr fontId="2" type="noConversion"/>
  </si>
  <si>
    <t>集保</t>
    <phoneticPr fontId="2" type="noConversion"/>
  </si>
  <si>
    <t>蘭值</t>
    <phoneticPr fontId="2" type="noConversion"/>
  </si>
  <si>
    <t>集保人數增加  或  大戶比率下降</t>
    <phoneticPr fontId="2" type="noConversion"/>
  </si>
  <si>
    <t>淡旺季警告</t>
    <phoneticPr fontId="2" type="noConversion"/>
  </si>
  <si>
    <t>二月</t>
  </si>
  <si>
    <t>三月</t>
  </si>
  <si>
    <t>四月</t>
  </si>
  <si>
    <t>五月</t>
  </si>
  <si>
    <t>六月</t>
  </si>
  <si>
    <t>七月</t>
  </si>
  <si>
    <t>八月</t>
  </si>
  <si>
    <t>九月</t>
  </si>
  <si>
    <t>十月</t>
  </si>
  <si>
    <t>十一月</t>
  </si>
  <si>
    <t>十二月</t>
  </si>
  <si>
    <t>營收扎實度分析</t>
    <phoneticPr fontId="2" type="noConversion"/>
  </si>
  <si>
    <t>季營收</t>
    <phoneticPr fontId="2" type="noConversion"/>
  </si>
  <si>
    <t>注意淡旺季效應</t>
    <phoneticPr fontId="2" type="noConversion"/>
  </si>
  <si>
    <t>開</t>
    <phoneticPr fontId="2" type="noConversion"/>
  </si>
  <si>
    <t>高</t>
    <phoneticPr fontId="2" type="noConversion"/>
  </si>
  <si>
    <t>低</t>
    <phoneticPr fontId="2" type="noConversion"/>
  </si>
  <si>
    <t>收</t>
    <phoneticPr fontId="2" type="noConversion"/>
  </si>
  <si>
    <t>成交量 </t>
    <phoneticPr fontId="2" type="noConversion"/>
  </si>
  <si>
    <t>近55日最高價</t>
    <phoneticPr fontId="2" type="noConversion"/>
  </si>
  <si>
    <t>近55日最低價</t>
    <phoneticPr fontId="2" type="noConversion"/>
  </si>
  <si>
    <t>G-E</t>
    <phoneticPr fontId="2" type="noConversion"/>
  </si>
  <si>
    <t>G-H</t>
    <phoneticPr fontId="2" type="noConversion"/>
  </si>
  <si>
    <t>(I/J)*-100</t>
    <phoneticPr fontId="2" type="noConversion"/>
  </si>
  <si>
    <t>近期有跳空  多觀察幾日</t>
    <phoneticPr fontId="2" type="noConversion"/>
  </si>
  <si>
    <t>檢查下跳空</t>
    <phoneticPr fontId="2" type="noConversion"/>
  </si>
  <si>
    <t>W55  偏空方  請注意'</t>
    <phoneticPr fontId="2" type="noConversion"/>
  </si>
  <si>
    <t>減資試算  http://www.tpex.org.tw/web/stock/exright/capref/caprdce.php?l=zh-tw</t>
    <phoneticPr fontId="2" type="noConversion"/>
  </si>
  <si>
    <t>公司
代號</t>
    <phoneticPr fontId="2" type="noConversion"/>
  </si>
  <si>
    <t xml:space="preserve">
PSR</t>
    <phoneticPr fontId="2" type="noConversion"/>
  </si>
  <si>
    <t>單位：仟元</t>
  </si>
  <si>
    <t>年/月</t>
  </si>
  <si>
    <t>合併營收</t>
  </si>
  <si>
    <t>月增率</t>
  </si>
  <si>
    <t>去年同期</t>
  </si>
  <si>
    <t>年增率</t>
  </si>
  <si>
    <t>累計營收</t>
  </si>
  <si>
    <t>105/07</t>
  </si>
  <si>
    <t>105/06</t>
  </si>
  <si>
    <t>105/05</t>
  </si>
  <si>
    <t>105/04</t>
  </si>
  <si>
    <t>105/03</t>
  </si>
  <si>
    <t>105/02</t>
  </si>
  <si>
    <t>105/01</t>
  </si>
  <si>
    <t>104/12</t>
  </si>
  <si>
    <t>104/11</t>
  </si>
  <si>
    <t>104/10</t>
  </si>
  <si>
    <t>104/09</t>
  </si>
  <si>
    <t>104/08</t>
  </si>
  <si>
    <t>104/07</t>
  </si>
  <si>
    <t>104/06</t>
  </si>
  <si>
    <t>104/05</t>
  </si>
  <si>
    <t>104/04</t>
  </si>
  <si>
    <t>104/03</t>
  </si>
  <si>
    <t>104/02</t>
  </si>
  <si>
    <t>104/01</t>
  </si>
  <si>
    <t>103/12</t>
  </si>
  <si>
    <t>103/11</t>
  </si>
  <si>
    <t>103/10</t>
  </si>
  <si>
    <t>103/09</t>
  </si>
  <si>
    <t>103/08</t>
  </si>
  <si>
    <t>103/07</t>
  </si>
  <si>
    <t>103/06</t>
  </si>
  <si>
    <t>103/05</t>
  </si>
  <si>
    <t>103/04</t>
  </si>
  <si>
    <t>103/03</t>
  </si>
  <si>
    <t>103/02</t>
  </si>
  <si>
    <t>103/01</t>
  </si>
  <si>
    <t>102/12</t>
  </si>
  <si>
    <t>102/11</t>
  </si>
  <si>
    <t>102/10</t>
  </si>
  <si>
    <t>102/09</t>
  </si>
  <si>
    <t>102/08</t>
  </si>
  <si>
    <t>102/07</t>
  </si>
  <si>
    <t>102/06</t>
  </si>
  <si>
    <t>102/05</t>
  </si>
  <si>
    <t>102/04</t>
  </si>
  <si>
    <t>102/03</t>
  </si>
  <si>
    <t>102/02</t>
  </si>
  <si>
    <t>102/01</t>
  </si>
  <si>
    <t>101/12</t>
  </si>
  <si>
    <t>101/11</t>
  </si>
  <si>
    <t>101/10</t>
  </si>
  <si>
    <t>說明：自2013年起上市櫃公司因IFRSs會計準則規範，每月公告的營收必須是合併營收，不再公告非合併營收。2012年(含)前，合併營收是採自願公告。</t>
  </si>
  <si>
    <t>可轉換公司債資訊</t>
  </si>
  <si>
    <t>鑫龍騰</t>
  </si>
  <si>
    <r>
      <rPr>
        <sz val="14"/>
        <color rgb="FF000000"/>
        <rFont val="Adobe 繁黑體 Std B"/>
        <family val="2"/>
        <charset val="136"/>
      </rPr>
      <t>籌碼中心思想=&gt;供需理論=&gt;反常必有妖=&gt;所以會比較容易發現先機</t>
    </r>
    <phoneticPr fontId="2" type="noConversion"/>
  </si>
  <si>
    <t>心</t>
    <phoneticPr fontId="2" type="noConversion"/>
  </si>
  <si>
    <t>則</t>
    <phoneticPr fontId="2" type="noConversion"/>
  </si>
  <si>
    <t xml:space="preserve">我努力擴大我的交易樣本數中  </t>
    <phoneticPr fontId="2" type="noConversion"/>
  </si>
  <si>
    <t>小型股練出自己的方法  大型股站在巨人的肩膀上</t>
    <phoneticPr fontId="2" type="noConversion"/>
  </si>
  <si>
    <t xml:space="preserve">蘭氏口訣 </t>
    <phoneticPr fontId="2" type="noConversion"/>
  </si>
  <si>
    <t xml:space="preserve">訣 </t>
    <phoneticPr fontId="2" type="noConversion"/>
  </si>
  <si>
    <t>布林知乖離=&gt; 當沖均價與布林軌道乖離  不做凸破單</t>
    <phoneticPr fontId="2" type="noConversion"/>
  </si>
  <si>
    <t>指數  假跌破機會少    但   個股卻是  起漲先假跌破</t>
    <phoneticPr fontId="2" type="noConversion"/>
  </si>
  <si>
    <t>挑選不會動的好股票  只能讓你不賠錢 / 挑選會動的好股票     才能讓你效率賺錢</t>
    <phoneticPr fontId="2" type="noConversion"/>
  </si>
  <si>
    <t xml:space="preserve">群益深証中小+R  </t>
  </si>
  <si>
    <t xml:space="preserve">FB日本          </t>
  </si>
  <si>
    <t xml:space="preserve">元大S&amp;P500      </t>
  </si>
  <si>
    <t>實踐是驗證道理的最後(好)方法</t>
    <phoneticPr fontId="2" type="noConversion"/>
  </si>
  <si>
    <t>仲琦</t>
  </si>
  <si>
    <t>台通</t>
  </si>
  <si>
    <t xml:space="preserve">為升二              </t>
  </si>
  <si>
    <t xml:space="preserve">CUB ELECPARTS INC.                                </t>
  </si>
  <si>
    <t xml:space="preserve">仲琦四              </t>
  </si>
  <si>
    <t xml:space="preserve">                                                  </t>
  </si>
  <si>
    <t xml:space="preserve">鼎元八　　　        </t>
  </si>
  <si>
    <t xml:space="preserve">TYNTEK CORPORATION                                </t>
  </si>
  <si>
    <t xml:space="preserve">晶華二              </t>
  </si>
  <si>
    <t xml:space="preserve">台通二              </t>
  </si>
  <si>
    <t xml:space="preserve">TAI TUNG COMMUNICATION CO.,LTD.                   </t>
  </si>
  <si>
    <t xml:space="preserve">台通三              </t>
  </si>
  <si>
    <t xml:space="preserve">&amp;#24658;耀三        </t>
  </si>
  <si>
    <t>每月1~15</t>
    <phoneticPr fontId="2" type="noConversion"/>
  </si>
  <si>
    <t>每月1~10</t>
    <phoneticPr fontId="2" type="noConversion"/>
  </si>
  <si>
    <t>自結搶先報</t>
    <phoneticPr fontId="2" type="noConversion"/>
  </si>
  <si>
    <t>董監持股警示</t>
    <phoneticPr fontId="2" type="noConversion"/>
  </si>
  <si>
    <t>每月</t>
    <phoneticPr fontId="2" type="noConversion"/>
  </si>
  <si>
    <t>日</t>
    <phoneticPr fontId="2" type="noConversion"/>
  </si>
  <si>
    <t>十點</t>
  </si>
  <si>
    <t>下單機預掛單</t>
    <phoneticPr fontId="2" type="noConversion"/>
  </si>
  <si>
    <t>三點</t>
  </si>
  <si>
    <t>每日</t>
  </si>
  <si>
    <t>每日</t>
    <phoneticPr fontId="2" type="noConversion"/>
  </si>
  <si>
    <t>[籌碼]</t>
    <phoneticPr fontId="2" type="noConversion"/>
  </si>
  <si>
    <t>[研究]</t>
    <phoneticPr fontId="2" type="noConversion"/>
  </si>
  <si>
    <t xml:space="preserve">上緯投控        </t>
  </si>
  <si>
    <t>大國鋼</t>
  </si>
  <si>
    <t xml:space="preserve">00657 </t>
  </si>
  <si>
    <t>00658L</t>
  </si>
  <si>
    <t>00659R</t>
  </si>
  <si>
    <t xml:space="preserve">山林水          </t>
  </si>
  <si>
    <t>隆中</t>
  </si>
  <si>
    <t>F-崇佑</t>
  </si>
  <si>
    <t>群富通</t>
  </si>
  <si>
    <t>一月</t>
    <phoneticPr fontId="2" type="noConversion"/>
  </si>
  <si>
    <t>105/08</t>
  </si>
  <si>
    <t xml:space="preserve">岱宇            </t>
  </si>
  <si>
    <t>互動</t>
  </si>
  <si>
    <t>長華科</t>
  </si>
  <si>
    <t>更新日期</t>
    <phoneticPr fontId="2" type="noConversion"/>
  </si>
  <si>
    <t>研究
清單</t>
    <phoneticPr fontId="2" type="noConversion"/>
  </si>
  <si>
    <t>公司
代號</t>
    <phoneticPr fontId="2" type="noConversion"/>
  </si>
  <si>
    <t>蘭選追蹤與調整</t>
    <phoneticPr fontId="2" type="noConversion"/>
  </si>
  <si>
    <t>財務品質"可能"不足 請再詳細分析後確認</t>
    <phoneticPr fontId="2" type="noConversion"/>
  </si>
  <si>
    <t xml:space="preserve">客思達-KY       </t>
  </si>
  <si>
    <t>國碳科</t>
  </si>
  <si>
    <t>瑞耘</t>
  </si>
  <si>
    <t>順藥</t>
  </si>
  <si>
    <t>生展</t>
  </si>
  <si>
    <t xml:space="preserve">FB臺灣加權正2   </t>
  </si>
  <si>
    <t xml:space="preserve">FB臺灣加權反1   </t>
  </si>
  <si>
    <t>公司債CB集保選股</t>
    <phoneticPr fontId="2" type="noConversion"/>
  </si>
  <si>
    <t>燿華</t>
  </si>
  <si>
    <t>新光金</t>
  </si>
  <si>
    <t>文曄科技</t>
  </si>
  <si>
    <t>良維科技</t>
  </si>
  <si>
    <t>餘額%</t>
    <phoneticPr fontId="2" type="noConversion"/>
  </si>
  <si>
    <t xml:space="preserve">上曜二              </t>
  </si>
  <si>
    <t xml:space="preserve">燿華一              </t>
  </si>
  <si>
    <t xml:space="preserve">UNITECH PRINTED CIRCUIT BOARD CORP.               </t>
  </si>
  <si>
    <t xml:space="preserve">燿華二              </t>
  </si>
  <si>
    <t xml:space="preserve">文曄五              </t>
  </si>
  <si>
    <t xml:space="preserve">WT MICROELECTRONICS CO., LTD.                     </t>
  </si>
  <si>
    <t xml:space="preserve">良維七              </t>
  </si>
  <si>
    <t xml:space="preserve">LONGWELL COMPANY                                  </t>
  </si>
  <si>
    <t xml:space="preserve">良維八              </t>
  </si>
  <si>
    <r>
      <rPr>
        <b/>
        <sz val="16"/>
        <color theme="9" tint="-0.249977111117893"/>
        <rFont val="微軟正黑體"/>
        <family val="2"/>
        <charset val="136"/>
      </rPr>
      <t>營業活動現金</t>
    </r>
    <r>
      <rPr>
        <b/>
        <sz val="16"/>
        <color theme="0"/>
        <rFont val="微軟正黑體"/>
        <family val="2"/>
        <charset val="136"/>
      </rPr>
      <t>/</t>
    </r>
    <r>
      <rPr>
        <b/>
        <sz val="16"/>
        <color rgb="FF00B0F0"/>
        <rFont val="微軟正黑體"/>
        <family val="2"/>
        <charset val="136"/>
      </rPr>
      <t>自由現金</t>
    </r>
    <r>
      <rPr>
        <b/>
        <sz val="16"/>
        <color theme="0"/>
        <rFont val="微軟正黑體"/>
        <family val="2"/>
        <charset val="136"/>
      </rPr>
      <t>/</t>
    </r>
    <r>
      <rPr>
        <b/>
        <sz val="16"/>
        <color rgb="FFFF0000"/>
        <rFont val="微軟正黑體"/>
        <family val="2"/>
        <charset val="136"/>
      </rPr>
      <t>負債比/</t>
    </r>
    <r>
      <rPr>
        <b/>
        <sz val="16"/>
        <color theme="0"/>
        <rFont val="微軟正黑體"/>
        <family val="2"/>
        <charset val="136"/>
      </rPr>
      <t>金融負債</t>
    </r>
    <phoneticPr fontId="2" type="noConversion"/>
  </si>
  <si>
    <r>
      <rPr>
        <b/>
        <sz val="16"/>
        <color rgb="FF00B0F0"/>
        <rFont val="微軟正黑體"/>
        <family val="2"/>
        <charset val="136"/>
      </rPr>
      <t>應收</t>
    </r>
    <r>
      <rPr>
        <b/>
        <sz val="16"/>
        <color theme="0"/>
        <rFont val="微軟正黑體"/>
        <family val="2"/>
        <charset val="136"/>
      </rPr>
      <t>/</t>
    </r>
    <r>
      <rPr>
        <b/>
        <sz val="16"/>
        <color rgb="FFFF0000"/>
        <rFont val="微軟正黑體"/>
        <family val="2"/>
        <charset val="136"/>
      </rPr>
      <t>存貨</t>
    </r>
    <r>
      <rPr>
        <b/>
        <sz val="16"/>
        <color theme="0"/>
        <rFont val="微軟正黑體"/>
        <family val="2"/>
        <charset val="136"/>
      </rPr>
      <t>/</t>
    </r>
    <r>
      <rPr>
        <b/>
        <sz val="16"/>
        <color theme="9" tint="-0.249977111117893"/>
        <rFont val="微軟正黑體"/>
        <family val="2"/>
        <charset val="136"/>
      </rPr>
      <t>應付周轉天數</t>
    </r>
    <r>
      <rPr>
        <b/>
        <sz val="16"/>
        <color theme="0"/>
        <rFont val="微軟正黑體"/>
        <family val="2"/>
        <charset val="136"/>
      </rPr>
      <t>/營運扎實度</t>
    </r>
    <phoneticPr fontId="2" type="noConversion"/>
  </si>
  <si>
    <r>
      <rPr>
        <b/>
        <sz val="14"/>
        <color rgb="FF66FF33"/>
        <rFont val="Adobe 繁黑體 Std B"/>
        <family val="2"/>
        <charset val="136"/>
      </rPr>
      <t>本業EPS</t>
    </r>
    <r>
      <rPr>
        <b/>
        <sz val="14"/>
        <color theme="0"/>
        <rFont val="Adobe 繁黑體 Std B"/>
        <family val="2"/>
        <charset val="136"/>
      </rPr>
      <t>/</t>
    </r>
    <r>
      <rPr>
        <b/>
        <sz val="14"/>
        <color theme="9" tint="0.39997558519241921"/>
        <rFont val="Adobe 繁黑體 Std B"/>
        <family val="2"/>
        <charset val="136"/>
      </rPr>
      <t>業外</t>
    </r>
    <r>
      <rPr>
        <b/>
        <sz val="14"/>
        <color theme="0"/>
        <rFont val="Adobe 繁黑體 Std B"/>
        <family val="2"/>
        <charset val="136"/>
      </rPr>
      <t>/</t>
    </r>
    <r>
      <rPr>
        <b/>
        <sz val="14"/>
        <color rgb="FFFF0000"/>
        <rFont val="Adobe 繁黑體 Std B"/>
        <family val="2"/>
        <charset val="136"/>
      </rPr>
      <t>本業比率</t>
    </r>
    <r>
      <rPr>
        <b/>
        <sz val="14"/>
        <color theme="0"/>
        <rFont val="Adobe 繁黑體 Std B"/>
        <family val="2"/>
        <charset val="136"/>
      </rPr>
      <t>/除息狀況</t>
    </r>
    <phoneticPr fontId="2" type="noConversion"/>
  </si>
  <si>
    <r>
      <rPr>
        <b/>
        <sz val="14"/>
        <color rgb="FFFF33CC"/>
        <rFont val="Adobe 繁黑體 Std B"/>
        <family val="2"/>
        <charset val="136"/>
      </rPr>
      <t>財務品質強度指標</t>
    </r>
    <r>
      <rPr>
        <b/>
        <sz val="14"/>
        <color theme="0"/>
        <rFont val="Adobe 繁黑體 Std B"/>
        <family val="2"/>
        <charset val="136"/>
      </rPr>
      <t>/</t>
    </r>
    <r>
      <rPr>
        <b/>
        <sz val="14"/>
        <color rgb="FFFF0000"/>
        <rFont val="Adobe 繁黑體 Std B"/>
        <family val="2"/>
        <charset val="136"/>
      </rPr>
      <t>股東權益報酬率</t>
    </r>
    <r>
      <rPr>
        <b/>
        <sz val="14"/>
        <color theme="0"/>
        <rFont val="Adobe 繁黑體 Std B"/>
        <family val="2"/>
        <charset val="136"/>
      </rPr>
      <t>/股本膨脹狀況</t>
    </r>
    <phoneticPr fontId="2" type="noConversion"/>
  </si>
  <si>
    <t xml:space="preserve">元大韓國        </t>
  </si>
  <si>
    <t xml:space="preserve">元大S&amp;P原油正2  </t>
  </si>
  <si>
    <t xml:space="preserve">元大S&amp;P原油反1  </t>
  </si>
  <si>
    <t xml:space="preserve">元大S&amp;P黃金反1  </t>
  </si>
  <si>
    <t>每週日</t>
    <phoneticPr fontId="2" type="noConversion"/>
  </si>
  <si>
    <t>晚間</t>
    <phoneticPr fontId="2" type="noConversion"/>
  </si>
  <si>
    <t>晚間8點</t>
    <phoneticPr fontId="2" type="noConversion"/>
  </si>
  <si>
    <t>105/09</t>
  </si>
  <si>
    <t>大成(1210)</t>
  </si>
  <si>
    <t>大成（1210）</t>
  </si>
  <si>
    <t>卜蜂(1215)</t>
  </si>
  <si>
    <t>卜蜂（1215）</t>
  </si>
  <si>
    <t>大成(1210)</t>
    <phoneticPr fontId="2" type="noConversion"/>
  </si>
  <si>
    <t>卜蜂(1215)</t>
    <phoneticPr fontId="2" type="noConversion"/>
  </si>
  <si>
    <t>Q &amp; A  交流</t>
    <phoneticPr fontId="2" type="noConversion"/>
  </si>
  <si>
    <t>每週二例行直播(2016/10/18)主題</t>
    <phoneticPr fontId="2" type="noConversion"/>
  </si>
  <si>
    <t>葛林公式(蘭弦改良版)</t>
    <phoneticPr fontId="2" type="noConversion"/>
  </si>
  <si>
    <t xml:space="preserve">國泰美國道瓊    </t>
  </si>
  <si>
    <t xml:space="preserve">國泰美國道瓊反1 </t>
  </si>
  <si>
    <t xml:space="preserve">廣越            </t>
  </si>
  <si>
    <t>精選一蘭子</t>
    <phoneticPr fontId="2" type="noConversion"/>
  </si>
  <si>
    <t>倉和</t>
  </si>
  <si>
    <t>股票</t>
  </si>
  <si>
    <t>代號</t>
  </si>
  <si>
    <t>時間</t>
  </si>
  <si>
    <t>成交</t>
  </si>
  <si>
    <t>買進</t>
  </si>
  <si>
    <t>賣出</t>
  </si>
  <si>
    <t>漲跌</t>
  </si>
  <si>
    <t>張數</t>
  </si>
  <si>
    <t>昨收</t>
  </si>
  <si>
    <t>開盤</t>
  </si>
  <si>
    <t>最高</t>
  </si>
  <si>
    <t>最低</t>
  </si>
  <si>
    <t>個股資料</t>
  </si>
  <si>
    <t>加到投資組合</t>
  </si>
  <si>
    <t>成交明細</t>
  </si>
  <si>
    <r>
      <t>技術</t>
    </r>
    <r>
      <rPr>
        <sz val="10"/>
        <color rgb="FF000000"/>
        <rFont val="繚s簡?穢繳?矇"/>
        <family val="3"/>
        <charset val="136"/>
      </rPr>
      <t xml:space="preserve"> </t>
    </r>
    <r>
      <rPr>
        <sz val="10"/>
        <color rgb="FF0000FF"/>
        <rFont val="繚s簡?穢繳?矇"/>
        <family val="3"/>
        <charset val="136"/>
      </rPr>
      <t>新聞</t>
    </r>
  </si>
  <si>
    <r>
      <t>基本</t>
    </r>
    <r>
      <rPr>
        <sz val="10"/>
        <color rgb="FF000000"/>
        <rFont val="繚s簡?穢繳?矇"/>
        <family val="3"/>
        <charset val="136"/>
      </rPr>
      <t xml:space="preserve"> </t>
    </r>
    <r>
      <rPr>
        <sz val="10"/>
        <color rgb="FF0000FF"/>
        <rFont val="繚s簡?穢繳?矇"/>
        <family val="3"/>
        <charset val="136"/>
      </rPr>
      <t>籌碼</t>
    </r>
  </si>
  <si>
    <t>個股健診</t>
  </si>
  <si>
    <t>凱基證券下單</t>
  </si>
  <si>
    <r>
      <t>買</t>
    </r>
    <r>
      <rPr>
        <sz val="12"/>
        <color theme="1"/>
        <rFont val="新細明體"/>
        <family val="2"/>
        <charset val="136"/>
        <scheme val="minor"/>
      </rPr>
      <t xml:space="preserve"> </t>
    </r>
    <r>
      <rPr>
        <sz val="12"/>
        <color rgb="FF009900"/>
        <rFont val="新細明體"/>
        <family val="1"/>
        <charset val="136"/>
        <scheme val="minor"/>
      </rPr>
      <t>賣</t>
    </r>
    <r>
      <rPr>
        <sz val="12"/>
        <color theme="1"/>
        <rFont val="新細明體"/>
        <family val="2"/>
        <charset val="136"/>
        <scheme val="minor"/>
      </rPr>
      <t xml:space="preserve"> </t>
    </r>
    <r>
      <rPr>
        <sz val="12"/>
        <color rgb="FF990066"/>
        <rFont val="新細明體"/>
        <family val="1"/>
        <charset val="136"/>
        <scheme val="minor"/>
      </rPr>
      <t>張</t>
    </r>
    <r>
      <rPr>
        <sz val="12"/>
        <color theme="1"/>
        <rFont val="新細明體"/>
        <family val="2"/>
        <charset val="136"/>
        <scheme val="minor"/>
      </rPr>
      <t xml:space="preserve"> </t>
    </r>
    <r>
      <rPr>
        <sz val="8"/>
        <color rgb="FF0000FF"/>
        <rFont val="Arial"/>
        <family val="2"/>
      </rPr>
      <t>零股交易</t>
    </r>
  </si>
  <si>
    <t>財務品質    0</t>
  </si>
  <si>
    <t>財務排名  768</t>
  </si>
  <si>
    <t>每股現流     -0.65</t>
  </si>
  <si>
    <t>相對強度 56</t>
  </si>
  <si>
    <t>1582</t>
  </si>
  <si>
    <t>信錦(1582)</t>
  </si>
  <si>
    <t>信錦（1582）</t>
  </si>
  <si>
    <t>1582信錦</t>
  </si>
  <si>
    <t xml:space="preserve">△0.1 </t>
  </si>
  <si>
    <t xml:space="preserve">信錦(1582) </t>
  </si>
  <si>
    <t>信錦(1582)月營收明細</t>
  </si>
  <si>
    <t>股價排名 313</t>
  </si>
  <si>
    <t>現流排名 1383</t>
  </si>
  <si>
    <t>葛林排名 289</t>
  </si>
  <si>
    <t>市值營收比 0.85</t>
  </si>
  <si>
    <t>800,000,000_67人</t>
  </si>
  <si>
    <t>PE推估</t>
  </si>
  <si>
    <t>市價</t>
    <phoneticPr fontId="2" type="noConversion"/>
  </si>
  <si>
    <t>Q2PE</t>
    <phoneticPr fontId="2" type="noConversion"/>
  </si>
  <si>
    <t>蘭值</t>
    <phoneticPr fontId="2" type="noConversion"/>
  </si>
  <si>
    <t xml:space="preserve">信錦(1582)_105.2Q 市價 53.3元   本業PE  = </t>
    <phoneticPr fontId="2" type="noConversion"/>
  </si>
  <si>
    <t>每股淨值   33.96</t>
    <phoneticPr fontId="2" type="noConversion"/>
  </si>
  <si>
    <t>項目</t>
    <phoneticPr fontId="2" type="noConversion"/>
  </si>
  <si>
    <t>11%/-2%</t>
    <phoneticPr fontId="2" type="noConversion"/>
  </si>
  <si>
    <t>即時</t>
    <phoneticPr fontId="2" type="noConversion"/>
  </si>
  <si>
    <t>XS程式自動選股</t>
    <phoneticPr fontId="2" type="noConversion"/>
  </si>
  <si>
    <t>談談"Q3哪些公司財報會成長"</t>
    <phoneticPr fontId="2" type="noConversion"/>
  </si>
  <si>
    <t>新版功能介紹</t>
    <phoneticPr fontId="2" type="noConversion"/>
  </si>
  <si>
    <t>更新收盤價</t>
  </si>
  <si>
    <t>序</t>
  </si>
  <si>
    <t>持股/單位數分級</t>
  </si>
  <si>
    <t>人  數</t>
  </si>
  <si>
    <t>股  數/單位數</t>
  </si>
  <si>
    <t>佔集保庫存數比例 (%)</t>
  </si>
  <si>
    <t>1-999</t>
  </si>
  <si>
    <t>1,000-5,000</t>
  </si>
  <si>
    <t>5,001-10,000</t>
  </si>
  <si>
    <t>10,001-15,000</t>
  </si>
  <si>
    <t>15,001-20,000</t>
  </si>
  <si>
    <t>20,001-30,000</t>
  </si>
  <si>
    <t>30,001-40,000</t>
  </si>
  <si>
    <t>40,001-50,000</t>
  </si>
  <si>
    <t>50,001-100,000</t>
  </si>
  <si>
    <t>100,001-200,000</t>
  </si>
  <si>
    <t>200,001-400,000</t>
  </si>
  <si>
    <t>400,001-600,000</t>
  </si>
  <si>
    <t>600,001-800,000</t>
  </si>
  <si>
    <t>800,001-1,000,000</t>
  </si>
  <si>
    <t>1,000,001以上</t>
  </si>
  <si>
    <t>合 計</t>
  </si>
  <si>
    <t>財報日+9</t>
  </si>
  <si>
    <t>雄心壯志選股法</t>
    <phoneticPr fontId="2" type="noConversion"/>
  </si>
  <si>
    <t>當月</t>
    <phoneticPr fontId="2" type="noConversion"/>
  </si>
  <si>
    <t>上月</t>
    <phoneticPr fontId="2" type="noConversion"/>
  </si>
  <si>
    <t>去年</t>
    <phoneticPr fontId="2" type="noConversion"/>
  </si>
  <si>
    <t>上月%</t>
    <phoneticPr fontId="2" type="noConversion"/>
  </si>
  <si>
    <t>同月%</t>
    <phoneticPr fontId="2" type="noConversion"/>
  </si>
  <si>
    <t>今年累計</t>
  </si>
  <si>
    <t>去年累計</t>
    <phoneticPr fontId="2" type="noConversion"/>
  </si>
  <si>
    <t>累計%</t>
    <phoneticPr fontId="2" type="noConversion"/>
  </si>
  <si>
    <t>[IRB100]</t>
  </si>
  <si>
    <t>董</t>
  </si>
  <si>
    <t>事 、 監 察 人 持 股 不 足 法 定 成 數 彙</t>
  </si>
  <si>
    <t>總</t>
  </si>
  <si>
    <t>表</t>
  </si>
  <si>
    <t>( 不 含 金 控 子 公 司 )</t>
  </si>
  <si>
    <t>資</t>
  </si>
  <si>
    <t>料 年</t>
  </si>
  <si>
    <t>月</t>
  </si>
  <si>
    <t>: 1</t>
  </si>
  <si>
    <t>資 料 日</t>
  </si>
  <si>
    <t>期 :</t>
  </si>
  <si>
    <t>/10</t>
  </si>
  <si>
    <t>/20</t>
  </si>
  <si>
    <t>全 體 董 事</t>
  </si>
  <si>
    <t>(不包含獨立董事)</t>
  </si>
  <si>
    <t>全 體 監 察 人</t>
  </si>
  <si>
    <t>持股不足已</t>
  </si>
  <si>
    <t>通知其董監</t>
  </si>
  <si>
    <t>公司名稱</t>
  </si>
  <si>
    <t>已發行股份總額</t>
  </si>
  <si>
    <t>應持有股數</t>
  </si>
  <si>
    <t>本人實際持有股數</t>
  </si>
  <si>
    <t>法人代表人分戶集保股數</t>
  </si>
  <si>
    <t>保留運用決定權信託股數</t>
  </si>
  <si>
    <t>不足股數</t>
  </si>
  <si>
    <t>1218泰山企業</t>
  </si>
  <si>
    <t>O.K</t>
  </si>
  <si>
    <t>1232大統益</t>
  </si>
  <si>
    <t>1475本盟光電</t>
  </si>
  <si>
    <t>1528恩德</t>
  </si>
  <si>
    <t>1737臺鹽</t>
  </si>
  <si>
    <t>2028威致鋼鐵</t>
  </si>
  <si>
    <t>2109華豐橡膠</t>
  </si>
  <si>
    <t>2329華泰電子</t>
  </si>
  <si>
    <t>2404漢唐</t>
  </si>
  <si>
    <t>2427三商電腦</t>
  </si>
  <si>
    <t>2465麗臺科技</t>
  </si>
  <si>
    <t>2481強茂</t>
  </si>
  <si>
    <t>2491吉祥全</t>
  </si>
  <si>
    <t>2496卓越成功</t>
  </si>
  <si>
    <t>2612中航</t>
  </si>
  <si>
    <t>2617台航</t>
  </si>
  <si>
    <t>3055蔚華科技</t>
  </si>
  <si>
    <t>3060銘異</t>
  </si>
  <si>
    <t>3559全智科</t>
  </si>
  <si>
    <t>3708上緯投控</t>
  </si>
  <si>
    <t>4555台灣氣立</t>
  </si>
  <si>
    <t>4906正文</t>
  </si>
  <si>
    <t>5259清惠</t>
  </si>
  <si>
    <t>5269祥碩科技</t>
  </si>
  <si>
    <t>5484慧友電子</t>
  </si>
  <si>
    <t>6131悠克國際</t>
  </si>
  <si>
    <t>6225天瀚</t>
  </si>
  <si>
    <t>6243迅杰</t>
  </si>
  <si>
    <t>6271同欣電子</t>
  </si>
  <si>
    <t>8271宇瞻科技</t>
  </si>
  <si>
    <t>8996高力</t>
  </si>
  <si>
    <t>註：１．本表係依各公司網路申報資料彙總編製,僅供參考.</t>
  </si>
  <si>
    <t xml:space="preserve">  ２．本表未包含獨立董事、監察人實際持有股數資料.</t>
  </si>
  <si>
    <t xml:space="preserve">  ３．董事或監察人已連續三個月持股成數不足之公司，以紅色字體標註.</t>
  </si>
  <si>
    <t>1742台蠟</t>
  </si>
  <si>
    <t>2035唐榮公司</t>
  </si>
  <si>
    <t>2233宇隆</t>
  </si>
  <si>
    <t>3085久大</t>
  </si>
  <si>
    <t>3086華義國際</t>
  </si>
  <si>
    <t>3089遠昇</t>
  </si>
  <si>
    <t>3092鴻碩</t>
  </si>
  <si>
    <t>3191和進</t>
  </si>
  <si>
    <t>3207耀勝</t>
  </si>
  <si>
    <t>3230錦明實</t>
  </si>
  <si>
    <t>3431長天科技</t>
  </si>
  <si>
    <t>3490單井</t>
  </si>
  <si>
    <t>3520振維電子</t>
  </si>
  <si>
    <t>3567逸昌科技</t>
  </si>
  <si>
    <t>3580友威科技</t>
  </si>
  <si>
    <t>3630新鉅科</t>
  </si>
  <si>
    <t>3642駿熠電子</t>
  </si>
  <si>
    <t>3662樂陞科技</t>
  </si>
  <si>
    <t>4130健亞</t>
  </si>
  <si>
    <t>4413飛寶企業</t>
  </si>
  <si>
    <t>4415台原藥</t>
  </si>
  <si>
    <t>4419松懋工業</t>
  </si>
  <si>
    <t>4503金雨</t>
  </si>
  <si>
    <t>4716大立高</t>
  </si>
  <si>
    <t>4909新復興</t>
  </si>
  <si>
    <t>5205漢康科技</t>
  </si>
  <si>
    <t>5304鼎創達</t>
  </si>
  <si>
    <t>5309系統電子</t>
  </si>
  <si>
    <t>5315光聯科技</t>
  </si>
  <si>
    <t>5317凱美</t>
  </si>
  <si>
    <t>5398力瑋</t>
  </si>
  <si>
    <t>5455訊利電</t>
  </si>
  <si>
    <t>5468凱鈺</t>
  </si>
  <si>
    <t>5481華韡電子</t>
  </si>
  <si>
    <t>6101弘捷</t>
  </si>
  <si>
    <t>6104創惟科技</t>
  </si>
  <si>
    <t>6158禾昌</t>
  </si>
  <si>
    <t>6169昱泉國際</t>
  </si>
  <si>
    <t>6195詩肯</t>
  </si>
  <si>
    <t>6222上揚科技</t>
  </si>
  <si>
    <t>6227茂綸</t>
  </si>
  <si>
    <t>6247淇譽電</t>
  </si>
  <si>
    <t>6435大中</t>
  </si>
  <si>
    <t>8059凱碩科技</t>
  </si>
  <si>
    <t>8068全達</t>
  </si>
  <si>
    <t>8086宏捷科技</t>
  </si>
  <si>
    <t>8097常珵科技</t>
  </si>
  <si>
    <t>8432東生華</t>
  </si>
</sst>
</file>

<file path=xl/styles.xml><?xml version="1.0" encoding="utf-8"?>
<styleSheet xmlns="http://schemas.openxmlformats.org/spreadsheetml/2006/main">
  <numFmts count="15">
    <numFmt numFmtId="44" formatCode="_-&quot;$&quot;* #,##0.00_-;\-&quot;$&quot;* #,##0.00_-;_-&quot;$&quot;* &quot;-&quot;??_-;_-@_-"/>
    <numFmt numFmtId="176" formatCode="_(* #,##0.00_);_(* \(#,##0.00\);_(* &quot;-&quot;??_);_(@_)"/>
    <numFmt numFmtId="177" formatCode="_-* #,##0_-;\-* #,##0_-;_-* &quot;-&quot;??_-;_-@_-"/>
    <numFmt numFmtId="178" formatCode="0_);[Red]\(0\)"/>
    <numFmt numFmtId="179" formatCode="0_ "/>
    <numFmt numFmtId="180" formatCode="#,##0_);[Red]\(#,##0\)"/>
    <numFmt numFmtId="181" formatCode="0.00_ "/>
    <numFmt numFmtId="182" formatCode="_(* #,##0_);_(* \(#,##0\);_(* &quot;-&quot;??_);_(@_)"/>
    <numFmt numFmtId="183" formatCode="yyyymmdd"/>
    <numFmt numFmtId="184" formatCode="#,##0.00_);[Red]\(#,##0.00\)"/>
    <numFmt numFmtId="185" formatCode="#,##0.00_ "/>
    <numFmt numFmtId="186" formatCode="m&quot;月&quot;d&quot;日&quot;"/>
    <numFmt numFmtId="187" formatCode="#,##0.00_);\(#,##0.00\)"/>
    <numFmt numFmtId="188" formatCode="#,##0_ "/>
    <numFmt numFmtId="189" formatCode="0.000000000000000%"/>
  </numFmts>
  <fonts count="98">
    <font>
      <sz val="12"/>
      <color theme="1"/>
      <name val="新細明體"/>
      <family val="2"/>
      <charset val="136"/>
      <scheme val="minor"/>
    </font>
    <font>
      <sz val="12"/>
      <color theme="1"/>
      <name val="新細明體"/>
      <family val="2"/>
      <charset val="136"/>
      <scheme val="minor"/>
    </font>
    <font>
      <sz val="9"/>
      <name val="新細明體"/>
      <family val="2"/>
      <charset val="136"/>
      <scheme val="minor"/>
    </font>
    <font>
      <b/>
      <sz val="12"/>
      <color theme="1"/>
      <name val="新細明體"/>
      <family val="1"/>
      <charset val="136"/>
      <scheme val="minor"/>
    </font>
    <font>
      <b/>
      <sz val="14"/>
      <color theme="1"/>
      <name val="新細明體"/>
      <family val="1"/>
      <charset val="136"/>
      <scheme val="minor"/>
    </font>
    <font>
      <u/>
      <sz val="12"/>
      <color theme="10"/>
      <name val="新細明體"/>
      <family val="2"/>
      <charset val="136"/>
      <scheme val="minor"/>
    </font>
    <font>
      <b/>
      <sz val="12"/>
      <color indexed="81"/>
      <name val="細明體"/>
      <family val="3"/>
      <charset val="136"/>
    </font>
    <font>
      <sz val="9"/>
      <color indexed="81"/>
      <name val="Tahoma"/>
      <family val="2"/>
    </font>
    <font>
      <b/>
      <sz val="9"/>
      <color indexed="81"/>
      <name val="Tahoma"/>
      <family val="2"/>
    </font>
    <font>
      <b/>
      <sz val="16"/>
      <color theme="1"/>
      <name val="新細明體"/>
      <family val="1"/>
      <charset val="136"/>
      <scheme val="minor"/>
    </font>
    <font>
      <sz val="12"/>
      <color indexed="81"/>
      <name val="Tahoma"/>
      <family val="2"/>
    </font>
    <font>
      <sz val="10"/>
      <color rgb="FF0000FF"/>
      <name val="繚s簡?穢繳?矇"/>
      <family val="3"/>
      <charset val="136"/>
    </font>
    <font>
      <sz val="10"/>
      <color rgb="FFFF0000"/>
      <name val="繚s簡?穢繳?矇"/>
      <family val="3"/>
      <charset val="136"/>
    </font>
    <font>
      <sz val="14"/>
      <color theme="1"/>
      <name val="新細明體"/>
      <family val="1"/>
      <charset val="136"/>
      <scheme val="minor"/>
    </font>
    <font>
      <sz val="12"/>
      <color theme="1"/>
      <name val="新細明體"/>
      <family val="2"/>
      <scheme val="minor"/>
    </font>
    <font>
      <sz val="9"/>
      <name val="新細明體"/>
      <family val="3"/>
      <charset val="136"/>
      <scheme val="minor"/>
    </font>
    <font>
      <u/>
      <sz val="12"/>
      <color theme="10"/>
      <name val="新細明體"/>
      <family val="2"/>
      <scheme val="minor"/>
    </font>
    <font>
      <b/>
      <sz val="12"/>
      <color theme="1"/>
      <name val="新細明體"/>
      <family val="2"/>
      <charset val="136"/>
      <scheme val="minor"/>
    </font>
    <font>
      <b/>
      <sz val="13"/>
      <color theme="1"/>
      <name val="新細明體"/>
      <family val="1"/>
      <charset val="136"/>
      <scheme val="minor"/>
    </font>
    <font>
      <b/>
      <sz val="13"/>
      <name val="新細明體"/>
      <family val="1"/>
      <charset val="136"/>
      <scheme val="minor"/>
    </font>
    <font>
      <b/>
      <sz val="13"/>
      <color rgb="FF0033CC"/>
      <name val="新細明體"/>
      <family val="1"/>
      <charset val="136"/>
      <scheme val="minor"/>
    </font>
    <font>
      <b/>
      <sz val="13"/>
      <color rgb="FFFF0000"/>
      <name val="新細明體"/>
      <family val="1"/>
      <charset val="136"/>
      <scheme val="minor"/>
    </font>
    <font>
      <b/>
      <sz val="13"/>
      <color rgb="FFFF9900"/>
      <name val="新細明體"/>
      <family val="1"/>
      <charset val="136"/>
      <scheme val="minor"/>
    </font>
    <font>
      <b/>
      <sz val="14"/>
      <color theme="0"/>
      <name val="新細明體"/>
      <family val="1"/>
      <charset val="136"/>
      <scheme val="minor"/>
    </font>
    <font>
      <b/>
      <sz val="18"/>
      <color theme="1"/>
      <name val="新細明體"/>
      <family val="1"/>
      <charset val="136"/>
      <scheme val="minor"/>
    </font>
    <font>
      <sz val="18"/>
      <color theme="1"/>
      <name val="新細明體"/>
      <family val="1"/>
      <charset val="136"/>
      <scheme val="minor"/>
    </font>
    <font>
      <sz val="12"/>
      <color theme="0"/>
      <name val="新細明體"/>
      <family val="2"/>
      <charset val="136"/>
      <scheme val="minor"/>
    </font>
    <font>
      <b/>
      <sz val="12"/>
      <color theme="0"/>
      <name val="新細明體"/>
      <family val="2"/>
      <charset val="136"/>
      <scheme val="minor"/>
    </font>
    <font>
      <b/>
      <sz val="14"/>
      <color theme="0"/>
      <name val="Adobe 繁黑體 Std B"/>
      <family val="2"/>
      <charset val="136"/>
    </font>
    <font>
      <sz val="12"/>
      <color theme="0"/>
      <name val="新細明體"/>
      <family val="1"/>
      <charset val="136"/>
      <scheme val="minor"/>
    </font>
    <font>
      <b/>
      <sz val="16"/>
      <color theme="0"/>
      <name val="微軟正黑體"/>
      <family val="2"/>
      <charset val="136"/>
    </font>
    <font>
      <b/>
      <sz val="16"/>
      <color rgb="FF00B0F0"/>
      <name val="微軟正黑體"/>
      <family val="2"/>
      <charset val="136"/>
    </font>
    <font>
      <b/>
      <sz val="16"/>
      <color rgb="FFFF0000"/>
      <name val="微軟正黑體"/>
      <family val="2"/>
      <charset val="136"/>
    </font>
    <font>
      <b/>
      <sz val="16"/>
      <color rgb="FFFFFF00"/>
      <name val="微軟正黑體"/>
      <family val="2"/>
      <charset val="136"/>
    </font>
    <font>
      <b/>
      <sz val="14"/>
      <color rgb="FFFF0000"/>
      <name val="Adobe 繁黑體 Std B"/>
      <family val="2"/>
      <charset val="136"/>
    </font>
    <font>
      <b/>
      <sz val="14"/>
      <color rgb="FF00B0F0"/>
      <name val="Adobe 繁黑體 Std B"/>
      <family val="2"/>
      <charset val="136"/>
    </font>
    <font>
      <b/>
      <sz val="14"/>
      <color rgb="FF66FF33"/>
      <name val="Adobe 繁黑體 Std B"/>
      <family val="2"/>
      <charset val="136"/>
    </font>
    <font>
      <sz val="14"/>
      <color theme="1"/>
      <name val="新細明體"/>
      <family val="2"/>
      <scheme val="minor"/>
    </font>
    <font>
      <b/>
      <sz val="16"/>
      <color theme="9" tint="-0.249977111117893"/>
      <name val="微軟正黑體"/>
      <family val="2"/>
      <charset val="136"/>
    </font>
    <font>
      <b/>
      <sz val="14"/>
      <color rgb="FFFF33CC"/>
      <name val="Adobe 繁黑體 Std B"/>
      <family val="2"/>
      <charset val="136"/>
    </font>
    <font>
      <b/>
      <sz val="12"/>
      <name val="新細明體"/>
      <family val="1"/>
      <charset val="136"/>
      <scheme val="minor"/>
    </font>
    <font>
      <sz val="12"/>
      <name val="新細明體"/>
      <family val="1"/>
      <charset val="136"/>
      <scheme val="minor"/>
    </font>
    <font>
      <sz val="18"/>
      <color theme="1"/>
      <name val="新細明體"/>
      <family val="2"/>
      <charset val="136"/>
      <scheme val="minor"/>
    </font>
    <font>
      <b/>
      <sz val="14"/>
      <name val="新細明體"/>
      <family val="1"/>
      <charset val="136"/>
      <scheme val="minor"/>
    </font>
    <font>
      <sz val="12"/>
      <name val="新細明體"/>
      <family val="2"/>
      <charset val="136"/>
      <scheme val="minor"/>
    </font>
    <font>
      <sz val="10"/>
      <name val="Arial"/>
      <family val="2"/>
    </font>
    <font>
      <sz val="12"/>
      <color rgb="FFFF0000"/>
      <name val="新細明體"/>
      <family val="1"/>
      <charset val="136"/>
      <scheme val="minor"/>
    </font>
    <font>
      <b/>
      <sz val="14"/>
      <color theme="1"/>
      <name val="微軟正黑體"/>
      <family val="2"/>
      <charset val="136"/>
    </font>
    <font>
      <b/>
      <sz val="13"/>
      <color theme="1"/>
      <name val="微軟正黑體"/>
      <family val="2"/>
      <charset val="136"/>
    </font>
    <font>
      <sz val="13"/>
      <color theme="1"/>
      <name val="微軟正黑體"/>
      <family val="2"/>
      <charset val="136"/>
    </font>
    <font>
      <b/>
      <sz val="14"/>
      <color theme="9" tint="0.39997558519241921"/>
      <name val="Adobe 繁黑體 Std B"/>
      <family val="2"/>
      <charset val="136"/>
    </font>
    <font>
      <b/>
      <sz val="12"/>
      <color theme="1"/>
      <name val="微軟正黑體"/>
      <family val="2"/>
      <charset val="136"/>
    </font>
    <font>
      <b/>
      <sz val="12"/>
      <color theme="0"/>
      <name val="新細明體"/>
      <family val="1"/>
      <charset val="136"/>
      <scheme val="minor"/>
    </font>
    <font>
      <b/>
      <sz val="12"/>
      <name val="新細明體"/>
      <family val="2"/>
      <charset val="136"/>
      <scheme val="minor"/>
    </font>
    <font>
      <b/>
      <sz val="16"/>
      <color theme="5" tint="0.59999389629810485"/>
      <name val="微軟正黑體"/>
      <family val="2"/>
      <charset val="136"/>
    </font>
    <font>
      <b/>
      <sz val="15"/>
      <color theme="1"/>
      <name val="新細明體"/>
      <family val="1"/>
      <charset val="136"/>
      <scheme val="minor"/>
    </font>
    <font>
      <sz val="14"/>
      <color indexed="81"/>
      <name val="細明體"/>
      <family val="3"/>
      <charset val="136"/>
    </font>
    <font>
      <sz val="14"/>
      <color indexed="81"/>
      <name val="Tahoma"/>
      <family val="2"/>
    </font>
    <font>
      <sz val="10.8"/>
      <color theme="1"/>
      <name val="新細明體"/>
      <family val="1"/>
      <charset val="136"/>
      <scheme val="minor"/>
    </font>
    <font>
      <sz val="12.95"/>
      <color rgb="FF0000FF"/>
      <name val="新細明體"/>
      <family val="1"/>
      <charset val="136"/>
      <scheme val="minor"/>
    </font>
    <font>
      <b/>
      <sz val="12.95"/>
      <color rgb="FFCC3366"/>
      <name val="新細明體"/>
      <family val="1"/>
      <charset val="136"/>
      <scheme val="minor"/>
    </font>
    <font>
      <b/>
      <sz val="18"/>
      <color theme="1"/>
      <name val="Adobe 繁黑體 Std B"/>
      <family val="2"/>
      <charset val="136"/>
    </font>
    <font>
      <b/>
      <sz val="20"/>
      <color theme="1"/>
      <name val="Adobe 繁黑體 Std B"/>
      <family val="2"/>
      <charset val="136"/>
    </font>
    <font>
      <b/>
      <sz val="14"/>
      <color theme="1"/>
      <name val="Adobe 繁黑體 Std B"/>
      <family val="2"/>
      <charset val="136"/>
    </font>
    <font>
      <b/>
      <sz val="14"/>
      <name val="Adobe 繁黑體 Std B"/>
      <family val="2"/>
      <charset val="136"/>
    </font>
    <font>
      <sz val="14"/>
      <color rgb="FF000000"/>
      <name val="Adobe 繁黑體 Std B"/>
      <family val="2"/>
      <charset val="136"/>
    </font>
    <font>
      <sz val="14"/>
      <color theme="1"/>
      <name val="Adobe 繁黑體 Std B"/>
      <family val="2"/>
      <charset val="136"/>
    </font>
    <font>
      <sz val="14"/>
      <color rgb="FF808080"/>
      <name val="Adobe 繁黑體 Std B"/>
      <family val="2"/>
      <charset val="136"/>
    </font>
    <font>
      <b/>
      <sz val="14"/>
      <color rgb="FF000000"/>
      <name val="Adobe 繁黑體 Std B"/>
      <family val="2"/>
      <charset val="136"/>
    </font>
    <font>
      <b/>
      <sz val="14"/>
      <color rgb="FF000000"/>
      <name val="PMingLiU"/>
      <family val="1"/>
    </font>
    <font>
      <b/>
      <sz val="19.5"/>
      <color rgb="FFCC0000"/>
      <name val="PMingLiU"/>
      <family val="1"/>
    </font>
    <font>
      <b/>
      <sz val="19.5"/>
      <color rgb="FFCC0000"/>
      <name val="Arial"/>
      <family val="2"/>
    </font>
    <font>
      <sz val="12"/>
      <color theme="1"/>
      <name val="微軟正黑體"/>
      <family val="2"/>
      <charset val="136"/>
    </font>
    <font>
      <sz val="18"/>
      <color theme="3"/>
      <name val="新細明體"/>
      <family val="2"/>
      <charset val="136"/>
      <scheme val="major"/>
    </font>
    <font>
      <b/>
      <sz val="15"/>
      <color theme="3"/>
      <name val="新細明體"/>
      <family val="2"/>
      <charset val="136"/>
      <scheme val="minor"/>
    </font>
    <font>
      <b/>
      <sz val="13"/>
      <color theme="3"/>
      <name val="新細明體"/>
      <family val="2"/>
      <charset val="136"/>
      <scheme val="minor"/>
    </font>
    <font>
      <b/>
      <sz val="11"/>
      <color theme="3"/>
      <name val="新細明體"/>
      <family val="2"/>
      <charset val="136"/>
      <scheme val="minor"/>
    </font>
    <font>
      <sz val="12"/>
      <color rgb="FF006100"/>
      <name val="新細明體"/>
      <family val="2"/>
      <charset val="136"/>
      <scheme val="minor"/>
    </font>
    <font>
      <sz val="12"/>
      <color rgb="FF9C0006"/>
      <name val="新細明體"/>
      <family val="2"/>
      <charset val="136"/>
      <scheme val="minor"/>
    </font>
    <font>
      <sz val="12"/>
      <color rgb="FF9C6500"/>
      <name val="新細明體"/>
      <family val="2"/>
      <charset val="136"/>
      <scheme val="minor"/>
    </font>
    <font>
      <sz val="12"/>
      <color rgb="FF3F3F76"/>
      <name val="新細明體"/>
      <family val="2"/>
      <charset val="136"/>
      <scheme val="minor"/>
    </font>
    <font>
      <b/>
      <sz val="12"/>
      <color rgb="FF3F3F3F"/>
      <name val="新細明體"/>
      <family val="2"/>
      <charset val="136"/>
      <scheme val="minor"/>
    </font>
    <font>
      <b/>
      <sz val="12"/>
      <color rgb="FFFA7D00"/>
      <name val="新細明體"/>
      <family val="2"/>
      <charset val="136"/>
      <scheme val="minor"/>
    </font>
    <font>
      <sz val="12"/>
      <color rgb="FFFA7D00"/>
      <name val="新細明體"/>
      <family val="2"/>
      <charset val="136"/>
      <scheme val="minor"/>
    </font>
    <font>
      <sz val="12"/>
      <color rgb="FFFF0000"/>
      <name val="新細明體"/>
      <family val="2"/>
      <charset val="136"/>
      <scheme val="minor"/>
    </font>
    <font>
      <i/>
      <sz val="12"/>
      <color rgb="FF7F7F7F"/>
      <name val="新細明體"/>
      <family val="2"/>
      <charset val="136"/>
      <scheme val="minor"/>
    </font>
    <font>
      <b/>
      <sz val="9"/>
      <color indexed="81"/>
      <name val="細明體"/>
      <family val="3"/>
      <charset val="136"/>
    </font>
    <font>
      <sz val="9"/>
      <color indexed="81"/>
      <name val="細明體"/>
      <family val="3"/>
      <charset val="136"/>
    </font>
    <font>
      <b/>
      <sz val="12"/>
      <color rgb="FF444444"/>
      <name val="新細明體"/>
      <family val="1"/>
      <charset val="136"/>
      <scheme val="minor"/>
    </font>
    <font>
      <b/>
      <sz val="16"/>
      <color theme="1"/>
      <name val="Adobe 繁黑體 Std B"/>
      <family val="2"/>
      <charset val="136"/>
    </font>
    <font>
      <sz val="11"/>
      <color theme="1"/>
      <name val="微軟正黑體"/>
      <family val="2"/>
      <charset val="136"/>
    </font>
    <font>
      <sz val="12"/>
      <color rgb="FF0000FF"/>
      <name val="新細明體"/>
      <family val="1"/>
      <charset val="136"/>
      <scheme val="minor"/>
    </font>
    <font>
      <sz val="10"/>
      <color rgb="FF0000FF"/>
      <name val="新細明體"/>
      <family val="1"/>
      <charset val="136"/>
      <scheme val="minor"/>
    </font>
    <font>
      <sz val="12"/>
      <color rgb="FF009900"/>
      <name val="新細明體"/>
      <family val="1"/>
      <charset val="136"/>
      <scheme val="minor"/>
    </font>
    <font>
      <sz val="10"/>
      <color rgb="FF000000"/>
      <name val="繚s簡?穢繳?矇"/>
      <family val="3"/>
      <charset val="136"/>
    </font>
    <font>
      <b/>
      <sz val="12"/>
      <color rgb="FF990066"/>
      <name val="新細明體"/>
      <family val="1"/>
      <charset val="136"/>
      <scheme val="minor"/>
    </font>
    <font>
      <sz val="12"/>
      <color rgb="FF990066"/>
      <name val="新細明體"/>
      <family val="1"/>
      <charset val="136"/>
      <scheme val="minor"/>
    </font>
    <font>
      <sz val="8"/>
      <color rgb="FF0000FF"/>
      <name val="Arial"/>
      <family val="2"/>
    </font>
  </fonts>
  <fills count="61">
    <fill>
      <patternFill patternType="none"/>
    </fill>
    <fill>
      <patternFill patternType="gray125"/>
    </fill>
    <fill>
      <patternFill patternType="solid">
        <fgColor theme="0"/>
        <bgColor indexed="64"/>
      </patternFill>
    </fill>
    <fill>
      <patternFill patternType="solid">
        <fgColor theme="2" tint="-0.249977111117893"/>
        <bgColor indexed="64"/>
      </patternFill>
    </fill>
    <fill>
      <patternFill patternType="solid">
        <fgColor theme="2" tint="-9.9978637043366805E-2"/>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rgb="FFFFFF00"/>
        <bgColor indexed="64"/>
      </patternFill>
    </fill>
    <fill>
      <patternFill patternType="solid">
        <fgColor rgb="FFFFF0C1"/>
        <bgColor indexed="64"/>
      </patternFill>
    </fill>
    <fill>
      <patternFill patternType="solid">
        <fgColor rgb="FFFFFFFF"/>
        <bgColor indexed="64"/>
      </patternFill>
    </fill>
    <fill>
      <patternFill patternType="solid">
        <fgColor theme="5" tint="0.59999389629810485"/>
        <bgColor indexed="64"/>
      </patternFill>
    </fill>
    <fill>
      <patternFill patternType="solid">
        <fgColor theme="1"/>
        <bgColor indexed="64"/>
      </patternFill>
    </fill>
    <fill>
      <patternFill patternType="solid">
        <fgColor theme="3" tint="0.39997558519241921"/>
        <bgColor indexed="64"/>
      </patternFill>
    </fill>
    <fill>
      <patternFill patternType="solid">
        <fgColor theme="9" tint="-0.249977111117893"/>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rgb="FFFFFF66"/>
        <bgColor indexed="64"/>
      </patternFill>
    </fill>
    <fill>
      <patternFill patternType="solid">
        <fgColor theme="7" tint="0.59999389629810485"/>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6" tint="0.39997558519241921"/>
        <bgColor indexed="64"/>
      </patternFill>
    </fill>
    <fill>
      <patternFill patternType="solid">
        <fgColor rgb="FFFDEDEF"/>
        <bgColor indexed="64"/>
      </patternFill>
    </fill>
    <fill>
      <patternFill patternType="solid">
        <fgColor rgb="FFFFFFCC"/>
        <bgColor indexed="64"/>
      </patternFill>
    </fill>
    <fill>
      <patternFill patternType="solid">
        <fgColor theme="0" tint="-4.9989318521683403E-2"/>
        <bgColor indexed="64"/>
      </patternFill>
    </fill>
    <fill>
      <patternFill patternType="solid">
        <fgColor rgb="FFFFEDA9"/>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s>
  <borders count="75">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style="medium">
        <color rgb="FF000000"/>
      </left>
      <right style="medium">
        <color rgb="FF000000"/>
      </right>
      <top style="medium">
        <color rgb="FF000000"/>
      </top>
      <bottom/>
      <diagonal/>
    </border>
    <border>
      <left style="medium">
        <color rgb="FF000000"/>
      </left>
      <right style="medium">
        <color rgb="FF000000"/>
      </right>
      <top/>
      <bottom style="medium">
        <color rgb="FF000000"/>
      </bottom>
      <diagonal/>
    </border>
    <border>
      <left style="medium">
        <color rgb="FF000000"/>
      </left>
      <right style="medium">
        <color rgb="FF000000"/>
      </right>
      <top/>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bottom style="thin">
        <color indexed="64"/>
      </bottom>
      <diagonal/>
    </border>
    <border>
      <left style="medium">
        <color rgb="FF000000"/>
      </left>
      <right style="medium">
        <color rgb="FF000000"/>
      </right>
      <top style="medium">
        <color rgb="FF000000"/>
      </top>
      <bottom style="medium">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thin">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medium">
        <color indexed="64"/>
      </right>
      <top/>
      <bottom style="thin">
        <color indexed="64"/>
      </bottom>
      <diagonal/>
    </border>
    <border>
      <left/>
      <right style="medium">
        <color indexed="64"/>
      </right>
      <top style="thin">
        <color indexed="64"/>
      </top>
      <bottom/>
      <diagonal/>
    </border>
    <border>
      <left/>
      <right/>
      <top style="medium">
        <color rgb="FF000000"/>
      </top>
      <bottom/>
      <diagonal/>
    </border>
    <border>
      <left/>
      <right style="thin">
        <color indexed="64"/>
      </right>
      <top style="medium">
        <color indexed="64"/>
      </top>
      <bottom/>
      <diagonal/>
    </border>
    <border>
      <left style="thin">
        <color indexed="64"/>
      </left>
      <right/>
      <top style="medium">
        <color indexed="64"/>
      </top>
      <bottom/>
      <diagonal/>
    </border>
    <border>
      <left/>
      <right style="thin">
        <color indexed="64"/>
      </right>
      <top style="thin">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s>
  <cellStyleXfs count="48">
    <xf numFmtId="0" fontId="0" fillId="0" borderId="0">
      <alignment vertical="center"/>
    </xf>
    <xf numFmtId="176" fontId="1" fillId="0" borderId="0" applyFont="0" applyFill="0" applyBorder="0" applyAlignment="0" applyProtection="0">
      <alignment vertical="center"/>
    </xf>
    <xf numFmtId="9" fontId="1" fillId="0" borderId="0" applyFont="0" applyFill="0" applyBorder="0" applyAlignment="0" applyProtection="0">
      <alignment vertical="center"/>
    </xf>
    <xf numFmtId="0" fontId="5" fillId="0" borderId="0" applyNumberFormat="0" applyFill="0" applyBorder="0" applyAlignment="0" applyProtection="0">
      <alignment vertical="center"/>
    </xf>
    <xf numFmtId="0" fontId="14" fillId="0" borderId="0"/>
    <xf numFmtId="0" fontId="16" fillId="0" borderId="0" applyNumberFormat="0" applyFill="0" applyBorder="0" applyAlignment="0" applyProtection="0"/>
    <xf numFmtId="0" fontId="45" fillId="0" borderId="0" applyNumberFormat="0" applyFont="0" applyFill="0" applyBorder="0" applyAlignment="0" applyProtection="0"/>
    <xf numFmtId="0" fontId="73" fillId="0" borderId="0" applyNumberFormat="0" applyFill="0" applyBorder="0" applyAlignment="0" applyProtection="0">
      <alignment vertical="center"/>
    </xf>
    <xf numFmtId="0" fontId="74" fillId="0" borderId="52" applyNumberFormat="0" applyFill="0" applyAlignment="0" applyProtection="0">
      <alignment vertical="center"/>
    </xf>
    <xf numFmtId="0" fontId="75" fillId="0" borderId="53" applyNumberFormat="0" applyFill="0" applyAlignment="0" applyProtection="0">
      <alignment vertical="center"/>
    </xf>
    <xf numFmtId="0" fontId="76" fillId="0" borderId="54" applyNumberFormat="0" applyFill="0" applyAlignment="0" applyProtection="0">
      <alignment vertical="center"/>
    </xf>
    <xf numFmtId="0" fontId="76" fillId="0" borderId="0" applyNumberFormat="0" applyFill="0" applyBorder="0" applyAlignment="0" applyProtection="0">
      <alignment vertical="center"/>
    </xf>
    <xf numFmtId="0" fontId="77" fillId="29" borderId="0" applyNumberFormat="0" applyBorder="0" applyAlignment="0" applyProtection="0">
      <alignment vertical="center"/>
    </xf>
    <xf numFmtId="0" fontId="78" fillId="30" borderId="0" applyNumberFormat="0" applyBorder="0" applyAlignment="0" applyProtection="0">
      <alignment vertical="center"/>
    </xf>
    <xf numFmtId="0" fontId="79" fillId="31" borderId="0" applyNumberFormat="0" applyBorder="0" applyAlignment="0" applyProtection="0">
      <alignment vertical="center"/>
    </xf>
    <xf numFmtId="0" fontId="80" fillId="32" borderId="55" applyNumberFormat="0" applyAlignment="0" applyProtection="0">
      <alignment vertical="center"/>
    </xf>
    <xf numFmtId="0" fontId="81" fillId="33" borderId="56" applyNumberFormat="0" applyAlignment="0" applyProtection="0">
      <alignment vertical="center"/>
    </xf>
    <xf numFmtId="0" fontId="82" fillId="33" borderId="55" applyNumberFormat="0" applyAlignment="0" applyProtection="0">
      <alignment vertical="center"/>
    </xf>
    <xf numFmtId="0" fontId="83" fillId="0" borderId="57" applyNumberFormat="0" applyFill="0" applyAlignment="0" applyProtection="0">
      <alignment vertical="center"/>
    </xf>
    <xf numFmtId="0" fontId="27" fillId="34" borderId="58" applyNumberFormat="0" applyAlignment="0" applyProtection="0">
      <alignment vertical="center"/>
    </xf>
    <xf numFmtId="0" fontId="84" fillId="0" borderId="0" applyNumberFormat="0" applyFill="0" applyBorder="0" applyAlignment="0" applyProtection="0">
      <alignment vertical="center"/>
    </xf>
    <xf numFmtId="0" fontId="1" fillId="35" borderId="59" applyNumberFormat="0" applyFont="0" applyAlignment="0" applyProtection="0">
      <alignment vertical="center"/>
    </xf>
    <xf numFmtId="0" fontId="85" fillId="0" borderId="0" applyNumberFormat="0" applyFill="0" applyBorder="0" applyAlignment="0" applyProtection="0">
      <alignment vertical="center"/>
    </xf>
    <xf numFmtId="0" fontId="17" fillId="0" borderId="60" applyNumberFormat="0" applyFill="0" applyAlignment="0" applyProtection="0">
      <alignment vertical="center"/>
    </xf>
    <xf numFmtId="0" fontId="26" fillId="36" borderId="0" applyNumberFormat="0" applyBorder="0" applyAlignment="0" applyProtection="0">
      <alignment vertical="center"/>
    </xf>
    <xf numFmtId="0" fontId="1" fillId="37" borderId="0" applyNumberFormat="0" applyBorder="0" applyAlignment="0" applyProtection="0">
      <alignment vertical="center"/>
    </xf>
    <xf numFmtId="0" fontId="1" fillId="38" borderId="0" applyNumberFormat="0" applyBorder="0" applyAlignment="0" applyProtection="0">
      <alignment vertical="center"/>
    </xf>
    <xf numFmtId="0" fontId="26" fillId="39" borderId="0" applyNumberFormat="0" applyBorder="0" applyAlignment="0" applyProtection="0">
      <alignment vertical="center"/>
    </xf>
    <xf numFmtId="0" fontId="26" fillId="40" borderId="0" applyNumberFormat="0" applyBorder="0" applyAlignment="0" applyProtection="0">
      <alignment vertical="center"/>
    </xf>
    <xf numFmtId="0" fontId="1" fillId="41" borderId="0" applyNumberFormat="0" applyBorder="0" applyAlignment="0" applyProtection="0">
      <alignment vertical="center"/>
    </xf>
    <xf numFmtId="0" fontId="1" fillId="42" borderId="0" applyNumberFormat="0" applyBorder="0" applyAlignment="0" applyProtection="0">
      <alignment vertical="center"/>
    </xf>
    <xf numFmtId="0" fontId="26" fillId="43" borderId="0" applyNumberFormat="0" applyBorder="0" applyAlignment="0" applyProtection="0">
      <alignment vertical="center"/>
    </xf>
    <xf numFmtId="0" fontId="26" fillId="44" borderId="0" applyNumberFormat="0" applyBorder="0" applyAlignment="0" applyProtection="0">
      <alignment vertical="center"/>
    </xf>
    <xf numFmtId="0" fontId="1" fillId="45" borderId="0" applyNumberFormat="0" applyBorder="0" applyAlignment="0" applyProtection="0">
      <alignment vertical="center"/>
    </xf>
    <xf numFmtId="0" fontId="1" fillId="46" borderId="0" applyNumberFormat="0" applyBorder="0" applyAlignment="0" applyProtection="0">
      <alignment vertical="center"/>
    </xf>
    <xf numFmtId="0" fontId="26" fillId="47" borderId="0" applyNumberFormat="0" applyBorder="0" applyAlignment="0" applyProtection="0">
      <alignment vertical="center"/>
    </xf>
    <xf numFmtId="0" fontId="26" fillId="48" borderId="0" applyNumberFormat="0" applyBorder="0" applyAlignment="0" applyProtection="0">
      <alignment vertical="center"/>
    </xf>
    <xf numFmtId="0" fontId="1" fillId="49" borderId="0" applyNumberFormat="0" applyBorder="0" applyAlignment="0" applyProtection="0">
      <alignment vertical="center"/>
    </xf>
    <xf numFmtId="0" fontId="1" fillId="50" borderId="0" applyNumberFormat="0" applyBorder="0" applyAlignment="0" applyProtection="0">
      <alignment vertical="center"/>
    </xf>
    <xf numFmtId="0" fontId="26" fillId="51" borderId="0" applyNumberFormat="0" applyBorder="0" applyAlignment="0" applyProtection="0">
      <alignment vertical="center"/>
    </xf>
    <xf numFmtId="0" fontId="26" fillId="52" borderId="0" applyNumberFormat="0" applyBorder="0" applyAlignment="0" applyProtection="0">
      <alignment vertical="center"/>
    </xf>
    <xf numFmtId="0" fontId="1" fillId="53" borderId="0" applyNumberFormat="0" applyBorder="0" applyAlignment="0" applyProtection="0">
      <alignment vertical="center"/>
    </xf>
    <xf numFmtId="0" fontId="1" fillId="54" borderId="0" applyNumberFormat="0" applyBorder="0" applyAlignment="0" applyProtection="0">
      <alignment vertical="center"/>
    </xf>
    <xf numFmtId="0" fontId="26" fillId="55" borderId="0" applyNumberFormat="0" applyBorder="0" applyAlignment="0" applyProtection="0">
      <alignment vertical="center"/>
    </xf>
    <xf numFmtId="0" fontId="26" fillId="56" borderId="0" applyNumberFormat="0" applyBorder="0" applyAlignment="0" applyProtection="0">
      <alignment vertical="center"/>
    </xf>
    <xf numFmtId="0" fontId="1" fillId="57" borderId="0" applyNumberFormat="0" applyBorder="0" applyAlignment="0" applyProtection="0">
      <alignment vertical="center"/>
    </xf>
    <xf numFmtId="0" fontId="1" fillId="58" borderId="0" applyNumberFormat="0" applyBorder="0" applyAlignment="0" applyProtection="0">
      <alignment vertical="center"/>
    </xf>
    <xf numFmtId="0" fontId="26" fillId="59" borderId="0" applyNumberFormat="0" applyBorder="0" applyAlignment="0" applyProtection="0">
      <alignment vertical="center"/>
    </xf>
  </cellStyleXfs>
  <cellXfs count="598">
    <xf numFmtId="0" fontId="0" fillId="0" borderId="0" xfId="0">
      <alignment vertical="center"/>
    </xf>
    <xf numFmtId="0" fontId="0" fillId="2" borderId="0" xfId="0" applyFill="1">
      <alignment vertical="center"/>
    </xf>
    <xf numFmtId="0" fontId="0" fillId="3" borderId="6" xfId="0" applyFill="1" applyBorder="1">
      <alignment vertical="center"/>
    </xf>
    <xf numFmtId="0" fontId="0" fillId="3" borderId="0" xfId="0" applyFill="1" applyBorder="1">
      <alignment vertical="center"/>
    </xf>
    <xf numFmtId="0" fontId="0" fillId="3" borderId="7" xfId="0" applyFill="1" applyBorder="1">
      <alignment vertical="center"/>
    </xf>
    <xf numFmtId="0" fontId="0" fillId="2" borderId="6" xfId="0" applyFill="1" applyBorder="1">
      <alignment vertical="center"/>
    </xf>
    <xf numFmtId="0" fontId="0" fillId="2" borderId="0" xfId="0" applyFill="1" applyBorder="1">
      <alignment vertical="center"/>
    </xf>
    <xf numFmtId="0" fontId="0" fillId="2" borderId="7" xfId="0" applyFill="1" applyBorder="1">
      <alignment vertical="center"/>
    </xf>
    <xf numFmtId="0" fontId="0" fillId="3" borderId="14" xfId="0" applyFill="1" applyBorder="1">
      <alignment vertical="center"/>
    </xf>
    <xf numFmtId="0" fontId="0" fillId="3" borderId="15" xfId="0" applyFill="1" applyBorder="1">
      <alignment vertical="center"/>
    </xf>
    <xf numFmtId="3" fontId="0" fillId="2" borderId="0" xfId="0" applyNumberFormat="1" applyFill="1">
      <alignment vertical="center"/>
    </xf>
    <xf numFmtId="179" fontId="4" fillId="7" borderId="11" xfId="0" applyNumberFormat="1" applyFont="1" applyFill="1" applyBorder="1" applyAlignment="1">
      <alignment horizontal="center" vertical="center"/>
    </xf>
    <xf numFmtId="179" fontId="4" fillId="7" borderId="12" xfId="0" applyNumberFormat="1" applyFont="1" applyFill="1" applyBorder="1" applyAlignment="1">
      <alignment horizontal="center" vertical="center"/>
    </xf>
    <xf numFmtId="179" fontId="4" fillId="8" borderId="11" xfId="0" applyNumberFormat="1" applyFont="1" applyFill="1" applyBorder="1" applyAlignment="1">
      <alignment horizontal="center" vertical="center"/>
    </xf>
    <xf numFmtId="0" fontId="13" fillId="0" borderId="0" xfId="0" applyFont="1">
      <alignment vertical="center"/>
    </xf>
    <xf numFmtId="176" fontId="13" fillId="0" borderId="0" xfId="1" applyFont="1">
      <alignment vertical="center"/>
    </xf>
    <xf numFmtId="0" fontId="13" fillId="0" borderId="0" xfId="0" applyFont="1" applyAlignment="1">
      <alignment horizontal="center" vertical="center"/>
    </xf>
    <xf numFmtId="178" fontId="4" fillId="6" borderId="11" xfId="0" applyNumberFormat="1" applyFont="1" applyFill="1" applyBorder="1" applyAlignment="1">
      <alignment horizontal="center" vertical="center"/>
    </xf>
    <xf numFmtId="0" fontId="4" fillId="0" borderId="0" xfId="0" applyFont="1">
      <alignment vertical="center"/>
    </xf>
    <xf numFmtId="0" fontId="0" fillId="0" borderId="0" xfId="0" applyFont="1" applyFill="1">
      <alignment vertical="center"/>
    </xf>
    <xf numFmtId="0" fontId="18" fillId="2" borderId="0" xfId="0" applyFont="1" applyFill="1" applyAlignment="1">
      <alignment horizontal="left" vertical="center"/>
    </xf>
    <xf numFmtId="0" fontId="19" fillId="2" borderId="0" xfId="0" applyFont="1" applyFill="1" applyAlignment="1" applyProtection="1">
      <alignment horizontal="left" vertical="center"/>
      <protection locked="0"/>
    </xf>
    <xf numFmtId="0" fontId="18" fillId="2" borderId="0" xfId="0" applyFont="1" applyFill="1">
      <alignment vertical="center"/>
    </xf>
    <xf numFmtId="0" fontId="18" fillId="13" borderId="0" xfId="0" applyFont="1" applyFill="1">
      <alignment vertical="center"/>
    </xf>
    <xf numFmtId="0" fontId="20" fillId="13" borderId="0" xfId="0" applyFont="1" applyFill="1" applyAlignment="1" applyProtection="1">
      <alignment horizontal="center" vertical="center"/>
      <protection locked="0"/>
    </xf>
    <xf numFmtId="0" fontId="21" fillId="13" borderId="0" xfId="0" applyFont="1" applyFill="1" applyAlignment="1" applyProtection="1">
      <alignment horizontal="center" vertical="center"/>
      <protection locked="0"/>
    </xf>
    <xf numFmtId="0" fontId="22" fillId="13" borderId="0" xfId="0" applyFont="1" applyFill="1" applyAlignment="1" applyProtection="1">
      <alignment horizontal="center" vertical="center"/>
      <protection locked="0"/>
    </xf>
    <xf numFmtId="0" fontId="0" fillId="13" borderId="6" xfId="0" applyFill="1" applyBorder="1">
      <alignment vertical="center"/>
    </xf>
    <xf numFmtId="0" fontId="0" fillId="13" borderId="0" xfId="0" applyFill="1" applyBorder="1">
      <alignment vertical="center"/>
    </xf>
    <xf numFmtId="0" fontId="0" fillId="13" borderId="7" xfId="0" applyFill="1" applyBorder="1">
      <alignment vertical="center"/>
    </xf>
    <xf numFmtId="0" fontId="0" fillId="13" borderId="0" xfId="0" applyFill="1">
      <alignment vertical="center"/>
    </xf>
    <xf numFmtId="0" fontId="0" fillId="13" borderId="0" xfId="0" applyFill="1" applyAlignment="1">
      <alignment horizontal="center" vertical="center"/>
    </xf>
    <xf numFmtId="0" fontId="0" fillId="2" borderId="0" xfId="0" applyFill="1" applyAlignment="1">
      <alignment horizontal="center" vertical="center"/>
    </xf>
    <xf numFmtId="3" fontId="0" fillId="0" borderId="0" xfId="0" applyNumberFormat="1">
      <alignment vertical="center"/>
    </xf>
    <xf numFmtId="0" fontId="25" fillId="0" borderId="0" xfId="0" applyFont="1">
      <alignment vertical="center"/>
    </xf>
    <xf numFmtId="176" fontId="4" fillId="18" borderId="13" xfId="1" applyFont="1" applyFill="1" applyBorder="1" applyAlignment="1">
      <alignment horizontal="center" vertical="center"/>
    </xf>
    <xf numFmtId="0" fontId="3" fillId="0" borderId="0" xfId="0" applyFont="1" applyAlignment="1">
      <alignment horizontal="center" vertical="center"/>
    </xf>
    <xf numFmtId="0" fontId="0" fillId="13" borderId="14" xfId="0" applyFill="1" applyBorder="1">
      <alignment vertical="center"/>
    </xf>
    <xf numFmtId="0" fontId="0" fillId="13" borderId="15" xfId="0" applyFill="1" applyBorder="1">
      <alignment vertical="center"/>
    </xf>
    <xf numFmtId="0" fontId="0" fillId="13" borderId="16" xfId="0" applyFill="1" applyBorder="1">
      <alignment vertical="center"/>
    </xf>
    <xf numFmtId="0" fontId="26" fillId="13" borderId="6" xfId="0" applyFont="1" applyFill="1" applyBorder="1">
      <alignment vertical="center"/>
    </xf>
    <xf numFmtId="0" fontId="26" fillId="13" borderId="0" xfId="0" applyFont="1" applyFill="1" applyBorder="1">
      <alignment vertical="center"/>
    </xf>
    <xf numFmtId="0" fontId="26" fillId="13" borderId="7" xfId="0" applyFont="1" applyFill="1" applyBorder="1">
      <alignment vertical="center"/>
    </xf>
    <xf numFmtId="0" fontId="26" fillId="13" borderId="14" xfId="0" applyFont="1" applyFill="1" applyBorder="1">
      <alignment vertical="center"/>
    </xf>
    <xf numFmtId="0" fontId="26" fillId="13" borderId="15" xfId="0" applyFont="1" applyFill="1" applyBorder="1">
      <alignment vertical="center"/>
    </xf>
    <xf numFmtId="0" fontId="26" fillId="13" borderId="16" xfId="0" applyFont="1" applyFill="1" applyBorder="1">
      <alignment vertical="center"/>
    </xf>
    <xf numFmtId="0" fontId="26" fillId="13" borderId="1" xfId="0" applyFont="1" applyFill="1" applyBorder="1">
      <alignment vertical="center"/>
    </xf>
    <xf numFmtId="0" fontId="26" fillId="13" borderId="2" xfId="0" applyFont="1" applyFill="1" applyBorder="1">
      <alignment vertical="center"/>
    </xf>
    <xf numFmtId="0" fontId="26" fillId="13" borderId="3" xfId="0" applyFont="1" applyFill="1" applyBorder="1">
      <alignment vertical="center"/>
    </xf>
    <xf numFmtId="9" fontId="26" fillId="13" borderId="0" xfId="2" applyFont="1" applyFill="1" applyBorder="1">
      <alignment vertical="center"/>
    </xf>
    <xf numFmtId="14" fontId="0" fillId="0" borderId="0" xfId="0" applyNumberFormat="1">
      <alignment vertical="center"/>
    </xf>
    <xf numFmtId="0" fontId="0" fillId="9" borderId="9" xfId="0" applyFill="1" applyBorder="1">
      <alignment vertical="center"/>
    </xf>
    <xf numFmtId="0" fontId="0" fillId="12" borderId="9" xfId="0" applyFill="1" applyBorder="1">
      <alignment vertical="center"/>
    </xf>
    <xf numFmtId="0" fontId="0" fillId="16" borderId="9" xfId="0" applyFill="1" applyBorder="1">
      <alignment vertical="center"/>
    </xf>
    <xf numFmtId="0" fontId="0" fillId="17" borderId="9" xfId="0" applyFill="1" applyBorder="1">
      <alignment vertical="center"/>
    </xf>
    <xf numFmtId="0" fontId="0" fillId="4" borderId="9" xfId="0" applyFill="1" applyBorder="1">
      <alignment vertical="center"/>
    </xf>
    <xf numFmtId="0" fontId="0" fillId="20" borderId="9" xfId="0" applyFill="1" applyBorder="1">
      <alignment vertical="center"/>
    </xf>
    <xf numFmtId="9" fontId="0" fillId="4" borderId="9" xfId="2" applyNumberFormat="1" applyFont="1" applyFill="1" applyBorder="1">
      <alignment vertical="center"/>
    </xf>
    <xf numFmtId="182" fontId="0" fillId="9" borderId="9" xfId="1" applyNumberFormat="1" applyFont="1" applyFill="1" applyBorder="1">
      <alignment vertical="center"/>
    </xf>
    <xf numFmtId="182" fontId="0" fillId="12" borderId="9" xfId="1" applyNumberFormat="1" applyFont="1" applyFill="1" applyBorder="1">
      <alignment vertical="center"/>
    </xf>
    <xf numFmtId="9" fontId="0" fillId="16" borderId="9" xfId="2" applyFont="1" applyFill="1" applyBorder="1">
      <alignment vertical="center"/>
    </xf>
    <xf numFmtId="176" fontId="0" fillId="17" borderId="9" xfId="1" applyFont="1" applyFill="1" applyBorder="1">
      <alignment vertical="center"/>
    </xf>
    <xf numFmtId="9" fontId="0" fillId="4" borderId="9" xfId="2" applyFont="1" applyFill="1" applyBorder="1">
      <alignment vertical="center"/>
    </xf>
    <xf numFmtId="10" fontId="0" fillId="9" borderId="9" xfId="2" applyNumberFormat="1" applyFont="1" applyFill="1" applyBorder="1">
      <alignment vertical="center"/>
    </xf>
    <xf numFmtId="176" fontId="0" fillId="12" borderId="9" xfId="1" applyFont="1" applyFill="1" applyBorder="1">
      <alignment vertical="center"/>
    </xf>
    <xf numFmtId="0" fontId="0" fillId="19" borderId="9" xfId="0" applyFill="1" applyBorder="1">
      <alignment vertical="center"/>
    </xf>
    <xf numFmtId="0" fontId="0" fillId="21" borderId="9" xfId="0" applyFill="1" applyBorder="1">
      <alignment vertical="center"/>
    </xf>
    <xf numFmtId="0" fontId="17" fillId="14" borderId="6" xfId="0" applyFont="1" applyFill="1" applyBorder="1" applyAlignment="1">
      <alignment vertical="center"/>
    </xf>
    <xf numFmtId="0" fontId="17" fillId="14" borderId="0" xfId="0" applyFont="1" applyFill="1" applyBorder="1" applyAlignment="1">
      <alignment vertical="center"/>
    </xf>
    <xf numFmtId="0" fontId="17" fillId="15" borderId="6" xfId="0" applyFont="1" applyFill="1" applyBorder="1" applyAlignment="1">
      <alignment vertical="center"/>
    </xf>
    <xf numFmtId="0" fontId="17" fillId="15" borderId="0" xfId="0" applyFont="1" applyFill="1" applyBorder="1" applyAlignment="1">
      <alignment vertical="center"/>
    </xf>
    <xf numFmtId="0" fontId="17" fillId="9" borderId="6" xfId="0" applyFont="1" applyFill="1" applyBorder="1" applyAlignment="1">
      <alignment vertical="center"/>
    </xf>
    <xf numFmtId="0" fontId="17" fillId="9" borderId="0" xfId="0" applyFont="1" applyFill="1" applyBorder="1" applyAlignment="1">
      <alignment vertical="center"/>
    </xf>
    <xf numFmtId="0" fontId="28" fillId="13" borderId="0" xfId="0" applyFont="1" applyFill="1" applyBorder="1" applyAlignment="1">
      <alignment horizontal="center" vertical="center"/>
    </xf>
    <xf numFmtId="0" fontId="27" fillId="13" borderId="0" xfId="0" applyFont="1" applyFill="1" applyBorder="1" applyAlignment="1">
      <alignment vertical="center"/>
    </xf>
    <xf numFmtId="176" fontId="27" fillId="13" borderId="0" xfId="1" applyFont="1" applyFill="1" applyBorder="1" applyAlignment="1">
      <alignment vertical="center"/>
    </xf>
    <xf numFmtId="182" fontId="27" fillId="13" borderId="7" xfId="1" applyNumberFormat="1" applyFont="1" applyFill="1" applyBorder="1" applyAlignment="1">
      <alignment vertical="center"/>
    </xf>
    <xf numFmtId="0" fontId="0" fillId="2" borderId="15" xfId="0" applyFill="1" applyBorder="1">
      <alignment vertical="center"/>
    </xf>
    <xf numFmtId="0" fontId="0" fillId="2" borderId="16" xfId="0" applyFill="1" applyBorder="1">
      <alignment vertical="center"/>
    </xf>
    <xf numFmtId="0" fontId="0" fillId="13" borderId="6" xfId="0" applyFill="1" applyBorder="1" applyAlignment="1">
      <alignment horizontal="center" vertical="center"/>
    </xf>
    <xf numFmtId="0" fontId="0" fillId="13" borderId="0" xfId="0" applyFill="1" applyBorder="1" applyAlignment="1">
      <alignment horizontal="center" vertical="center"/>
    </xf>
    <xf numFmtId="0" fontId="0" fillId="13" borderId="7" xfId="0" applyFill="1" applyBorder="1" applyAlignment="1">
      <alignment horizontal="center" vertical="center"/>
    </xf>
    <xf numFmtId="0" fontId="3" fillId="2" borderId="0" xfId="0" applyFont="1" applyFill="1" applyAlignment="1">
      <alignment horizontal="center" vertical="center"/>
    </xf>
    <xf numFmtId="0" fontId="30" fillId="13" borderId="0" xfId="0" applyFont="1" applyFill="1" applyBorder="1" applyAlignment="1">
      <alignment horizontal="center" vertical="center"/>
    </xf>
    <xf numFmtId="0" fontId="37" fillId="0" borderId="0" xfId="4" applyFont="1"/>
    <xf numFmtId="3" fontId="24" fillId="2" borderId="0" xfId="0" applyNumberFormat="1" applyFont="1" applyFill="1">
      <alignment vertical="center"/>
    </xf>
    <xf numFmtId="14" fontId="3" fillId="0" borderId="0" xfId="0" applyNumberFormat="1" applyFont="1" applyAlignment="1">
      <alignment horizontal="center" vertical="center"/>
    </xf>
    <xf numFmtId="10" fontId="0" fillId="0" borderId="0" xfId="0" applyNumberFormat="1">
      <alignment vertical="center"/>
    </xf>
    <xf numFmtId="179" fontId="4" fillId="8" borderId="12" xfId="0" applyNumberFormat="1" applyFont="1" applyFill="1" applyBorder="1" applyAlignment="1">
      <alignment horizontal="center" vertical="center"/>
    </xf>
    <xf numFmtId="179" fontId="4" fillId="6" borderId="12" xfId="0" applyNumberFormat="1" applyFont="1" applyFill="1" applyBorder="1" applyAlignment="1">
      <alignment horizontal="center" vertical="center"/>
    </xf>
    <xf numFmtId="0" fontId="29" fillId="2" borderId="0" xfId="0" applyFont="1" applyFill="1" applyBorder="1" applyAlignment="1">
      <alignment vertical="center"/>
    </xf>
    <xf numFmtId="0" fontId="3" fillId="0" borderId="0" xfId="0" applyFont="1" applyFill="1" applyBorder="1">
      <alignment vertical="center"/>
    </xf>
    <xf numFmtId="0" fontId="3" fillId="0" borderId="0" xfId="0" applyFont="1" applyFill="1" applyBorder="1" applyAlignment="1">
      <alignment vertical="center"/>
    </xf>
    <xf numFmtId="0" fontId="9" fillId="0" borderId="0" xfId="4" applyFont="1" applyAlignment="1">
      <alignment horizontal="center"/>
    </xf>
    <xf numFmtId="0" fontId="0" fillId="4" borderId="0" xfId="0" applyFill="1" applyBorder="1">
      <alignment vertical="center"/>
    </xf>
    <xf numFmtId="0" fontId="37" fillId="0" borderId="0" xfId="4" applyFont="1" applyAlignment="1">
      <alignment horizontal="center"/>
    </xf>
    <xf numFmtId="0" fontId="0" fillId="2" borderId="0" xfId="0" applyFill="1" applyBorder="1" applyAlignment="1">
      <alignment horizontal="center" vertical="center"/>
    </xf>
    <xf numFmtId="0" fontId="9" fillId="5" borderId="5" xfId="0" applyFont="1" applyFill="1" applyBorder="1" applyAlignment="1">
      <alignment vertical="center"/>
    </xf>
    <xf numFmtId="0" fontId="9" fillId="5" borderId="4" xfId="0" applyFont="1" applyFill="1" applyBorder="1" applyAlignment="1">
      <alignment vertical="center"/>
    </xf>
    <xf numFmtId="179" fontId="4" fillId="7" borderId="20" xfId="0" applyNumberFormat="1" applyFont="1" applyFill="1" applyBorder="1" applyAlignment="1">
      <alignment horizontal="center" vertical="center"/>
    </xf>
    <xf numFmtId="0" fontId="9" fillId="5" borderId="29" xfId="0" applyFont="1" applyFill="1" applyBorder="1" applyAlignment="1">
      <alignment vertical="center"/>
    </xf>
    <xf numFmtId="0" fontId="4" fillId="22" borderId="29" xfId="0" applyFont="1" applyFill="1" applyBorder="1" applyAlignment="1">
      <alignment horizontal="center" vertical="center"/>
    </xf>
    <xf numFmtId="0" fontId="4" fillId="22" borderId="30" xfId="0" applyFont="1" applyFill="1" applyBorder="1" applyAlignment="1">
      <alignment horizontal="center" vertical="center"/>
    </xf>
    <xf numFmtId="0" fontId="0" fillId="0" borderId="0" xfId="0" applyFill="1">
      <alignment vertical="center"/>
    </xf>
    <xf numFmtId="176" fontId="0" fillId="0" borderId="0" xfId="1" applyFont="1">
      <alignment vertical="center"/>
    </xf>
    <xf numFmtId="0" fontId="5" fillId="0" borderId="0" xfId="3">
      <alignment vertical="center"/>
    </xf>
    <xf numFmtId="0" fontId="0" fillId="0" borderId="0" xfId="0" applyAlignment="1">
      <alignment horizontal="center" vertical="center"/>
    </xf>
    <xf numFmtId="184" fontId="0" fillId="0" borderId="0" xfId="0" applyNumberFormat="1">
      <alignment vertical="center"/>
    </xf>
    <xf numFmtId="44" fontId="0" fillId="2" borderId="0" xfId="0" applyNumberFormat="1" applyFill="1">
      <alignment vertical="center"/>
    </xf>
    <xf numFmtId="9" fontId="0" fillId="2" borderId="0" xfId="2" applyFont="1" applyFill="1" applyAlignment="1">
      <alignment horizontal="left" vertical="center"/>
    </xf>
    <xf numFmtId="0" fontId="0" fillId="2" borderId="0" xfId="0" applyFill="1" applyAlignment="1">
      <alignment horizontal="left" vertical="center"/>
    </xf>
    <xf numFmtId="0" fontId="4" fillId="0" borderId="0" xfId="0" applyFont="1" applyFill="1" applyBorder="1" applyAlignment="1">
      <alignment horizontal="center" vertical="center"/>
    </xf>
    <xf numFmtId="0" fontId="4" fillId="2" borderId="0" xfId="0" applyFont="1" applyFill="1" applyBorder="1" applyAlignment="1">
      <alignment horizontal="center" vertical="center"/>
    </xf>
    <xf numFmtId="176" fontId="29" fillId="2" borderId="0" xfId="1" applyFont="1" applyFill="1" applyBorder="1">
      <alignment vertical="center"/>
    </xf>
    <xf numFmtId="0" fontId="29" fillId="2" borderId="0" xfId="0" applyFont="1" applyFill="1" applyBorder="1">
      <alignment vertical="center"/>
    </xf>
    <xf numFmtId="9" fontId="29" fillId="2" borderId="0" xfId="2" applyFont="1" applyFill="1" applyBorder="1">
      <alignment vertical="center"/>
    </xf>
    <xf numFmtId="0" fontId="29" fillId="2" borderId="0" xfId="0" applyFont="1" applyFill="1">
      <alignment vertical="center"/>
    </xf>
    <xf numFmtId="0" fontId="52" fillId="2" borderId="0" xfId="0" applyFont="1" applyFill="1" applyBorder="1">
      <alignment vertical="center"/>
    </xf>
    <xf numFmtId="0" fontId="44" fillId="2" borderId="0" xfId="0" applyFont="1" applyFill="1" applyBorder="1">
      <alignment vertical="center"/>
    </xf>
    <xf numFmtId="0" fontId="40" fillId="2" borderId="0" xfId="0" applyFont="1" applyFill="1" applyAlignment="1">
      <alignment horizontal="center" vertical="center"/>
    </xf>
    <xf numFmtId="0" fontId="41" fillId="2" borderId="0" xfId="0" applyFont="1" applyFill="1">
      <alignment vertical="center"/>
    </xf>
    <xf numFmtId="0" fontId="40" fillId="2" borderId="0" xfId="0" applyFont="1" applyFill="1" applyBorder="1">
      <alignment vertical="center"/>
    </xf>
    <xf numFmtId="3" fontId="41" fillId="2" borderId="0" xfId="0" applyNumberFormat="1" applyFont="1" applyFill="1">
      <alignment vertical="center"/>
    </xf>
    <xf numFmtId="4" fontId="0" fillId="2" borderId="0" xfId="0" applyNumberFormat="1" applyFill="1">
      <alignment vertical="center"/>
    </xf>
    <xf numFmtId="0" fontId="0" fillId="2" borderId="4" xfId="0" applyFill="1" applyBorder="1">
      <alignment vertical="center"/>
    </xf>
    <xf numFmtId="0" fontId="0" fillId="2" borderId="5" xfId="0" applyFill="1" applyBorder="1">
      <alignment vertical="center"/>
    </xf>
    <xf numFmtId="0" fontId="0" fillId="2" borderId="25" xfId="0" applyFill="1" applyBorder="1">
      <alignment vertical="center"/>
    </xf>
    <xf numFmtId="0" fontId="48" fillId="0" borderId="0" xfId="0" applyFont="1" applyFill="1" applyBorder="1">
      <alignment vertical="center"/>
    </xf>
    <xf numFmtId="182" fontId="48" fillId="0" borderId="0" xfId="1" applyNumberFormat="1" applyFont="1" applyFill="1" applyBorder="1">
      <alignment vertical="center"/>
    </xf>
    <xf numFmtId="0" fontId="43" fillId="2" borderId="2" xfId="0" applyFont="1" applyFill="1" applyBorder="1" applyAlignment="1">
      <alignment vertical="center"/>
    </xf>
    <xf numFmtId="0" fontId="43" fillId="2" borderId="3" xfId="0" applyFont="1" applyFill="1" applyBorder="1" applyAlignment="1">
      <alignment vertical="center"/>
    </xf>
    <xf numFmtId="0" fontId="18" fillId="2" borderId="5" xfId="0" applyFont="1" applyFill="1" applyBorder="1" applyAlignment="1">
      <alignment horizontal="right" vertical="center"/>
    </xf>
    <xf numFmtId="0" fontId="37" fillId="0" borderId="0" xfId="4" applyFont="1" applyAlignment="1">
      <alignment horizontal="center"/>
    </xf>
    <xf numFmtId="0" fontId="3" fillId="9" borderId="0" xfId="0" applyFont="1" applyFill="1" applyBorder="1">
      <alignment vertical="center"/>
    </xf>
    <xf numFmtId="186" fontId="0" fillId="0" borderId="0" xfId="0" applyNumberFormat="1" applyFont="1" applyFill="1">
      <alignment vertical="center"/>
    </xf>
    <xf numFmtId="0" fontId="0" fillId="0" borderId="9" xfId="0" applyFill="1" applyBorder="1">
      <alignment vertical="center"/>
    </xf>
    <xf numFmtId="0" fontId="0" fillId="0" borderId="9" xfId="0" applyBorder="1">
      <alignment vertical="center"/>
    </xf>
    <xf numFmtId="4" fontId="0" fillId="0" borderId="0" xfId="0" applyNumberFormat="1">
      <alignment vertical="center"/>
    </xf>
    <xf numFmtId="0" fontId="3" fillId="2" borderId="25" xfId="0" applyNumberFormat="1" applyFont="1" applyFill="1" applyBorder="1" applyAlignment="1">
      <alignment horizontal="center" vertical="center"/>
    </xf>
    <xf numFmtId="0" fontId="13" fillId="25" borderId="9" xfId="4" applyFont="1" applyFill="1" applyBorder="1" applyAlignment="1">
      <alignment horizontal="center"/>
    </xf>
    <xf numFmtId="0" fontId="13" fillId="25" borderId="26" xfId="4" applyFont="1" applyFill="1" applyBorder="1" applyAlignment="1">
      <alignment horizontal="center"/>
    </xf>
    <xf numFmtId="183" fontId="37" fillId="25" borderId="27" xfId="4" applyNumberFormat="1" applyFont="1" applyFill="1" applyBorder="1"/>
    <xf numFmtId="0" fontId="13" fillId="25" borderId="11" xfId="4" applyFont="1" applyFill="1" applyBorder="1" applyAlignment="1">
      <alignment horizontal="center"/>
    </xf>
    <xf numFmtId="0" fontId="13" fillId="25" borderId="12" xfId="4" applyFont="1" applyFill="1" applyBorder="1"/>
    <xf numFmtId="49" fontId="37" fillId="0" borderId="0" xfId="4" applyNumberFormat="1" applyFont="1" applyFill="1" applyAlignment="1">
      <alignment horizontal="center" vertical="center"/>
    </xf>
    <xf numFmtId="10" fontId="0" fillId="0" borderId="0" xfId="2" applyNumberFormat="1" applyFont="1">
      <alignment vertical="center"/>
    </xf>
    <xf numFmtId="10" fontId="37" fillId="25" borderId="27" xfId="2" applyNumberFormat="1" applyFont="1" applyFill="1" applyBorder="1" applyAlignment="1"/>
    <xf numFmtId="182" fontId="13" fillId="25" borderId="20" xfId="1" applyNumberFormat="1" applyFont="1" applyFill="1" applyBorder="1" applyAlignment="1"/>
    <xf numFmtId="0" fontId="60" fillId="26" borderId="0" xfId="0" applyFont="1" applyFill="1" applyAlignment="1">
      <alignment horizontal="left" vertical="center" wrapText="1"/>
    </xf>
    <xf numFmtId="3" fontId="58" fillId="0" borderId="0" xfId="0" applyNumberFormat="1" applyFont="1" applyAlignment="1">
      <alignment vertical="center" wrapText="1"/>
    </xf>
    <xf numFmtId="182" fontId="37" fillId="0" borderId="0" xfId="1" applyNumberFormat="1" applyFont="1" applyAlignment="1">
      <alignment horizontal="left"/>
    </xf>
    <xf numFmtId="0" fontId="0" fillId="0" borderId="0" xfId="0" applyBorder="1" applyAlignment="1">
      <alignment horizontal="center" vertical="center"/>
    </xf>
    <xf numFmtId="49" fontId="4" fillId="17" borderId="10" xfId="4" applyNumberFormat="1" applyFont="1" applyFill="1" applyBorder="1" applyAlignment="1">
      <alignment horizontal="center" vertical="center"/>
    </xf>
    <xf numFmtId="49" fontId="4" fillId="17" borderId="26" xfId="4" applyNumberFormat="1" applyFont="1" applyFill="1" applyBorder="1" applyAlignment="1">
      <alignment horizontal="center" vertical="center"/>
    </xf>
    <xf numFmtId="49" fontId="4" fillId="17" borderId="11" xfId="4" applyNumberFormat="1" applyFont="1" applyFill="1" applyBorder="1" applyAlignment="1">
      <alignment horizontal="center" vertical="center"/>
    </xf>
    <xf numFmtId="49" fontId="4" fillId="6" borderId="26" xfId="4" applyNumberFormat="1" applyFont="1" applyFill="1" applyBorder="1" applyAlignment="1">
      <alignment horizontal="center" vertical="center"/>
    </xf>
    <xf numFmtId="49" fontId="4" fillId="6" borderId="11" xfId="4" applyNumberFormat="1" applyFont="1" applyFill="1" applyBorder="1" applyAlignment="1">
      <alignment horizontal="center" vertical="center"/>
    </xf>
    <xf numFmtId="49" fontId="4" fillId="5" borderId="10" xfId="4" applyNumberFormat="1" applyFont="1" applyFill="1" applyBorder="1" applyAlignment="1">
      <alignment horizontal="center" vertical="center"/>
    </xf>
    <xf numFmtId="49" fontId="61" fillId="21" borderId="45" xfId="4" applyNumberFormat="1" applyFont="1" applyFill="1" applyBorder="1" applyAlignment="1">
      <alignment horizontal="center" vertical="center"/>
    </xf>
    <xf numFmtId="0" fontId="63" fillId="17" borderId="46" xfId="0" applyFont="1" applyFill="1" applyBorder="1" applyAlignment="1">
      <alignment horizontal="center"/>
    </xf>
    <xf numFmtId="184" fontId="63" fillId="17" borderId="50" xfId="0" applyNumberFormat="1" applyFont="1" applyFill="1" applyBorder="1" applyAlignment="1">
      <alignment horizontal="center"/>
    </xf>
    <xf numFmtId="184" fontId="63" fillId="19" borderId="4" xfId="0" applyNumberFormat="1" applyFont="1" applyFill="1" applyBorder="1" applyAlignment="1">
      <alignment horizontal="center"/>
    </xf>
    <xf numFmtId="184" fontId="63" fillId="19" borderId="34" xfId="0" applyNumberFormat="1" applyFont="1" applyFill="1" applyBorder="1" applyAlignment="1">
      <alignment horizontal="center"/>
    </xf>
    <xf numFmtId="0" fontId="63" fillId="21" borderId="46" xfId="0" applyFont="1" applyFill="1" applyBorder="1" applyAlignment="1">
      <alignment horizontal="center"/>
    </xf>
    <xf numFmtId="0" fontId="63" fillId="27" borderId="46" xfId="0" applyFont="1" applyFill="1" applyBorder="1" applyAlignment="1">
      <alignment horizontal="center" wrapText="1"/>
    </xf>
    <xf numFmtId="0" fontId="63" fillId="0" borderId="0" xfId="0" applyFont="1" applyAlignment="1">
      <alignment horizontal="center"/>
    </xf>
    <xf numFmtId="182" fontId="63" fillId="9" borderId="33" xfId="1" applyNumberFormat="1" applyFont="1" applyFill="1" applyBorder="1" applyAlignment="1">
      <alignment horizontal="center"/>
    </xf>
    <xf numFmtId="182" fontId="0" fillId="0" borderId="0" xfId="1" applyNumberFormat="1" applyFont="1">
      <alignment vertical="center"/>
    </xf>
    <xf numFmtId="182" fontId="63" fillId="9" borderId="46" xfId="1" applyNumberFormat="1" applyFont="1" applyFill="1" applyBorder="1" applyAlignment="1">
      <alignment horizontal="center"/>
    </xf>
    <xf numFmtId="182" fontId="63" fillId="21" borderId="46" xfId="1" applyNumberFormat="1" applyFont="1" applyFill="1" applyBorder="1" applyAlignment="1">
      <alignment horizontal="center"/>
    </xf>
    <xf numFmtId="182" fontId="63" fillId="21" borderId="33" xfId="1" applyNumberFormat="1" applyFont="1" applyFill="1" applyBorder="1" applyAlignment="1">
      <alignment horizontal="center" wrapText="1"/>
    </xf>
    <xf numFmtId="10" fontId="63" fillId="21" borderId="46" xfId="2" applyNumberFormat="1" applyFont="1" applyFill="1" applyBorder="1" applyAlignment="1">
      <alignment horizontal="center" wrapText="1"/>
    </xf>
    <xf numFmtId="182" fontId="63" fillId="21" borderId="46" xfId="1" applyNumberFormat="1" applyFont="1" applyFill="1" applyBorder="1" applyAlignment="1">
      <alignment horizontal="center" wrapText="1"/>
    </xf>
    <xf numFmtId="182" fontId="63" fillId="27" borderId="33" xfId="1" applyNumberFormat="1" applyFont="1" applyFill="1" applyBorder="1" applyAlignment="1">
      <alignment horizontal="center" wrapText="1"/>
    </xf>
    <xf numFmtId="0" fontId="63" fillId="21" borderId="50" xfId="0" applyFont="1" applyFill="1" applyBorder="1" applyAlignment="1">
      <alignment horizontal="center"/>
    </xf>
    <xf numFmtId="182" fontId="63" fillId="21" borderId="50" xfId="1" applyNumberFormat="1" applyFont="1" applyFill="1" applyBorder="1" applyAlignment="1">
      <alignment horizontal="center" wrapText="1"/>
    </xf>
    <xf numFmtId="3" fontId="59" fillId="26" borderId="0" xfId="3" applyNumberFormat="1" applyFont="1" applyFill="1" applyAlignment="1">
      <alignment horizontal="right" vertical="center" wrapText="1"/>
    </xf>
    <xf numFmtId="10" fontId="59" fillId="0" borderId="0" xfId="3" applyNumberFormat="1" applyFont="1" applyAlignment="1">
      <alignment horizontal="center" vertical="center"/>
    </xf>
    <xf numFmtId="3" fontId="59" fillId="0" borderId="0" xfId="3" applyNumberFormat="1" applyFont="1" applyAlignment="1">
      <alignment horizontal="center" vertical="center"/>
    </xf>
    <xf numFmtId="0" fontId="59" fillId="26" borderId="0" xfId="3" applyFont="1" applyFill="1" applyAlignment="1">
      <alignment horizontal="right" vertical="center" wrapText="1"/>
    </xf>
    <xf numFmtId="176" fontId="63" fillId="9" borderId="34" xfId="1" applyFont="1" applyFill="1" applyBorder="1" applyAlignment="1">
      <alignment horizontal="center" wrapText="1"/>
    </xf>
    <xf numFmtId="176" fontId="63" fillId="27" borderId="46" xfId="1" applyFont="1" applyFill="1" applyBorder="1" applyAlignment="1">
      <alignment horizontal="center" wrapText="1"/>
    </xf>
    <xf numFmtId="176" fontId="63" fillId="27" borderId="34" xfId="1" applyFont="1" applyFill="1" applyBorder="1" applyAlignment="1">
      <alignment horizontal="center" wrapText="1"/>
    </xf>
    <xf numFmtId="176" fontId="4" fillId="18" borderId="11" xfId="1" applyFont="1" applyFill="1" applyBorder="1" applyAlignment="1">
      <alignment horizontal="center" vertical="center"/>
    </xf>
    <xf numFmtId="0" fontId="9" fillId="5" borderId="5" xfId="0" applyFont="1" applyFill="1" applyBorder="1" applyAlignment="1">
      <alignment horizontal="left" vertical="center"/>
    </xf>
    <xf numFmtId="182" fontId="9" fillId="5" borderId="5" xfId="1" applyNumberFormat="1" applyFont="1" applyFill="1" applyBorder="1" applyAlignment="1">
      <alignment horizontal="left" vertical="center"/>
    </xf>
    <xf numFmtId="182" fontId="4" fillId="18" borderId="13" xfId="1" applyNumberFormat="1" applyFont="1" applyFill="1" applyBorder="1" applyAlignment="1">
      <alignment horizontal="center" vertical="center"/>
    </xf>
    <xf numFmtId="182" fontId="13" fillId="0" borderId="0" xfId="1" applyNumberFormat="1" applyFont="1">
      <alignment vertical="center"/>
    </xf>
    <xf numFmtId="182" fontId="64" fillId="17" borderId="46" xfId="1" applyNumberFormat="1" applyFont="1" applyFill="1" applyBorder="1" applyAlignment="1">
      <alignment horizontal="center"/>
    </xf>
    <xf numFmtId="9" fontId="63" fillId="17" borderId="46" xfId="2" applyFont="1" applyFill="1" applyBorder="1" applyAlignment="1">
      <alignment horizontal="center"/>
    </xf>
    <xf numFmtId="9" fontId="0" fillId="0" borderId="0" xfId="2" applyFont="1" applyAlignment="1">
      <alignment horizontal="right" vertical="center"/>
    </xf>
    <xf numFmtId="0" fontId="0" fillId="0" borderId="0" xfId="0" applyBorder="1">
      <alignment vertical="center"/>
    </xf>
    <xf numFmtId="184" fontId="0" fillId="0" borderId="0" xfId="0" applyNumberFormat="1" applyBorder="1">
      <alignment vertical="center"/>
    </xf>
    <xf numFmtId="182" fontId="0" fillId="0" borderId="0" xfId="1" applyNumberFormat="1" applyFont="1" applyBorder="1">
      <alignment vertical="center"/>
    </xf>
    <xf numFmtId="176" fontId="0" fillId="0" borderId="0" xfId="1" applyFont="1" applyBorder="1">
      <alignment vertical="center"/>
    </xf>
    <xf numFmtId="0" fontId="0" fillId="4" borderId="0" xfId="0" applyFill="1">
      <alignment vertical="center"/>
    </xf>
    <xf numFmtId="182" fontId="0" fillId="4" borderId="0" xfId="1" applyNumberFormat="1" applyFont="1" applyFill="1">
      <alignment vertical="center"/>
    </xf>
    <xf numFmtId="182" fontId="0" fillId="4" borderId="0" xfId="1" applyNumberFormat="1" applyFont="1" applyFill="1" applyBorder="1">
      <alignment vertical="center"/>
    </xf>
    <xf numFmtId="10" fontId="0" fillId="4" borderId="0" xfId="2" applyNumberFormat="1" applyFont="1" applyFill="1">
      <alignment vertical="center"/>
    </xf>
    <xf numFmtId="10" fontId="0" fillId="4" borderId="0" xfId="2" applyNumberFormat="1" applyFont="1" applyFill="1" applyBorder="1">
      <alignment vertical="center"/>
    </xf>
    <xf numFmtId="182" fontId="0" fillId="0" borderId="0" xfId="1" applyNumberFormat="1" applyFont="1" applyFill="1">
      <alignment vertical="center"/>
    </xf>
    <xf numFmtId="0" fontId="65" fillId="0" borderId="0" xfId="0" applyFont="1">
      <alignment vertical="center"/>
    </xf>
    <xf numFmtId="0" fontId="66" fillId="0" borderId="0" xfId="0" applyFont="1">
      <alignment vertical="center"/>
    </xf>
    <xf numFmtId="31" fontId="67" fillId="0" borderId="0" xfId="0" applyNumberFormat="1" applyFont="1">
      <alignment vertical="center"/>
    </xf>
    <xf numFmtId="0" fontId="68" fillId="0" borderId="0" xfId="0" applyFont="1">
      <alignment vertical="center"/>
    </xf>
    <xf numFmtId="0" fontId="0" fillId="9" borderId="0" xfId="0" applyFill="1">
      <alignment vertical="center"/>
    </xf>
    <xf numFmtId="0" fontId="72" fillId="0" borderId="0" xfId="0" applyNumberFormat="1" applyFont="1" applyFill="1" applyBorder="1" applyAlignment="1"/>
    <xf numFmtId="0" fontId="72" fillId="0" borderId="0" xfId="0" applyNumberFormat="1" applyFont="1" applyFill="1" applyBorder="1" applyAlignment="1">
      <alignment horizontal="center"/>
    </xf>
    <xf numFmtId="0" fontId="4" fillId="6" borderId="20" xfId="0" applyFont="1" applyFill="1" applyBorder="1" applyAlignment="1">
      <alignment horizontal="center" vertical="center"/>
    </xf>
    <xf numFmtId="49" fontId="37" fillId="0" borderId="0" xfId="4" applyNumberFormat="1" applyFont="1" applyFill="1" applyAlignment="1">
      <alignment vertical="center"/>
    </xf>
    <xf numFmtId="3" fontId="0" fillId="0" borderId="0" xfId="0" applyNumberFormat="1" applyFont="1" applyFill="1">
      <alignment vertical="center"/>
    </xf>
    <xf numFmtId="9" fontId="0" fillId="0" borderId="0" xfId="2" applyFont="1">
      <alignment vertical="center"/>
    </xf>
    <xf numFmtId="10" fontId="0" fillId="0" borderId="0" xfId="0" applyNumberFormat="1" applyFont="1" applyFill="1">
      <alignment vertical="center"/>
    </xf>
    <xf numFmtId="0" fontId="0" fillId="0" borderId="0" xfId="0">
      <alignment vertical="center"/>
    </xf>
    <xf numFmtId="180" fontId="0" fillId="0" borderId="9" xfId="0" applyNumberFormat="1" applyFill="1" applyBorder="1">
      <alignment vertical="center"/>
    </xf>
    <xf numFmtId="9" fontId="0" fillId="0" borderId="9" xfId="2" applyFont="1" applyFill="1" applyBorder="1">
      <alignment vertical="center"/>
    </xf>
    <xf numFmtId="0" fontId="41" fillId="3" borderId="0" xfId="0" applyFont="1" applyFill="1" applyBorder="1">
      <alignment vertical="center"/>
    </xf>
    <xf numFmtId="0" fontId="41" fillId="3" borderId="0" xfId="0" applyFont="1" applyFill="1" applyBorder="1" applyAlignment="1">
      <alignment vertical="center"/>
    </xf>
    <xf numFmtId="9" fontId="41" fillId="3" borderId="0" xfId="2" applyFont="1" applyFill="1" applyBorder="1">
      <alignment vertical="center"/>
    </xf>
    <xf numFmtId="178" fontId="41" fillId="3" borderId="0" xfId="0" applyNumberFormat="1" applyFont="1" applyFill="1" applyBorder="1">
      <alignment vertical="center"/>
    </xf>
    <xf numFmtId="178" fontId="41" fillId="3" borderId="0" xfId="2" applyNumberFormat="1" applyFont="1" applyFill="1" applyBorder="1">
      <alignment vertical="center"/>
    </xf>
    <xf numFmtId="180" fontId="41" fillId="3" borderId="0" xfId="2" applyNumberFormat="1" applyFont="1" applyFill="1" applyBorder="1">
      <alignment vertical="center"/>
    </xf>
    <xf numFmtId="9" fontId="41" fillId="3" borderId="0" xfId="2" applyFont="1" applyFill="1" applyBorder="1" applyAlignment="1">
      <alignment vertical="center"/>
    </xf>
    <xf numFmtId="181" fontId="41" fillId="3" borderId="0" xfId="0" applyNumberFormat="1" applyFont="1" applyFill="1" applyBorder="1">
      <alignment vertical="center"/>
    </xf>
    <xf numFmtId="179" fontId="41" fillId="3" borderId="0" xfId="2" applyNumberFormat="1" applyFont="1" applyFill="1" applyBorder="1">
      <alignment vertical="center"/>
    </xf>
    <xf numFmtId="9" fontId="41" fillId="3" borderId="15" xfId="2" applyFont="1" applyFill="1" applyBorder="1">
      <alignment vertical="center"/>
    </xf>
    <xf numFmtId="0" fontId="48" fillId="0" borderId="43" xfId="0" applyFont="1" applyFill="1" applyBorder="1">
      <alignment vertical="center"/>
    </xf>
    <xf numFmtId="10" fontId="48" fillId="0" borderId="27" xfId="0" applyNumberFormat="1" applyFont="1" applyFill="1" applyBorder="1" applyAlignment="1">
      <alignment horizontal="center" vertical="center"/>
    </xf>
    <xf numFmtId="0" fontId="48" fillId="0" borderId="27" xfId="0" applyFont="1" applyFill="1" applyBorder="1" applyAlignment="1">
      <alignment horizontal="center" vertical="center"/>
    </xf>
    <xf numFmtId="0" fontId="48" fillId="0" borderId="10" xfId="0" applyFont="1" applyFill="1" applyBorder="1">
      <alignment vertical="center"/>
    </xf>
    <xf numFmtId="0" fontId="48" fillId="0" borderId="26" xfId="0" applyFont="1" applyFill="1" applyBorder="1">
      <alignment vertical="center"/>
    </xf>
    <xf numFmtId="2" fontId="48" fillId="0" borderId="27" xfId="1" applyNumberFormat="1" applyFont="1" applyFill="1" applyBorder="1" applyAlignment="1">
      <alignment horizontal="center" vertical="center"/>
    </xf>
    <xf numFmtId="179" fontId="48" fillId="0" borderId="9" xfId="2" applyNumberFormat="1" applyFont="1" applyFill="1" applyBorder="1" applyAlignment="1">
      <alignment horizontal="right" vertical="center"/>
    </xf>
    <xf numFmtId="185" fontId="48" fillId="0" borderId="27" xfId="0" applyNumberFormat="1" applyFont="1" applyFill="1" applyBorder="1" applyAlignment="1">
      <alignment horizontal="center" vertical="center"/>
    </xf>
    <xf numFmtId="0" fontId="48" fillId="0" borderId="11" xfId="0" applyFont="1" applyFill="1" applyBorder="1">
      <alignment vertical="center"/>
    </xf>
    <xf numFmtId="182" fontId="48" fillId="0" borderId="12" xfId="1" applyNumberFormat="1" applyFont="1" applyFill="1" applyBorder="1" applyAlignment="1">
      <alignment horizontal="center" vertical="center"/>
    </xf>
    <xf numFmtId="182" fontId="48" fillId="0" borderId="20" xfId="1" applyNumberFormat="1" applyFont="1" applyFill="1" applyBorder="1" applyAlignment="1">
      <alignment horizontal="center" vertical="center"/>
    </xf>
    <xf numFmtId="0" fontId="47" fillId="0" borderId="29" xfId="0" applyFont="1" applyFill="1" applyBorder="1" applyAlignment="1">
      <alignment vertical="center"/>
    </xf>
    <xf numFmtId="0" fontId="48" fillId="0" borderId="42" xfId="0" applyFont="1" applyFill="1" applyBorder="1" applyAlignment="1">
      <alignment horizontal="left" vertical="center"/>
    </xf>
    <xf numFmtId="49" fontId="48" fillId="0" borderId="10" xfId="1" applyNumberFormat="1" applyFont="1" applyFill="1" applyBorder="1" applyAlignment="1">
      <alignment horizontal="center" vertical="center"/>
    </xf>
    <xf numFmtId="49" fontId="48" fillId="0" borderId="17" xfId="1" applyNumberFormat="1" applyFont="1" applyFill="1" applyBorder="1" applyAlignment="1">
      <alignment horizontal="center" vertical="center"/>
    </xf>
    <xf numFmtId="0" fontId="48" fillId="0" borderId="43" xfId="0" applyFont="1" applyFill="1" applyBorder="1" applyAlignment="1">
      <alignment horizontal="left" vertical="center"/>
    </xf>
    <xf numFmtId="9" fontId="48" fillId="0" borderId="26" xfId="2" applyFont="1" applyFill="1" applyBorder="1" applyAlignment="1">
      <alignment vertical="center"/>
    </xf>
    <xf numFmtId="9" fontId="48" fillId="0" borderId="27" xfId="2" applyFont="1" applyFill="1" applyBorder="1" applyAlignment="1">
      <alignment horizontal="right" vertical="center"/>
    </xf>
    <xf numFmtId="182" fontId="48" fillId="0" borderId="26" xfId="1" applyNumberFormat="1" applyFont="1" applyFill="1" applyBorder="1" applyAlignment="1">
      <alignment horizontal="left" vertical="center"/>
    </xf>
    <xf numFmtId="182" fontId="48" fillId="0" borderId="27" xfId="1" applyNumberFormat="1" applyFont="1" applyFill="1" applyBorder="1" applyAlignment="1">
      <alignment horizontal="center" vertical="center"/>
    </xf>
    <xf numFmtId="176" fontId="48" fillId="0" borderId="26" xfId="1" applyFont="1" applyFill="1" applyBorder="1" applyAlignment="1">
      <alignment horizontal="center" vertical="center"/>
    </xf>
    <xf numFmtId="176" fontId="48" fillId="0" borderId="27" xfId="1" applyFont="1" applyFill="1" applyBorder="1" applyAlignment="1">
      <alignment horizontal="center" vertical="center"/>
    </xf>
    <xf numFmtId="0" fontId="48" fillId="0" borderId="44" xfId="0" applyFont="1" applyFill="1" applyBorder="1" applyAlignment="1">
      <alignment horizontal="left" vertical="center"/>
    </xf>
    <xf numFmtId="176" fontId="48" fillId="0" borderId="31" xfId="1" applyFont="1" applyFill="1" applyBorder="1" applyAlignment="1">
      <alignment horizontal="center" vertical="center"/>
    </xf>
    <xf numFmtId="176" fontId="48" fillId="0" borderId="32" xfId="1" applyFont="1" applyFill="1" applyBorder="1" applyAlignment="1">
      <alignment vertical="center"/>
    </xf>
    <xf numFmtId="176" fontId="48" fillId="0" borderId="26" xfId="1" applyFont="1" applyFill="1" applyBorder="1">
      <alignment vertical="center"/>
    </xf>
    <xf numFmtId="176" fontId="48" fillId="0" borderId="27" xfId="1" applyFont="1" applyFill="1" applyBorder="1">
      <alignment vertical="center"/>
    </xf>
    <xf numFmtId="9" fontId="48" fillId="0" borderId="26" xfId="2" applyFont="1" applyFill="1" applyBorder="1" applyAlignment="1">
      <alignment horizontal="right" vertical="center"/>
    </xf>
    <xf numFmtId="0" fontId="0" fillId="2" borderId="26" xfId="0" applyFill="1" applyBorder="1">
      <alignment vertical="center"/>
    </xf>
    <xf numFmtId="0" fontId="0" fillId="0" borderId="27" xfId="0" applyBorder="1">
      <alignment vertical="center"/>
    </xf>
    <xf numFmtId="0" fontId="0" fillId="2" borderId="11" xfId="0" applyFill="1" applyBorder="1">
      <alignment vertical="center"/>
    </xf>
    <xf numFmtId="0" fontId="0" fillId="0" borderId="12" xfId="0" applyFill="1" applyBorder="1">
      <alignment vertical="center"/>
    </xf>
    <xf numFmtId="0" fontId="0" fillId="0" borderId="12" xfId="0" applyBorder="1">
      <alignment vertical="center"/>
    </xf>
    <xf numFmtId="0" fontId="0" fillId="0" borderId="20" xfId="0" applyBorder="1">
      <alignment vertical="center"/>
    </xf>
    <xf numFmtId="0" fontId="0" fillId="0" borderId="8" xfId="0" applyBorder="1" applyAlignment="1">
      <alignment horizontal="center" vertical="center"/>
    </xf>
    <xf numFmtId="180" fontId="0" fillId="0" borderId="27" xfId="0" applyNumberFormat="1" applyFill="1" applyBorder="1">
      <alignment vertical="center"/>
    </xf>
    <xf numFmtId="9" fontId="0" fillId="0" borderId="27" xfId="2" applyFont="1" applyFill="1" applyBorder="1">
      <alignment vertical="center"/>
    </xf>
    <xf numFmtId="0" fontId="0" fillId="0" borderId="26" xfId="0" applyBorder="1">
      <alignment vertical="center"/>
    </xf>
    <xf numFmtId="0" fontId="48" fillId="0" borderId="28" xfId="0" applyFont="1" applyFill="1" applyBorder="1">
      <alignment vertical="center"/>
    </xf>
    <xf numFmtId="3" fontId="51" fillId="0" borderId="11" xfId="0" applyNumberFormat="1" applyFont="1" applyFill="1" applyBorder="1" applyAlignment="1">
      <alignment horizontal="center" vertical="center"/>
    </xf>
    <xf numFmtId="3" fontId="51" fillId="0" borderId="20" xfId="0" applyNumberFormat="1" applyFont="1" applyFill="1" applyBorder="1" applyAlignment="1">
      <alignment horizontal="center" vertical="center"/>
    </xf>
    <xf numFmtId="0" fontId="11" fillId="0" borderId="24" xfId="0" applyFont="1" applyBorder="1" applyAlignment="1">
      <alignment horizontal="center" vertical="center" wrapText="1"/>
    </xf>
    <xf numFmtId="0" fontId="11" fillId="0" borderId="22" xfId="3" applyFont="1" applyBorder="1" applyAlignment="1">
      <alignment horizontal="center" vertical="center" wrapText="1"/>
    </xf>
    <xf numFmtId="0" fontId="12" fillId="0" borderId="23" xfId="3" applyFont="1" applyBorder="1" applyAlignment="1">
      <alignment horizontal="center" vertical="center" wrapText="1"/>
    </xf>
    <xf numFmtId="9" fontId="0" fillId="0" borderId="9" xfId="0" applyNumberFormat="1" applyBorder="1">
      <alignment vertical="center"/>
    </xf>
    <xf numFmtId="9" fontId="0" fillId="0" borderId="9" xfId="2" applyFont="1" applyBorder="1">
      <alignment vertical="center"/>
    </xf>
    <xf numFmtId="0" fontId="0" fillId="0" borderId="33" xfId="0" applyBorder="1" applyAlignment="1">
      <alignment horizontal="center" vertical="center"/>
    </xf>
    <xf numFmtId="0" fontId="0" fillId="0" borderId="46" xfId="0" applyBorder="1" applyAlignment="1">
      <alignment horizontal="center" vertical="center"/>
    </xf>
    <xf numFmtId="4" fontId="0" fillId="0" borderId="9" xfId="0" applyNumberFormat="1" applyBorder="1">
      <alignment vertical="center"/>
    </xf>
    <xf numFmtId="0" fontId="0" fillId="0" borderId="9" xfId="0" applyFont="1" applyFill="1" applyBorder="1">
      <alignment vertical="center"/>
    </xf>
    <xf numFmtId="0" fontId="3" fillId="0" borderId="0" xfId="0" applyFont="1">
      <alignment vertical="center"/>
    </xf>
    <xf numFmtId="0" fontId="40" fillId="3" borderId="0" xfId="0" applyFont="1" applyFill="1" applyBorder="1" applyAlignment="1">
      <alignment horizontal="center" vertical="center"/>
    </xf>
    <xf numFmtId="0" fontId="4" fillId="2" borderId="4" xfId="0" applyFont="1" applyFill="1" applyBorder="1" applyAlignment="1">
      <alignment horizontal="center" vertical="center"/>
    </xf>
    <xf numFmtId="0" fontId="4" fillId="2" borderId="5" xfId="0" applyFont="1" applyFill="1" applyBorder="1" applyAlignment="1">
      <alignment horizontal="center" vertical="center"/>
    </xf>
    <xf numFmtId="0" fontId="4" fillId="2" borderId="5" xfId="0" applyFont="1" applyFill="1" applyBorder="1" applyAlignment="1">
      <alignment vertical="center"/>
    </xf>
    <xf numFmtId="0" fontId="29" fillId="4" borderId="0" xfId="0" applyFont="1" applyFill="1" applyBorder="1" applyAlignment="1">
      <alignment vertical="center"/>
    </xf>
    <xf numFmtId="0" fontId="3" fillId="4" borderId="0" xfId="0" applyFont="1" applyFill="1" applyAlignment="1">
      <alignment horizontal="center" vertical="center"/>
    </xf>
    <xf numFmtId="0" fontId="41" fillId="4" borderId="0" xfId="0" applyFont="1" applyFill="1" applyBorder="1">
      <alignment vertical="center"/>
    </xf>
    <xf numFmtId="0" fontId="41" fillId="4" borderId="7" xfId="0" applyFont="1" applyFill="1" applyBorder="1">
      <alignment vertical="center"/>
    </xf>
    <xf numFmtId="177" fontId="41" fillId="4" borderId="0" xfId="1" applyNumberFormat="1" applyFont="1" applyFill="1" applyBorder="1" applyAlignment="1">
      <alignment horizontal="center" vertical="center"/>
    </xf>
    <xf numFmtId="177" fontId="41" fillId="4" borderId="7" xfId="1" applyNumberFormat="1" applyFont="1" applyFill="1" applyBorder="1" applyAlignment="1">
      <alignment horizontal="center" vertical="center"/>
    </xf>
    <xf numFmtId="0" fontId="41" fillId="4" borderId="15" xfId="0" applyFont="1" applyFill="1" applyBorder="1">
      <alignment vertical="center"/>
    </xf>
    <xf numFmtId="0" fontId="41" fillId="4" borderId="16" xfId="0" applyFont="1" applyFill="1" applyBorder="1">
      <alignment vertical="center"/>
    </xf>
    <xf numFmtId="0" fontId="41" fillId="4" borderId="0" xfId="0" applyFont="1" applyFill="1" applyBorder="1" applyAlignment="1">
      <alignment vertical="center"/>
    </xf>
    <xf numFmtId="0" fontId="41" fillId="4" borderId="7" xfId="0" applyFont="1" applyFill="1" applyBorder="1" applyAlignment="1">
      <alignment vertical="center"/>
    </xf>
    <xf numFmtId="9" fontId="41" fillId="4" borderId="0" xfId="2" applyFont="1" applyFill="1" applyBorder="1" applyAlignment="1">
      <alignment horizontal="center" vertical="center"/>
    </xf>
    <xf numFmtId="9" fontId="41" fillId="4" borderId="7" xfId="2" applyFont="1" applyFill="1" applyBorder="1" applyAlignment="1">
      <alignment horizontal="center" vertical="center"/>
    </xf>
    <xf numFmtId="178" fontId="41" fillId="4" borderId="0" xfId="2" applyNumberFormat="1" applyFont="1" applyFill="1" applyBorder="1" applyAlignment="1">
      <alignment vertical="center"/>
    </xf>
    <xf numFmtId="179" fontId="41" fillId="4" borderId="7" xfId="2" applyNumberFormat="1" applyFont="1" applyFill="1" applyBorder="1" applyAlignment="1">
      <alignment vertical="center"/>
    </xf>
    <xf numFmtId="179" fontId="41" fillId="4" borderId="0" xfId="2" applyNumberFormat="1" applyFont="1" applyFill="1" applyBorder="1" applyAlignment="1">
      <alignment horizontal="center" vertical="center"/>
    </xf>
    <xf numFmtId="0" fontId="41" fillId="4" borderId="15" xfId="0" applyFont="1" applyFill="1" applyBorder="1" applyAlignment="1">
      <alignment vertical="center"/>
    </xf>
    <xf numFmtId="0" fontId="41" fillId="4" borderId="16" xfId="0" applyFont="1" applyFill="1" applyBorder="1" applyAlignment="1">
      <alignment vertical="center"/>
    </xf>
    <xf numFmtId="10" fontId="58" fillId="0" borderId="0" xfId="0" applyNumberFormat="1" applyFont="1" applyAlignment="1">
      <alignment horizontal="center" vertical="center"/>
    </xf>
    <xf numFmtId="181" fontId="0" fillId="0" borderId="0" xfId="0" applyNumberFormat="1">
      <alignment vertical="center"/>
    </xf>
    <xf numFmtId="176" fontId="0" fillId="0" borderId="9" xfId="1" applyFont="1" applyBorder="1">
      <alignment vertical="center"/>
    </xf>
    <xf numFmtId="182" fontId="0" fillId="0" borderId="9" xfId="1" applyNumberFormat="1" applyFont="1" applyBorder="1">
      <alignment vertical="center"/>
    </xf>
    <xf numFmtId="0" fontId="0" fillId="0" borderId="50" xfId="0" applyBorder="1" applyAlignment="1">
      <alignment horizontal="center" vertical="center"/>
    </xf>
    <xf numFmtId="0" fontId="44" fillId="3" borderId="0" xfId="0" applyFont="1" applyFill="1" applyBorder="1">
      <alignment vertical="center"/>
    </xf>
    <xf numFmtId="0" fontId="44" fillId="3" borderId="7" xfId="0" applyFont="1" applyFill="1" applyBorder="1">
      <alignment vertical="center"/>
    </xf>
    <xf numFmtId="0" fontId="53" fillId="0" borderId="0" xfId="0" applyFont="1" applyFill="1" applyBorder="1" applyAlignment="1">
      <alignment vertical="center"/>
    </xf>
    <xf numFmtId="0" fontId="40" fillId="4" borderId="0" xfId="0" applyFont="1" applyFill="1" applyAlignment="1">
      <alignment horizontal="center" vertical="center"/>
    </xf>
    <xf numFmtId="0" fontId="41" fillId="2" borderId="6" xfId="0" applyFont="1" applyFill="1" applyBorder="1">
      <alignment vertical="center"/>
    </xf>
    <xf numFmtId="0" fontId="41" fillId="3" borderId="15" xfId="0" applyFont="1" applyFill="1" applyBorder="1">
      <alignment vertical="center"/>
    </xf>
    <xf numFmtId="0" fontId="41" fillId="3" borderId="16" xfId="0" applyFont="1" applyFill="1" applyBorder="1">
      <alignment vertical="center"/>
    </xf>
    <xf numFmtId="0" fontId="40" fillId="0" borderId="15" xfId="0" applyFont="1" applyFill="1" applyBorder="1" applyAlignment="1">
      <alignment horizontal="left" vertical="center"/>
    </xf>
    <xf numFmtId="0" fontId="40" fillId="4" borderId="15" xfId="0" applyFont="1" applyFill="1" applyBorder="1" applyAlignment="1">
      <alignment horizontal="center" vertical="center"/>
    </xf>
    <xf numFmtId="0" fontId="41" fillId="2" borderId="14" xfId="0" applyFont="1" applyFill="1" applyBorder="1">
      <alignment vertical="center"/>
    </xf>
    <xf numFmtId="0" fontId="41" fillId="2" borderId="0" xfId="0" applyFont="1" applyFill="1" applyBorder="1">
      <alignment vertical="center"/>
    </xf>
    <xf numFmtId="0" fontId="52" fillId="2" borderId="0" xfId="0" applyFont="1" applyFill="1" applyBorder="1" applyAlignment="1">
      <alignment vertical="center"/>
    </xf>
    <xf numFmtId="0" fontId="29" fillId="2" borderId="0" xfId="0" applyFont="1" applyFill="1" applyBorder="1" applyAlignment="1">
      <alignment vertical="center" wrapText="1"/>
    </xf>
    <xf numFmtId="0" fontId="52" fillId="2" borderId="0" xfId="0" applyFont="1" applyFill="1" applyAlignment="1">
      <alignment horizontal="center" vertical="center"/>
    </xf>
    <xf numFmtId="176" fontId="52" fillId="2" borderId="0" xfId="1" applyFont="1" applyFill="1" applyBorder="1">
      <alignment vertical="center"/>
    </xf>
    <xf numFmtId="176" fontId="29" fillId="2" borderId="0" xfId="0" applyNumberFormat="1" applyFont="1" applyFill="1" applyBorder="1">
      <alignment vertical="center"/>
    </xf>
    <xf numFmtId="3" fontId="29" fillId="2" borderId="0" xfId="0" applyNumberFormat="1" applyFont="1" applyFill="1">
      <alignment vertical="center"/>
    </xf>
    <xf numFmtId="0" fontId="0" fillId="0" borderId="34" xfId="0" applyFill="1" applyBorder="1" applyAlignment="1">
      <alignment horizontal="center"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17" xfId="0" applyFill="1" applyBorder="1" applyAlignment="1">
      <alignment horizontal="left" vertical="center"/>
    </xf>
    <xf numFmtId="0" fontId="0" fillId="0" borderId="27" xfId="0" applyFont="1" applyFill="1" applyBorder="1">
      <alignment vertical="center"/>
    </xf>
    <xf numFmtId="0" fontId="0" fillId="0" borderId="26" xfId="0" applyFill="1" applyBorder="1">
      <alignment vertical="center"/>
    </xf>
    <xf numFmtId="14" fontId="0" fillId="0" borderId="0" xfId="0" applyNumberFormat="1" applyAlignment="1">
      <alignment vertical="center" wrapText="1"/>
    </xf>
    <xf numFmtId="0" fontId="0" fillId="0" borderId="0" xfId="0" applyFill="1" applyAlignment="1">
      <alignment horizontal="center" vertical="center"/>
    </xf>
    <xf numFmtId="0" fontId="3" fillId="2" borderId="5" xfId="0" applyFont="1" applyFill="1" applyBorder="1" applyAlignment="1">
      <alignment horizontal="center" vertical="center"/>
    </xf>
    <xf numFmtId="0" fontId="3" fillId="0" borderId="46" xfId="0" applyFont="1" applyBorder="1" applyAlignment="1">
      <alignment horizontal="center" vertical="center"/>
    </xf>
    <xf numFmtId="0" fontId="3" fillId="0" borderId="33" xfId="0" applyFont="1" applyFill="1" applyBorder="1" applyAlignment="1">
      <alignment horizontal="center" vertical="center"/>
    </xf>
    <xf numFmtId="0" fontId="3" fillId="2" borderId="46" xfId="0" applyFont="1" applyFill="1" applyBorder="1" applyAlignment="1">
      <alignment horizontal="center" vertical="center"/>
    </xf>
    <xf numFmtId="0" fontId="3" fillId="0" borderId="46" xfId="0" applyFont="1" applyFill="1" applyBorder="1" applyAlignment="1">
      <alignment horizontal="center" vertical="center"/>
    </xf>
    <xf numFmtId="0" fontId="3" fillId="0" borderId="34" xfId="0" applyFont="1" applyFill="1" applyBorder="1" applyAlignment="1">
      <alignment horizontal="center" vertical="center"/>
    </xf>
    <xf numFmtId="0" fontId="3" fillId="0" borderId="50" xfId="0" applyFont="1" applyBorder="1" applyAlignment="1">
      <alignment horizontal="center" vertical="center"/>
    </xf>
    <xf numFmtId="9" fontId="3" fillId="0" borderId="45" xfId="2" applyFont="1" applyBorder="1" applyAlignment="1">
      <alignment vertical="center"/>
    </xf>
    <xf numFmtId="0" fontId="0" fillId="2" borderId="35" xfId="0" applyFill="1" applyBorder="1">
      <alignment vertical="center"/>
    </xf>
    <xf numFmtId="9" fontId="0" fillId="0" borderId="37" xfId="2" applyFont="1" applyFill="1" applyBorder="1">
      <alignment vertical="center"/>
    </xf>
    <xf numFmtId="9" fontId="0" fillId="0" borderId="36" xfId="2" applyFont="1" applyFill="1" applyBorder="1">
      <alignment vertical="center"/>
    </xf>
    <xf numFmtId="180" fontId="0" fillId="0" borderId="10" xfId="0" applyNumberFormat="1" applyBorder="1" applyAlignment="1">
      <alignment horizontal="center" vertical="center"/>
    </xf>
    <xf numFmtId="180" fontId="0" fillId="0" borderId="8" xfId="0" applyNumberFormat="1" applyFill="1" applyBorder="1" applyAlignment="1">
      <alignment horizontal="center" vertical="center"/>
    </xf>
    <xf numFmtId="180" fontId="0" fillId="0" borderId="17" xfId="0" applyNumberFormat="1" applyFill="1" applyBorder="1" applyAlignment="1">
      <alignment horizontal="center" vertical="center"/>
    </xf>
    <xf numFmtId="9" fontId="0" fillId="0" borderId="12" xfId="0" applyNumberFormat="1" applyFill="1" applyBorder="1">
      <alignment vertical="center"/>
    </xf>
    <xf numFmtId="9" fontId="0" fillId="0" borderId="20" xfId="0" applyNumberFormat="1" applyFill="1" applyBorder="1">
      <alignment vertical="center"/>
    </xf>
    <xf numFmtId="0" fontId="42" fillId="2" borderId="4" xfId="0" applyNumberFormat="1" applyFont="1" applyFill="1" applyBorder="1" applyAlignment="1">
      <alignment horizontal="right" vertical="center" wrapText="1"/>
    </xf>
    <xf numFmtId="0" fontId="88" fillId="0" borderId="0" xfId="0" applyFont="1">
      <alignment vertical="center"/>
    </xf>
    <xf numFmtId="10" fontId="0" fillId="0" borderId="9" xfId="2" applyNumberFormat="1" applyFont="1" applyBorder="1">
      <alignment vertical="center"/>
    </xf>
    <xf numFmtId="0" fontId="9" fillId="0" borderId="25" xfId="4" applyFont="1" applyFill="1" applyBorder="1" applyAlignment="1">
      <alignment horizontal="center"/>
    </xf>
    <xf numFmtId="183" fontId="37" fillId="0" borderId="7" xfId="4" applyNumberFormat="1" applyFont="1" applyFill="1" applyBorder="1"/>
    <xf numFmtId="10" fontId="37" fillId="0" borderId="61" xfId="2" applyNumberFormat="1" applyFont="1" applyFill="1" applyBorder="1" applyAlignment="1"/>
    <xf numFmtId="182" fontId="13" fillId="0" borderId="62" xfId="1" applyNumberFormat="1" applyFont="1" applyFill="1" applyBorder="1" applyAlignment="1"/>
    <xf numFmtId="10" fontId="37" fillId="0" borderId="0" xfId="2" applyNumberFormat="1" applyFont="1" applyFill="1" applyAlignment="1"/>
    <xf numFmtId="0" fontId="55" fillId="0" borderId="7" xfId="4" applyFont="1" applyFill="1" applyBorder="1" applyAlignment="1">
      <alignment horizontal="center"/>
    </xf>
    <xf numFmtId="0" fontId="37" fillId="0" borderId="7" xfId="4" applyFont="1" applyFill="1" applyBorder="1"/>
    <xf numFmtId="0" fontId="37" fillId="0" borderId="0" xfId="4" applyFont="1" applyFill="1" applyBorder="1"/>
    <xf numFmtId="0" fontId="37" fillId="0" borderId="0" xfId="4" applyFont="1" applyFill="1"/>
    <xf numFmtId="0" fontId="55" fillId="0" borderId="0" xfId="4" applyFont="1" applyFill="1" applyBorder="1" applyAlignment="1">
      <alignment horizontal="center"/>
    </xf>
    <xf numFmtId="0" fontId="0" fillId="7" borderId="0" xfId="0" applyFill="1">
      <alignment vertical="center"/>
    </xf>
    <xf numFmtId="9" fontId="0" fillId="7" borderId="0" xfId="2" applyFont="1" applyFill="1" applyAlignment="1">
      <alignment horizontal="right" vertical="center"/>
    </xf>
    <xf numFmtId="184" fontId="0" fillId="7" borderId="0" xfId="0" applyNumberFormat="1" applyFill="1">
      <alignment vertical="center"/>
    </xf>
    <xf numFmtId="0" fontId="0" fillId="7" borderId="0" xfId="0" applyFill="1" applyBorder="1">
      <alignment vertical="center"/>
    </xf>
    <xf numFmtId="9" fontId="0" fillId="7" borderId="0" xfId="2" applyFont="1" applyFill="1" applyBorder="1" applyAlignment="1">
      <alignment horizontal="right" vertical="center"/>
    </xf>
    <xf numFmtId="184" fontId="0" fillId="7" borderId="0" xfId="0" applyNumberFormat="1" applyFill="1" applyBorder="1">
      <alignment vertical="center"/>
    </xf>
    <xf numFmtId="0" fontId="63" fillId="0" borderId="33" xfId="0" applyFont="1" applyBorder="1" applyAlignment="1">
      <alignment horizontal="center" wrapText="1"/>
    </xf>
    <xf numFmtId="187" fontId="63" fillId="27" borderId="46" xfId="1" applyNumberFormat="1" applyFont="1" applyFill="1" applyBorder="1" applyAlignment="1">
      <alignment horizontal="center" wrapText="1"/>
    </xf>
    <xf numFmtId="187" fontId="0" fillId="0" borderId="0" xfId="1" applyNumberFormat="1" applyFont="1">
      <alignment vertical="center"/>
    </xf>
    <xf numFmtId="187" fontId="0" fillId="0" borderId="0" xfId="1" applyNumberFormat="1" applyFont="1" applyBorder="1">
      <alignment vertical="center"/>
    </xf>
    <xf numFmtId="182" fontId="0" fillId="0" borderId="0" xfId="1" applyNumberFormat="1" applyFont="1" applyFill="1" applyBorder="1">
      <alignment vertical="center"/>
    </xf>
    <xf numFmtId="182" fontId="48" fillId="0" borderId="9" xfId="1" applyNumberFormat="1" applyFont="1" applyFill="1" applyBorder="1" applyAlignment="1">
      <alignment horizontal="center" vertical="center"/>
    </xf>
    <xf numFmtId="0" fontId="49" fillId="2" borderId="29" xfId="0" applyFont="1" applyFill="1" applyBorder="1">
      <alignment vertical="center"/>
    </xf>
    <xf numFmtId="14" fontId="47" fillId="2" borderId="1" xfId="0" applyNumberFormat="1" applyFont="1" applyFill="1" applyBorder="1" applyAlignment="1">
      <alignment horizontal="right" vertical="center"/>
    </xf>
    <xf numFmtId="14" fontId="47" fillId="2" borderId="3" xfId="0" applyNumberFormat="1" applyFont="1" applyFill="1" applyBorder="1" applyAlignment="1">
      <alignment horizontal="left" vertical="center"/>
    </xf>
    <xf numFmtId="176" fontId="48" fillId="0" borderId="37" xfId="1" applyFont="1" applyFill="1" applyBorder="1" applyAlignment="1">
      <alignment horizontal="center" vertical="center"/>
    </xf>
    <xf numFmtId="2" fontId="48" fillId="0" borderId="36" xfId="1" applyNumberFormat="1" applyFont="1" applyFill="1" applyBorder="1" applyAlignment="1">
      <alignment horizontal="center" vertical="center"/>
    </xf>
    <xf numFmtId="182" fontId="48" fillId="0" borderId="9" xfId="1" applyNumberFormat="1" applyFont="1" applyFill="1" applyBorder="1">
      <alignment vertical="center"/>
    </xf>
    <xf numFmtId="10" fontId="48" fillId="0" borderId="9" xfId="2" applyNumberFormat="1" applyFont="1" applyFill="1" applyBorder="1">
      <alignment vertical="center"/>
    </xf>
    <xf numFmtId="181" fontId="48" fillId="0" borderId="9" xfId="0" applyNumberFormat="1" applyFont="1" applyFill="1" applyBorder="1">
      <alignment vertical="center"/>
    </xf>
    <xf numFmtId="182" fontId="48" fillId="0" borderId="8" xfId="1" applyNumberFormat="1" applyFont="1" applyFill="1" applyBorder="1">
      <alignment vertical="center"/>
    </xf>
    <xf numFmtId="3" fontId="48" fillId="0" borderId="17" xfId="0" applyNumberFormat="1" applyFont="1" applyFill="1" applyBorder="1" applyAlignment="1">
      <alignment horizontal="center" vertical="center"/>
    </xf>
    <xf numFmtId="10" fontId="48" fillId="0" borderId="26" xfId="0" applyNumberFormat="1" applyFont="1" applyFill="1" applyBorder="1">
      <alignment vertical="center"/>
    </xf>
    <xf numFmtId="176" fontId="48" fillId="0" borderId="12" xfId="1" applyFont="1" applyFill="1" applyBorder="1">
      <alignment vertical="center"/>
    </xf>
    <xf numFmtId="9" fontId="48" fillId="0" borderId="20" xfId="2" applyFont="1" applyFill="1" applyBorder="1" applyAlignment="1">
      <alignment horizontal="center" vertical="center"/>
    </xf>
    <xf numFmtId="0" fontId="72" fillId="60" borderId="0" xfId="0" applyNumberFormat="1" applyFont="1" applyFill="1" applyBorder="1" applyAlignment="1">
      <alignment horizontal="center"/>
    </xf>
    <xf numFmtId="0" fontId="0" fillId="60" borderId="0" xfId="0" applyFill="1">
      <alignment vertical="center"/>
    </xf>
    <xf numFmtId="178" fontId="72" fillId="60" borderId="0" xfId="0" applyNumberFormat="1" applyFont="1" applyFill="1" applyBorder="1" applyAlignment="1"/>
    <xf numFmtId="10" fontId="72" fillId="60" borderId="0" xfId="0" applyNumberFormat="1" applyFont="1" applyFill="1" applyBorder="1" applyAlignment="1"/>
    <xf numFmtId="0" fontId="72" fillId="60" borderId="0" xfId="0" applyNumberFormat="1" applyFont="1" applyFill="1" applyBorder="1" applyAlignment="1"/>
    <xf numFmtId="0" fontId="0" fillId="60" borderId="0" xfId="0" applyFill="1" applyBorder="1">
      <alignment vertical="center"/>
    </xf>
    <xf numFmtId="14" fontId="72" fillId="60" borderId="0" xfId="0" applyNumberFormat="1" applyFont="1" applyFill="1" applyBorder="1" applyAlignment="1"/>
    <xf numFmtId="0" fontId="0" fillId="17" borderId="0" xfId="0" applyFill="1" applyAlignment="1"/>
    <xf numFmtId="178" fontId="72" fillId="17" borderId="0" xfId="0" applyNumberFormat="1" applyFont="1" applyFill="1" applyBorder="1" applyAlignment="1">
      <alignment horizontal="center"/>
    </xf>
    <xf numFmtId="10" fontId="72" fillId="17" borderId="0" xfId="0" applyNumberFormat="1" applyFont="1" applyFill="1" applyBorder="1" applyAlignment="1">
      <alignment horizontal="center"/>
    </xf>
    <xf numFmtId="49" fontId="4" fillId="24" borderId="10" xfId="4" applyNumberFormat="1" applyFont="1" applyFill="1" applyBorder="1" applyAlignment="1">
      <alignment horizontal="center" vertical="center"/>
    </xf>
    <xf numFmtId="49" fontId="4" fillId="24" borderId="26" xfId="4" applyNumberFormat="1" applyFont="1" applyFill="1" applyBorder="1" applyAlignment="1">
      <alignment horizontal="center" vertical="center"/>
    </xf>
    <xf numFmtId="49" fontId="4" fillId="24" borderId="11" xfId="4" applyNumberFormat="1" applyFont="1" applyFill="1" applyBorder="1" applyAlignment="1">
      <alignment horizontal="center" vertical="center"/>
    </xf>
    <xf numFmtId="0" fontId="59" fillId="26" borderId="0" xfId="0" applyFont="1" applyFill="1" applyAlignment="1">
      <alignment horizontal="right" vertical="center" wrapText="1"/>
    </xf>
    <xf numFmtId="0" fontId="60" fillId="26" borderId="0" xfId="3" applyFont="1" applyFill="1" applyAlignment="1">
      <alignment horizontal="left" vertical="center" wrapText="1"/>
    </xf>
    <xf numFmtId="49" fontId="62" fillId="21" borderId="64" xfId="4" applyNumberFormat="1" applyFont="1" applyFill="1" applyBorder="1" applyAlignment="1">
      <alignment horizontal="center" vertical="center"/>
    </xf>
    <xf numFmtId="0" fontId="62" fillId="21" borderId="65" xfId="4" applyFont="1" applyFill="1" applyBorder="1" applyAlignment="1">
      <alignment horizontal="center"/>
    </xf>
    <xf numFmtId="49" fontId="4" fillId="6" borderId="35" xfId="4" applyNumberFormat="1" applyFont="1" applyFill="1" applyBorder="1" applyAlignment="1">
      <alignment horizontal="center" vertical="center"/>
    </xf>
    <xf numFmtId="0" fontId="4" fillId="17" borderId="17" xfId="4" applyFont="1" applyFill="1" applyBorder="1" applyAlignment="1">
      <alignment horizontal="center"/>
    </xf>
    <xf numFmtId="0" fontId="4" fillId="17" borderId="27" xfId="4" applyFont="1" applyFill="1" applyBorder="1" applyAlignment="1">
      <alignment horizontal="center"/>
    </xf>
    <xf numFmtId="0" fontId="4" fillId="17" borderId="20" xfId="4" applyFont="1" applyFill="1" applyBorder="1" applyAlignment="1">
      <alignment horizontal="center"/>
    </xf>
    <xf numFmtId="0" fontId="4" fillId="6" borderId="36" xfId="4" applyFont="1" applyFill="1" applyBorder="1" applyAlignment="1">
      <alignment horizontal="center"/>
    </xf>
    <xf numFmtId="0" fontId="4" fillId="6" borderId="27" xfId="4" applyFont="1" applyFill="1" applyBorder="1" applyAlignment="1">
      <alignment horizontal="center"/>
    </xf>
    <xf numFmtId="0" fontId="4" fillId="6" borderId="20" xfId="4" applyFont="1" applyFill="1" applyBorder="1" applyAlignment="1">
      <alignment horizontal="center"/>
    </xf>
    <xf numFmtId="0" fontId="4" fillId="5" borderId="17" xfId="4" applyFont="1" applyFill="1" applyBorder="1" applyAlignment="1">
      <alignment horizontal="center"/>
    </xf>
    <xf numFmtId="0" fontId="13" fillId="25" borderId="9" xfId="4" applyFont="1" applyFill="1" applyBorder="1"/>
    <xf numFmtId="14" fontId="13" fillId="25" borderId="10" xfId="4" applyNumberFormat="1" applyFont="1" applyFill="1" applyBorder="1" applyAlignment="1">
      <alignment horizontal="center"/>
    </xf>
    <xf numFmtId="14" fontId="13" fillId="25" borderId="8" xfId="4" applyNumberFormat="1" applyFont="1" applyFill="1" applyBorder="1" applyAlignment="1">
      <alignment horizontal="center"/>
    </xf>
    <xf numFmtId="183" fontId="37" fillId="25" borderId="17" xfId="4" applyNumberFormat="1" applyFont="1" applyFill="1" applyBorder="1"/>
    <xf numFmtId="182" fontId="13" fillId="25" borderId="27" xfId="1" applyNumberFormat="1" applyFont="1" applyFill="1" applyBorder="1" applyAlignment="1"/>
    <xf numFmtId="0" fontId="0" fillId="0" borderId="0" xfId="0" applyAlignment="1">
      <alignment horizontal="left" vertical="center"/>
    </xf>
    <xf numFmtId="176" fontId="72" fillId="17" borderId="0" xfId="1" applyFont="1" applyFill="1" applyBorder="1" applyAlignment="1">
      <alignment horizontal="center"/>
    </xf>
    <xf numFmtId="176" fontId="72" fillId="60" borderId="0" xfId="1" applyFont="1" applyFill="1" applyBorder="1" applyAlignment="1"/>
    <xf numFmtId="176" fontId="0" fillId="0" borderId="0" xfId="1" applyFont="1" applyFill="1">
      <alignment vertical="center"/>
    </xf>
    <xf numFmtId="0" fontId="0" fillId="0" borderId="0" xfId="0" applyFill="1" applyBorder="1" applyAlignment="1">
      <alignment horizontal="center" vertical="center"/>
    </xf>
    <xf numFmtId="0" fontId="0" fillId="0" borderId="0" xfId="0" applyFill="1" applyBorder="1">
      <alignment vertical="center"/>
    </xf>
    <xf numFmtId="176" fontId="0" fillId="0" borderId="0" xfId="1" applyFont="1" applyFill="1" applyBorder="1">
      <alignment vertical="center"/>
    </xf>
    <xf numFmtId="0" fontId="0" fillId="9" borderId="0" xfId="0" applyFill="1" applyBorder="1">
      <alignment vertical="center"/>
    </xf>
    <xf numFmtId="0" fontId="0" fillId="0" borderId="9" xfId="0" applyFill="1" applyBorder="1" applyAlignment="1">
      <alignment horizontal="center" vertical="center"/>
    </xf>
    <xf numFmtId="0" fontId="0" fillId="9" borderId="0" xfId="0" applyFill="1" applyBorder="1" applyAlignment="1">
      <alignment horizontal="center" vertical="center"/>
    </xf>
    <xf numFmtId="0" fontId="0" fillId="9" borderId="0" xfId="0" applyFill="1" applyAlignment="1">
      <alignment horizontal="center" vertical="center"/>
    </xf>
    <xf numFmtId="176" fontId="0" fillId="0" borderId="0" xfId="1" applyFont="1" applyFill="1" applyAlignment="1">
      <alignment horizontal="center" vertical="center"/>
    </xf>
    <xf numFmtId="0" fontId="0" fillId="0" borderId="9" xfId="0" applyFill="1" applyBorder="1" applyAlignment="1">
      <alignment vertical="center"/>
    </xf>
    <xf numFmtId="176" fontId="0" fillId="0" borderId="9" xfId="1" applyFont="1" applyFill="1" applyBorder="1" applyAlignment="1">
      <alignment horizontal="center" vertical="center"/>
    </xf>
    <xf numFmtId="176" fontId="9" fillId="5" borderId="25" xfId="1" applyFont="1" applyFill="1" applyBorder="1" applyAlignment="1">
      <alignment horizontal="left" vertical="center"/>
    </xf>
    <xf numFmtId="176" fontId="4" fillId="18" borderId="20" xfId="1" applyFont="1" applyFill="1" applyBorder="1" applyAlignment="1">
      <alignment horizontal="center" vertical="center"/>
    </xf>
    <xf numFmtId="0" fontId="90" fillId="0" borderId="0" xfId="0" applyFont="1">
      <alignment vertical="center"/>
    </xf>
    <xf numFmtId="14" fontId="37" fillId="0" borderId="29" xfId="4" applyNumberFormat="1" applyFont="1" applyBorder="1" applyAlignment="1">
      <alignment horizontal="center"/>
    </xf>
    <xf numFmtId="0" fontId="37" fillId="0" borderId="30" xfId="4" applyFont="1" applyBorder="1" applyAlignment="1">
      <alignment horizontal="center"/>
    </xf>
    <xf numFmtId="14" fontId="37" fillId="0" borderId="30" xfId="4" applyNumberFormat="1" applyFont="1" applyBorder="1" applyAlignment="1">
      <alignment horizontal="center"/>
    </xf>
    <xf numFmtId="0" fontId="0" fillId="0" borderId="0" xfId="0" applyAlignment="1">
      <alignment horizontal="center" vertical="center" wrapText="1"/>
    </xf>
    <xf numFmtId="0" fontId="5" fillId="0" borderId="0" xfId="3" applyAlignment="1">
      <alignment horizontal="center" vertical="center"/>
    </xf>
    <xf numFmtId="0" fontId="58" fillId="0" borderId="0" xfId="0" applyFont="1" applyAlignment="1">
      <alignment horizontal="center" vertical="center"/>
    </xf>
    <xf numFmtId="178" fontId="72" fillId="0" borderId="0" xfId="0" applyNumberFormat="1" applyFont="1" applyFill="1" applyBorder="1" applyAlignment="1">
      <alignment horizontal="center"/>
    </xf>
    <xf numFmtId="178" fontId="72" fillId="0" borderId="0" xfId="0" applyNumberFormat="1" applyFont="1" applyFill="1" applyBorder="1" applyAlignment="1"/>
    <xf numFmtId="10" fontId="72" fillId="0" borderId="0" xfId="0" applyNumberFormat="1" applyFont="1" applyFill="1" applyBorder="1" applyAlignment="1">
      <alignment horizontal="center"/>
    </xf>
    <xf numFmtId="10" fontId="72" fillId="0" borderId="0" xfId="0" applyNumberFormat="1" applyFont="1" applyFill="1" applyBorder="1" applyAlignment="1"/>
    <xf numFmtId="14" fontId="72" fillId="17" borderId="0" xfId="0" applyNumberFormat="1" applyFont="1" applyFill="1" applyBorder="1" applyAlignment="1">
      <alignment horizontal="center"/>
    </xf>
    <xf numFmtId="188" fontId="72" fillId="0" borderId="0" xfId="0" applyNumberFormat="1" applyFont="1" applyFill="1" applyBorder="1" applyAlignment="1">
      <alignment horizontal="center"/>
    </xf>
    <xf numFmtId="188" fontId="72" fillId="0" borderId="0" xfId="0" applyNumberFormat="1" applyFont="1" applyFill="1" applyBorder="1" applyAlignment="1"/>
    <xf numFmtId="182" fontId="29" fillId="2" borderId="0" xfId="1" applyNumberFormat="1" applyFont="1" applyFill="1" applyBorder="1">
      <alignment vertical="center"/>
    </xf>
    <xf numFmtId="10" fontId="29" fillId="2" borderId="0" xfId="2" applyNumberFormat="1" applyFont="1" applyFill="1" applyBorder="1">
      <alignment vertical="center"/>
    </xf>
    <xf numFmtId="14" fontId="37" fillId="0" borderId="48" xfId="4" applyNumberFormat="1" applyFont="1" applyBorder="1" applyAlignment="1">
      <alignment horizontal="center"/>
    </xf>
    <xf numFmtId="14" fontId="37" fillId="0" borderId="7" xfId="4" applyNumberFormat="1" applyFont="1" applyBorder="1" applyAlignment="1">
      <alignment horizontal="center"/>
    </xf>
    <xf numFmtId="14" fontId="37" fillId="0" borderId="16" xfId="4" applyNumberFormat="1" applyFont="1" applyBorder="1" applyAlignment="1">
      <alignment horizontal="center"/>
    </xf>
    <xf numFmtId="0" fontId="59" fillId="0" borderId="0" xfId="3" applyFont="1" applyAlignment="1">
      <alignment horizontal="center" vertical="center"/>
    </xf>
    <xf numFmtId="0" fontId="58" fillId="0" borderId="0" xfId="3" applyFont="1" applyAlignment="1">
      <alignment horizontal="center" vertical="center"/>
    </xf>
    <xf numFmtId="0" fontId="91" fillId="0" borderId="22" xfId="3" applyFont="1" applyBorder="1" applyAlignment="1">
      <alignment horizontal="center" vertical="center" wrapText="1"/>
    </xf>
    <xf numFmtId="0" fontId="92" fillId="0" borderId="24" xfId="3" applyFont="1" applyBorder="1" applyAlignment="1">
      <alignment horizontal="center" vertical="center" wrapText="1"/>
    </xf>
    <xf numFmtId="0" fontId="91" fillId="0" borderId="24" xfId="3" applyFont="1" applyBorder="1" applyAlignment="1">
      <alignment horizontal="center" vertical="center" wrapText="1"/>
    </xf>
    <xf numFmtId="0" fontId="91" fillId="0" borderId="23" xfId="3" applyFont="1" applyBorder="1" applyAlignment="1">
      <alignment horizontal="center" vertical="center" wrapText="1"/>
    </xf>
    <xf numFmtId="0" fontId="95" fillId="23" borderId="38" xfId="3" applyFont="1" applyFill="1" applyBorder="1" applyAlignment="1">
      <alignment horizontal="center" vertical="center"/>
    </xf>
    <xf numFmtId="0" fontId="48" fillId="0" borderId="35" xfId="0" applyFont="1" applyFill="1" applyBorder="1">
      <alignment vertical="center"/>
    </xf>
    <xf numFmtId="189" fontId="0" fillId="0" borderId="0" xfId="0" applyNumberFormat="1">
      <alignment vertical="center"/>
    </xf>
    <xf numFmtId="0" fontId="0" fillId="0" borderId="4" xfId="0" applyBorder="1" applyAlignment="1">
      <alignment vertical="center"/>
    </xf>
    <xf numFmtId="0" fontId="0" fillId="0" borderId="5" xfId="0" applyBorder="1" applyAlignment="1">
      <alignment vertical="center"/>
    </xf>
    <xf numFmtId="0" fontId="0" fillId="0" borderId="49" xfId="0" applyBorder="1" applyAlignment="1">
      <alignment vertical="center"/>
    </xf>
    <xf numFmtId="0" fontId="0" fillId="0" borderId="45" xfId="0" applyBorder="1" applyAlignment="1">
      <alignment vertical="center"/>
    </xf>
    <xf numFmtId="9" fontId="48" fillId="0" borderId="27" xfId="2" applyNumberFormat="1" applyFont="1" applyFill="1" applyBorder="1" applyAlignment="1">
      <alignment horizontal="center" vertical="center"/>
    </xf>
    <xf numFmtId="0" fontId="59" fillId="0" borderId="0" xfId="3" applyFont="1" applyAlignment="1">
      <alignment horizontal="center" vertical="center"/>
    </xf>
    <xf numFmtId="0" fontId="3" fillId="10" borderId="22" xfId="0" applyFont="1" applyFill="1" applyBorder="1" applyAlignment="1">
      <alignment horizontal="center" vertical="center" wrapText="1"/>
    </xf>
    <xf numFmtId="0" fontId="3" fillId="10" borderId="23" xfId="0" applyFont="1" applyFill="1" applyBorder="1" applyAlignment="1">
      <alignment horizontal="center" vertical="center" wrapText="1"/>
    </xf>
    <xf numFmtId="0" fontId="58" fillId="0" borderId="0" xfId="0" applyFont="1" applyAlignment="1">
      <alignment wrapText="1"/>
    </xf>
    <xf numFmtId="0" fontId="58" fillId="0" borderId="0" xfId="0" applyFont="1" applyAlignment="1">
      <alignment vertical="center" wrapText="1"/>
    </xf>
    <xf numFmtId="182" fontId="37" fillId="0" borderId="0" xfId="1" applyNumberFormat="1" applyFont="1" applyAlignment="1">
      <alignment horizontal="center"/>
    </xf>
    <xf numFmtId="14" fontId="37" fillId="0" borderId="47" xfId="4" applyNumberFormat="1" applyFont="1" applyBorder="1" applyAlignment="1">
      <alignment horizontal="center"/>
    </xf>
    <xf numFmtId="49" fontId="4" fillId="5" borderId="71" xfId="4" applyNumberFormat="1" applyFont="1" applyFill="1" applyBorder="1" applyAlignment="1">
      <alignment horizontal="center" vertical="center"/>
    </xf>
    <xf numFmtId="0" fontId="4" fillId="5" borderId="72" xfId="4" applyFont="1" applyFill="1" applyBorder="1" applyAlignment="1">
      <alignment horizontal="center"/>
    </xf>
    <xf numFmtId="49" fontId="4" fillId="5" borderId="26" xfId="4" applyNumberFormat="1" applyFont="1" applyFill="1" applyBorder="1" applyAlignment="1">
      <alignment horizontal="center" vertical="center"/>
    </xf>
    <xf numFmtId="0" fontId="4" fillId="5" borderId="27" xfId="4" applyFont="1" applyFill="1" applyBorder="1" applyAlignment="1">
      <alignment horizontal="center"/>
    </xf>
    <xf numFmtId="49" fontId="4" fillId="17" borderId="31" xfId="4" applyNumberFormat="1" applyFont="1" applyFill="1" applyBorder="1" applyAlignment="1">
      <alignment horizontal="center" vertical="center"/>
    </xf>
    <xf numFmtId="0" fontId="4" fillId="17" borderId="32" xfId="4" applyFont="1" applyFill="1" applyBorder="1" applyAlignment="1">
      <alignment horizontal="center"/>
    </xf>
    <xf numFmtId="14" fontId="37" fillId="0" borderId="3" xfId="4" applyNumberFormat="1" applyFont="1" applyBorder="1" applyAlignment="1">
      <alignment horizontal="center"/>
    </xf>
    <xf numFmtId="182" fontId="4" fillId="5" borderId="73" xfId="1" applyNumberFormat="1" applyFont="1" applyFill="1" applyBorder="1" applyAlignment="1">
      <alignment horizontal="left"/>
    </xf>
    <xf numFmtId="182" fontId="4" fillId="5" borderId="74" xfId="1" applyNumberFormat="1" applyFont="1" applyFill="1" applyBorder="1" applyAlignment="1">
      <alignment horizontal="left"/>
    </xf>
    <xf numFmtId="182" fontId="4" fillId="5" borderId="72" xfId="1" applyNumberFormat="1" applyFont="1" applyFill="1" applyBorder="1" applyAlignment="1">
      <alignment horizontal="left"/>
    </xf>
    <xf numFmtId="49" fontId="62" fillId="21" borderId="29" xfId="4" applyNumberFormat="1" applyFont="1" applyFill="1" applyBorder="1" applyAlignment="1">
      <alignment horizontal="center" vertical="center"/>
    </xf>
    <xf numFmtId="49" fontId="62" fillId="21" borderId="48" xfId="4" applyNumberFormat="1" applyFont="1" applyFill="1" applyBorder="1" applyAlignment="1">
      <alignment horizontal="center" vertical="center"/>
    </xf>
    <xf numFmtId="49" fontId="62" fillId="21" borderId="30" xfId="4" applyNumberFormat="1" applyFont="1" applyFill="1" applyBorder="1" applyAlignment="1">
      <alignment horizontal="center" vertical="center"/>
    </xf>
    <xf numFmtId="49" fontId="89" fillId="17" borderId="4" xfId="4" applyNumberFormat="1" applyFont="1" applyFill="1" applyBorder="1" applyAlignment="1">
      <alignment horizontal="center" vertical="center"/>
    </xf>
    <xf numFmtId="49" fontId="89" fillId="17" borderId="5" xfId="4" applyNumberFormat="1" applyFont="1" applyFill="1" applyBorder="1" applyAlignment="1">
      <alignment horizontal="center" vertical="center"/>
    </xf>
    <xf numFmtId="49" fontId="89" fillId="17" borderId="25" xfId="4" applyNumberFormat="1" applyFont="1" applyFill="1" applyBorder="1" applyAlignment="1">
      <alignment horizontal="center" vertical="center"/>
    </xf>
    <xf numFmtId="182" fontId="4" fillId="17" borderId="67" xfId="1" applyNumberFormat="1" applyFont="1" applyFill="1" applyBorder="1" applyAlignment="1">
      <alignment horizontal="left"/>
    </xf>
    <xf numFmtId="182" fontId="4" fillId="17" borderId="8" xfId="1" applyNumberFormat="1" applyFont="1" applyFill="1" applyBorder="1" applyAlignment="1">
      <alignment horizontal="left"/>
    </xf>
    <xf numFmtId="182" fontId="4" fillId="17" borderId="17" xfId="1" applyNumberFormat="1" applyFont="1" applyFill="1" applyBorder="1" applyAlignment="1">
      <alignment horizontal="left"/>
    </xf>
    <xf numFmtId="182" fontId="4" fillId="17" borderId="66" xfId="1" applyNumberFormat="1" applyFont="1" applyFill="1" applyBorder="1" applyAlignment="1">
      <alignment horizontal="left"/>
    </xf>
    <xf numFmtId="182" fontId="4" fillId="17" borderId="9" xfId="1" applyNumberFormat="1" applyFont="1" applyFill="1" applyBorder="1" applyAlignment="1">
      <alignment horizontal="left"/>
    </xf>
    <xf numFmtId="182" fontId="4" fillId="17" borderId="27" xfId="1" applyNumberFormat="1" applyFont="1" applyFill="1" applyBorder="1" applyAlignment="1">
      <alignment horizontal="left"/>
    </xf>
    <xf numFmtId="0" fontId="34" fillId="28" borderId="8" xfId="4" applyFont="1" applyFill="1" applyBorder="1" applyAlignment="1">
      <alignment horizontal="left"/>
    </xf>
    <xf numFmtId="0" fontId="34" fillId="28" borderId="17" xfId="4" applyFont="1" applyFill="1" applyBorder="1" applyAlignment="1">
      <alignment horizontal="left"/>
    </xf>
    <xf numFmtId="0" fontId="34" fillId="28" borderId="9" xfId="4" applyFont="1" applyFill="1" applyBorder="1" applyAlignment="1">
      <alignment horizontal="left"/>
    </xf>
    <xf numFmtId="0" fontId="34" fillId="28" borderId="27" xfId="4" applyFont="1" applyFill="1" applyBorder="1" applyAlignment="1">
      <alignment horizontal="left"/>
    </xf>
    <xf numFmtId="0" fontId="63" fillId="28" borderId="9" xfId="4" applyFont="1" applyFill="1" applyBorder="1" applyAlignment="1">
      <alignment horizontal="left"/>
    </xf>
    <xf numFmtId="0" fontId="63" fillId="28" borderId="27" xfId="4" applyFont="1" applyFill="1" applyBorder="1" applyAlignment="1">
      <alignment horizontal="left"/>
    </xf>
    <xf numFmtId="49" fontId="61" fillId="21" borderId="29" xfId="4" applyNumberFormat="1" applyFont="1" applyFill="1" applyBorder="1" applyAlignment="1">
      <alignment horizontal="center" vertical="center"/>
    </xf>
    <xf numFmtId="49" fontId="61" fillId="21" borderId="48" xfId="4" applyNumberFormat="1" applyFont="1" applyFill="1" applyBorder="1" applyAlignment="1">
      <alignment horizontal="center" vertical="center"/>
    </xf>
    <xf numFmtId="49" fontId="61" fillId="21" borderId="30" xfId="4" applyNumberFormat="1" applyFont="1" applyFill="1" applyBorder="1" applyAlignment="1">
      <alignment horizontal="center" vertical="center"/>
    </xf>
    <xf numFmtId="0" fontId="9" fillId="25" borderId="1" xfId="4" applyFont="1" applyFill="1" applyBorder="1" applyAlignment="1">
      <alignment horizontal="center" vertical="center"/>
    </xf>
    <xf numFmtId="0" fontId="9" fillId="25" borderId="2" xfId="4" applyFont="1" applyFill="1" applyBorder="1" applyAlignment="1">
      <alignment horizontal="center" vertical="center"/>
    </xf>
    <xf numFmtId="0" fontId="9" fillId="25" borderId="3" xfId="4" applyFont="1" applyFill="1" applyBorder="1" applyAlignment="1">
      <alignment horizontal="center" vertical="center"/>
    </xf>
    <xf numFmtId="182" fontId="62" fillId="21" borderId="1" xfId="1" applyNumberFormat="1" applyFont="1" applyFill="1" applyBorder="1" applyAlignment="1">
      <alignment horizontal="center"/>
    </xf>
    <xf numFmtId="182" fontId="62" fillId="21" borderId="2" xfId="1" applyNumberFormat="1" applyFont="1" applyFill="1" applyBorder="1" applyAlignment="1">
      <alignment horizontal="center"/>
    </xf>
    <xf numFmtId="182" fontId="62" fillId="21" borderId="3" xfId="1" applyNumberFormat="1" applyFont="1" applyFill="1" applyBorder="1" applyAlignment="1">
      <alignment horizontal="center"/>
    </xf>
    <xf numFmtId="182" fontId="4" fillId="6" borderId="69" xfId="1" applyNumberFormat="1" applyFont="1" applyFill="1" applyBorder="1" applyAlignment="1">
      <alignment horizontal="left"/>
    </xf>
    <xf numFmtId="182" fontId="4" fillId="6" borderId="37" xfId="1" applyNumberFormat="1" applyFont="1" applyFill="1" applyBorder="1" applyAlignment="1">
      <alignment horizontal="left"/>
    </xf>
    <xf numFmtId="182" fontId="4" fillId="6" borderId="36" xfId="1" applyNumberFormat="1" applyFont="1" applyFill="1" applyBorder="1" applyAlignment="1">
      <alignment horizontal="left"/>
    </xf>
    <xf numFmtId="182" fontId="4" fillId="6" borderId="70" xfId="1" applyNumberFormat="1" applyFont="1" applyFill="1" applyBorder="1" applyAlignment="1">
      <alignment horizontal="left"/>
    </xf>
    <xf numFmtId="182" fontId="4" fillId="6" borderId="51" xfId="1" applyNumberFormat="1" applyFont="1" applyFill="1" applyBorder="1" applyAlignment="1">
      <alignment horizontal="left"/>
    </xf>
    <xf numFmtId="182" fontId="4" fillId="6" borderId="32" xfId="1" applyNumberFormat="1" applyFont="1" applyFill="1" applyBorder="1" applyAlignment="1">
      <alignment horizontal="left"/>
    </xf>
    <xf numFmtId="182" fontId="4" fillId="17" borderId="68" xfId="1" applyNumberFormat="1" applyFont="1" applyFill="1" applyBorder="1" applyAlignment="1">
      <alignment horizontal="left"/>
    </xf>
    <xf numFmtId="182" fontId="4" fillId="17" borderId="12" xfId="1" applyNumberFormat="1" applyFont="1" applyFill="1" applyBorder="1" applyAlignment="1">
      <alignment horizontal="left"/>
    </xf>
    <xf numFmtId="182" fontId="4" fillId="17" borderId="20" xfId="1" applyNumberFormat="1" applyFont="1" applyFill="1" applyBorder="1" applyAlignment="1">
      <alignment horizontal="left"/>
    </xf>
    <xf numFmtId="182" fontId="4" fillId="6" borderId="66" xfId="1" applyNumberFormat="1" applyFont="1" applyFill="1" applyBorder="1" applyAlignment="1">
      <alignment horizontal="left"/>
    </xf>
    <xf numFmtId="182" fontId="4" fillId="6" borderId="9" xfId="1" applyNumberFormat="1" applyFont="1" applyFill="1" applyBorder="1" applyAlignment="1">
      <alignment horizontal="left"/>
    </xf>
    <xf numFmtId="182" fontId="4" fillId="6" borderId="27" xfId="1" applyNumberFormat="1" applyFont="1" applyFill="1" applyBorder="1" applyAlignment="1">
      <alignment horizontal="left"/>
    </xf>
    <xf numFmtId="182" fontId="4" fillId="5" borderId="66" xfId="1" applyNumberFormat="1" applyFont="1" applyFill="1" applyBorder="1" applyAlignment="1">
      <alignment horizontal="left"/>
    </xf>
    <xf numFmtId="182" fontId="4" fillId="5" borderId="9" xfId="1" applyNumberFormat="1" applyFont="1" applyFill="1" applyBorder="1" applyAlignment="1">
      <alignment horizontal="left"/>
    </xf>
    <xf numFmtId="182" fontId="4" fillId="5" borderId="27" xfId="1" applyNumberFormat="1" applyFont="1" applyFill="1" applyBorder="1" applyAlignment="1">
      <alignment horizontal="left"/>
    </xf>
    <xf numFmtId="182" fontId="4" fillId="5" borderId="67" xfId="1" applyNumberFormat="1" applyFont="1" applyFill="1" applyBorder="1" applyAlignment="1">
      <alignment horizontal="left"/>
    </xf>
    <xf numFmtId="182" fontId="4" fillId="5" borderId="8" xfId="1" applyNumberFormat="1" applyFont="1" applyFill="1" applyBorder="1" applyAlignment="1">
      <alignment horizontal="left"/>
    </xf>
    <xf numFmtId="182" fontId="4" fillId="5" borderId="17" xfId="1" applyNumberFormat="1" applyFont="1" applyFill="1" applyBorder="1" applyAlignment="1">
      <alignment horizontal="left"/>
    </xf>
    <xf numFmtId="182" fontId="4" fillId="17" borderId="70" xfId="1" applyNumberFormat="1" applyFont="1" applyFill="1" applyBorder="1" applyAlignment="1">
      <alignment horizontal="left"/>
    </xf>
    <xf numFmtId="182" fontId="4" fillId="17" borderId="51" xfId="1" applyNumberFormat="1" applyFont="1" applyFill="1" applyBorder="1" applyAlignment="1">
      <alignment horizontal="left"/>
    </xf>
    <xf numFmtId="182" fontId="4" fillId="17" borderId="32" xfId="1" applyNumberFormat="1" applyFont="1" applyFill="1" applyBorder="1" applyAlignment="1">
      <alignment horizontal="left"/>
    </xf>
    <xf numFmtId="0" fontId="63" fillId="28" borderId="12" xfId="4" applyFont="1" applyFill="1" applyBorder="1" applyAlignment="1">
      <alignment horizontal="left"/>
    </xf>
    <xf numFmtId="0" fontId="63" fillId="28" borderId="20" xfId="4" applyFont="1" applyFill="1" applyBorder="1" applyAlignment="1">
      <alignment horizontal="left"/>
    </xf>
    <xf numFmtId="0" fontId="59" fillId="0" borderId="0" xfId="3" applyFont="1" applyAlignment="1">
      <alignment horizontal="center" vertical="center"/>
    </xf>
    <xf numFmtId="0" fontId="58" fillId="0" borderId="0" xfId="3" applyFont="1" applyAlignment="1">
      <alignment horizontal="center" vertical="center"/>
    </xf>
    <xf numFmtId="0" fontId="58" fillId="0" borderId="0" xfId="0" applyFont="1" applyAlignment="1">
      <alignment horizontal="center" vertical="center"/>
    </xf>
    <xf numFmtId="0" fontId="59" fillId="26" borderId="0" xfId="3" applyFont="1" applyFill="1" applyAlignment="1">
      <alignment horizontal="center" vertical="center"/>
    </xf>
    <xf numFmtId="0" fontId="28" fillId="13" borderId="0" xfId="0" applyFont="1" applyFill="1" applyBorder="1" applyAlignment="1">
      <alignment horizontal="center" vertical="center"/>
    </xf>
    <xf numFmtId="0" fontId="0" fillId="4" borderId="0" xfId="0" applyFill="1" applyBorder="1" applyAlignment="1">
      <alignment horizontal="center" vertical="center"/>
    </xf>
    <xf numFmtId="0" fontId="0" fillId="2" borderId="6" xfId="0" applyFill="1" applyBorder="1" applyAlignment="1">
      <alignment horizontal="center" vertical="center"/>
    </xf>
    <xf numFmtId="0" fontId="0" fillId="2" borderId="0" xfId="0" applyFill="1" applyBorder="1" applyAlignment="1">
      <alignment horizontal="center" vertical="center"/>
    </xf>
    <xf numFmtId="0" fontId="0" fillId="2" borderId="7" xfId="0" applyFill="1" applyBorder="1" applyAlignment="1">
      <alignment horizontal="center" vertical="center"/>
    </xf>
    <xf numFmtId="0" fontId="3" fillId="10" borderId="22" xfId="0" applyFont="1" applyFill="1" applyBorder="1" applyAlignment="1">
      <alignment horizontal="center" vertical="center" wrapText="1"/>
    </xf>
    <xf numFmtId="0" fontId="3" fillId="10" borderId="23" xfId="0" applyFont="1" applyFill="1" applyBorder="1" applyAlignment="1">
      <alignment horizontal="center" vertical="center" wrapText="1"/>
    </xf>
    <xf numFmtId="0" fontId="58" fillId="0" borderId="0" xfId="0" applyFont="1" applyAlignment="1">
      <alignment wrapText="1"/>
    </xf>
    <xf numFmtId="0" fontId="3" fillId="0" borderId="0" xfId="0" applyFont="1" applyFill="1" applyBorder="1" applyAlignment="1">
      <alignment horizontal="left" vertical="center"/>
    </xf>
    <xf numFmtId="0" fontId="58" fillId="0" borderId="0" xfId="3" applyFont="1" applyAlignment="1">
      <alignment horizontal="center" wrapText="1"/>
    </xf>
    <xf numFmtId="0" fontId="58" fillId="0" borderId="0" xfId="3" applyFont="1" applyAlignment="1">
      <alignment horizontal="center" vertical="center" wrapText="1"/>
    </xf>
    <xf numFmtId="0" fontId="46" fillId="23" borderId="39" xfId="3" applyFont="1" applyFill="1" applyBorder="1" applyAlignment="1">
      <alignment horizontal="center" vertical="center" wrapText="1"/>
    </xf>
    <xf numFmtId="0" fontId="46" fillId="23" borderId="40" xfId="3" applyFont="1" applyFill="1" applyBorder="1" applyAlignment="1">
      <alignment horizontal="center" vertical="center" wrapText="1"/>
    </xf>
    <xf numFmtId="0" fontId="46" fillId="23" borderId="41" xfId="3" applyFont="1" applyFill="1" applyBorder="1" applyAlignment="1">
      <alignment horizontal="center" vertical="center" wrapText="1"/>
    </xf>
    <xf numFmtId="0" fontId="58" fillId="0" borderId="0" xfId="0" applyFont="1" applyAlignment="1">
      <alignment vertical="center" wrapText="1"/>
    </xf>
    <xf numFmtId="0" fontId="47" fillId="0" borderId="4" xfId="0" applyFont="1" applyFill="1" applyBorder="1" applyAlignment="1">
      <alignment horizontal="center" vertical="center"/>
    </xf>
    <xf numFmtId="0" fontId="47" fillId="0" borderId="25" xfId="0" applyFont="1" applyFill="1" applyBorder="1" applyAlignment="1">
      <alignment horizontal="center" vertical="center"/>
    </xf>
    <xf numFmtId="181" fontId="41" fillId="4" borderId="0" xfId="0" applyNumberFormat="1" applyFont="1" applyFill="1" applyBorder="1" applyAlignment="1">
      <alignment horizontal="center" vertical="center"/>
    </xf>
    <xf numFmtId="181" fontId="41" fillId="4" borderId="7" xfId="0" applyNumberFormat="1" applyFont="1" applyFill="1" applyBorder="1" applyAlignment="1">
      <alignment horizontal="center" vertical="center"/>
    </xf>
    <xf numFmtId="9" fontId="41" fillId="4" borderId="0" xfId="2" applyFont="1" applyFill="1" applyBorder="1" applyAlignment="1">
      <alignment horizontal="center" vertical="center"/>
    </xf>
    <xf numFmtId="9" fontId="41" fillId="4" borderId="7" xfId="2" applyFont="1" applyFill="1" applyBorder="1" applyAlignment="1">
      <alignment horizontal="center" vertical="center"/>
    </xf>
    <xf numFmtId="0" fontId="0" fillId="0" borderId="50" xfId="0" applyBorder="1" applyAlignment="1">
      <alignment horizontal="center" vertical="center"/>
    </xf>
    <xf numFmtId="0" fontId="0" fillId="0" borderId="49" xfId="0" applyBorder="1" applyAlignment="1">
      <alignment horizontal="center" vertical="center"/>
    </xf>
    <xf numFmtId="0" fontId="40" fillId="4" borderId="2" xfId="0" applyFont="1" applyFill="1" applyBorder="1" applyAlignment="1">
      <alignment horizontal="center" vertical="center"/>
    </xf>
    <xf numFmtId="0" fontId="40" fillId="4" borderId="3" xfId="0" applyFont="1" applyFill="1" applyBorder="1" applyAlignment="1">
      <alignment horizontal="center" vertical="center"/>
    </xf>
    <xf numFmtId="0" fontId="59" fillId="0" borderId="63" xfId="3" applyFont="1" applyBorder="1" applyAlignment="1">
      <alignment horizontal="center" vertical="center"/>
    </xf>
    <xf numFmtId="20" fontId="0" fillId="11" borderId="22" xfId="3" applyNumberFormat="1" applyFont="1" applyFill="1" applyBorder="1" applyAlignment="1">
      <alignment horizontal="center" vertical="center"/>
    </xf>
    <xf numFmtId="20" fontId="0" fillId="11" borderId="24" xfId="3" applyNumberFormat="1" applyFont="1" applyFill="1" applyBorder="1" applyAlignment="1">
      <alignment horizontal="center" vertical="center"/>
    </xf>
    <xf numFmtId="20" fontId="0" fillId="11" borderId="23" xfId="3" applyNumberFormat="1" applyFont="1" applyFill="1" applyBorder="1" applyAlignment="1">
      <alignment horizontal="center" vertical="center"/>
    </xf>
    <xf numFmtId="0" fontId="3" fillId="11" borderId="22" xfId="0" applyFont="1" applyFill="1" applyBorder="1" applyAlignment="1">
      <alignment horizontal="center" vertical="center"/>
    </xf>
    <xf numFmtId="0" fontId="3" fillId="11" borderId="24" xfId="0" applyFont="1" applyFill="1" applyBorder="1" applyAlignment="1">
      <alignment horizontal="center" vertical="center"/>
    </xf>
    <xf numFmtId="0" fontId="3" fillId="11" borderId="23" xfId="0" applyFont="1" applyFill="1" applyBorder="1" applyAlignment="1">
      <alignment horizontal="center" vertical="center"/>
    </xf>
    <xf numFmtId="0" fontId="0" fillId="11" borderId="22" xfId="3" applyFont="1" applyFill="1" applyBorder="1" applyAlignment="1">
      <alignment horizontal="center" vertical="center"/>
    </xf>
    <xf numFmtId="0" fontId="0" fillId="11" borderId="24" xfId="3" applyFont="1" applyFill="1" applyBorder="1" applyAlignment="1">
      <alignment horizontal="center" vertical="center"/>
    </xf>
    <xf numFmtId="0" fontId="0" fillId="11" borderId="23" xfId="3" applyFont="1" applyFill="1" applyBorder="1" applyAlignment="1">
      <alignment horizontal="center" vertical="center"/>
    </xf>
    <xf numFmtId="0" fontId="46" fillId="11" borderId="22" xfId="0" applyFont="1" applyFill="1" applyBorder="1" applyAlignment="1">
      <alignment horizontal="center" vertical="center"/>
    </xf>
    <xf numFmtId="0" fontId="46" fillId="11" borderId="24" xfId="0" applyFont="1" applyFill="1" applyBorder="1" applyAlignment="1">
      <alignment horizontal="center" vertical="center"/>
    </xf>
    <xf numFmtId="0" fontId="46" fillId="11" borderId="23" xfId="0" applyFont="1" applyFill="1" applyBorder="1" applyAlignment="1">
      <alignment horizontal="center" vertical="center"/>
    </xf>
    <xf numFmtId="3" fontId="0" fillId="11" borderId="22" xfId="0" applyNumberFormat="1" applyFill="1" applyBorder="1" applyAlignment="1">
      <alignment horizontal="center" vertical="center"/>
    </xf>
    <xf numFmtId="3" fontId="0" fillId="11" borderId="24" xfId="0" applyNumberFormat="1" applyFill="1" applyBorder="1" applyAlignment="1">
      <alignment horizontal="center" vertical="center"/>
    </xf>
    <xf numFmtId="3" fontId="0" fillId="11" borderId="23" xfId="0" applyNumberFormat="1" applyFill="1" applyBorder="1" applyAlignment="1">
      <alignment horizontal="center" vertical="center"/>
    </xf>
    <xf numFmtId="0" fontId="0" fillId="11" borderId="22" xfId="0" applyFill="1" applyBorder="1" applyAlignment="1">
      <alignment horizontal="center" vertical="center"/>
    </xf>
    <xf numFmtId="0" fontId="0" fillId="11" borderId="24" xfId="0" applyFill="1" applyBorder="1" applyAlignment="1">
      <alignment horizontal="center" vertical="center"/>
    </xf>
    <xf numFmtId="0" fontId="0" fillId="11" borderId="23" xfId="0" applyFill="1" applyBorder="1" applyAlignment="1">
      <alignment horizontal="center" vertical="center"/>
    </xf>
    <xf numFmtId="0" fontId="23" fillId="13" borderId="0" xfId="0" applyFont="1" applyFill="1" applyAlignment="1">
      <alignment horizontal="center" vertical="center"/>
    </xf>
    <xf numFmtId="0" fontId="3" fillId="2" borderId="4" xfId="0" applyFont="1" applyFill="1" applyBorder="1" applyAlignment="1">
      <alignment horizontal="center" vertical="center"/>
    </xf>
    <xf numFmtId="0" fontId="3" fillId="2" borderId="5" xfId="0" applyFont="1" applyFill="1" applyBorder="1" applyAlignment="1">
      <alignment horizontal="center" vertical="center"/>
    </xf>
    <xf numFmtId="0" fontId="3" fillId="2" borderId="25" xfId="0" applyFont="1" applyFill="1" applyBorder="1" applyAlignment="1">
      <alignment horizontal="center" vertical="center"/>
    </xf>
    <xf numFmtId="0" fontId="26" fillId="13" borderId="0" xfId="0" applyFont="1" applyFill="1" applyBorder="1" applyAlignment="1">
      <alignment horizontal="center" vertical="center"/>
    </xf>
    <xf numFmtId="0" fontId="26" fillId="13" borderId="7" xfId="0" applyFont="1" applyFill="1" applyBorder="1" applyAlignment="1">
      <alignment horizontal="center" vertical="center"/>
    </xf>
    <xf numFmtId="0" fontId="28" fillId="13" borderId="6" xfId="0" applyFont="1" applyFill="1" applyBorder="1" applyAlignment="1">
      <alignment horizontal="center" vertical="center"/>
    </xf>
    <xf numFmtId="0" fontId="24" fillId="18" borderId="18" xfId="0" applyFont="1" applyFill="1" applyBorder="1" applyAlignment="1">
      <alignment horizontal="center" vertical="center"/>
    </xf>
    <xf numFmtId="0" fontId="24" fillId="18" borderId="21" xfId="0" applyFont="1" applyFill="1" applyBorder="1" applyAlignment="1">
      <alignment horizontal="center" vertical="center"/>
    </xf>
    <xf numFmtId="0" fontId="24" fillId="18" borderId="19" xfId="0" applyFont="1" applyFill="1" applyBorder="1" applyAlignment="1">
      <alignment horizontal="center" vertical="center"/>
    </xf>
    <xf numFmtId="14" fontId="24" fillId="5" borderId="4" xfId="0" applyNumberFormat="1" applyFont="1" applyFill="1" applyBorder="1" applyAlignment="1">
      <alignment horizontal="center" vertical="center"/>
    </xf>
    <xf numFmtId="14" fontId="24" fillId="5" borderId="25" xfId="0" applyNumberFormat="1" applyFont="1" applyFill="1" applyBorder="1" applyAlignment="1">
      <alignment horizontal="center" vertical="center"/>
    </xf>
    <xf numFmtId="0" fontId="24" fillId="6" borderId="18" xfId="0" applyFont="1" applyFill="1" applyBorder="1" applyAlignment="1">
      <alignment horizontal="left" vertical="center"/>
    </xf>
    <xf numFmtId="0" fontId="24" fillId="6" borderId="19" xfId="0" applyFont="1" applyFill="1" applyBorder="1" applyAlignment="1">
      <alignment horizontal="left" vertical="center"/>
    </xf>
    <xf numFmtId="179" fontId="24" fillId="7" borderId="10" xfId="0" applyNumberFormat="1" applyFont="1" applyFill="1" applyBorder="1" applyAlignment="1">
      <alignment horizontal="center" vertical="center"/>
    </xf>
    <xf numFmtId="179" fontId="24" fillId="7" borderId="8" xfId="0" applyNumberFormat="1" applyFont="1" applyFill="1" applyBorder="1" applyAlignment="1">
      <alignment horizontal="center" vertical="center"/>
    </xf>
    <xf numFmtId="179" fontId="24" fillId="7" borderId="17" xfId="0" applyNumberFormat="1" applyFont="1" applyFill="1" applyBorder="1" applyAlignment="1">
      <alignment horizontal="center" vertical="center"/>
    </xf>
    <xf numFmtId="179" fontId="24" fillId="8" borderId="1" xfId="0" applyNumberFormat="1" applyFont="1" applyFill="1" applyBorder="1" applyAlignment="1">
      <alignment horizontal="center" vertical="center"/>
    </xf>
    <xf numFmtId="179" fontId="24" fillId="8" borderId="2" xfId="0" applyNumberFormat="1" applyFont="1" applyFill="1" applyBorder="1" applyAlignment="1">
      <alignment horizontal="center" vertical="center"/>
    </xf>
    <xf numFmtId="0" fontId="9" fillId="5" borderId="4" xfId="0" applyFont="1" applyFill="1" applyBorder="1" applyAlignment="1">
      <alignment horizontal="center" vertical="center"/>
    </xf>
    <xf numFmtId="0" fontId="9" fillId="5" borderId="5" xfId="0" applyFont="1" applyFill="1" applyBorder="1" applyAlignment="1">
      <alignment horizontal="center" vertical="center"/>
    </xf>
    <xf numFmtId="0" fontId="9" fillId="5" borderId="25" xfId="0" applyFont="1" applyFill="1" applyBorder="1" applyAlignment="1">
      <alignment horizontal="center" vertical="center"/>
    </xf>
  </cellXfs>
  <cellStyles count="48">
    <cellStyle name="20% - 輔色1" xfId="25" builtinId="30" customBuiltin="1"/>
    <cellStyle name="20% - 輔色2" xfId="29" builtinId="34" customBuiltin="1"/>
    <cellStyle name="20% - 輔色3" xfId="33" builtinId="38" customBuiltin="1"/>
    <cellStyle name="20% - 輔色4" xfId="37" builtinId="42" customBuiltin="1"/>
    <cellStyle name="20% - 輔色5" xfId="41" builtinId="46" customBuiltin="1"/>
    <cellStyle name="20% - 輔色6" xfId="45" builtinId="50" customBuiltin="1"/>
    <cellStyle name="40% - 輔色1" xfId="26" builtinId="31" customBuiltin="1"/>
    <cellStyle name="40% - 輔色2" xfId="30" builtinId="35" customBuiltin="1"/>
    <cellStyle name="40% - 輔色3" xfId="34" builtinId="39" customBuiltin="1"/>
    <cellStyle name="40% - 輔色4" xfId="38" builtinId="43" customBuiltin="1"/>
    <cellStyle name="40% - 輔色5" xfId="42" builtinId="47" customBuiltin="1"/>
    <cellStyle name="40% - 輔色6" xfId="46" builtinId="51" customBuiltin="1"/>
    <cellStyle name="60% - 輔色1" xfId="27" builtinId="32" customBuiltin="1"/>
    <cellStyle name="60% - 輔色2" xfId="31" builtinId="36" customBuiltin="1"/>
    <cellStyle name="60% - 輔色3" xfId="35" builtinId="40" customBuiltin="1"/>
    <cellStyle name="60% - 輔色4" xfId="39" builtinId="44" customBuiltin="1"/>
    <cellStyle name="60% - 輔色5" xfId="43" builtinId="48" customBuiltin="1"/>
    <cellStyle name="60% - 輔色6" xfId="47" builtinId="52" customBuiltin="1"/>
    <cellStyle name="一般" xfId="0" builtinId="0"/>
    <cellStyle name="一般 2" xfId="4"/>
    <cellStyle name="一般 3" xfId="6"/>
    <cellStyle name="千分位" xfId="1" builtinId="3"/>
    <cellStyle name="中等" xfId="14" builtinId="28" customBuiltin="1"/>
    <cellStyle name="合計" xfId="23" builtinId="25" customBuiltin="1"/>
    <cellStyle name="好" xfId="12" builtinId="26" customBuiltin="1"/>
    <cellStyle name="百分比" xfId="2" builtinId="5"/>
    <cellStyle name="計算方式" xfId="17" builtinId="22" customBuiltin="1"/>
    <cellStyle name="連結的儲存格" xfId="18" builtinId="24" customBuiltin="1"/>
    <cellStyle name="備註" xfId="21" builtinId="10" customBuiltin="1"/>
    <cellStyle name="超連結" xfId="3" builtinId="8"/>
    <cellStyle name="超連結 2" xfId="5"/>
    <cellStyle name="說明文字" xfId="22" builtinId="53" customBuiltin="1"/>
    <cellStyle name="輔色1" xfId="24" builtinId="29" customBuiltin="1"/>
    <cellStyle name="輔色2" xfId="28" builtinId="33" customBuiltin="1"/>
    <cellStyle name="輔色3" xfId="32" builtinId="37" customBuiltin="1"/>
    <cellStyle name="輔色4" xfId="36" builtinId="41" customBuiltin="1"/>
    <cellStyle name="輔色5" xfId="40" builtinId="45" customBuiltin="1"/>
    <cellStyle name="輔色6" xfId="44" builtinId="49" customBuiltin="1"/>
    <cellStyle name="標題" xfId="7" builtinId="15" customBuiltin="1"/>
    <cellStyle name="標題 1" xfId="8" builtinId="16" customBuiltin="1"/>
    <cellStyle name="標題 2" xfId="9" builtinId="17" customBuiltin="1"/>
    <cellStyle name="標題 3" xfId="10" builtinId="18" customBuiltin="1"/>
    <cellStyle name="標題 4" xfId="11" builtinId="19" customBuiltin="1"/>
    <cellStyle name="輸入" xfId="15" builtinId="20" customBuiltin="1"/>
    <cellStyle name="輸出" xfId="16" builtinId="21" customBuiltin="1"/>
    <cellStyle name="檢查儲存格" xfId="19" builtinId="23" customBuiltin="1"/>
    <cellStyle name="壞" xfId="13" builtinId="27" customBuiltin="1"/>
    <cellStyle name="警告文字" xfId="20" builtinId="11" customBuiltin="1"/>
  </cellStyles>
  <dxfs count="0"/>
  <tableStyles count="0" defaultTableStyle="TableStyleMedium2" defaultPivotStyle="PivotStyleLight16"/>
  <colors>
    <mruColors>
      <color rgb="FFFF66FF"/>
      <color rgb="FFFF33CC"/>
      <color rgb="FFCCCC00"/>
      <color rgb="FF66FF33"/>
      <color rgb="FF3366FF"/>
      <color rgb="FF0066FF"/>
      <color rgb="FF0000FF"/>
      <color rgb="FF33CC33"/>
      <color rgb="FFFFCC00"/>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charts/_rels/chart6.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7.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8.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9.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0.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lang val="zh-TW"/>
  <c:roundedCorners val="1"/>
  <c:chart>
    <c:plotArea>
      <c:layout>
        <c:manualLayout>
          <c:layoutTarget val="inner"/>
          <c:xMode val="edge"/>
          <c:yMode val="edge"/>
          <c:x val="0.12810439137797372"/>
          <c:y val="4.5933481751079669E-2"/>
          <c:w val="0.76221684270162782"/>
          <c:h val="0.88956875746568831"/>
        </c:manualLayout>
      </c:layout>
      <c:barChart>
        <c:barDir val="col"/>
        <c:grouping val="clustered"/>
        <c:ser>
          <c:idx val="0"/>
          <c:order val="0"/>
          <c:tx>
            <c:v>營收</c:v>
          </c:tx>
          <c:spPr>
            <a:solidFill>
              <a:srgbClr val="0070C0"/>
            </a:solidFill>
            <a:scene3d>
              <a:camera prst="orthographicFront"/>
              <a:lightRig rig="threePt" dir="t"/>
            </a:scene3d>
            <a:sp3d>
              <a:bevelT/>
              <a:bevelB prst="angle"/>
            </a:sp3d>
          </c:spPr>
          <c:dPt>
            <c:idx val="8"/>
            <c:spPr>
              <a:solidFill>
                <a:srgbClr val="FFFF00"/>
              </a:solidFill>
              <a:scene3d>
                <a:camera prst="orthographicFront"/>
                <a:lightRig rig="threePt" dir="t"/>
              </a:scene3d>
              <a:sp3d>
                <a:bevelT/>
                <a:bevelB prst="angle"/>
              </a:sp3d>
            </c:spPr>
            <c:extLst xmlns:c16r2="http://schemas.microsoft.com/office/drawing/2015/06/chart">
              <c:ext xmlns:c16="http://schemas.microsoft.com/office/drawing/2014/chart" uri="{C3380CC4-5D6E-409C-BE32-E72D297353CC}">
                <c16:uniqueId val="{00000001-666E-496E-9BF5-6C0D0281123E}"/>
              </c:ext>
            </c:extLst>
          </c:dPt>
          <c:dLbls>
            <c:dLbl>
              <c:idx val="0"/>
              <c:layout>
                <c:manualLayout>
                  <c:x val="0.67289211718995279"/>
                  <c:y val="2.9585798816568046E-2"/>
                </c:manualLayout>
              </c:layout>
              <c:tx>
                <c:rich>
                  <a:bodyPr wrap="square" lIns="38100" tIns="19050" rIns="38100" bIns="19050" anchor="ctr">
                    <a:spAutoFit/>
                  </a:bodyPr>
                  <a:lstStyle/>
                  <a:p>
                    <a:pPr>
                      <a:defRPr sz="1400" b="1">
                        <a:solidFill>
                          <a:schemeClr val="accent2">
                            <a:lumMod val="75000"/>
                          </a:schemeClr>
                        </a:solidFill>
                      </a:defRPr>
                    </a:pPr>
                    <a:fld id="{45629CBB-0496-4B94-805F-AFF136A21DFC}" type="CELLRANGE">
                      <a:rPr lang="en-US" altLang="zh-TW"/>
                      <a:pPr>
                        <a:defRPr sz="1400" b="1">
                          <a:solidFill>
                            <a:schemeClr val="accent2">
                              <a:lumMod val="75000"/>
                            </a:schemeClr>
                          </a:solidFill>
                        </a:defRPr>
                      </a:pPr>
                      <a:t>[CELLRANGE]</a:t>
                    </a:fld>
                    <a:endParaRPr lang="zh-TW" altLang="en-US"/>
                  </a:p>
                </c:rich>
              </c:tx>
              <c:spPr>
                <a:noFill/>
                <a:ln>
                  <a:noFill/>
                </a:ln>
                <a:effectLst/>
              </c:spPr>
              <c:dLblPos val="outEnd"/>
              <c:extLst>
                <c:ext xmlns:c15="http://schemas.microsoft.com/office/drawing/2012/chart" uri="{CE6537A1-D6FC-4f65-9D91-7224C49458BB}">
                  <c15:layout/>
                  <c15:dlblFieldTable/>
                  <c15:showDataLabelsRange val="1"/>
                </c:ext>
              </c:extLst>
            </c:dLbl>
            <c:dLbl>
              <c:idx val="1"/>
              <c:delete val="1"/>
              <c:extLst xmlns:c16r2="http://schemas.microsoft.com/office/drawing/2015/06/chart">
                <c:ext xmlns:c16="http://schemas.microsoft.com/office/drawing/2014/chart" uri="{C3380CC4-5D6E-409C-BE32-E72D297353CC}">
                  <c16:uniqueId val="{00000003-131A-4055-932F-52219C33D580}"/>
                </c:ext>
                <c:ext xmlns:c15="http://schemas.microsoft.com/office/drawing/2012/chart" uri="{CE6537A1-D6FC-4f65-9D91-7224C49458BB}"/>
              </c:extLst>
            </c:dLbl>
            <c:dLbl>
              <c:idx val="2"/>
              <c:delete val="1"/>
              <c:extLst xmlns:c16r2="http://schemas.microsoft.com/office/drawing/2015/06/chart">
                <c:ext xmlns:c16="http://schemas.microsoft.com/office/drawing/2014/chart" uri="{C3380CC4-5D6E-409C-BE32-E72D297353CC}">
                  <c16:uniqueId val="{00000004-131A-4055-932F-52219C33D580}"/>
                </c:ext>
                <c:ext xmlns:c15="http://schemas.microsoft.com/office/drawing/2012/chart" uri="{CE6537A1-D6FC-4f65-9D91-7224C49458BB}"/>
              </c:extLst>
            </c:dLbl>
            <c:dLbl>
              <c:idx val="3"/>
              <c:delete val="1"/>
              <c:extLst xmlns:c16r2="http://schemas.microsoft.com/office/drawing/2015/06/chart">
                <c:ext xmlns:c16="http://schemas.microsoft.com/office/drawing/2014/chart" uri="{C3380CC4-5D6E-409C-BE32-E72D297353CC}">
                  <c16:uniqueId val="{00000005-131A-4055-932F-52219C33D580}"/>
                </c:ext>
                <c:ext xmlns:c15="http://schemas.microsoft.com/office/drawing/2012/chart" uri="{CE6537A1-D6FC-4f65-9D91-7224C49458BB}"/>
              </c:extLst>
            </c:dLbl>
            <c:dLbl>
              <c:idx val="4"/>
              <c:delete val="1"/>
              <c:extLst xmlns:c16r2="http://schemas.microsoft.com/office/drawing/2015/06/chart">
                <c:ext xmlns:c16="http://schemas.microsoft.com/office/drawing/2014/chart" uri="{C3380CC4-5D6E-409C-BE32-E72D297353CC}">
                  <c16:uniqueId val="{00000006-131A-4055-932F-52219C33D580}"/>
                </c:ext>
                <c:ext xmlns:c15="http://schemas.microsoft.com/office/drawing/2012/chart" uri="{CE6537A1-D6FC-4f65-9D91-7224C49458BB}"/>
              </c:extLst>
            </c:dLbl>
            <c:dLbl>
              <c:idx val="5"/>
              <c:delete val="1"/>
              <c:extLst xmlns:c16r2="http://schemas.microsoft.com/office/drawing/2015/06/chart">
                <c:ext xmlns:c16="http://schemas.microsoft.com/office/drawing/2014/chart" uri="{C3380CC4-5D6E-409C-BE32-E72D297353CC}">
                  <c16:uniqueId val="{00000007-131A-4055-932F-52219C33D580}"/>
                </c:ext>
                <c:ext xmlns:c15="http://schemas.microsoft.com/office/drawing/2012/chart" uri="{CE6537A1-D6FC-4f65-9D91-7224C49458BB}"/>
              </c:extLst>
            </c:dLbl>
            <c:dLbl>
              <c:idx val="6"/>
              <c:delete val="1"/>
              <c:extLst xmlns:c16r2="http://schemas.microsoft.com/office/drawing/2015/06/chart">
                <c:ext xmlns:c16="http://schemas.microsoft.com/office/drawing/2014/chart" uri="{C3380CC4-5D6E-409C-BE32-E72D297353CC}">
                  <c16:uniqueId val="{00000008-131A-4055-932F-52219C33D580}"/>
                </c:ext>
                <c:ext xmlns:c15="http://schemas.microsoft.com/office/drawing/2012/chart" uri="{CE6537A1-D6FC-4f65-9D91-7224C49458BB}"/>
              </c:extLst>
            </c:dLbl>
            <c:dLbl>
              <c:idx val="7"/>
              <c:delete val="1"/>
              <c:extLst xmlns:c16r2="http://schemas.microsoft.com/office/drawing/2015/06/chart">
                <c:ext xmlns:c16="http://schemas.microsoft.com/office/drawing/2014/chart" uri="{C3380CC4-5D6E-409C-BE32-E72D297353CC}">
                  <c16:uniqueId val="{00000009-131A-4055-932F-52219C33D580}"/>
                </c:ext>
                <c:ext xmlns:c15="http://schemas.microsoft.com/office/drawing/2012/chart" uri="{CE6537A1-D6FC-4f65-9D91-7224C49458BB}"/>
              </c:extLst>
            </c:dLbl>
            <c:dLbl>
              <c:idx val="8"/>
              <c:delete val="1"/>
              <c:extLst xmlns:c16r2="http://schemas.microsoft.com/office/drawing/2015/06/chart">
                <c:ext xmlns:c16="http://schemas.microsoft.com/office/drawing/2014/chart" uri="{C3380CC4-5D6E-409C-BE32-E72D297353CC}">
                  <c16:uniqueId val="{00000001-666E-496E-9BF5-6C0D0281123E}"/>
                </c:ext>
                <c:ext xmlns:c15="http://schemas.microsoft.com/office/drawing/2012/chart" uri="{CE6537A1-D6FC-4f65-9D91-7224C49458BB}"/>
              </c:extLst>
            </c:dLbl>
            <c:delete val="1"/>
            <c:spPr>
              <a:solidFill>
                <a:srgbClr val="0066FF"/>
              </a:solidFill>
              <a:ln>
                <a:noFill/>
              </a:ln>
              <a:effectLst/>
            </c:spPr>
            <c:txPr>
              <a:bodyPr wrap="square" lIns="38100" tIns="19050" rIns="38100" bIns="19050" anchor="ctr">
                <a:spAutoFit/>
              </a:bodyPr>
              <a:lstStyle/>
              <a:p>
                <a:pPr>
                  <a:defRPr sz="1600" b="1">
                    <a:solidFill>
                      <a:srgbClr val="FFFF00"/>
                    </a:solidFill>
                  </a:defRPr>
                </a:pPr>
                <a:endParaRPr lang="zh-TW"/>
              </a:p>
            </c:txPr>
            <c:dLblPos val="outEnd"/>
            <c:extLst xmlns:c16r2="http://schemas.microsoft.com/office/drawing/2015/06/chart">
              <c:ext xmlns:c15="http://schemas.microsoft.com/office/drawing/2012/chart" uri="{CE6537A1-D6FC-4f65-9D91-7224C49458BB}">
                <c15:showDataLabelsRange val="1"/>
                <c15:showLeaderLines val="0"/>
              </c:ext>
            </c:extLst>
          </c:dLbls>
          <c:cat>
            <c:strRef>
              <c:f>紅綠燈!$O$2:$V$2</c:f>
              <c:strCache>
                <c:ptCount val="8"/>
                <c:pt idx="0">
                  <c:v>Q-7</c:v>
                </c:pt>
                <c:pt idx="1">
                  <c:v>Q-6</c:v>
                </c:pt>
                <c:pt idx="2">
                  <c:v>Q-5</c:v>
                </c:pt>
                <c:pt idx="3">
                  <c:v>1855</c:v>
                </c:pt>
                <c:pt idx="4">
                  <c:v>Q-3</c:v>
                </c:pt>
                <c:pt idx="5">
                  <c:v>Q-2</c:v>
                </c:pt>
                <c:pt idx="6">
                  <c:v>Q-1</c:v>
                </c:pt>
                <c:pt idx="7">
                  <c:v>Q</c:v>
                </c:pt>
              </c:strCache>
            </c:strRef>
          </c:cat>
          <c:val>
            <c:numRef>
              <c:f>(紅綠燈!$O$3:$V$3,紅綠燈!$AK$1)</c:f>
              <c:numCache>
                <c:formatCode>General</c:formatCode>
                <c:ptCount val="9"/>
                <c:pt idx="0">
                  <c:v>2765</c:v>
                </c:pt>
                <c:pt idx="1">
                  <c:v>2658</c:v>
                </c:pt>
                <c:pt idx="2">
                  <c:v>2161</c:v>
                </c:pt>
                <c:pt idx="3">
                  <c:v>2352</c:v>
                </c:pt>
                <c:pt idx="4">
                  <c:v>2633</c:v>
                </c:pt>
                <c:pt idx="5">
                  <c:v>2321</c:v>
                </c:pt>
                <c:pt idx="6">
                  <c:v>2047</c:v>
                </c:pt>
                <c:pt idx="7">
                  <c:v>2312</c:v>
                </c:pt>
                <c:pt idx="8">
                  <c:v>2575</c:v>
                </c:pt>
              </c:numCache>
            </c:numRef>
          </c:val>
          <c:extLst xmlns:c16r2="http://schemas.microsoft.com/office/drawing/2015/06/chart">
            <c:ext xmlns:c16="http://schemas.microsoft.com/office/drawing/2014/chart" uri="{C3380CC4-5D6E-409C-BE32-E72D297353CC}">
              <c16:uniqueId val="{00000002-666E-496E-9BF5-6C0D0281123E}"/>
            </c:ext>
            <c:ext xmlns:c15="http://schemas.microsoft.com/office/drawing/2012/chart" uri="{02D57815-91ED-43cb-92C2-25804820EDAC}">
              <c15:datalabelsRange>
                <c15:f>紅綠燈!$AF$1</c15:f>
                <c15:dlblRangeCache>
                  <c:ptCount val="1"/>
                  <c:pt idx="0">
                    <c:v>11%/-2%</c:v>
                  </c:pt>
                </c15:dlblRangeCache>
              </c15:datalabelsRange>
            </c:ext>
          </c:extLst>
        </c:ser>
        <c:dLbls/>
        <c:gapWidth val="85"/>
        <c:overlap val="-2"/>
        <c:axId val="155453312"/>
        <c:axId val="155454848"/>
      </c:barChart>
      <c:lineChart>
        <c:grouping val="standard"/>
        <c:ser>
          <c:idx val="1"/>
          <c:order val="1"/>
          <c:tx>
            <c:strRef>
              <c:f>紅綠燈!$N$22</c:f>
              <c:strCache>
                <c:ptCount val="1"/>
                <c:pt idx="0">
                  <c:v>毛利率</c:v>
                </c:pt>
              </c:strCache>
            </c:strRef>
          </c:tx>
          <c:spPr>
            <a:ln w="44450">
              <a:solidFill>
                <a:srgbClr val="FF0000"/>
              </a:solidFill>
            </a:ln>
          </c:spPr>
          <c:marker>
            <c:symbol val="none"/>
          </c:marker>
          <c:val>
            <c:numRef>
              <c:f>紅綠燈!$O$22:$V$22</c:f>
              <c:numCache>
                <c:formatCode>0%</c:formatCode>
                <c:ptCount val="8"/>
                <c:pt idx="0">
                  <c:v>0.22820976491862568</c:v>
                </c:pt>
                <c:pt idx="1">
                  <c:v>0.24341610233258087</c:v>
                </c:pt>
                <c:pt idx="2">
                  <c:v>0.22582137899120777</c:v>
                </c:pt>
                <c:pt idx="3">
                  <c:v>0.21343537414965985</c:v>
                </c:pt>
                <c:pt idx="4">
                  <c:v>0.22825674135966578</c:v>
                </c:pt>
                <c:pt idx="5">
                  <c:v>0.23007324429125378</c:v>
                </c:pt>
                <c:pt idx="6">
                  <c:v>0.24621397166585246</c:v>
                </c:pt>
                <c:pt idx="7">
                  <c:v>0.21107266435986158</c:v>
                </c:pt>
              </c:numCache>
            </c:numRef>
          </c:val>
          <c:smooth val="1"/>
          <c:extLst xmlns:c16r2="http://schemas.microsoft.com/office/drawing/2015/06/chart">
            <c:ext xmlns:c16="http://schemas.microsoft.com/office/drawing/2014/chart" uri="{C3380CC4-5D6E-409C-BE32-E72D297353CC}">
              <c16:uniqueId val="{00000003-666E-496E-9BF5-6C0D0281123E}"/>
            </c:ext>
          </c:extLst>
        </c:ser>
        <c:ser>
          <c:idx val="2"/>
          <c:order val="2"/>
          <c:tx>
            <c:strRef>
              <c:f>紅綠燈!$N$23</c:f>
              <c:strCache>
                <c:ptCount val="1"/>
                <c:pt idx="0">
                  <c:v>淨利率</c:v>
                </c:pt>
              </c:strCache>
            </c:strRef>
          </c:tx>
          <c:spPr>
            <a:ln w="44450">
              <a:solidFill>
                <a:schemeClr val="accent2">
                  <a:lumMod val="75000"/>
                </a:schemeClr>
              </a:solidFill>
            </a:ln>
          </c:spPr>
          <c:marker>
            <c:symbol val="none"/>
          </c:marker>
          <c:val>
            <c:numRef>
              <c:f>紅綠燈!$O$23:$V$23</c:f>
              <c:numCache>
                <c:formatCode>0%</c:formatCode>
                <c:ptCount val="8"/>
                <c:pt idx="0">
                  <c:v>8.6799276672694395E-2</c:v>
                </c:pt>
                <c:pt idx="1">
                  <c:v>9.5184349134687735E-2</c:v>
                </c:pt>
                <c:pt idx="2">
                  <c:v>7.3577047663118927E-2</c:v>
                </c:pt>
                <c:pt idx="3">
                  <c:v>7.3979591836734693E-2</c:v>
                </c:pt>
                <c:pt idx="4">
                  <c:v>0.10482339536650209</c:v>
                </c:pt>
                <c:pt idx="5">
                  <c:v>7.8414476518741921E-2</c:v>
                </c:pt>
                <c:pt idx="6">
                  <c:v>7.4743527112848068E-2</c:v>
                </c:pt>
                <c:pt idx="7">
                  <c:v>8.8235294117647065E-2</c:v>
                </c:pt>
              </c:numCache>
            </c:numRef>
          </c:val>
          <c:smooth val="1"/>
          <c:extLst xmlns:c16r2="http://schemas.microsoft.com/office/drawing/2015/06/chart">
            <c:ext xmlns:c16="http://schemas.microsoft.com/office/drawing/2014/chart" uri="{C3380CC4-5D6E-409C-BE32-E72D297353CC}">
              <c16:uniqueId val="{00000004-666E-496E-9BF5-6C0D0281123E}"/>
            </c:ext>
          </c:extLst>
        </c:ser>
        <c:dLbls/>
        <c:marker val="1"/>
        <c:axId val="155474560"/>
        <c:axId val="155473024"/>
      </c:lineChart>
      <c:catAx>
        <c:axId val="155453312"/>
        <c:scaling>
          <c:orientation val="minMax"/>
        </c:scaling>
        <c:delete val="1"/>
        <c:axPos val="b"/>
        <c:numFmt formatCode="General" sourceLinked="0"/>
        <c:majorTickMark val="none"/>
        <c:tickLblPos val="none"/>
        <c:crossAx val="155454848"/>
        <c:crosses val="autoZero"/>
        <c:auto val="1"/>
        <c:lblAlgn val="ctr"/>
        <c:lblOffset val="100"/>
      </c:catAx>
      <c:valAx>
        <c:axId val="155454848"/>
        <c:scaling>
          <c:orientation val="minMax"/>
        </c:scaling>
        <c:axPos val="l"/>
        <c:numFmt formatCode="General" sourceLinked="1"/>
        <c:majorTickMark val="none"/>
        <c:tickLblPos val="nextTo"/>
        <c:txPr>
          <a:bodyPr/>
          <a:lstStyle/>
          <a:p>
            <a:pPr>
              <a:defRPr sz="1200" b="1"/>
            </a:pPr>
            <a:endParaRPr lang="zh-TW"/>
          </a:p>
        </c:txPr>
        <c:crossAx val="155453312"/>
        <c:crosses val="autoZero"/>
        <c:crossBetween val="between"/>
      </c:valAx>
      <c:valAx>
        <c:axId val="155473024"/>
        <c:scaling>
          <c:orientation val="minMax"/>
        </c:scaling>
        <c:axPos val="r"/>
        <c:numFmt formatCode="0%" sourceLinked="1"/>
        <c:majorTickMark val="none"/>
        <c:tickLblPos val="nextTo"/>
        <c:spPr>
          <a:ln>
            <a:noFill/>
          </a:ln>
        </c:spPr>
        <c:txPr>
          <a:bodyPr/>
          <a:lstStyle/>
          <a:p>
            <a:pPr>
              <a:defRPr sz="1100" b="0"/>
            </a:pPr>
            <a:endParaRPr lang="zh-TW"/>
          </a:p>
        </c:txPr>
        <c:crossAx val="155474560"/>
        <c:crosses val="max"/>
        <c:crossBetween val="between"/>
      </c:valAx>
      <c:catAx>
        <c:axId val="155474560"/>
        <c:scaling>
          <c:orientation val="minMax"/>
        </c:scaling>
        <c:delete val="1"/>
        <c:axPos val="b"/>
        <c:tickLblPos val="none"/>
        <c:crossAx val="155473024"/>
        <c:crosses val="autoZero"/>
        <c:auto val="1"/>
        <c:lblAlgn val="ctr"/>
        <c:lblOffset val="100"/>
      </c:catAx>
      <c:spPr>
        <a:noFill/>
        <a:ln w="15875">
          <a:solidFill>
            <a:schemeClr val="tx1"/>
          </a:solidFill>
        </a:ln>
      </c:spPr>
    </c:plotArea>
    <c:plotVisOnly val="1"/>
    <c:dispBlanksAs val="gap"/>
  </c:chart>
  <c:spPr>
    <a:noFill/>
    <a:ln w="22225">
      <a:solidFill>
        <a:schemeClr val="tx1"/>
      </a:solidFill>
    </a:ln>
  </c:spPr>
  <c:printSettings>
    <c:headerFooter/>
    <c:pageMargins b="0.75000000000000144" l="0.70000000000000062" r="0.70000000000000062" t="0.75000000000000144"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zh-TW"/>
  <c:roundedCorners val="1"/>
  <c:chart>
    <c:plotArea>
      <c:layout>
        <c:manualLayout>
          <c:layoutTarget val="inner"/>
          <c:xMode val="edge"/>
          <c:yMode val="edge"/>
          <c:x val="0.15033594460637043"/>
          <c:y val="4.9912096921546176E-2"/>
          <c:w val="0.76189799477770637"/>
          <c:h val="0.88229882850009611"/>
        </c:manualLayout>
      </c:layout>
      <c:areaChart>
        <c:grouping val="stacked"/>
        <c:ser>
          <c:idx val="3"/>
          <c:order val="3"/>
          <c:spPr>
            <a:solidFill>
              <a:schemeClr val="tx1"/>
            </a:solidFill>
            <a:ln w="25400">
              <a:solidFill>
                <a:schemeClr val="tx1">
                  <a:lumMod val="50000"/>
                  <a:lumOff val="50000"/>
                </a:schemeClr>
              </a:solidFill>
            </a:ln>
          </c:spPr>
          <c:val>
            <c:numRef>
              <c:f>紅綠燈!$O$46:$V$46</c:f>
              <c:numCache>
                <c:formatCode>0%</c:formatCode>
                <c:ptCount val="8"/>
              </c:numCache>
            </c:numRef>
          </c:val>
          <c:extLst xmlns:c16r2="http://schemas.microsoft.com/office/drawing/2015/06/chart">
            <c:ext xmlns:c16="http://schemas.microsoft.com/office/drawing/2014/chart" uri="{C3380CC4-5D6E-409C-BE32-E72D297353CC}">
              <c16:uniqueId val="{00000000-4E9E-40AB-AF69-5AF7933AB79D}"/>
            </c:ext>
          </c:extLst>
        </c:ser>
        <c:dLbls/>
        <c:axId val="182801536"/>
        <c:axId val="182787456"/>
      </c:areaChart>
      <c:lineChart>
        <c:grouping val="standard"/>
        <c:ser>
          <c:idx val="0"/>
          <c:order val="0"/>
          <c:tx>
            <c:strRef>
              <c:f>紅綠燈!$N$26</c:f>
              <c:strCache>
                <c:ptCount val="1"/>
                <c:pt idx="0">
                  <c:v>收款天數</c:v>
                </c:pt>
              </c:strCache>
            </c:strRef>
          </c:tx>
          <c:spPr>
            <a:ln w="44450">
              <a:solidFill>
                <a:srgbClr val="0000FF"/>
              </a:solidFill>
            </a:ln>
          </c:spPr>
          <c:marker>
            <c:symbol val="none"/>
          </c:marker>
          <c:cat>
            <c:strRef>
              <c:f>紅綠燈!$O$2:$V$2</c:f>
              <c:strCache>
                <c:ptCount val="8"/>
                <c:pt idx="0">
                  <c:v>Q-7</c:v>
                </c:pt>
                <c:pt idx="1">
                  <c:v>Q-6</c:v>
                </c:pt>
                <c:pt idx="2">
                  <c:v>Q-5</c:v>
                </c:pt>
                <c:pt idx="3">
                  <c:v>1855</c:v>
                </c:pt>
                <c:pt idx="4">
                  <c:v>Q-3</c:v>
                </c:pt>
                <c:pt idx="5">
                  <c:v>Q-2</c:v>
                </c:pt>
                <c:pt idx="6">
                  <c:v>Q-1</c:v>
                </c:pt>
                <c:pt idx="7">
                  <c:v>Q</c:v>
                </c:pt>
              </c:strCache>
            </c:strRef>
          </c:cat>
          <c:val>
            <c:numRef>
              <c:f>紅綠燈!$O$26:$V$26</c:f>
              <c:numCache>
                <c:formatCode>0_);[Red]\(0\)</c:formatCode>
                <c:ptCount val="8"/>
                <c:pt idx="0">
                  <c:v>150.26382618510158</c:v>
                </c:pt>
                <c:pt idx="1">
                  <c:v>150.26382618510158</c:v>
                </c:pt>
                <c:pt idx="2">
                  <c:v>176.3350300786673</c:v>
                </c:pt>
                <c:pt idx="3">
                  <c:v>147.75749362244898</c:v>
                </c:pt>
                <c:pt idx="4">
                  <c:v>140.5832225598177</c:v>
                </c:pt>
                <c:pt idx="5">
                  <c:v>166.34155536406723</c:v>
                </c:pt>
                <c:pt idx="6">
                  <c:v>166.71958964338054</c:v>
                </c:pt>
                <c:pt idx="7">
                  <c:v>136.20404411764707</c:v>
                </c:pt>
              </c:numCache>
            </c:numRef>
          </c:val>
          <c:smooth val="1"/>
          <c:extLst xmlns:c16r2="http://schemas.microsoft.com/office/drawing/2015/06/chart">
            <c:ext xmlns:c16="http://schemas.microsoft.com/office/drawing/2014/chart" uri="{C3380CC4-5D6E-409C-BE32-E72D297353CC}">
              <c16:uniqueId val="{00000001-4E9E-40AB-AF69-5AF7933AB79D}"/>
            </c:ext>
          </c:extLst>
        </c:ser>
        <c:ser>
          <c:idx val="1"/>
          <c:order val="1"/>
          <c:tx>
            <c:strRef>
              <c:f>紅綠燈!$N$27</c:f>
              <c:strCache>
                <c:ptCount val="1"/>
                <c:pt idx="0">
                  <c:v>出貨天數</c:v>
                </c:pt>
              </c:strCache>
            </c:strRef>
          </c:tx>
          <c:spPr>
            <a:ln w="44450">
              <a:solidFill>
                <a:srgbClr val="FF0000"/>
              </a:solidFill>
            </a:ln>
          </c:spPr>
          <c:marker>
            <c:symbol val="none"/>
          </c:marker>
          <c:val>
            <c:numRef>
              <c:f>紅綠燈!$O$27:$V$27</c:f>
              <c:numCache>
                <c:formatCode>0_);[Red]\(0\)</c:formatCode>
                <c:ptCount val="8"/>
                <c:pt idx="0">
                  <c:v>28.223520636499256</c:v>
                </c:pt>
                <c:pt idx="1">
                  <c:v>28.223520636499256</c:v>
                </c:pt>
                <c:pt idx="2">
                  <c:v>36.625448296473401</c:v>
                </c:pt>
                <c:pt idx="3">
                  <c:v>33.096621621621622</c:v>
                </c:pt>
                <c:pt idx="4">
                  <c:v>28.717704232283463</c:v>
                </c:pt>
                <c:pt idx="5">
                  <c:v>31.174104644655849</c:v>
                </c:pt>
                <c:pt idx="6">
                  <c:v>33.265149060272194</c:v>
                </c:pt>
                <c:pt idx="7">
                  <c:v>27.990337171052634</c:v>
                </c:pt>
              </c:numCache>
            </c:numRef>
          </c:val>
          <c:smooth val="1"/>
          <c:extLst xmlns:c16r2="http://schemas.microsoft.com/office/drawing/2015/06/chart">
            <c:ext xmlns:c16="http://schemas.microsoft.com/office/drawing/2014/chart" uri="{C3380CC4-5D6E-409C-BE32-E72D297353CC}">
              <c16:uniqueId val="{00000002-4E9E-40AB-AF69-5AF7933AB79D}"/>
            </c:ext>
          </c:extLst>
        </c:ser>
        <c:ser>
          <c:idx val="2"/>
          <c:order val="2"/>
          <c:tx>
            <c:strRef>
              <c:f>紅綠燈!$N$25</c:f>
              <c:strCache>
                <c:ptCount val="1"/>
                <c:pt idx="0">
                  <c:v>付款天數</c:v>
                </c:pt>
              </c:strCache>
            </c:strRef>
          </c:tx>
          <c:spPr>
            <a:ln w="31750">
              <a:solidFill>
                <a:schemeClr val="accent6">
                  <a:lumMod val="75000"/>
                </a:schemeClr>
              </a:solidFill>
              <a:prstDash val="sysDash"/>
            </a:ln>
          </c:spPr>
          <c:marker>
            <c:symbol val="none"/>
          </c:marker>
          <c:val>
            <c:numRef>
              <c:f>紅綠燈!$O$25:$V$25</c:f>
              <c:numCache>
                <c:formatCode>0_);[Red]\(0\)</c:formatCode>
                <c:ptCount val="8"/>
                <c:pt idx="0">
                  <c:v>102.54848334162108</c:v>
                </c:pt>
                <c:pt idx="1">
                  <c:v>102.54848334162108</c:v>
                </c:pt>
                <c:pt idx="2">
                  <c:v>113.80342199641363</c:v>
                </c:pt>
                <c:pt idx="3">
                  <c:v>94.604054054054046</c:v>
                </c:pt>
                <c:pt idx="4">
                  <c:v>91.901144192913378</c:v>
                </c:pt>
                <c:pt idx="5">
                  <c:v>103.45411303861221</c:v>
                </c:pt>
                <c:pt idx="6">
                  <c:v>105.85709656513286</c:v>
                </c:pt>
                <c:pt idx="7">
                  <c:v>88.198327850877192</c:v>
                </c:pt>
              </c:numCache>
            </c:numRef>
          </c:val>
          <c:smooth val="1"/>
          <c:extLst xmlns:c16r2="http://schemas.microsoft.com/office/drawing/2015/06/chart">
            <c:ext xmlns:c16="http://schemas.microsoft.com/office/drawing/2014/chart" uri="{C3380CC4-5D6E-409C-BE32-E72D297353CC}">
              <c16:uniqueId val="{00000003-4E9E-40AB-AF69-5AF7933AB79D}"/>
            </c:ext>
          </c:extLst>
        </c:ser>
        <c:dLbls/>
        <c:marker val="1"/>
        <c:axId val="182784384"/>
        <c:axId val="182785920"/>
      </c:lineChart>
      <c:catAx>
        <c:axId val="182784384"/>
        <c:scaling>
          <c:orientation val="minMax"/>
        </c:scaling>
        <c:delete val="1"/>
        <c:axPos val="b"/>
        <c:numFmt formatCode="General" sourceLinked="0"/>
        <c:majorTickMark val="none"/>
        <c:tickLblPos val="none"/>
        <c:crossAx val="182785920"/>
        <c:crosses val="autoZero"/>
        <c:auto val="1"/>
        <c:lblAlgn val="ctr"/>
        <c:lblOffset val="100"/>
      </c:catAx>
      <c:valAx>
        <c:axId val="182785920"/>
        <c:scaling>
          <c:orientation val="minMax"/>
          <c:max val="212.60203609440077"/>
          <c:min val="21.39226973684211"/>
        </c:scaling>
        <c:axPos val="l"/>
        <c:numFmt formatCode="#,##0_);[Red]\(#,##0\)" sourceLinked="0"/>
        <c:majorTickMark val="none"/>
        <c:tickLblPos val="nextTo"/>
        <c:txPr>
          <a:bodyPr/>
          <a:lstStyle/>
          <a:p>
            <a:pPr>
              <a:defRPr sz="1200" b="1"/>
            </a:pPr>
            <a:endParaRPr lang="zh-TW"/>
          </a:p>
        </c:txPr>
        <c:crossAx val="182784384"/>
        <c:crosses val="autoZero"/>
        <c:crossBetween val="between"/>
      </c:valAx>
      <c:valAx>
        <c:axId val="182787456"/>
        <c:scaling>
          <c:orientation val="minMax"/>
          <c:min val="0"/>
        </c:scaling>
        <c:axPos val="r"/>
        <c:numFmt formatCode="0%" sourceLinked="1"/>
        <c:majorTickMark val="none"/>
        <c:tickLblPos val="nextTo"/>
        <c:txPr>
          <a:bodyPr/>
          <a:lstStyle/>
          <a:p>
            <a:pPr>
              <a:defRPr sz="1100" b="0"/>
            </a:pPr>
            <a:endParaRPr lang="zh-TW"/>
          </a:p>
        </c:txPr>
        <c:crossAx val="182801536"/>
        <c:crosses val="max"/>
        <c:crossBetween val="between"/>
      </c:valAx>
      <c:catAx>
        <c:axId val="182801536"/>
        <c:scaling>
          <c:orientation val="minMax"/>
        </c:scaling>
        <c:delete val="1"/>
        <c:axPos val="b"/>
        <c:tickLblPos val="none"/>
        <c:crossAx val="182787456"/>
        <c:crosses val="autoZero"/>
        <c:auto val="1"/>
        <c:lblAlgn val="ctr"/>
        <c:lblOffset val="100"/>
      </c:catAx>
      <c:spPr>
        <a:noFill/>
        <a:ln w="15875">
          <a:solidFill>
            <a:schemeClr val="tx1">
              <a:lumMod val="95000"/>
              <a:lumOff val="5000"/>
            </a:schemeClr>
          </a:solidFill>
        </a:ln>
      </c:spPr>
    </c:plotArea>
    <c:plotVisOnly val="1"/>
    <c:dispBlanksAs val="gap"/>
  </c:chart>
  <c:spPr>
    <a:noFill/>
    <a:ln w="22225">
      <a:solidFill>
        <a:schemeClr val="tx1"/>
      </a:solidFill>
    </a:ln>
  </c:spPr>
  <c:printSettings>
    <c:headerFooter/>
    <c:pageMargins b="0.75000000000000144" l="0.70000000000000062" r="0.70000000000000062" t="0.75000000000000144"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zh-TW"/>
  <c:roundedCorners val="1"/>
  <c:style val="26"/>
  <c:chart>
    <c:plotArea>
      <c:layout>
        <c:manualLayout>
          <c:layoutTarget val="inner"/>
          <c:xMode val="edge"/>
          <c:yMode val="edge"/>
          <c:x val="0.14490758235501272"/>
          <c:y val="4.5904457658975301E-2"/>
          <c:w val="0.75538252194894229"/>
          <c:h val="0.88576780752945183"/>
        </c:manualLayout>
      </c:layout>
      <c:areaChart>
        <c:grouping val="stacked"/>
        <c:ser>
          <c:idx val="3"/>
          <c:order val="3"/>
          <c:tx>
            <c:strRef>
              <c:f>紅綠燈!$N$43</c:f>
              <c:strCache>
                <c:ptCount val="1"/>
              </c:strCache>
            </c:strRef>
          </c:tx>
          <c:spPr>
            <a:solidFill>
              <a:schemeClr val="tx1"/>
            </a:solidFill>
            <a:ln w="25400">
              <a:solidFill>
                <a:schemeClr val="tx1">
                  <a:lumMod val="50000"/>
                  <a:lumOff val="50000"/>
                </a:schemeClr>
              </a:solidFill>
              <a:prstDash val="solid"/>
            </a:ln>
          </c:spPr>
          <c:val>
            <c:numRef>
              <c:f>紅綠燈!$O$43:$V$43</c:f>
              <c:numCache>
                <c:formatCode>0%</c:formatCode>
                <c:ptCount val="8"/>
              </c:numCache>
            </c:numRef>
          </c:val>
          <c:extLst xmlns:c16r2="http://schemas.microsoft.com/office/drawing/2015/06/chart">
            <c:ext xmlns:c16="http://schemas.microsoft.com/office/drawing/2014/chart" uri="{C3380CC4-5D6E-409C-BE32-E72D297353CC}">
              <c16:uniqueId val="{00000000-7EE7-415C-BB24-5A6EEB8BBC03}"/>
            </c:ext>
          </c:extLst>
        </c:ser>
        <c:dLbls/>
        <c:axId val="183070720"/>
        <c:axId val="183064832"/>
      </c:areaChart>
      <c:barChart>
        <c:barDir val="col"/>
        <c:grouping val="clustered"/>
        <c:ser>
          <c:idx val="0"/>
          <c:order val="0"/>
          <c:tx>
            <c:v>營業現金流</c:v>
          </c:tx>
          <c:spPr>
            <a:solidFill>
              <a:srgbClr val="CC3300"/>
            </a:solidFill>
          </c:spPr>
          <c:cat>
            <c:strRef>
              <c:f>紅綠燈!$O$2:$V$2</c:f>
              <c:strCache>
                <c:ptCount val="8"/>
                <c:pt idx="0">
                  <c:v>Q-7</c:v>
                </c:pt>
                <c:pt idx="1">
                  <c:v>Q-6</c:v>
                </c:pt>
                <c:pt idx="2">
                  <c:v>Q-5</c:v>
                </c:pt>
                <c:pt idx="3">
                  <c:v>1855</c:v>
                </c:pt>
                <c:pt idx="4">
                  <c:v>Q-3</c:v>
                </c:pt>
                <c:pt idx="5">
                  <c:v>Q-2</c:v>
                </c:pt>
                <c:pt idx="6">
                  <c:v>Q-1</c:v>
                </c:pt>
                <c:pt idx="7">
                  <c:v>Q</c:v>
                </c:pt>
              </c:strCache>
            </c:strRef>
          </c:cat>
          <c:val>
            <c:numRef>
              <c:f>紅綠燈!$O$15:$V$15</c:f>
              <c:numCache>
                <c:formatCode>General</c:formatCode>
                <c:ptCount val="8"/>
                <c:pt idx="0">
                  <c:v>119</c:v>
                </c:pt>
                <c:pt idx="1">
                  <c:v>228</c:v>
                </c:pt>
                <c:pt idx="2">
                  <c:v>3</c:v>
                </c:pt>
                <c:pt idx="3">
                  <c:v>566</c:v>
                </c:pt>
                <c:pt idx="4">
                  <c:v>53</c:v>
                </c:pt>
                <c:pt idx="5">
                  <c:v>492</c:v>
                </c:pt>
                <c:pt idx="6">
                  <c:v>518</c:v>
                </c:pt>
                <c:pt idx="7">
                  <c:v>-98</c:v>
                </c:pt>
              </c:numCache>
            </c:numRef>
          </c:val>
          <c:extLst xmlns:c16r2="http://schemas.microsoft.com/office/drawing/2015/06/chart">
            <c:ext xmlns:c16="http://schemas.microsoft.com/office/drawing/2014/chart" uri="{C3380CC4-5D6E-409C-BE32-E72D297353CC}">
              <c16:uniqueId val="{00000001-7EE7-415C-BB24-5A6EEB8BBC03}"/>
            </c:ext>
          </c:extLst>
        </c:ser>
        <c:ser>
          <c:idx val="2"/>
          <c:order val="2"/>
          <c:tx>
            <c:v>自由</c:v>
          </c:tx>
          <c:spPr>
            <a:solidFill>
              <a:srgbClr val="0066FF"/>
            </a:solidFill>
          </c:spPr>
          <c:val>
            <c:numRef>
              <c:f>紅綠燈!$O$37:$V$37</c:f>
              <c:numCache>
                <c:formatCode>General</c:formatCode>
                <c:ptCount val="8"/>
                <c:pt idx="0">
                  <c:v>107</c:v>
                </c:pt>
                <c:pt idx="1">
                  <c:v>204</c:v>
                </c:pt>
                <c:pt idx="2">
                  <c:v>-25</c:v>
                </c:pt>
                <c:pt idx="3">
                  <c:v>548</c:v>
                </c:pt>
                <c:pt idx="4">
                  <c:v>24</c:v>
                </c:pt>
                <c:pt idx="5">
                  <c:v>469</c:v>
                </c:pt>
                <c:pt idx="6">
                  <c:v>505</c:v>
                </c:pt>
                <c:pt idx="7">
                  <c:v>-149</c:v>
                </c:pt>
              </c:numCache>
            </c:numRef>
          </c:val>
          <c:extLst xmlns:c16r2="http://schemas.microsoft.com/office/drawing/2015/06/chart">
            <c:ext xmlns:c16="http://schemas.microsoft.com/office/drawing/2014/chart" uri="{C3380CC4-5D6E-409C-BE32-E72D297353CC}">
              <c16:uniqueId val="{00000002-7EE7-415C-BB24-5A6EEB8BBC03}"/>
            </c:ext>
          </c:extLst>
        </c:ser>
        <c:dLbls/>
        <c:gapWidth val="100"/>
        <c:axId val="182844416"/>
        <c:axId val="183063296"/>
      </c:barChart>
      <c:lineChart>
        <c:grouping val="standard"/>
        <c:ser>
          <c:idx val="1"/>
          <c:order val="1"/>
          <c:tx>
            <c:strRef>
              <c:f>紅綠燈!$N$24</c:f>
              <c:strCache>
                <c:ptCount val="1"/>
                <c:pt idx="0">
                  <c:v>負債比 </c:v>
                </c:pt>
              </c:strCache>
            </c:strRef>
          </c:tx>
          <c:spPr>
            <a:ln w="44450">
              <a:solidFill>
                <a:srgbClr val="FF0000"/>
              </a:solidFill>
            </a:ln>
          </c:spPr>
          <c:marker>
            <c:symbol val="none"/>
          </c:marker>
          <c:val>
            <c:numRef>
              <c:f>紅綠燈!$O$24:$V$24</c:f>
              <c:numCache>
                <c:formatCode>0%</c:formatCode>
                <c:ptCount val="8"/>
                <c:pt idx="0">
                  <c:v>0.45222378530462071</c:v>
                </c:pt>
                <c:pt idx="1">
                  <c:v>0.43638573743922204</c:v>
                </c:pt>
                <c:pt idx="2">
                  <c:v>0.40891533563002402</c:v>
                </c:pt>
                <c:pt idx="3">
                  <c:v>0.47162386081193042</c:v>
                </c:pt>
                <c:pt idx="4">
                  <c:v>0.42073872554148789</c:v>
                </c:pt>
                <c:pt idx="5">
                  <c:v>0.40029952931108259</c:v>
                </c:pt>
                <c:pt idx="6">
                  <c:v>0.38822387576835976</c:v>
                </c:pt>
                <c:pt idx="7">
                  <c:v>0.45724034975474515</c:v>
                </c:pt>
              </c:numCache>
            </c:numRef>
          </c:val>
          <c:smooth val="1"/>
          <c:extLst xmlns:c16r2="http://schemas.microsoft.com/office/drawing/2015/06/chart">
            <c:ext xmlns:c16="http://schemas.microsoft.com/office/drawing/2014/chart" uri="{C3380CC4-5D6E-409C-BE32-E72D297353CC}">
              <c16:uniqueId val="{00000003-7EE7-415C-BB24-5A6EEB8BBC03}"/>
            </c:ext>
          </c:extLst>
        </c:ser>
        <c:dLbls/>
        <c:marker val="1"/>
        <c:axId val="183070720"/>
        <c:axId val="183064832"/>
      </c:lineChart>
      <c:catAx>
        <c:axId val="182844416"/>
        <c:scaling>
          <c:orientation val="minMax"/>
        </c:scaling>
        <c:delete val="1"/>
        <c:axPos val="b"/>
        <c:numFmt formatCode="General" sourceLinked="0"/>
        <c:majorTickMark val="none"/>
        <c:tickLblPos val="none"/>
        <c:crossAx val="183063296"/>
        <c:crosses val="autoZero"/>
        <c:auto val="1"/>
        <c:lblAlgn val="ctr"/>
        <c:lblOffset val="100"/>
      </c:catAx>
      <c:valAx>
        <c:axId val="183063296"/>
        <c:scaling>
          <c:orientation val="minMax"/>
        </c:scaling>
        <c:axPos val="l"/>
        <c:numFmt formatCode="General" sourceLinked="1"/>
        <c:majorTickMark val="none"/>
        <c:tickLblPos val="nextTo"/>
        <c:txPr>
          <a:bodyPr/>
          <a:lstStyle/>
          <a:p>
            <a:pPr>
              <a:defRPr sz="1200" b="1"/>
            </a:pPr>
            <a:endParaRPr lang="zh-TW"/>
          </a:p>
        </c:txPr>
        <c:crossAx val="182844416"/>
        <c:crosses val="autoZero"/>
        <c:crossBetween val="between"/>
      </c:valAx>
      <c:valAx>
        <c:axId val="183064832"/>
        <c:scaling>
          <c:orientation val="minMax"/>
          <c:min val="0"/>
        </c:scaling>
        <c:axPos val="r"/>
        <c:numFmt formatCode="0%" sourceLinked="1"/>
        <c:tickLblPos val="nextTo"/>
        <c:txPr>
          <a:bodyPr/>
          <a:lstStyle/>
          <a:p>
            <a:pPr>
              <a:defRPr sz="1100" b="0"/>
            </a:pPr>
            <a:endParaRPr lang="zh-TW"/>
          </a:p>
        </c:txPr>
        <c:crossAx val="183070720"/>
        <c:crosses val="max"/>
        <c:crossBetween val="between"/>
      </c:valAx>
      <c:catAx>
        <c:axId val="183070720"/>
        <c:scaling>
          <c:orientation val="minMax"/>
        </c:scaling>
        <c:delete val="1"/>
        <c:axPos val="b"/>
        <c:tickLblPos val="none"/>
        <c:crossAx val="183064832"/>
        <c:crosses val="autoZero"/>
        <c:auto val="1"/>
        <c:lblAlgn val="ctr"/>
        <c:lblOffset val="100"/>
      </c:catAx>
      <c:spPr>
        <a:noFill/>
        <a:ln w="15875">
          <a:solidFill>
            <a:schemeClr val="tx1"/>
          </a:solidFill>
        </a:ln>
      </c:spPr>
    </c:plotArea>
    <c:plotVisOnly val="1"/>
    <c:dispBlanksAs val="gap"/>
  </c:chart>
  <c:spPr>
    <a:noFill/>
    <a:ln w="22225">
      <a:solidFill>
        <a:schemeClr val="tx1"/>
      </a:solidFill>
    </a:ln>
  </c:spPr>
  <c:printSettings>
    <c:headerFooter/>
    <c:pageMargins b="0.75000000000000144" l="0.70000000000000062" r="0.70000000000000062" t="0.75000000000000144"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zh-TW"/>
  <c:roundedCorners val="1"/>
  <c:chart>
    <c:plotArea>
      <c:layout>
        <c:manualLayout>
          <c:layoutTarget val="inner"/>
          <c:xMode val="edge"/>
          <c:yMode val="edge"/>
          <c:x val="0.10508414389377799"/>
          <c:y val="7.5766668219726996E-2"/>
          <c:w val="0.7835002701868149"/>
          <c:h val="0.87328441529948075"/>
        </c:manualLayout>
      </c:layout>
      <c:areaChart>
        <c:grouping val="stacked"/>
        <c:ser>
          <c:idx val="1"/>
          <c:order val="0"/>
          <c:tx>
            <c:strRef>
              <c:f>紅綠燈!$N$49</c:f>
              <c:strCache>
                <c:ptCount val="1"/>
              </c:strCache>
            </c:strRef>
          </c:tx>
          <c:spPr>
            <a:solidFill>
              <a:schemeClr val="tx1"/>
            </a:solidFill>
            <a:ln w="25400">
              <a:solidFill>
                <a:schemeClr val="tx1">
                  <a:lumMod val="50000"/>
                  <a:lumOff val="50000"/>
                </a:schemeClr>
              </a:solidFill>
            </a:ln>
            <a:scene3d>
              <a:camera prst="orthographicFront"/>
              <a:lightRig rig="threePt" dir="t"/>
            </a:scene3d>
            <a:sp3d>
              <a:bevelT/>
              <a:bevelB/>
            </a:sp3d>
          </c:spPr>
          <c:val>
            <c:numRef>
              <c:f>紅綠燈!$O$49:$V$49</c:f>
              <c:numCache>
                <c:formatCode>0%</c:formatCode>
                <c:ptCount val="8"/>
              </c:numCache>
            </c:numRef>
          </c:val>
          <c:extLst xmlns:c16r2="http://schemas.microsoft.com/office/drawing/2015/06/chart">
            <c:ext xmlns:c16="http://schemas.microsoft.com/office/drawing/2014/chart" uri="{C3380CC4-5D6E-409C-BE32-E72D297353CC}">
              <c16:uniqueId val="{00000000-1D57-4E9B-8579-F6FC19768CA3}"/>
            </c:ext>
          </c:extLst>
        </c:ser>
        <c:dLbls/>
        <c:axId val="183133312"/>
        <c:axId val="183127424"/>
      </c:areaChart>
      <c:barChart>
        <c:barDir val="col"/>
        <c:grouping val="clustered"/>
        <c:ser>
          <c:idx val="0"/>
          <c:order val="1"/>
          <c:tx>
            <c:v>營業現金比</c:v>
          </c:tx>
          <c:spPr>
            <a:solidFill>
              <a:srgbClr val="FF33CC"/>
            </a:solidFill>
            <a:scene3d>
              <a:camera prst="orthographicFront"/>
              <a:lightRig rig="threePt" dir="t"/>
            </a:scene3d>
            <a:sp3d>
              <a:bevelT/>
              <a:bevelB/>
            </a:sp3d>
          </c:spPr>
          <c:cat>
            <c:strRef>
              <c:f>紅綠燈!$O$2:$V$2</c:f>
              <c:strCache>
                <c:ptCount val="8"/>
                <c:pt idx="0">
                  <c:v>Q-7</c:v>
                </c:pt>
                <c:pt idx="1">
                  <c:v>Q-6</c:v>
                </c:pt>
                <c:pt idx="2">
                  <c:v>Q-5</c:v>
                </c:pt>
                <c:pt idx="3">
                  <c:v>1855</c:v>
                </c:pt>
                <c:pt idx="4">
                  <c:v>Q-3</c:v>
                </c:pt>
                <c:pt idx="5">
                  <c:v>Q-2</c:v>
                </c:pt>
                <c:pt idx="6">
                  <c:v>Q-1</c:v>
                </c:pt>
                <c:pt idx="7">
                  <c:v>Q</c:v>
                </c:pt>
              </c:strCache>
            </c:strRef>
          </c:cat>
          <c:val>
            <c:numRef>
              <c:f>紅綠燈!$O$32:$V$32</c:f>
              <c:numCache>
                <c:formatCode>0.00_ </c:formatCode>
                <c:ptCount val="8"/>
                <c:pt idx="0">
                  <c:v>0</c:v>
                </c:pt>
                <c:pt idx="1">
                  <c:v>0</c:v>
                </c:pt>
                <c:pt idx="2">
                  <c:v>0</c:v>
                </c:pt>
                <c:pt idx="3">
                  <c:v>3.2528735632183907</c:v>
                </c:pt>
                <c:pt idx="4">
                  <c:v>0</c:v>
                </c:pt>
                <c:pt idx="5">
                  <c:v>2.7032967032967035</c:v>
                </c:pt>
                <c:pt idx="6">
                  <c:v>3.3856209150326797</c:v>
                </c:pt>
                <c:pt idx="7">
                  <c:v>0</c:v>
                </c:pt>
              </c:numCache>
            </c:numRef>
          </c:val>
          <c:extLst xmlns:c16r2="http://schemas.microsoft.com/office/drawing/2015/06/chart">
            <c:ext xmlns:c16="http://schemas.microsoft.com/office/drawing/2014/chart" uri="{C3380CC4-5D6E-409C-BE32-E72D297353CC}">
              <c16:uniqueId val="{00000001-1D57-4E9B-8579-F6FC19768CA3}"/>
            </c:ext>
          </c:extLst>
        </c:ser>
        <c:dLbls/>
        <c:gapWidth val="112"/>
        <c:overlap val="75"/>
        <c:axId val="183124352"/>
        <c:axId val="183125888"/>
      </c:barChart>
      <c:lineChart>
        <c:grouping val="standard"/>
        <c:ser>
          <c:idx val="2"/>
          <c:order val="2"/>
          <c:tx>
            <c:v>ROE</c:v>
          </c:tx>
          <c:spPr>
            <a:ln w="44450">
              <a:solidFill>
                <a:srgbClr val="FF0000"/>
              </a:solidFill>
            </a:ln>
          </c:spPr>
          <c:marker>
            <c:symbol val="none"/>
          </c:marker>
          <c:val>
            <c:numRef>
              <c:f>紅綠燈!$O$36:$V$36</c:f>
              <c:numCache>
                <c:formatCode>0%</c:formatCode>
                <c:ptCount val="8"/>
                <c:pt idx="1">
                  <c:v>7.6844166744381243E-2</c:v>
                </c:pt>
                <c:pt idx="2">
                  <c:v>7.6844166744381243E-2</c:v>
                </c:pt>
                <c:pt idx="3">
                  <c:v>6.2447257383966247E-2</c:v>
                </c:pt>
                <c:pt idx="4">
                  <c:v>8.1336101151160592E-2</c:v>
                </c:pt>
                <c:pt idx="5">
                  <c:v>7.0814682184422564E-2</c:v>
                </c:pt>
                <c:pt idx="6">
                  <c:v>6.9260631727545444E-2</c:v>
                </c:pt>
                <c:pt idx="7">
                  <c:v>7.9972524776763809E-2</c:v>
                </c:pt>
              </c:numCache>
            </c:numRef>
          </c:val>
          <c:smooth val="1"/>
          <c:extLst xmlns:c16r2="http://schemas.microsoft.com/office/drawing/2015/06/chart">
            <c:ext xmlns:c16="http://schemas.microsoft.com/office/drawing/2014/chart" uri="{C3380CC4-5D6E-409C-BE32-E72D297353CC}">
              <c16:uniqueId val="{00000002-1D57-4E9B-8579-F6FC19768CA3}"/>
            </c:ext>
          </c:extLst>
        </c:ser>
        <c:dLbls/>
        <c:marker val="1"/>
        <c:axId val="183133312"/>
        <c:axId val="183127424"/>
      </c:lineChart>
      <c:catAx>
        <c:axId val="183124352"/>
        <c:scaling>
          <c:orientation val="minMax"/>
        </c:scaling>
        <c:delete val="1"/>
        <c:axPos val="b"/>
        <c:numFmt formatCode="General" sourceLinked="0"/>
        <c:majorTickMark val="none"/>
        <c:tickLblPos val="none"/>
        <c:crossAx val="183125888"/>
        <c:crosses val="autoZero"/>
        <c:auto val="1"/>
        <c:lblAlgn val="ctr"/>
        <c:lblOffset val="100"/>
      </c:catAx>
      <c:valAx>
        <c:axId val="183125888"/>
        <c:scaling>
          <c:orientation val="minMax"/>
        </c:scaling>
        <c:axPos val="l"/>
        <c:numFmt formatCode="0.00_ " sourceLinked="1"/>
        <c:majorTickMark val="none"/>
        <c:tickLblPos val="nextTo"/>
        <c:txPr>
          <a:bodyPr/>
          <a:lstStyle/>
          <a:p>
            <a:pPr>
              <a:defRPr sz="1200" b="1"/>
            </a:pPr>
            <a:endParaRPr lang="zh-TW"/>
          </a:p>
        </c:txPr>
        <c:crossAx val="183124352"/>
        <c:crosses val="autoZero"/>
        <c:crossBetween val="between"/>
      </c:valAx>
      <c:valAx>
        <c:axId val="183127424"/>
        <c:scaling>
          <c:orientation val="minMax"/>
        </c:scaling>
        <c:axPos val="r"/>
        <c:numFmt formatCode="0%" sourceLinked="1"/>
        <c:majorTickMark val="none"/>
        <c:tickLblPos val="nextTo"/>
        <c:txPr>
          <a:bodyPr/>
          <a:lstStyle/>
          <a:p>
            <a:pPr>
              <a:defRPr sz="1100" b="0"/>
            </a:pPr>
            <a:endParaRPr lang="zh-TW"/>
          </a:p>
        </c:txPr>
        <c:crossAx val="183133312"/>
        <c:crosses val="max"/>
        <c:crossBetween val="between"/>
      </c:valAx>
      <c:catAx>
        <c:axId val="183133312"/>
        <c:scaling>
          <c:orientation val="minMax"/>
        </c:scaling>
        <c:delete val="1"/>
        <c:axPos val="b"/>
        <c:tickLblPos val="none"/>
        <c:crossAx val="183127424"/>
        <c:crosses val="autoZero"/>
        <c:auto val="1"/>
        <c:lblAlgn val="ctr"/>
        <c:lblOffset val="100"/>
      </c:catAx>
      <c:spPr>
        <a:noFill/>
        <a:ln w="15875">
          <a:solidFill>
            <a:schemeClr val="tx1"/>
          </a:solidFill>
        </a:ln>
      </c:spPr>
    </c:plotArea>
    <c:plotVisOnly val="1"/>
    <c:dispBlanksAs val="gap"/>
  </c:chart>
  <c:spPr>
    <a:noFill/>
    <a:ln w="22225">
      <a:solidFill>
        <a:schemeClr val="tx1"/>
      </a:solidFill>
    </a:ln>
  </c:spPr>
  <c:printSettings>
    <c:headerFooter/>
    <c:pageMargins b="0.75000000000000144" l="0.70000000000000062" r="0.70000000000000062" t="0.75000000000000144" header="0.30000000000000032" footer="0.30000000000000032"/>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c:lang val="zh-TW"/>
  <c:roundedCorners val="1"/>
  <c:chart>
    <c:plotArea>
      <c:layout>
        <c:manualLayout>
          <c:layoutTarget val="inner"/>
          <c:xMode val="edge"/>
          <c:yMode val="edge"/>
          <c:x val="0.10327910297977459"/>
          <c:y val="4.4035797428136778E-2"/>
          <c:w val="0.78731357109773037"/>
          <c:h val="0.89449395045131552"/>
        </c:manualLayout>
      </c:layout>
      <c:areaChart>
        <c:grouping val="standard"/>
        <c:ser>
          <c:idx val="3"/>
          <c:order val="3"/>
          <c:tx>
            <c:strRef>
              <c:f>紅綠燈!$N$44</c:f>
              <c:strCache>
                <c:ptCount val="1"/>
              </c:strCache>
            </c:strRef>
          </c:tx>
          <c:spPr>
            <a:solidFill>
              <a:schemeClr val="tx1"/>
            </a:solidFill>
            <a:ln w="63500">
              <a:noFill/>
            </a:ln>
            <a:scene3d>
              <a:camera prst="orthographicFront"/>
              <a:lightRig rig="threePt" dir="t"/>
            </a:scene3d>
            <a:sp3d>
              <a:bevelT/>
              <a:bevelB/>
            </a:sp3d>
          </c:spPr>
          <c:val>
            <c:numRef>
              <c:f>紅綠燈!$O$44:$V$44</c:f>
              <c:numCache>
                <c:formatCode>General</c:formatCode>
                <c:ptCount val="8"/>
              </c:numCache>
            </c:numRef>
          </c:val>
          <c:extLst xmlns:c16r2="http://schemas.microsoft.com/office/drawing/2015/06/chart">
            <c:ext xmlns:c16="http://schemas.microsoft.com/office/drawing/2014/chart" uri="{C3380CC4-5D6E-409C-BE32-E72D297353CC}">
              <c16:uniqueId val="{00000000-CBAB-4683-A199-9A3E542F1922}"/>
            </c:ext>
          </c:extLst>
        </c:ser>
        <c:ser>
          <c:idx val="4"/>
          <c:order val="4"/>
          <c:tx>
            <c:strRef>
              <c:f>紅綠燈!$N$45</c:f>
              <c:strCache>
                <c:ptCount val="1"/>
              </c:strCache>
            </c:strRef>
          </c:tx>
          <c:spPr>
            <a:solidFill>
              <a:schemeClr val="tx1"/>
            </a:solidFill>
            <a:ln w="25400">
              <a:solidFill>
                <a:schemeClr val="tx1">
                  <a:lumMod val="50000"/>
                  <a:lumOff val="50000"/>
                </a:schemeClr>
              </a:solidFill>
            </a:ln>
            <a:scene3d>
              <a:camera prst="orthographicFront"/>
              <a:lightRig rig="threePt" dir="t"/>
            </a:scene3d>
            <a:sp3d>
              <a:bevelT/>
              <a:bevelB/>
            </a:sp3d>
          </c:spPr>
          <c:val>
            <c:numRef>
              <c:f>紅綠燈!$O$45:$V$45</c:f>
              <c:numCache>
                <c:formatCode>General</c:formatCode>
                <c:ptCount val="8"/>
              </c:numCache>
            </c:numRef>
          </c:val>
          <c:extLst xmlns:c16r2="http://schemas.microsoft.com/office/drawing/2015/06/chart">
            <c:ext xmlns:c16="http://schemas.microsoft.com/office/drawing/2014/chart" uri="{C3380CC4-5D6E-409C-BE32-E72D297353CC}">
              <c16:uniqueId val="{00000001-CBAB-4683-A199-9A3E542F1922}"/>
            </c:ext>
          </c:extLst>
        </c:ser>
        <c:dLbls/>
        <c:axId val="183202560"/>
        <c:axId val="183204096"/>
      </c:areaChart>
      <c:barChart>
        <c:barDir val="col"/>
        <c:grouping val="clustered"/>
        <c:ser>
          <c:idx val="0"/>
          <c:order val="0"/>
          <c:tx>
            <c:v>資本支出</c:v>
          </c:tx>
          <c:spPr>
            <a:solidFill>
              <a:srgbClr val="3399FF"/>
            </a:solidFill>
            <a:scene3d>
              <a:camera prst="orthographicFront"/>
              <a:lightRig rig="threePt" dir="t"/>
            </a:scene3d>
            <a:sp3d>
              <a:bevelT/>
              <a:bevelB/>
            </a:sp3d>
          </c:spPr>
          <c:cat>
            <c:strRef>
              <c:f>紅綠燈!$O$2:$V$2</c:f>
              <c:strCache>
                <c:ptCount val="8"/>
                <c:pt idx="0">
                  <c:v>Q-7</c:v>
                </c:pt>
                <c:pt idx="1">
                  <c:v>Q-6</c:v>
                </c:pt>
                <c:pt idx="2">
                  <c:v>Q-5</c:v>
                </c:pt>
                <c:pt idx="3">
                  <c:v>1855</c:v>
                </c:pt>
                <c:pt idx="4">
                  <c:v>Q-3</c:v>
                </c:pt>
                <c:pt idx="5">
                  <c:v>Q-2</c:v>
                </c:pt>
                <c:pt idx="6">
                  <c:v>Q-1</c:v>
                </c:pt>
                <c:pt idx="7">
                  <c:v>Q</c:v>
                </c:pt>
              </c:strCache>
            </c:strRef>
          </c:cat>
          <c:val>
            <c:numRef>
              <c:f>紅綠燈!$O$16:$V$16</c:f>
              <c:numCache>
                <c:formatCode>General</c:formatCode>
                <c:ptCount val="8"/>
                <c:pt idx="0">
                  <c:v>12</c:v>
                </c:pt>
                <c:pt idx="1">
                  <c:v>24</c:v>
                </c:pt>
                <c:pt idx="2">
                  <c:v>28</c:v>
                </c:pt>
                <c:pt idx="3">
                  <c:v>18</c:v>
                </c:pt>
                <c:pt idx="4">
                  <c:v>29</c:v>
                </c:pt>
                <c:pt idx="5">
                  <c:v>23</c:v>
                </c:pt>
                <c:pt idx="6">
                  <c:v>13</c:v>
                </c:pt>
                <c:pt idx="7">
                  <c:v>51</c:v>
                </c:pt>
              </c:numCache>
            </c:numRef>
          </c:val>
          <c:extLst xmlns:c16r2="http://schemas.microsoft.com/office/drawing/2015/06/chart">
            <c:ext xmlns:c16="http://schemas.microsoft.com/office/drawing/2014/chart" uri="{C3380CC4-5D6E-409C-BE32-E72D297353CC}">
              <c16:uniqueId val="{00000002-CBAB-4683-A199-9A3E542F1922}"/>
            </c:ext>
          </c:extLst>
        </c:ser>
        <c:dLbls/>
        <c:gapWidth val="95"/>
        <c:overlap val="75"/>
        <c:axId val="183202560"/>
        <c:axId val="183204096"/>
      </c:barChart>
      <c:lineChart>
        <c:grouping val="standard"/>
        <c:ser>
          <c:idx val="1"/>
          <c:order val="1"/>
          <c:tx>
            <c:v>折舊率</c:v>
          </c:tx>
          <c:spPr>
            <a:ln>
              <a:solidFill>
                <a:srgbClr val="FF3300"/>
              </a:solidFill>
              <a:prstDash val="sysDash"/>
            </a:ln>
          </c:spPr>
          <c:marker>
            <c:symbol val="none"/>
          </c:marker>
          <c:val>
            <c:numRef>
              <c:f>紅綠燈!$O$31:$V$31</c:f>
              <c:numCache>
                <c:formatCode>0%</c:formatCode>
                <c:ptCount val="8"/>
                <c:pt idx="0">
                  <c:v>1.5463917525773196E-2</c:v>
                </c:pt>
                <c:pt idx="1">
                  <c:v>1.74042764793635E-2</c:v>
                </c:pt>
                <c:pt idx="2">
                  <c:v>2.0920502092050208E-2</c:v>
                </c:pt>
                <c:pt idx="3">
                  <c:v>1.783783783783784E-2</c:v>
                </c:pt>
                <c:pt idx="4">
                  <c:v>1.5748031496062992E-2</c:v>
                </c:pt>
                <c:pt idx="5">
                  <c:v>1.790710688304421E-2</c:v>
                </c:pt>
                <c:pt idx="6">
                  <c:v>1.9442644199611146E-2</c:v>
                </c:pt>
                <c:pt idx="7">
                  <c:v>1.6447368421052631E-2</c:v>
                </c:pt>
              </c:numCache>
            </c:numRef>
          </c:val>
          <c:smooth val="1"/>
          <c:extLst xmlns:c16r2="http://schemas.microsoft.com/office/drawing/2015/06/chart">
            <c:ext xmlns:c16="http://schemas.microsoft.com/office/drawing/2014/chart" uri="{C3380CC4-5D6E-409C-BE32-E72D297353CC}">
              <c16:uniqueId val="{00000003-CBAB-4683-A199-9A3E542F1922}"/>
            </c:ext>
          </c:extLst>
        </c:ser>
        <c:ser>
          <c:idx val="2"/>
          <c:order val="2"/>
          <c:tx>
            <c:strRef>
              <c:f>紅綠燈!$N$30</c:f>
              <c:strCache>
                <c:ptCount val="1"/>
                <c:pt idx="0">
                  <c:v>折舊與攤提率</c:v>
                </c:pt>
              </c:strCache>
            </c:strRef>
          </c:tx>
          <c:spPr>
            <a:ln w="44450">
              <a:solidFill>
                <a:srgbClr val="FF3300"/>
              </a:solidFill>
            </a:ln>
          </c:spPr>
          <c:marker>
            <c:symbol val="none"/>
          </c:marker>
          <c:val>
            <c:numRef>
              <c:f>紅綠燈!$O$30:$V$30</c:f>
              <c:numCache>
                <c:formatCode>0%</c:formatCode>
                <c:ptCount val="8"/>
                <c:pt idx="0">
                  <c:v>1.6587677725118485E-2</c:v>
                </c:pt>
                <c:pt idx="1">
                  <c:v>1.6587677725118485E-2</c:v>
                </c:pt>
                <c:pt idx="2">
                  <c:v>1.7650025214321734E-2</c:v>
                </c:pt>
                <c:pt idx="3">
                  <c:v>1.4138817480719794E-2</c:v>
                </c:pt>
                <c:pt idx="4">
                  <c:v>1.2288786482334869E-2</c:v>
                </c:pt>
                <c:pt idx="5">
                  <c:v>1.5928322548531607E-2</c:v>
                </c:pt>
                <c:pt idx="6">
                  <c:v>1.6910935738444193E-2</c:v>
                </c:pt>
                <c:pt idx="7">
                  <c:v>1.3268465280849183E-2</c:v>
                </c:pt>
              </c:numCache>
            </c:numRef>
          </c:val>
          <c:smooth val="1"/>
          <c:extLst xmlns:c16r2="http://schemas.microsoft.com/office/drawing/2015/06/chart">
            <c:ext xmlns:c16="http://schemas.microsoft.com/office/drawing/2014/chart" uri="{C3380CC4-5D6E-409C-BE32-E72D297353CC}">
              <c16:uniqueId val="{00000004-CBAB-4683-A199-9A3E542F1922}"/>
            </c:ext>
          </c:extLst>
        </c:ser>
        <c:dLbls/>
        <c:marker val="1"/>
        <c:axId val="183207424"/>
        <c:axId val="183205888"/>
      </c:lineChart>
      <c:catAx>
        <c:axId val="183202560"/>
        <c:scaling>
          <c:orientation val="minMax"/>
        </c:scaling>
        <c:delete val="1"/>
        <c:axPos val="b"/>
        <c:numFmt formatCode="General" sourceLinked="0"/>
        <c:majorTickMark val="none"/>
        <c:tickLblPos val="none"/>
        <c:crossAx val="183204096"/>
        <c:crosses val="autoZero"/>
        <c:auto val="1"/>
        <c:lblAlgn val="ctr"/>
        <c:lblOffset val="100"/>
      </c:catAx>
      <c:valAx>
        <c:axId val="183204096"/>
        <c:scaling>
          <c:orientation val="minMax"/>
        </c:scaling>
        <c:axPos val="l"/>
        <c:numFmt formatCode="General" sourceLinked="1"/>
        <c:majorTickMark val="none"/>
        <c:tickLblPos val="nextTo"/>
        <c:txPr>
          <a:bodyPr/>
          <a:lstStyle/>
          <a:p>
            <a:pPr>
              <a:defRPr sz="1200" b="1"/>
            </a:pPr>
            <a:endParaRPr lang="zh-TW"/>
          </a:p>
        </c:txPr>
        <c:crossAx val="183202560"/>
        <c:crosses val="autoZero"/>
        <c:crossBetween val="between"/>
      </c:valAx>
      <c:valAx>
        <c:axId val="183205888"/>
        <c:scaling>
          <c:orientation val="minMax"/>
        </c:scaling>
        <c:axPos val="r"/>
        <c:numFmt formatCode="0%" sourceLinked="1"/>
        <c:majorTickMark val="none"/>
        <c:tickLblPos val="nextTo"/>
        <c:txPr>
          <a:bodyPr/>
          <a:lstStyle/>
          <a:p>
            <a:pPr>
              <a:defRPr sz="1100"/>
            </a:pPr>
            <a:endParaRPr lang="zh-TW"/>
          </a:p>
        </c:txPr>
        <c:crossAx val="183207424"/>
        <c:crosses val="max"/>
        <c:crossBetween val="between"/>
      </c:valAx>
      <c:catAx>
        <c:axId val="183207424"/>
        <c:scaling>
          <c:orientation val="minMax"/>
        </c:scaling>
        <c:delete val="1"/>
        <c:axPos val="b"/>
        <c:tickLblPos val="none"/>
        <c:crossAx val="183205888"/>
        <c:crosses val="autoZero"/>
        <c:auto val="1"/>
        <c:lblAlgn val="ctr"/>
        <c:lblOffset val="100"/>
      </c:catAx>
      <c:spPr>
        <a:noFill/>
        <a:ln w="15875">
          <a:solidFill>
            <a:schemeClr val="tx1"/>
          </a:solidFill>
        </a:ln>
      </c:spPr>
    </c:plotArea>
    <c:plotVisOnly val="1"/>
    <c:dispBlanksAs val="gap"/>
  </c:chart>
  <c:spPr>
    <a:noFill/>
    <a:ln w="22225">
      <a:solidFill>
        <a:schemeClr val="tx1"/>
      </a:solidFill>
    </a:ln>
  </c:spPr>
  <c:printSettings>
    <c:headerFooter/>
    <c:pageMargins b="0.75000000000000144" l="0.70000000000000062" r="0.70000000000000062" t="0.75000000000000144"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zh-TW"/>
  <c:roundedCorners val="1"/>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Adobe 繁黑體 Std B" panose="020B0700000000000000" pitchFamily="34" charset="-120"/>
                <a:ea typeface="Adobe 繁黑體 Std B" panose="020B0700000000000000" pitchFamily="34" charset="-120"/>
                <a:cs typeface="+mn-cs"/>
              </a:defRPr>
            </a:pPr>
            <a:r>
              <a:rPr lang="zh-TW" altLang="en-US">
                <a:latin typeface="Adobe 繁黑體 Std B" panose="020B0700000000000000" pitchFamily="34" charset="-120"/>
                <a:ea typeface="Adobe 繁黑體 Std B" panose="020B0700000000000000" pitchFamily="34" charset="-120"/>
              </a:rPr>
              <a:t>營業收入淨額</a:t>
            </a:r>
          </a:p>
        </c:rich>
      </c:tx>
      <c:layout/>
      <c:spPr>
        <a:noFill/>
        <a:ln>
          <a:noFill/>
        </a:ln>
        <a:effectLst/>
      </c:spPr>
    </c:title>
    <c:plotArea>
      <c:layout>
        <c:manualLayout>
          <c:layoutTarget val="inner"/>
          <c:xMode val="edge"/>
          <c:yMode val="edge"/>
          <c:x val="4.7264904214774597E-2"/>
          <c:y val="0.13540719660572104"/>
          <c:w val="0.88395908009621549"/>
          <c:h val="0.75954052669684546"/>
        </c:manualLayout>
      </c:layout>
      <c:barChart>
        <c:barDir val="col"/>
        <c:grouping val="clustered"/>
        <c:ser>
          <c:idx val="0"/>
          <c:order val="0"/>
          <c:tx>
            <c:v>營業外收入合計</c:v>
          </c:tx>
          <c:spPr>
            <a:solidFill>
              <a:schemeClr val="accent1">
                <a:alpha val="85000"/>
              </a:schemeClr>
            </a:solidFill>
            <a:ln w="9525" cap="flat" cmpd="sng" algn="ctr">
              <a:solidFill>
                <a:schemeClr val="lt1">
                  <a:alpha val="50000"/>
                </a:schemeClr>
              </a:solidFill>
              <a:round/>
            </a:ln>
            <a:effectLst/>
          </c:spPr>
          <c:val>
            <c:numRef>
              <c:f>紅綠燈!$O$3:$R$3</c:f>
              <c:numCache>
                <c:formatCode>General</c:formatCode>
                <c:ptCount val="4"/>
                <c:pt idx="0">
                  <c:v>2765</c:v>
                </c:pt>
                <c:pt idx="1">
                  <c:v>2658</c:v>
                </c:pt>
                <c:pt idx="2">
                  <c:v>2161</c:v>
                </c:pt>
                <c:pt idx="3">
                  <c:v>2352</c:v>
                </c:pt>
              </c:numCache>
            </c:numRef>
          </c:val>
          <c:extLst xmlns:c16r2="http://schemas.microsoft.com/office/drawing/2015/06/chart">
            <c:ext xmlns:c16="http://schemas.microsoft.com/office/drawing/2014/chart" uri="{C3380CC4-5D6E-409C-BE32-E72D297353CC}">
              <c16:uniqueId val="{00000000-7311-4DD1-9665-29A69AF47199}"/>
            </c:ext>
          </c:extLst>
        </c:ser>
        <c:ser>
          <c:idx val="1"/>
          <c:order val="1"/>
          <c:tx>
            <c:v> 應付帳款及票據</c:v>
          </c:tx>
          <c:spPr>
            <a:solidFill>
              <a:srgbClr val="FF5050"/>
            </a:solidFill>
            <a:ln w="9525" cap="flat" cmpd="sng" algn="ctr">
              <a:solidFill>
                <a:schemeClr val="lt1">
                  <a:alpha val="50000"/>
                </a:schemeClr>
              </a:solidFill>
              <a:round/>
            </a:ln>
            <a:effectLst/>
            <a:scene3d>
              <a:camera prst="orthographicFront"/>
              <a:lightRig rig="threePt" dir="t"/>
            </a:scene3d>
            <a:sp3d>
              <a:bevelT/>
              <a:bevelB/>
            </a:sp3d>
          </c:spPr>
          <c:dLbls>
            <c:dLbl>
              <c:idx val="0"/>
              <c:layout/>
              <c:tx>
                <c:rich>
                  <a:bodyPr/>
                  <a:lstStyle/>
                  <a:p>
                    <a:fld id="{3B1506AF-9B55-4CF3-9DEC-F62F48879D7B}" type="CELLRANGE">
                      <a:rPr lang="en-US" altLang="zh-TW"/>
                      <a:pPr/>
                      <a:t>[CELLRANGE]</a:t>
                    </a:fld>
                    <a:endParaRPr lang="zh-TW" altLang="en-US"/>
                  </a:p>
                </c:rich>
              </c:tx>
              <c:dLblPos val="outEnd"/>
              <c:extLst>
                <c:ext xmlns:c15="http://schemas.microsoft.com/office/drawing/2012/chart" uri="{CE6537A1-D6FC-4f65-9D91-7224C49458BB}">
                  <c15:layout/>
                  <c15:dlblFieldTable/>
                  <c15:showDataLabelsRange val="1"/>
                </c:ext>
              </c:extLst>
            </c:dLbl>
            <c:dLbl>
              <c:idx val="1"/>
              <c:layout/>
              <c:tx>
                <c:rich>
                  <a:bodyPr/>
                  <a:lstStyle/>
                  <a:p>
                    <a:fld id="{13FCA0F8-82AD-459B-94D5-7E582C4A1EED}" type="CELLRANGE">
                      <a:rPr lang="zh-TW" altLang="en-US"/>
                      <a:pPr/>
                      <a:t>[CELLRANGE]</a:t>
                    </a:fld>
                    <a:endParaRPr lang="zh-TW" altLang="en-US"/>
                  </a:p>
                </c:rich>
              </c:tx>
              <c:dLblPos val="outEnd"/>
              <c:extLst>
                <c:ext xmlns:c15="http://schemas.microsoft.com/office/drawing/2012/chart" uri="{CE6537A1-D6FC-4f65-9D91-7224C49458BB}">
                  <c15:layout/>
                  <c15:dlblFieldTable/>
                  <c15:xForSave val="1"/>
                  <c15:showDataLabelsRange val="1"/>
                </c:ext>
              </c:extLst>
            </c:dLbl>
            <c:dLbl>
              <c:idx val="2"/>
              <c:layout/>
              <c:tx>
                <c:rich>
                  <a:bodyPr/>
                  <a:lstStyle/>
                  <a:p>
                    <a:fld id="{E62EA129-8747-44C8-B031-08988FA01266}" type="CELLRANGE">
                      <a:rPr lang="zh-TW" altLang="en-US"/>
                      <a:pPr/>
                      <a:t>[CELLRANGE]</a:t>
                    </a:fld>
                    <a:endParaRPr lang="zh-TW" altLang="en-US"/>
                  </a:p>
                </c:rich>
              </c:tx>
              <c:dLblPos val="outEnd"/>
              <c:extLst>
                <c:ext xmlns:c15="http://schemas.microsoft.com/office/drawing/2012/chart" uri="{CE6537A1-D6FC-4f65-9D91-7224C49458BB}">
                  <c15:layout/>
                  <c15:dlblFieldTable/>
                  <c15:xForSave val="1"/>
                  <c15:showDataLabelsRange val="1"/>
                </c:ext>
              </c:extLst>
            </c:dLbl>
            <c:dLbl>
              <c:idx val="3"/>
              <c:layout/>
              <c:tx>
                <c:rich>
                  <a:bodyPr/>
                  <a:lstStyle/>
                  <a:p>
                    <a:fld id="{FDCAB4FC-AE3D-49B4-8AB0-3F59E92B9690}" type="CELLRANGE">
                      <a:rPr lang="zh-TW" altLang="en-US"/>
                      <a:pPr/>
                      <a:t>[CELLRANGE]</a:t>
                    </a:fld>
                    <a:endParaRPr lang="zh-TW" altLang="en-US"/>
                  </a:p>
                </c:rich>
              </c:tx>
              <c:dLblPos val="outEnd"/>
              <c:extLst>
                <c:ext xmlns:c15="http://schemas.microsoft.com/office/drawing/2012/chart" uri="{CE6537A1-D6FC-4f65-9D91-7224C49458BB}">
                  <c15:layout/>
                  <c15:dlblFieldTable/>
                  <c15:xForSave val="1"/>
                  <c15:showDataLabelsRange val="1"/>
                </c:ext>
              </c:extLst>
            </c:dLbl>
            <c:delete val="1"/>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FF0000"/>
                    </a:solidFill>
                    <a:latin typeface="+mn-lt"/>
                    <a:ea typeface="+mn-ea"/>
                    <a:cs typeface="+mn-cs"/>
                  </a:defRPr>
                </a:pPr>
                <a:endParaRPr lang="zh-TW"/>
              </a:p>
            </c:txPr>
            <c:dLblPos val="outEnd"/>
            <c:extLst>
              <c:ext xmlns:c15="http://schemas.microsoft.com/office/drawing/2012/chart" uri="{CE6537A1-D6FC-4f65-9D91-7224C49458BB}">
                <c15:layout/>
                <c15:showDataLabelsRange val="1"/>
                <c15:showLeaderLines val="0"/>
              </c:ext>
            </c:extLst>
          </c:dLbls>
          <c:val>
            <c:numRef>
              <c:f>紅綠燈!$S$3:$V$3</c:f>
              <c:numCache>
                <c:formatCode>General</c:formatCode>
                <c:ptCount val="4"/>
                <c:pt idx="0">
                  <c:v>2633</c:v>
                </c:pt>
                <c:pt idx="1">
                  <c:v>2321</c:v>
                </c:pt>
                <c:pt idx="2">
                  <c:v>2047</c:v>
                </c:pt>
                <c:pt idx="3">
                  <c:v>2312</c:v>
                </c:pt>
              </c:numCache>
            </c:numRef>
          </c:val>
          <c:extLst xmlns:c16r2="http://schemas.microsoft.com/office/drawing/2015/06/chart">
            <c:ext xmlns:c16="http://schemas.microsoft.com/office/drawing/2014/chart" uri="{C3380CC4-5D6E-409C-BE32-E72D297353CC}">
              <c16:uniqueId val="{00000001-7311-4DD1-9665-29A69AF47199}"/>
            </c:ext>
            <c:ext xmlns:c15="http://schemas.microsoft.com/office/drawing/2012/chart" uri="{02D57815-91ED-43cb-92C2-25804820EDAC}">
              <c15:datalabelsRange>
                <c15:f>紅綠燈!$AG$8:$AJ$8</c15:f>
                <c15:dlblRangeCache>
                  <c:ptCount val="4"/>
                  <c:pt idx="0">
                    <c:v>-5%</c:v>
                  </c:pt>
                  <c:pt idx="1">
                    <c:v>-13%</c:v>
                  </c:pt>
                  <c:pt idx="2">
                    <c:v>-5%</c:v>
                  </c:pt>
                  <c:pt idx="3">
                    <c:v>-2%</c:v>
                  </c:pt>
                </c15:dlblRangeCache>
              </c15:datalabelsRange>
            </c:ext>
          </c:extLst>
        </c:ser>
        <c:dLbls/>
        <c:gapWidth val="65"/>
        <c:axId val="183466240"/>
        <c:axId val="183480320"/>
      </c:barChart>
      <c:catAx>
        <c:axId val="183466240"/>
        <c:scaling>
          <c:orientation val="minMax"/>
        </c:scaling>
        <c:delete val="1"/>
        <c:axPos val="b"/>
        <c:majorTickMark val="none"/>
        <c:tickLblPos val="none"/>
        <c:crossAx val="183480320"/>
        <c:crosses val="autoZero"/>
        <c:auto val="1"/>
        <c:lblAlgn val="ctr"/>
        <c:lblOffset val="100"/>
      </c:catAx>
      <c:valAx>
        <c:axId val="183480320"/>
        <c:scaling>
          <c:orientation val="minMax"/>
        </c:scaling>
        <c:delete val="1"/>
        <c:axPos val="l"/>
        <c:numFmt formatCode="General" sourceLinked="1"/>
        <c:majorTickMark val="none"/>
        <c:tickLblPos val="none"/>
        <c:crossAx val="183466240"/>
        <c:crosses val="autoZero"/>
        <c:crossBetween val="between"/>
      </c:valAx>
      <c:spPr>
        <a:noFill/>
        <a:ln>
          <a:noFill/>
        </a:ln>
        <a:effectLst/>
      </c:spPr>
    </c:plotArea>
    <c:plotVisOnly val="1"/>
    <c:dispBlanksAs val="gap"/>
  </c:chart>
  <c:spPr>
    <a:gradFill flip="none" rotWithShape="1">
      <a:gsLst>
        <a:gs pos="0">
          <a:schemeClr val="bg2">
            <a:lumMod val="90000"/>
          </a:schemeClr>
        </a:gs>
        <a:gs pos="0">
          <a:schemeClr val="accent3">
            <a:lumMod val="0"/>
            <a:lumOff val="100000"/>
          </a:schemeClr>
        </a:gs>
        <a:gs pos="100000">
          <a:schemeClr val="bg2">
            <a:lumMod val="50000"/>
          </a:schemeClr>
        </a:gs>
      </a:gsLst>
      <a:path path="circle">
        <a:fillToRect l="50000" t="50000" r="50000" b="50000"/>
      </a:path>
      <a:tileRect/>
    </a:gradFill>
    <a:ln w="9525" cap="flat" cmpd="sng" algn="ctr">
      <a:solidFill>
        <a:schemeClr val="dk1">
          <a:lumMod val="25000"/>
          <a:lumOff val="75000"/>
        </a:schemeClr>
      </a:solidFill>
      <a:round/>
    </a:ln>
    <a:effectLst/>
  </c:spPr>
  <c:txPr>
    <a:bodyPr/>
    <a:lstStyle/>
    <a:p>
      <a:pPr>
        <a:defRPr/>
      </a:pPr>
      <a:endParaRPr lang="zh-TW"/>
    </a:p>
  </c:txPr>
  <c:printSettings>
    <c:headerFooter/>
    <c:pageMargins b="0.75000000000000011" l="0.70000000000000007" r="0.70000000000000007" t="0.75000000000000011" header="0.30000000000000004" footer="0.30000000000000004"/>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zh-TW"/>
  <c:roundedCorners val="1"/>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Adobe 繁黑體 Std B" panose="020B0700000000000000" pitchFamily="34" charset="-120"/>
                <a:ea typeface="Adobe 繁黑體 Std B" panose="020B0700000000000000" pitchFamily="34" charset="-120"/>
                <a:cs typeface="+mn-cs"/>
              </a:defRPr>
            </a:pPr>
            <a:r>
              <a:rPr lang="zh-TW" altLang="en-US">
                <a:latin typeface="Adobe 繁黑體 Std B" panose="020B0700000000000000" pitchFamily="34" charset="-120"/>
                <a:ea typeface="Adobe 繁黑體 Std B" panose="020B0700000000000000" pitchFamily="34" charset="-120"/>
              </a:rPr>
              <a:t>營運天數</a:t>
            </a:r>
          </a:p>
        </c:rich>
      </c:tx>
      <c:layout>
        <c:manualLayout>
          <c:xMode val="edge"/>
          <c:yMode val="edge"/>
          <c:x val="0.38181818181818195"/>
          <c:y val="1.0920438158934511E-2"/>
        </c:manualLayout>
      </c:layout>
      <c:spPr>
        <a:noFill/>
        <a:ln>
          <a:noFill/>
        </a:ln>
        <a:effectLst/>
      </c:spPr>
    </c:title>
    <c:plotArea>
      <c:layout>
        <c:manualLayout>
          <c:layoutTarget val="inner"/>
          <c:xMode val="edge"/>
          <c:yMode val="edge"/>
          <c:x val="2.3094029902229448E-3"/>
          <c:y val="1.4831778565237853E-3"/>
          <c:w val="0.91598830827964672"/>
          <c:h val="0.8304187801727263"/>
        </c:manualLayout>
      </c:layout>
      <c:lineChart>
        <c:grouping val="standard"/>
        <c:ser>
          <c:idx val="0"/>
          <c:order val="0"/>
          <c:tx>
            <c:strRef>
              <c:f>紅綠燈!$N$3</c:f>
              <c:strCache>
                <c:ptCount val="1"/>
                <c:pt idx="0">
                  <c:v>營業收入淨額</c:v>
                </c:pt>
              </c:strCache>
            </c:strRef>
          </c:tx>
          <c:spPr>
            <a:ln w="44450" cap="rnd">
              <a:solidFill>
                <a:schemeClr val="tx2">
                  <a:lumMod val="75000"/>
                </a:schemeClr>
              </a:solidFill>
              <a:prstDash val="solid"/>
              <a:round/>
            </a:ln>
            <a:effectLst/>
          </c:spPr>
          <c:marker>
            <c:symbol val="circle"/>
            <c:size val="17"/>
            <c:spPr>
              <a:solidFill>
                <a:schemeClr val="accent1"/>
              </a:solidFill>
              <a:ln>
                <a:noFill/>
              </a:ln>
              <a:effectLst/>
            </c:spPr>
          </c:marker>
          <c:dLbls>
            <c:numFmt formatCode="#,##0_);[Red]\(#,##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TW"/>
              </a:p>
            </c:txPr>
            <c:dLblPos val="ctr"/>
            <c:showVal val="1"/>
            <c:extLst xmlns:c16r2="http://schemas.microsoft.com/office/drawing/2015/06/chart">
              <c:ext xmlns:c15="http://schemas.microsoft.com/office/drawing/2012/chart" uri="{CE6537A1-D6FC-4f65-9D91-7224C49458BB}">
                <c15:layout/>
                <c15:showLeaderLines val="0"/>
              </c:ext>
            </c:extLst>
          </c:dLbls>
          <c:val>
            <c:numRef>
              <c:f>紅綠燈!$O$28:$R$28</c:f>
              <c:numCache>
                <c:formatCode>#,##0;[Red]\-#,##0</c:formatCode>
                <c:ptCount val="4"/>
                <c:pt idx="0">
                  <c:v>178.48734682160082</c:v>
                </c:pt>
                <c:pt idx="1">
                  <c:v>178.48734682160082</c:v>
                </c:pt>
                <c:pt idx="2">
                  <c:v>212.9604783751407</c:v>
                </c:pt>
                <c:pt idx="3">
                  <c:v>180.85411524407061</c:v>
                </c:pt>
              </c:numCache>
            </c:numRef>
          </c:val>
          <c:smooth val="1"/>
          <c:extLst xmlns:c16r2="http://schemas.microsoft.com/office/drawing/2015/06/chart">
            <c:ext xmlns:c16="http://schemas.microsoft.com/office/drawing/2014/chart" uri="{C3380CC4-5D6E-409C-BE32-E72D297353CC}">
              <c16:uniqueId val="{00000000-796D-4FE4-B29D-3722B7E75BBC}"/>
            </c:ext>
          </c:extLst>
        </c:ser>
        <c:ser>
          <c:idx val="1"/>
          <c:order val="1"/>
          <c:spPr>
            <a:ln w="53975" cap="rnd">
              <a:solidFill>
                <a:schemeClr val="accent2"/>
              </a:solidFill>
              <a:round/>
            </a:ln>
            <a:effectLst/>
          </c:spPr>
          <c:marker>
            <c:symbol val="circle"/>
            <c:size val="24"/>
            <c:spPr>
              <a:solidFill>
                <a:srgbClr val="FF5050"/>
              </a:solidFill>
              <a:ln>
                <a:noFill/>
              </a:ln>
              <a:effectLst/>
            </c:spPr>
          </c:marker>
          <c:dLbls>
            <c:numFmt formatCode="#,##0_);[Red]\(#,##0\)"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lt1"/>
                    </a:solidFill>
                    <a:latin typeface="+mn-lt"/>
                    <a:ea typeface="+mn-ea"/>
                    <a:cs typeface="+mn-cs"/>
                  </a:defRPr>
                </a:pPr>
                <a:endParaRPr lang="zh-TW"/>
              </a:p>
            </c:txPr>
            <c:dLblPos val="ctr"/>
            <c:showVal val="1"/>
            <c:extLst xmlns:c16r2="http://schemas.microsoft.com/office/drawing/2015/06/chart">
              <c:ext xmlns:c15="http://schemas.microsoft.com/office/drawing/2012/chart" uri="{CE6537A1-D6FC-4f65-9D91-7224C49458BB}">
                <c15:layout/>
                <c15:showLeaderLines val="0"/>
              </c:ext>
            </c:extLst>
          </c:dLbls>
          <c:val>
            <c:numRef>
              <c:f>紅綠燈!$S$28:$V$28</c:f>
              <c:numCache>
                <c:formatCode>#,##0;[Red]\-#,##0</c:formatCode>
                <c:ptCount val="4"/>
                <c:pt idx="0">
                  <c:v>169.30092679210117</c:v>
                </c:pt>
                <c:pt idx="1">
                  <c:v>197.51566000872307</c:v>
                </c:pt>
                <c:pt idx="2">
                  <c:v>199.98473870365274</c:v>
                </c:pt>
                <c:pt idx="3">
                  <c:v>164.1943812886997</c:v>
                </c:pt>
              </c:numCache>
            </c:numRef>
          </c:val>
          <c:smooth val="1"/>
          <c:extLst xmlns:c16r2="http://schemas.microsoft.com/office/drawing/2015/06/chart">
            <c:ext xmlns:c16="http://schemas.microsoft.com/office/drawing/2014/chart" uri="{C3380CC4-5D6E-409C-BE32-E72D297353CC}">
              <c16:uniqueId val="{00000001-796D-4FE4-B29D-3722B7E75BBC}"/>
            </c:ext>
          </c:extLst>
        </c:ser>
        <c:dLbls>
          <c:showVal val="1"/>
        </c:dLbls>
        <c:marker val="1"/>
        <c:axId val="153807104"/>
        <c:axId val="183246848"/>
      </c:lineChart>
      <c:catAx>
        <c:axId val="153807104"/>
        <c:scaling>
          <c:orientation val="minMax"/>
        </c:scaling>
        <c:delete val="1"/>
        <c:axPos val="b"/>
        <c:majorTickMark val="none"/>
        <c:tickLblPos val="none"/>
        <c:crossAx val="183246848"/>
        <c:crosses val="autoZero"/>
        <c:auto val="1"/>
        <c:lblAlgn val="ctr"/>
        <c:lblOffset val="100"/>
      </c:catAx>
      <c:valAx>
        <c:axId val="183246848"/>
        <c:scaling>
          <c:orientation val="minMax"/>
          <c:max val="256.5525740501688"/>
          <c:min val="130.35550503095976"/>
        </c:scaling>
        <c:delete val="1"/>
        <c:axPos val="l"/>
        <c:numFmt formatCode="#,##0;[Red]\-#,##0" sourceLinked="1"/>
        <c:majorTickMark val="none"/>
        <c:tickLblPos val="none"/>
        <c:crossAx val="153807104"/>
        <c:crosses val="autoZero"/>
        <c:crossBetween val="between"/>
      </c:valAx>
      <c:spPr>
        <a:noFill/>
        <a:ln>
          <a:noFill/>
        </a:ln>
        <a:effectLst/>
      </c:spPr>
    </c:plotArea>
    <c:plotVisOnly val="1"/>
    <c:dispBlanksAs val="gap"/>
  </c:chart>
  <c:spPr>
    <a:gradFill flip="none" rotWithShape="1">
      <a:gsLst>
        <a:gs pos="0">
          <a:schemeClr val="bg2">
            <a:lumMod val="90000"/>
          </a:schemeClr>
        </a:gs>
        <a:gs pos="0">
          <a:schemeClr val="accent3">
            <a:lumMod val="0"/>
            <a:lumOff val="100000"/>
          </a:schemeClr>
        </a:gs>
        <a:gs pos="100000">
          <a:schemeClr val="bg2">
            <a:lumMod val="50000"/>
          </a:schemeClr>
        </a:gs>
      </a:gsLst>
      <a:path path="circle">
        <a:fillToRect l="50000" t="50000" r="50000" b="50000"/>
      </a:path>
      <a:tileRect/>
    </a:gradFill>
    <a:ln w="9525" cap="flat" cmpd="sng" algn="ctr">
      <a:solidFill>
        <a:schemeClr val="dk1">
          <a:lumMod val="25000"/>
          <a:lumOff val="75000"/>
        </a:schemeClr>
      </a:solidFill>
      <a:round/>
    </a:ln>
    <a:effectLst/>
  </c:spPr>
  <c:txPr>
    <a:bodyPr/>
    <a:lstStyle/>
    <a:p>
      <a:pPr>
        <a:defRPr/>
      </a:pPr>
      <a:endParaRPr lang="zh-TW"/>
    </a:p>
  </c:txPr>
  <c:printSettings>
    <c:headerFooter/>
    <c:pageMargins b="0.75000000000000011" l="0.70000000000000007" r="0.70000000000000007" t="0.75000000000000011" header="0.30000000000000004" footer="0.30000000000000004"/>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zh-TW"/>
  <c:roundedCorners val="1"/>
  <c:chart>
    <c:autoTitleDeleted val="1"/>
    <c:plotArea>
      <c:layout>
        <c:manualLayout>
          <c:layoutTarget val="inner"/>
          <c:xMode val="edge"/>
          <c:yMode val="edge"/>
          <c:x val="0.11133118299971541"/>
          <c:y val="6.4116597662153732E-2"/>
          <c:w val="0.77640593204572439"/>
          <c:h val="0.87176680467569279"/>
        </c:manualLayout>
      </c:layout>
      <c:barChart>
        <c:barDir val="col"/>
        <c:grouping val="stacked"/>
        <c:ser>
          <c:idx val="0"/>
          <c:order val="0"/>
          <c:spPr>
            <a:solidFill>
              <a:srgbClr val="66FF33"/>
            </a:solidFill>
            <a:ln>
              <a:noFill/>
            </a:ln>
            <a:effectLst/>
            <a:scene3d>
              <a:camera prst="orthographicFront"/>
              <a:lightRig rig="threePt" dir="t"/>
            </a:scene3d>
            <a:sp3d>
              <a:bevelT/>
              <a:bevelB/>
            </a:sp3d>
          </c:spPr>
          <c:dPt>
            <c:idx val="8"/>
            <c:spPr>
              <a:solidFill>
                <a:srgbClr val="FFFF00"/>
              </a:solidFill>
              <a:ln>
                <a:noFill/>
              </a:ln>
              <a:effectLst/>
              <a:scene3d>
                <a:camera prst="orthographicFront"/>
                <a:lightRig rig="threePt" dir="t"/>
              </a:scene3d>
              <a:sp3d>
                <a:bevelT/>
                <a:bevelB/>
              </a:sp3d>
            </c:spPr>
            <c:extLst xmlns:c16r2="http://schemas.microsoft.com/office/drawing/2015/06/chart">
              <c:ext xmlns:c16="http://schemas.microsoft.com/office/drawing/2014/chart" uri="{C3380CC4-5D6E-409C-BE32-E72D297353CC}">
                <c16:uniqueId val="{00000002-C3ED-4481-8CE1-A9575D275640}"/>
              </c:ext>
            </c:extLst>
          </c:dPt>
          <c:dLbls>
            <c:numFmt formatCode="#,##0.0_);[Red]\(#,##0.0\)"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zh-TW"/>
              </a:p>
            </c:txPr>
            <c:dLblPos val="inBase"/>
            <c:showVal val="1"/>
            <c:extLst xmlns:c16r2="http://schemas.microsoft.com/office/drawing/2015/06/char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val>
            <c:numRef>
              <c:f>紅綠燈!$O$38:$V$38</c:f>
              <c:numCache>
                <c:formatCode>_-* #,##0.00_-;\-* #,##0.00_-;_-* "-"??_-;_-@_-</c:formatCode>
                <c:ptCount val="8"/>
                <c:pt idx="0">
                  <c:v>1.5815561959654181</c:v>
                </c:pt>
                <c:pt idx="1">
                  <c:v>1.66135593220339</c:v>
                </c:pt>
                <c:pt idx="2">
                  <c:v>0.93020408163265311</c:v>
                </c:pt>
                <c:pt idx="3">
                  <c:v>1.0684210526315789</c:v>
                </c:pt>
                <c:pt idx="4">
                  <c:v>1.5545584725536994</c:v>
                </c:pt>
                <c:pt idx="5">
                  <c:v>1.028</c:v>
                </c:pt>
                <c:pt idx="6">
                  <c:v>1.0611659192825111</c:v>
                </c:pt>
                <c:pt idx="7">
                  <c:v>1.0757556270096464</c:v>
                </c:pt>
              </c:numCache>
            </c:numRef>
          </c:val>
          <c:extLst xmlns:c16r2="http://schemas.microsoft.com/office/drawing/2015/06/chart">
            <c:ext xmlns:c16="http://schemas.microsoft.com/office/drawing/2014/chart" uri="{C3380CC4-5D6E-409C-BE32-E72D297353CC}">
              <c16:uniqueId val="{00000003-C3ED-4481-8CE1-A9575D275640}"/>
            </c:ext>
          </c:extLst>
        </c:ser>
        <c:ser>
          <c:idx val="1"/>
          <c:order val="1"/>
          <c:spPr>
            <a:solidFill>
              <a:schemeClr val="accent6">
                <a:lumMod val="75000"/>
              </a:schemeClr>
            </a:solidFill>
            <a:ln>
              <a:noFill/>
            </a:ln>
            <a:effectLst/>
            <a:scene3d>
              <a:camera prst="orthographicFront"/>
              <a:lightRig rig="threePt" dir="t"/>
            </a:scene3d>
            <a:sp3d>
              <a:bevelT/>
              <a:bevelB/>
            </a:sp3d>
          </c:spPr>
          <c:dPt>
            <c:idx val="8"/>
            <c:extLst xmlns:c16r2="http://schemas.microsoft.com/office/drawing/2015/06/chart">
              <c:ext xmlns:c16="http://schemas.microsoft.com/office/drawing/2014/chart" uri="{C3380CC4-5D6E-409C-BE32-E72D297353CC}">
                <c16:uniqueId val="{00000005-C3ED-4481-8CE1-A9575D275640}"/>
              </c:ext>
            </c:extLst>
          </c:dPt>
          <c:dLbls>
            <c:dLbl>
              <c:idx val="8"/>
              <c:dLblPos val="inBase"/>
              <c:showVal val="1"/>
              <c:extLst xmlns:c16r2="http://schemas.microsoft.com/office/drawing/2015/06/chart">
                <c:ext xmlns:c16="http://schemas.microsoft.com/office/drawing/2014/chart" uri="{C3380CC4-5D6E-409C-BE32-E72D297353CC}">
                  <c16:uniqueId val="{00000005-C3ED-4481-8CE1-A9575D275640}"/>
                </c:ext>
                <c:ext xmlns:c15="http://schemas.microsoft.com/office/drawing/2012/chart" uri="{CE6537A1-D6FC-4f65-9D91-7224C49458BB}"/>
              </c:extLst>
            </c:dLbl>
            <c:delete val="1"/>
            <c:numFmt formatCode="#,##0.0_);[Red]\(#,##0.0\)"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zh-TW"/>
              </a:p>
            </c:txPr>
            <c:dLblPos val="inEnd"/>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紅綠燈!$O$39:$V$39</c:f>
              <c:numCache>
                <c:formatCode>_-* #,##0.00_-;\-* #,##0.00_-;_-* "-"??_-;_-@_-</c:formatCode>
                <c:ptCount val="8"/>
                <c:pt idx="0">
                  <c:v>1.8443804034582102E-2</c:v>
                </c:pt>
                <c:pt idx="1">
                  <c:v>2.8644067796610093E-2</c:v>
                </c:pt>
                <c:pt idx="2">
                  <c:v>0.12979591836734697</c:v>
                </c:pt>
                <c:pt idx="3">
                  <c:v>9.1578947368421079E-2</c:v>
                </c:pt>
                <c:pt idx="4">
                  <c:v>0.28544152744630075</c:v>
                </c:pt>
                <c:pt idx="5">
                  <c:v>0.19200000000000006</c:v>
                </c:pt>
                <c:pt idx="6">
                  <c:v>-4.1165919282511107E-2</c:v>
                </c:pt>
                <c:pt idx="7">
                  <c:v>0.28424437299035377</c:v>
                </c:pt>
              </c:numCache>
            </c:numRef>
          </c:val>
          <c:extLst xmlns:c16r2="http://schemas.microsoft.com/office/drawing/2015/06/chart">
            <c:ext xmlns:c16="http://schemas.microsoft.com/office/drawing/2014/chart" uri="{C3380CC4-5D6E-409C-BE32-E72D297353CC}">
              <c16:uniqueId val="{00000006-C3ED-4481-8CE1-A9575D275640}"/>
            </c:ext>
          </c:extLst>
        </c:ser>
        <c:ser>
          <c:idx val="3"/>
          <c:order val="3"/>
          <c:spPr>
            <a:solidFill>
              <a:schemeClr val="tx1"/>
            </a:solidFill>
            <a:ln w="25400">
              <a:solidFill>
                <a:schemeClr val="tx1">
                  <a:lumMod val="50000"/>
                  <a:lumOff val="50000"/>
                </a:schemeClr>
              </a:solidFill>
            </a:ln>
            <a:effectLst/>
          </c:spPr>
          <c:val>
            <c:numRef>
              <c:f>紅綠燈!$O$48:$V$48</c:f>
              <c:numCache>
                <c:formatCode>_-* #,##0.00_-;\-* #,##0.00_-;_-* "-"??_-;_-@_-</c:formatCode>
                <c:ptCount val="8"/>
              </c:numCache>
            </c:numRef>
          </c:val>
          <c:extLst xmlns:c16r2="http://schemas.microsoft.com/office/drawing/2015/06/chart">
            <c:ext xmlns:c16="http://schemas.microsoft.com/office/drawing/2014/chart" uri="{C3380CC4-5D6E-409C-BE32-E72D297353CC}">
              <c16:uniqueId val="{00000000-C3ED-4481-8CE1-A9575D275640}"/>
            </c:ext>
          </c:extLst>
        </c:ser>
        <c:dLbls/>
        <c:gapWidth val="99"/>
        <c:overlap val="100"/>
        <c:axId val="183525376"/>
        <c:axId val="183526912"/>
      </c:barChart>
      <c:lineChart>
        <c:grouping val="standard"/>
        <c:ser>
          <c:idx val="2"/>
          <c:order val="2"/>
          <c:spPr>
            <a:ln w="44450" cap="rnd">
              <a:solidFill>
                <a:srgbClr val="FF0000"/>
              </a:solidFill>
              <a:round/>
            </a:ln>
            <a:effectLst/>
          </c:spPr>
          <c:marker>
            <c:symbol val="none"/>
          </c:marker>
          <c:val>
            <c:numRef>
              <c:f>紅綠燈!$O$35:$V$35</c:f>
              <c:numCache>
                <c:formatCode>0%</c:formatCode>
                <c:ptCount val="8"/>
                <c:pt idx="0">
                  <c:v>0.98847262247838619</c:v>
                </c:pt>
                <c:pt idx="1">
                  <c:v>0.98305084745762716</c:v>
                </c:pt>
                <c:pt idx="2">
                  <c:v>0.87755102040816324</c:v>
                </c:pt>
                <c:pt idx="3">
                  <c:v>0.92105263157894735</c:v>
                </c:pt>
                <c:pt idx="4">
                  <c:v>0.84486873508353222</c:v>
                </c:pt>
                <c:pt idx="5">
                  <c:v>0.84262295081967209</c:v>
                </c:pt>
                <c:pt idx="6">
                  <c:v>1.0403587443946187</c:v>
                </c:pt>
                <c:pt idx="7">
                  <c:v>0.79099678456591638</c:v>
                </c:pt>
              </c:numCache>
            </c:numRef>
          </c:val>
          <c:smooth val="1"/>
          <c:extLst xmlns:c16r2="http://schemas.microsoft.com/office/drawing/2015/06/chart">
            <c:ext xmlns:c16="http://schemas.microsoft.com/office/drawing/2014/chart" uri="{C3380CC4-5D6E-409C-BE32-E72D297353CC}">
              <c16:uniqueId val="{00000007-C3ED-4481-8CE1-A9575D275640}"/>
            </c:ext>
          </c:extLst>
        </c:ser>
        <c:dLbls/>
        <c:marker val="1"/>
        <c:axId val="183530240"/>
        <c:axId val="183528448"/>
      </c:lineChart>
      <c:catAx>
        <c:axId val="183525376"/>
        <c:scaling>
          <c:orientation val="minMax"/>
        </c:scaling>
        <c:delete val="1"/>
        <c:axPos val="b"/>
        <c:majorTickMark val="none"/>
        <c:tickLblPos val="none"/>
        <c:crossAx val="183526912"/>
        <c:crosses val="autoZero"/>
        <c:auto val="1"/>
        <c:lblAlgn val="ctr"/>
        <c:lblOffset val="100"/>
      </c:catAx>
      <c:valAx>
        <c:axId val="183526912"/>
        <c:scaling>
          <c:orientation val="minMax"/>
        </c:scaling>
        <c:axPos val="l"/>
        <c:numFmt formatCode="_-* #,##0.00_-;\-* #,##0.00_-;_-* &quot;-&quot;??_-;_-@_-" sourceLinked="1"/>
        <c:majorTickMark val="none"/>
        <c:tickLblPos val="nextTo"/>
        <c:spPr>
          <a:noFill/>
          <a:ln>
            <a:noFill/>
          </a:ln>
          <a:effectLst/>
        </c:spPr>
        <c:txPr>
          <a:bodyPr rot="-60000000" spcFirstLastPara="1" vertOverflow="ellipsis" vert="horz" wrap="square" anchor="ctr" anchorCtr="1"/>
          <a:lstStyle/>
          <a:p>
            <a:pPr>
              <a:defRPr sz="1100" b="1" i="0" u="none" strike="noStrike" kern="1200" baseline="0">
                <a:ln>
                  <a:noFill/>
                </a:ln>
                <a:solidFill>
                  <a:sysClr val="windowText" lastClr="000000"/>
                </a:solidFill>
                <a:latin typeface="+mj-ea"/>
                <a:ea typeface="+mj-ea"/>
                <a:cs typeface="+mn-cs"/>
              </a:defRPr>
            </a:pPr>
            <a:endParaRPr lang="zh-TW"/>
          </a:p>
        </c:txPr>
        <c:crossAx val="183525376"/>
        <c:crosses val="autoZero"/>
        <c:crossBetween val="between"/>
      </c:valAx>
      <c:valAx>
        <c:axId val="183528448"/>
        <c:scaling>
          <c:orientation val="minMax"/>
        </c:scaling>
        <c:axPos val="r"/>
        <c:numFmt formatCode="0%" sourceLinked="1"/>
        <c:tickLblPos val="nextTo"/>
        <c:spPr>
          <a:noFill/>
          <a:ln>
            <a:no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zh-TW"/>
          </a:p>
        </c:txPr>
        <c:crossAx val="183530240"/>
        <c:crosses val="max"/>
        <c:crossBetween val="between"/>
      </c:valAx>
      <c:catAx>
        <c:axId val="183530240"/>
        <c:scaling>
          <c:orientation val="minMax"/>
        </c:scaling>
        <c:delete val="1"/>
        <c:axPos val="b"/>
        <c:tickLblPos val="none"/>
        <c:crossAx val="183528448"/>
        <c:crosses val="autoZero"/>
        <c:auto val="1"/>
        <c:lblAlgn val="ctr"/>
        <c:lblOffset val="100"/>
      </c:catAx>
      <c:spPr>
        <a:noFill/>
        <a:ln w="15875">
          <a:solidFill>
            <a:schemeClr val="bg2">
              <a:lumMod val="50000"/>
            </a:schemeClr>
          </a:solidFill>
        </a:ln>
        <a:effectLst/>
      </c:spPr>
    </c:plotArea>
    <c:plotVisOnly val="1"/>
    <c:dispBlanksAs val="gap"/>
  </c:chart>
  <c:spPr>
    <a:noFill/>
    <a:ln w="22225" cap="flat" cmpd="sng" algn="ctr">
      <a:solidFill>
        <a:schemeClr val="tx1"/>
      </a:solidFill>
      <a:round/>
    </a:ln>
    <a:effectLst/>
  </c:spPr>
  <c:txPr>
    <a:bodyPr/>
    <a:lstStyle/>
    <a:p>
      <a:pPr>
        <a:defRPr/>
      </a:pPr>
      <a:endParaRPr lang="zh-TW"/>
    </a:p>
  </c:txPr>
  <c:printSettings>
    <c:headerFooter/>
    <c:pageMargins b="0.75000000000000011" l="0.70000000000000007" r="0.70000000000000007" t="0.75000000000000011" header="0.30000000000000004" footer="0.30000000000000004"/>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zh-TW"/>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TW" altLang="en-US" sz="1600" b="1">
                <a:latin typeface="微軟正黑體" panose="020B0604030504040204" pitchFamily="34" charset="-120"/>
                <a:ea typeface="微軟正黑體" panose="020B0604030504040204" pitchFamily="34" charset="-120"/>
              </a:rPr>
              <a:t>籌碼判斷</a:t>
            </a:r>
          </a:p>
        </c:rich>
      </c:tx>
      <c:spPr>
        <a:noFill/>
        <a:ln>
          <a:noFill/>
        </a:ln>
        <a:effectLst/>
      </c:spPr>
    </c:title>
    <c:plotArea>
      <c:layout>
        <c:manualLayout>
          <c:layoutTarget val="inner"/>
          <c:xMode val="edge"/>
          <c:yMode val="edge"/>
          <c:x val="3.227877027358627E-2"/>
          <c:y val="0.15784922993785463"/>
          <c:w val="0.93544245945282745"/>
          <c:h val="0.68953072408700111"/>
        </c:manualLayout>
      </c:layout>
      <c:lineChart>
        <c:grouping val="standard"/>
        <c:ser>
          <c:idx val="0"/>
          <c:order val="0"/>
          <c:spPr>
            <a:ln w="44450" cap="rnd">
              <a:solidFill>
                <a:srgbClr val="FF0000"/>
              </a:solidFill>
              <a:round/>
            </a:ln>
            <a:effectLst/>
          </c:spPr>
          <c:marker>
            <c:symbol val="none"/>
          </c:marker>
          <c:dPt>
            <c:idx val="1"/>
            <c:extLst xmlns:c16r2="http://schemas.microsoft.com/office/drawing/2015/06/chart">
              <c:ext xmlns:c16="http://schemas.microsoft.com/office/drawing/2014/chart" uri="{C3380CC4-5D6E-409C-BE32-E72D297353CC}">
                <c16:uniqueId val="{00000001-4D45-4BE5-938A-81495EE20BDB}"/>
              </c:ext>
            </c:extLst>
          </c:dPt>
          <c:dPt>
            <c:idx val="2"/>
            <c:extLst xmlns:c16r2="http://schemas.microsoft.com/office/drawing/2015/06/chart">
              <c:ext xmlns:c16="http://schemas.microsoft.com/office/drawing/2014/chart" uri="{C3380CC4-5D6E-409C-BE32-E72D297353CC}">
                <c16:uniqueId val="{00000003-4D45-4BE5-938A-81495EE20BDB}"/>
              </c:ext>
            </c:extLst>
          </c:dPt>
          <c:dPt>
            <c:idx val="3"/>
            <c:extLst xmlns:c16r2="http://schemas.microsoft.com/office/drawing/2015/06/chart">
              <c:ext xmlns:c16="http://schemas.microsoft.com/office/drawing/2014/chart" uri="{C3380CC4-5D6E-409C-BE32-E72D297353CC}">
                <c16:uniqueId val="{00000005-4D45-4BE5-938A-81495EE20BDB}"/>
              </c:ext>
            </c:extLst>
          </c:dPt>
          <c:val>
            <c:numRef>
              <c:f>紅綠燈!#REF!</c:f>
              <c:numCache>
                <c:formatCode>#,##0_);[Red]\(#,##0\)</c:formatCode>
                <c:ptCount val="6"/>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6-4D45-4BE5-938A-81495EE20BDB}"/>
            </c:ext>
            <c:ext xmlns:c15="http://schemas.microsoft.com/office/drawing/2012/chart" uri="{02D57815-91ED-43cb-92C2-25804820EDAC}">
              <c15:filteredCategoryTitle>
                <c15:cat>
                  <c:strRef>
                    <c:extLst xmlns:c16="http://schemas.microsoft.com/office/drawing/2014/chart" xmlns:c16r2="http://schemas.microsoft.com/office/drawing/2015/06/chart">
                      <c:ext uri="{02D57815-91ED-43cb-92C2-25804820EDAC}">
                        <c15:formulaRef>
                          <c15:sqref>紅綠燈!#REF!</c15:sqref>
                        </c15:formulaRef>
                      </c:ext>
                    </c:extLst>
                    <c:strCache>
                      <c:ptCount val="6"/>
                      <c:pt idx="0">
                        <c:v>0</c:v>
                      </c:pt>
                      <c:pt idx="1">
                        <c:v>0</c:v>
                      </c:pt>
                      <c:pt idx="2">
                        <c:v>0</c:v>
                      </c:pt>
                      <c:pt idx="3">
                        <c:v>0</c:v>
                      </c:pt>
                      <c:pt idx="4">
                        <c:v>0</c:v>
                      </c:pt>
                      <c:pt idx="5">
                        <c:v>明天???</c:v>
                      </c:pt>
                    </c:strCache>
                  </c:strRef>
                </c15:cat>
              </c15:filteredCategoryTitle>
            </c:ext>
          </c:extLst>
        </c:ser>
        <c:dLbls/>
        <c:marker val="1"/>
        <c:axId val="183552640"/>
        <c:axId val="154730880"/>
      </c:lineChart>
      <c:catAx>
        <c:axId val="183552640"/>
        <c:scaling>
          <c:orientation val="minMax"/>
        </c:scaling>
        <c:axPos val="b"/>
        <c:numFmt formatCode="General" sourceLinked="1"/>
        <c:majorTickMark val="none"/>
        <c:tickLblPos val="nextTo"/>
        <c:spPr>
          <a:noFill/>
          <a:ln w="28575" cap="flat" cmpd="sng" algn="ctr">
            <a:solidFill>
              <a:schemeClr val="tx1"/>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zh-TW"/>
          </a:p>
        </c:txPr>
        <c:crossAx val="154730880"/>
        <c:crosses val="autoZero"/>
        <c:auto val="1"/>
        <c:lblAlgn val="ctr"/>
        <c:lblOffset val="100"/>
        <c:tickMarkSkip val="1"/>
      </c:catAx>
      <c:valAx>
        <c:axId val="154730880"/>
        <c:scaling>
          <c:orientation val="minMax"/>
        </c:scaling>
        <c:delete val="1"/>
        <c:axPos val="l"/>
        <c:numFmt formatCode="#,##0_);[Red]\(#,##0\)" sourceLinked="1"/>
        <c:majorTickMark val="none"/>
        <c:tickLblPos val="none"/>
        <c:crossAx val="183552640"/>
        <c:crosses val="autoZero"/>
        <c:crossBetween val="between"/>
      </c:valAx>
      <c:spPr>
        <a:noFill/>
        <a:ln>
          <a:noFill/>
        </a:ln>
        <a:effectLst/>
      </c:spPr>
    </c:plotArea>
    <c:plotVisOnly val="1"/>
    <c:dispBlanksAs val="gap"/>
  </c:chart>
  <c:spPr>
    <a:solidFill>
      <a:schemeClr val="accent3">
        <a:lumMod val="60000"/>
        <a:lumOff val="40000"/>
      </a:schemeClr>
    </a:solidFill>
    <a:ln w="9525" cap="flat" cmpd="sng" algn="ctr">
      <a:solidFill>
        <a:schemeClr val="bg1">
          <a:lumMod val="75000"/>
        </a:schemeClr>
      </a:solidFill>
      <a:round/>
    </a:ln>
    <a:effectLst/>
  </c:spPr>
  <c:txPr>
    <a:bodyPr/>
    <a:lstStyle/>
    <a:p>
      <a:pPr>
        <a:defRPr/>
      </a:pPr>
      <a:endParaRPr lang="zh-TW"/>
    </a:p>
  </c:txPr>
  <c:printSettings>
    <c:headerFooter/>
    <c:pageMargins b="0.75000000000000011" l="0.70000000000000007" r="0.70000000000000007" t="0.75000000000000011" header="0.30000000000000004" footer="0.30000000000000004"/>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zh-TW"/>
  <c:roundedCorners val="1"/>
  <c:chart>
    <c:autoTitleDeleted val="1"/>
    <c:plotArea>
      <c:layout>
        <c:manualLayout>
          <c:layoutTarget val="inner"/>
          <c:xMode val="edge"/>
          <c:yMode val="edge"/>
          <c:x val="7.2848929955886058E-2"/>
          <c:y val="9.3835716839745842E-2"/>
          <c:w val="0.87166927385768778"/>
          <c:h val="0.83147714694293351"/>
        </c:manualLayout>
      </c:layout>
      <c:stockChart>
        <c:ser>
          <c:idx val="0"/>
          <c:order val="0"/>
          <c:spPr>
            <a:ln w="28575" cap="rnd">
              <a:noFill/>
              <a:round/>
            </a:ln>
            <a:effectLst/>
          </c:spPr>
          <c:marker>
            <c:symbol val="none"/>
          </c:marker>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Lst>
        </c:ser>
        <c:ser>
          <c:idx val="1"/>
          <c:order val="1"/>
          <c:spPr>
            <a:ln w="28575" cap="rnd">
              <a:noFill/>
              <a:round/>
            </a:ln>
            <a:effectLst/>
          </c:spPr>
          <c:marker>
            <c:symbol val="none"/>
          </c:marker>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Lst>
        </c:ser>
        <c:ser>
          <c:idx val="2"/>
          <c:order val="2"/>
          <c:spPr>
            <a:ln w="28575" cap="rnd">
              <a:noFill/>
              <a:round/>
            </a:ln>
            <a:effectLst/>
          </c:spPr>
          <c:marker>
            <c:symbol val="none"/>
          </c:marker>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Lst>
        </c:ser>
        <c:ser>
          <c:idx val="3"/>
          <c:order val="3"/>
          <c:spPr>
            <a:ln w="28575" cap="rnd">
              <a:noFill/>
              <a:round/>
            </a:ln>
            <a:effectLst/>
          </c:spPr>
          <c:marker>
            <c:symbol val="none"/>
          </c:marker>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Lst>
        </c:ser>
        <c:dLbls/>
        <c:hiLowLines>
          <c:spPr>
            <a:ln w="9525" cap="flat" cmpd="sng" algn="ctr">
              <a:solidFill>
                <a:schemeClr val="tx1">
                  <a:lumMod val="75000"/>
                  <a:lumOff val="25000"/>
                </a:schemeClr>
              </a:solidFill>
              <a:round/>
            </a:ln>
            <a:effectLst/>
          </c:spPr>
        </c:hiLowLines>
        <c:upDownBars>
          <c:gapWidth val="150"/>
          <c:upBars>
            <c:spPr>
              <a:solidFill>
                <a:srgbClr val="FF0000"/>
              </a:solidFill>
              <a:ln w="9525" cap="flat" cmpd="sng" algn="ctr">
                <a:solidFill>
                  <a:srgbClr val="FF0000"/>
                </a:solidFill>
                <a:round/>
              </a:ln>
              <a:effectLst/>
            </c:spPr>
          </c:upBars>
          <c:downBars>
            <c:spPr>
              <a:solidFill>
                <a:srgbClr val="66FF33"/>
              </a:solidFill>
              <a:ln w="9525" cap="flat" cmpd="sng" algn="ctr">
                <a:solidFill>
                  <a:schemeClr val="tx1">
                    <a:lumMod val="65000"/>
                    <a:lumOff val="35000"/>
                  </a:schemeClr>
                </a:solidFill>
                <a:round/>
              </a:ln>
              <a:effectLst/>
            </c:spPr>
          </c:downBars>
        </c:upDownBars>
        <c:axId val="154780800"/>
        <c:axId val="154782336"/>
      </c:stockChart>
      <c:catAx>
        <c:axId val="154780800"/>
        <c:scaling>
          <c:orientation val="minMax"/>
        </c:scaling>
        <c:delete val="1"/>
        <c:axPos val="b"/>
        <c:numFmt formatCode="yyyy/mm/dd" sourceLinked="1"/>
        <c:tickLblPos val="none"/>
        <c:crossAx val="154782336"/>
        <c:crosses val="autoZero"/>
        <c:lblAlgn val="ctr"/>
        <c:lblOffset val="100"/>
      </c:catAx>
      <c:valAx>
        <c:axId val="154782336"/>
        <c:scaling>
          <c:orientation val="minMax"/>
          <c:max val="86.7"/>
          <c:min val="61"/>
        </c:scaling>
        <c:axPos val="l"/>
        <c:numFmt formatCode="General" sourceLinked="1"/>
        <c:maj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zh-TW"/>
          </a:p>
        </c:txPr>
        <c:crossAx val="154780800"/>
        <c:crosses val="autoZero"/>
        <c:crossBetween val="between"/>
      </c:valAx>
      <c:spPr>
        <a:noFill/>
        <a:ln>
          <a:solidFill>
            <a:srgbClr val="FF0000"/>
          </a:solidFill>
        </a:ln>
        <a:effectLst/>
      </c:spPr>
    </c:plotArea>
    <c:plotVisOnly val="1"/>
    <c:dispBlanksAs val="gap"/>
  </c:chart>
  <c:spPr>
    <a:solidFill>
      <a:schemeClr val="bg2">
        <a:lumMod val="75000"/>
      </a:schemeClr>
    </a:solidFill>
    <a:ln w="25400" cap="flat" cmpd="sng" algn="ctr">
      <a:solidFill>
        <a:schemeClr val="tx1"/>
      </a:solidFill>
      <a:round/>
    </a:ln>
    <a:effectLst/>
  </c:spPr>
  <c:txPr>
    <a:bodyPr/>
    <a:lstStyle/>
    <a:p>
      <a:pPr>
        <a:defRPr/>
      </a:pPr>
      <a:endParaRPr lang="zh-TW"/>
    </a:p>
  </c:txPr>
  <c:printSettings>
    <c:headerFooter/>
    <c:pageMargins b="0.75000000000000011" l="0.70000000000000007" r="0.70000000000000007" t="0.75000000000000011" header="0.30000000000000004" footer="0.30000000000000004"/>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lang val="zh-TW"/>
  <c:roundedCorners val="1"/>
  <c:chart>
    <c:plotArea>
      <c:layout>
        <c:manualLayout>
          <c:layoutTarget val="inner"/>
          <c:xMode val="edge"/>
          <c:yMode val="edge"/>
          <c:x val="6.3281922257314868E-2"/>
          <c:y val="7.8422319604017951E-2"/>
          <c:w val="0.87780546426228157"/>
          <c:h val="0.86281393317176114"/>
        </c:manualLayout>
      </c:layout>
      <c:stockChart>
        <c:ser>
          <c:idx val="0"/>
          <c:order val="0"/>
          <c:spPr>
            <a:ln w="25400" cap="rnd">
              <a:noFill/>
              <a:round/>
            </a:ln>
            <a:effectLst/>
          </c:spPr>
          <c:marker>
            <c:symbol val="none"/>
          </c:marker>
          <c:val>
            <c:numRef>
              <c:f>#REF!</c:f>
              <c:numCache>
                <c:formatCode>General</c:formatCode>
                <c:ptCount val="1"/>
                <c:pt idx="0">
                  <c:v>1</c:v>
                </c:pt>
              </c:numCache>
            </c:numRef>
          </c:val>
        </c:ser>
        <c:ser>
          <c:idx val="1"/>
          <c:order val="1"/>
          <c:spPr>
            <a:ln w="25400" cap="rnd">
              <a:noFill/>
              <a:round/>
            </a:ln>
            <a:effectLst/>
          </c:spPr>
          <c:marker>
            <c:symbol val="none"/>
          </c:marker>
          <c:val>
            <c:numRef>
              <c:f>#REF!</c:f>
              <c:numCache>
                <c:formatCode>General</c:formatCode>
                <c:ptCount val="1"/>
                <c:pt idx="0">
                  <c:v>1</c:v>
                </c:pt>
              </c:numCache>
            </c:numRef>
          </c:val>
        </c:ser>
        <c:ser>
          <c:idx val="2"/>
          <c:order val="2"/>
          <c:spPr>
            <a:ln w="25400" cap="rnd">
              <a:noFill/>
              <a:round/>
            </a:ln>
            <a:effectLst/>
          </c:spPr>
          <c:marker>
            <c:symbol val="none"/>
          </c:marker>
          <c:val>
            <c:numRef>
              <c:f>#REF!</c:f>
              <c:numCache>
                <c:formatCode>General</c:formatCode>
                <c:ptCount val="1"/>
                <c:pt idx="0">
                  <c:v>1</c:v>
                </c:pt>
              </c:numCache>
            </c:numRef>
          </c:val>
        </c:ser>
        <c:ser>
          <c:idx val="3"/>
          <c:order val="3"/>
          <c:spPr>
            <a:ln w="25400" cap="rnd">
              <a:noFill/>
              <a:round/>
            </a:ln>
            <a:effectLst/>
          </c:spPr>
          <c:marker>
            <c:symbol val="none"/>
          </c:marker>
          <c:val>
            <c:numRef>
              <c:f>#REF!</c:f>
              <c:numCache>
                <c:formatCode>General</c:formatCode>
                <c:ptCount val="1"/>
                <c:pt idx="0">
                  <c:v>1</c:v>
                </c:pt>
              </c:numCache>
            </c:numRef>
          </c:val>
        </c:ser>
        <c:dLbls/>
        <c:hiLowLines>
          <c:spPr>
            <a:ln w="9525" cap="flat" cmpd="sng" algn="ctr">
              <a:solidFill>
                <a:schemeClr val="tx1">
                  <a:lumMod val="75000"/>
                  <a:lumOff val="25000"/>
                </a:schemeClr>
              </a:solidFill>
              <a:round/>
            </a:ln>
            <a:effectLst/>
          </c:spPr>
        </c:hiLowLines>
        <c:upDownBars>
          <c:gapWidth val="150"/>
          <c:upBars>
            <c:spPr>
              <a:solidFill>
                <a:srgbClr val="66FF33"/>
              </a:solidFill>
              <a:ln w="9525" cap="flat" cmpd="sng" algn="ctr">
                <a:solidFill>
                  <a:schemeClr val="tx1">
                    <a:lumMod val="65000"/>
                    <a:lumOff val="35000"/>
                  </a:schemeClr>
                </a:solidFill>
                <a:round/>
              </a:ln>
              <a:effectLst/>
            </c:spPr>
          </c:upBars>
          <c:downBars>
            <c:spPr>
              <a:solidFill>
                <a:srgbClr val="FF0000"/>
              </a:solidFill>
              <a:ln w="9525" cap="flat" cmpd="sng" algn="ctr">
                <a:solidFill>
                  <a:schemeClr val="tx1">
                    <a:lumMod val="65000"/>
                    <a:lumOff val="35000"/>
                  </a:schemeClr>
                </a:solidFill>
                <a:round/>
              </a:ln>
              <a:effectLst/>
            </c:spPr>
          </c:downBars>
        </c:upDownBars>
        <c:axId val="183675520"/>
        <c:axId val="183681408"/>
      </c:stockChart>
      <c:catAx>
        <c:axId val="183675520"/>
        <c:scaling>
          <c:orientation val="maxMin"/>
        </c:scaling>
        <c:delete val="1"/>
        <c:axPos val="b"/>
        <c:numFmt formatCode="yyyy/mm/dd" sourceLinked="1"/>
        <c:tickLblPos val="none"/>
        <c:crossAx val="183681408"/>
        <c:crosses val="autoZero"/>
        <c:lblAlgn val="ctr"/>
        <c:lblOffset val="100"/>
      </c:catAx>
      <c:valAx>
        <c:axId val="183681408"/>
        <c:scaling>
          <c:orientation val="minMax"/>
          <c:max val="87.97"/>
          <c:min val="81.489999999999995"/>
        </c:scaling>
        <c:axPos val="r"/>
        <c:numFmt formatCode="General" sourceLinked="1"/>
        <c:maj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zh-TW"/>
          </a:p>
        </c:txPr>
        <c:crossAx val="183675520"/>
        <c:crosses val="autoZero"/>
        <c:crossBetween val="between"/>
      </c:valAx>
      <c:spPr>
        <a:solidFill>
          <a:schemeClr val="bg2">
            <a:lumMod val="75000"/>
          </a:schemeClr>
        </a:solidFill>
        <a:ln>
          <a:solidFill>
            <a:srgbClr val="FF0000"/>
          </a:solidFill>
        </a:ln>
        <a:effectLst/>
      </c:spPr>
    </c:plotArea>
    <c:plotVisOnly val="1"/>
    <c:dispBlanksAs val="gap"/>
  </c:chart>
  <c:spPr>
    <a:solidFill>
      <a:schemeClr val="bg2">
        <a:lumMod val="75000"/>
      </a:schemeClr>
    </a:solidFill>
    <a:ln w="25400" cap="flat" cmpd="sng" algn="ctr">
      <a:solidFill>
        <a:schemeClr val="tx1"/>
      </a:solidFill>
      <a:round/>
    </a:ln>
    <a:effectLst/>
  </c:spPr>
  <c:txPr>
    <a:bodyPr/>
    <a:lstStyle/>
    <a:p>
      <a:pPr>
        <a:defRPr/>
      </a:pPr>
      <a:endParaRPr lang="zh-TW"/>
    </a:p>
  </c:txPr>
  <c:printSettings>
    <c:headerFooter/>
    <c:pageMargins b="0.75000000000000011" l="0.70000000000000007" r="0.70000000000000007" t="0.75000000000000011" header="0.30000000000000004" footer="0.30000000000000004"/>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lang val="zh-TW"/>
  <c:roundedCorners val="1"/>
  <c:chart>
    <c:plotArea>
      <c:layout>
        <c:manualLayout>
          <c:layoutTarget val="inner"/>
          <c:xMode val="edge"/>
          <c:yMode val="edge"/>
          <c:x val="8.6394598771810924E-2"/>
          <c:y val="6.6000082202453916E-2"/>
          <c:w val="0.83187613799423621"/>
          <c:h val="0.82214272784867404"/>
        </c:manualLayout>
      </c:layout>
      <c:barChart>
        <c:barDir val="col"/>
        <c:grouping val="clustered"/>
        <c:ser>
          <c:idx val="0"/>
          <c:order val="0"/>
          <c:tx>
            <c:strRef>
              <c:f>PK!$A$26:$B$26</c:f>
              <c:strCache>
                <c:ptCount val="1"/>
                <c:pt idx="0">
                  <c:v>1210 來自營運之現金流量</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cat>
            <c:numRef>
              <c:f>PK!$C$1:$J$1</c:f>
              <c:numCache>
                <c:formatCode>General</c:formatCode>
                <c:ptCount val="8"/>
                <c:pt idx="0">
                  <c:v>1</c:v>
                </c:pt>
                <c:pt idx="1">
                  <c:v>2</c:v>
                </c:pt>
                <c:pt idx="2">
                  <c:v>3</c:v>
                </c:pt>
                <c:pt idx="3">
                  <c:v>4</c:v>
                </c:pt>
                <c:pt idx="4">
                  <c:v>5</c:v>
                </c:pt>
                <c:pt idx="5">
                  <c:v>6</c:v>
                </c:pt>
                <c:pt idx="6">
                  <c:v>7</c:v>
                </c:pt>
                <c:pt idx="7">
                  <c:v>8</c:v>
                </c:pt>
              </c:numCache>
            </c:numRef>
          </c:cat>
          <c:val>
            <c:numRef>
              <c:f>PK!$C$71:$J$71</c:f>
              <c:numCache>
                <c:formatCode>General</c:formatCode>
                <c:ptCount val="8"/>
                <c:pt idx="0">
                  <c:v>-0.32</c:v>
                </c:pt>
                <c:pt idx="1">
                  <c:v>3.33</c:v>
                </c:pt>
                <c:pt idx="2">
                  <c:v>-0.96</c:v>
                </c:pt>
                <c:pt idx="3">
                  <c:v>3.49</c:v>
                </c:pt>
                <c:pt idx="4">
                  <c:v>-0.14000000000000001</c:v>
                </c:pt>
                <c:pt idx="5">
                  <c:v>1.89</c:v>
                </c:pt>
                <c:pt idx="6">
                  <c:v>1.57</c:v>
                </c:pt>
                <c:pt idx="7">
                  <c:v>2.3199999999999998</c:v>
                </c:pt>
              </c:numCache>
            </c:numRef>
          </c:val>
          <c:extLst xmlns:c16r2="http://schemas.microsoft.com/office/drawing/2015/06/chart">
            <c:ext xmlns:c16="http://schemas.microsoft.com/office/drawing/2014/chart" uri="{C3380CC4-5D6E-409C-BE32-E72D297353CC}">
              <c16:uniqueId val="{00000000-39ED-4854-B0CC-193B7E57A71B}"/>
            </c:ext>
          </c:extLst>
        </c:ser>
        <c:ser>
          <c:idx val="1"/>
          <c:order val="1"/>
          <c:tx>
            <c:strRef>
              <c:f>PK!$A$27:$B$27</c:f>
              <c:strCache>
                <c:ptCount val="1"/>
                <c:pt idx="0">
                  <c:v>1215 來自營運之現金流量</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cat>
            <c:numRef>
              <c:f>PK!$C$1:$J$1</c:f>
              <c:numCache>
                <c:formatCode>General</c:formatCode>
                <c:ptCount val="8"/>
                <c:pt idx="0">
                  <c:v>1</c:v>
                </c:pt>
                <c:pt idx="1">
                  <c:v>2</c:v>
                </c:pt>
                <c:pt idx="2">
                  <c:v>3</c:v>
                </c:pt>
                <c:pt idx="3">
                  <c:v>4</c:v>
                </c:pt>
                <c:pt idx="4">
                  <c:v>5</c:v>
                </c:pt>
                <c:pt idx="5">
                  <c:v>6</c:v>
                </c:pt>
                <c:pt idx="6">
                  <c:v>7</c:v>
                </c:pt>
                <c:pt idx="7">
                  <c:v>8</c:v>
                </c:pt>
              </c:numCache>
            </c:numRef>
          </c:cat>
          <c:val>
            <c:numRef>
              <c:f>PK!$C$72:$J$72</c:f>
              <c:numCache>
                <c:formatCode>General</c:formatCode>
                <c:ptCount val="8"/>
                <c:pt idx="0">
                  <c:v>2</c:v>
                </c:pt>
                <c:pt idx="1">
                  <c:v>0.9</c:v>
                </c:pt>
                <c:pt idx="2">
                  <c:v>-0.06</c:v>
                </c:pt>
                <c:pt idx="3">
                  <c:v>1.88</c:v>
                </c:pt>
                <c:pt idx="4">
                  <c:v>1.35</c:v>
                </c:pt>
                <c:pt idx="5">
                  <c:v>-0.33</c:v>
                </c:pt>
                <c:pt idx="6">
                  <c:v>1.37</c:v>
                </c:pt>
                <c:pt idx="7">
                  <c:v>1.73</c:v>
                </c:pt>
              </c:numCache>
            </c:numRef>
          </c:val>
          <c:extLst xmlns:c16r2="http://schemas.microsoft.com/office/drawing/2015/06/chart">
            <c:ext xmlns:c16="http://schemas.microsoft.com/office/drawing/2014/chart" uri="{C3380CC4-5D6E-409C-BE32-E72D297353CC}">
              <c16:uniqueId val="{00000001-39ED-4854-B0CC-193B7E57A71B}"/>
            </c:ext>
          </c:extLst>
        </c:ser>
        <c:ser>
          <c:idx val="2"/>
          <c:order val="2"/>
          <c:tx>
            <c:strRef>
              <c:f>PK!$A$28:$B$28</c:f>
              <c:strCache>
                <c:ptCount val="1"/>
                <c:pt idx="0">
                  <c:v>1215 來自營運之現金流量</c:v>
                </c:pt>
              </c:strCache>
            </c:strRef>
          </c:tx>
          <c:spPr>
            <a:solidFill>
              <a:srgbClr val="FFCC0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cat>
            <c:numRef>
              <c:f>PK!$C$1:$J$1</c:f>
              <c:numCache>
                <c:formatCode>General</c:formatCode>
                <c:ptCount val="8"/>
                <c:pt idx="0">
                  <c:v>1</c:v>
                </c:pt>
                <c:pt idx="1">
                  <c:v>2</c:v>
                </c:pt>
                <c:pt idx="2">
                  <c:v>3</c:v>
                </c:pt>
                <c:pt idx="3">
                  <c:v>4</c:v>
                </c:pt>
                <c:pt idx="4">
                  <c:v>5</c:v>
                </c:pt>
                <c:pt idx="5">
                  <c:v>6</c:v>
                </c:pt>
                <c:pt idx="6">
                  <c:v>7</c:v>
                </c:pt>
                <c:pt idx="7">
                  <c:v>8</c:v>
                </c:pt>
              </c:numCache>
            </c:numRef>
          </c:cat>
          <c:val>
            <c:numRef>
              <c:f>PK!$C$73:$J$73</c:f>
              <c:numCache>
                <c:formatCode>General</c:formatCode>
                <c:ptCount val="8"/>
                <c:pt idx="0">
                  <c:v>#N/A</c:v>
                </c:pt>
                <c:pt idx="1">
                  <c:v>#N/A</c:v>
                </c:pt>
                <c:pt idx="2">
                  <c:v>#N/A</c:v>
                </c:pt>
                <c:pt idx="3">
                  <c:v>#N/A</c:v>
                </c:pt>
                <c:pt idx="4">
                  <c:v>#N/A</c:v>
                </c:pt>
                <c:pt idx="5">
                  <c:v>#N/A</c:v>
                </c:pt>
                <c:pt idx="6">
                  <c:v>#N/A</c:v>
                </c:pt>
                <c:pt idx="7">
                  <c:v>#N/A</c:v>
                </c:pt>
              </c:numCache>
            </c:numRef>
          </c:val>
          <c:extLst xmlns:c16r2="http://schemas.microsoft.com/office/drawing/2015/06/chart">
            <c:ext xmlns:c16="http://schemas.microsoft.com/office/drawing/2014/chart" uri="{C3380CC4-5D6E-409C-BE32-E72D297353CC}">
              <c16:uniqueId val="{00000002-39ED-4854-B0CC-193B7E57A71B}"/>
            </c:ext>
          </c:extLst>
        </c:ser>
        <c:dLbls/>
        <c:gapWidth val="138"/>
        <c:overlap val="38"/>
        <c:axId val="184129408"/>
        <c:axId val="184130944"/>
      </c:barChart>
      <c:lineChart>
        <c:grouping val="standard"/>
        <c:ser>
          <c:idx val="3"/>
          <c:order val="3"/>
          <c:tx>
            <c:strRef>
              <c:f>PK!$A$56:$B$56</c:f>
              <c:strCache>
                <c:ptCount val="1"/>
                <c:pt idx="0">
                  <c:v>1210  負債比 </c:v>
                </c:pt>
              </c:strCache>
            </c:strRef>
          </c:tx>
          <c:spPr>
            <a:ln>
              <a:solidFill>
                <a:srgbClr val="33CCFF"/>
              </a:solidFill>
            </a:ln>
          </c:spPr>
          <c:marker>
            <c:symbol val="none"/>
          </c:marker>
          <c:cat>
            <c:numRef>
              <c:f>PK!$C$1:$J$1</c:f>
              <c:numCache>
                <c:formatCode>General</c:formatCode>
                <c:ptCount val="8"/>
                <c:pt idx="0">
                  <c:v>1</c:v>
                </c:pt>
                <c:pt idx="1">
                  <c:v>2</c:v>
                </c:pt>
                <c:pt idx="2">
                  <c:v>3</c:v>
                </c:pt>
                <c:pt idx="3">
                  <c:v>4</c:v>
                </c:pt>
                <c:pt idx="4">
                  <c:v>5</c:v>
                </c:pt>
                <c:pt idx="5">
                  <c:v>6</c:v>
                </c:pt>
                <c:pt idx="6">
                  <c:v>7</c:v>
                </c:pt>
                <c:pt idx="7">
                  <c:v>8</c:v>
                </c:pt>
              </c:numCache>
            </c:numRef>
          </c:cat>
          <c:val>
            <c:numRef>
              <c:f>PK!$C$56:$J$56</c:f>
              <c:numCache>
                <c:formatCode>0%</c:formatCode>
                <c:ptCount val="8"/>
                <c:pt idx="0">
                  <c:v>0.5161898235394895</c:v>
                </c:pt>
                <c:pt idx="1">
                  <c:v>0.51820268148327098</c:v>
                </c:pt>
                <c:pt idx="2">
                  <c:v>0.51486365937748635</c:v>
                </c:pt>
                <c:pt idx="3">
                  <c:v>0.52038159146677354</c:v>
                </c:pt>
                <c:pt idx="4">
                  <c:v>0.5124130102166724</c:v>
                </c:pt>
                <c:pt idx="5">
                  <c:v>0.51911162186469473</c:v>
                </c:pt>
                <c:pt idx="6">
                  <c:v>0.48841603893246355</c:v>
                </c:pt>
                <c:pt idx="7">
                  <c:v>0.48566035757353326</c:v>
                </c:pt>
              </c:numCache>
            </c:numRef>
          </c:val>
          <c:smooth val="1"/>
          <c:extLst xmlns:c16r2="http://schemas.microsoft.com/office/drawing/2015/06/chart">
            <c:ext xmlns:c16="http://schemas.microsoft.com/office/drawing/2014/chart" uri="{C3380CC4-5D6E-409C-BE32-E72D297353CC}">
              <c16:uniqueId val="{00000003-39ED-4854-B0CC-193B7E57A71B}"/>
            </c:ext>
          </c:extLst>
        </c:ser>
        <c:ser>
          <c:idx val="4"/>
          <c:order val="4"/>
          <c:tx>
            <c:strRef>
              <c:f>PK!$A$57:$B$57</c:f>
              <c:strCache>
                <c:ptCount val="1"/>
                <c:pt idx="0">
                  <c:v>1215  負債比 </c:v>
                </c:pt>
              </c:strCache>
            </c:strRef>
          </c:tx>
          <c:spPr>
            <a:ln>
              <a:solidFill>
                <a:srgbClr val="FF0000"/>
              </a:solidFill>
            </a:ln>
          </c:spPr>
          <c:marker>
            <c:symbol val="none"/>
          </c:marker>
          <c:cat>
            <c:numRef>
              <c:f>PK!$C$1:$J$1</c:f>
              <c:numCache>
                <c:formatCode>General</c:formatCode>
                <c:ptCount val="8"/>
                <c:pt idx="0">
                  <c:v>1</c:v>
                </c:pt>
                <c:pt idx="1">
                  <c:v>2</c:v>
                </c:pt>
                <c:pt idx="2">
                  <c:v>3</c:v>
                </c:pt>
                <c:pt idx="3">
                  <c:v>4</c:v>
                </c:pt>
                <c:pt idx="4">
                  <c:v>5</c:v>
                </c:pt>
                <c:pt idx="5">
                  <c:v>6</c:v>
                </c:pt>
                <c:pt idx="6">
                  <c:v>7</c:v>
                </c:pt>
                <c:pt idx="7">
                  <c:v>8</c:v>
                </c:pt>
              </c:numCache>
            </c:numRef>
          </c:cat>
          <c:val>
            <c:numRef>
              <c:f>PK!$C$57:$J$57</c:f>
              <c:numCache>
                <c:formatCode>0%</c:formatCode>
                <c:ptCount val="8"/>
                <c:pt idx="0">
                  <c:v>0.443971026842778</c:v>
                </c:pt>
                <c:pt idx="1">
                  <c:v>0.42864761092150172</c:v>
                </c:pt>
                <c:pt idx="2">
                  <c:v>0.4425809208417904</c:v>
                </c:pt>
                <c:pt idx="3">
                  <c:v>0.43831240361313062</c:v>
                </c:pt>
                <c:pt idx="4">
                  <c:v>0.44403390567267986</c:v>
                </c:pt>
                <c:pt idx="5">
                  <c:v>0.46246370800497721</c:v>
                </c:pt>
                <c:pt idx="6">
                  <c:v>0.4117407671177129</c:v>
                </c:pt>
                <c:pt idx="7">
                  <c:v>0.42817652285516833</c:v>
                </c:pt>
              </c:numCache>
            </c:numRef>
          </c:val>
          <c:smooth val="1"/>
          <c:extLst xmlns:c16r2="http://schemas.microsoft.com/office/drawing/2015/06/chart">
            <c:ext xmlns:c16="http://schemas.microsoft.com/office/drawing/2014/chart" uri="{C3380CC4-5D6E-409C-BE32-E72D297353CC}">
              <c16:uniqueId val="{00000004-39ED-4854-B0CC-193B7E57A71B}"/>
            </c:ext>
          </c:extLst>
        </c:ser>
        <c:ser>
          <c:idx val="5"/>
          <c:order val="5"/>
          <c:tx>
            <c:strRef>
              <c:f>PK!$A$58:$B$58</c:f>
              <c:strCache>
                <c:ptCount val="1"/>
                <c:pt idx="0">
                  <c:v>1215  負債比 </c:v>
                </c:pt>
              </c:strCache>
            </c:strRef>
          </c:tx>
          <c:spPr>
            <a:ln>
              <a:solidFill>
                <a:srgbClr val="FFFF00"/>
              </a:solidFill>
            </a:ln>
          </c:spPr>
          <c:marker>
            <c:symbol val="none"/>
          </c:marker>
          <c:cat>
            <c:numRef>
              <c:f>PK!$C$1:$J$1</c:f>
              <c:numCache>
                <c:formatCode>General</c:formatCode>
                <c:ptCount val="8"/>
                <c:pt idx="0">
                  <c:v>1</c:v>
                </c:pt>
                <c:pt idx="1">
                  <c:v>2</c:v>
                </c:pt>
                <c:pt idx="2">
                  <c:v>3</c:v>
                </c:pt>
                <c:pt idx="3">
                  <c:v>4</c:v>
                </c:pt>
                <c:pt idx="4">
                  <c:v>5</c:v>
                </c:pt>
                <c:pt idx="5">
                  <c:v>6</c:v>
                </c:pt>
                <c:pt idx="6">
                  <c:v>7</c:v>
                </c:pt>
                <c:pt idx="7">
                  <c:v>8</c:v>
                </c:pt>
              </c:numCache>
            </c:numRef>
          </c:cat>
          <c:val>
            <c:numRef>
              <c:f>PK!$C$58:$J$58</c:f>
              <c:numCache>
                <c:formatCode>0%</c:formatCode>
                <c:ptCount val="8"/>
                <c:pt idx="0">
                  <c:v>0</c:v>
                </c:pt>
                <c:pt idx="1">
                  <c:v>0</c:v>
                </c:pt>
                <c:pt idx="2">
                  <c:v>0</c:v>
                </c:pt>
                <c:pt idx="3">
                  <c:v>0</c:v>
                </c:pt>
                <c:pt idx="4">
                  <c:v>0</c:v>
                </c:pt>
                <c:pt idx="5">
                  <c:v>0</c:v>
                </c:pt>
                <c:pt idx="6">
                  <c:v>0</c:v>
                </c:pt>
                <c:pt idx="7">
                  <c:v>0</c:v>
                </c:pt>
              </c:numCache>
            </c:numRef>
          </c:val>
          <c:smooth val="1"/>
          <c:extLst xmlns:c16r2="http://schemas.microsoft.com/office/drawing/2015/06/chart">
            <c:ext xmlns:c16="http://schemas.microsoft.com/office/drawing/2014/chart" uri="{C3380CC4-5D6E-409C-BE32-E72D297353CC}">
              <c16:uniqueId val="{00000005-39ED-4854-B0CC-193B7E57A71B}"/>
            </c:ext>
          </c:extLst>
        </c:ser>
        <c:dLbls/>
        <c:marker val="1"/>
        <c:axId val="184154752"/>
        <c:axId val="184153216"/>
      </c:lineChart>
      <c:dateAx>
        <c:axId val="184129408"/>
        <c:scaling>
          <c:orientation val="minMax"/>
        </c:scaling>
        <c:delete val="1"/>
        <c:axPos val="b"/>
        <c:numFmt formatCode="General" sourceLinked="1"/>
        <c:majorTickMark val="none"/>
        <c:tickLblPos val="none"/>
        <c:crossAx val="184130944"/>
        <c:crosses val="autoZero"/>
        <c:lblOffset val="100"/>
        <c:baseTimeUnit val="days"/>
      </c:dateAx>
      <c:valAx>
        <c:axId val="184130944"/>
        <c:scaling>
          <c:orientation val="minMax"/>
        </c:scaling>
        <c:axPos val="l"/>
        <c:numFmt formatCode="#,##0_);[Red]\(#,##0\)" sourceLinked="0"/>
        <c:majorTickMark val="none"/>
        <c:tickLblPos val="nextTo"/>
        <c:spPr>
          <a:ln>
            <a:noFill/>
          </a:ln>
        </c:spPr>
        <c:txPr>
          <a:bodyPr/>
          <a:lstStyle/>
          <a:p>
            <a:pPr>
              <a:defRPr sz="1200" b="1">
                <a:solidFill>
                  <a:schemeClr val="bg1"/>
                </a:solidFill>
              </a:defRPr>
            </a:pPr>
            <a:endParaRPr lang="zh-TW"/>
          </a:p>
        </c:txPr>
        <c:crossAx val="184129408"/>
        <c:crosses val="autoZero"/>
        <c:crossBetween val="between"/>
      </c:valAx>
      <c:valAx>
        <c:axId val="184153216"/>
        <c:scaling>
          <c:orientation val="minMax"/>
        </c:scaling>
        <c:axPos val="r"/>
        <c:numFmt formatCode="0%" sourceLinked="0"/>
        <c:tickLblPos val="nextTo"/>
        <c:txPr>
          <a:bodyPr/>
          <a:lstStyle/>
          <a:p>
            <a:pPr>
              <a:defRPr sz="1200" b="1"/>
            </a:pPr>
            <a:endParaRPr lang="zh-TW"/>
          </a:p>
        </c:txPr>
        <c:crossAx val="184154752"/>
        <c:crosses val="max"/>
        <c:crossBetween val="between"/>
      </c:valAx>
      <c:dateAx>
        <c:axId val="184154752"/>
        <c:scaling>
          <c:orientation val="minMax"/>
        </c:scaling>
        <c:delete val="1"/>
        <c:axPos val="b"/>
        <c:numFmt formatCode="General" sourceLinked="1"/>
        <c:tickLblPos val="none"/>
        <c:crossAx val="184153216"/>
        <c:crosses val="autoZero"/>
        <c:lblOffset val="100"/>
        <c:baseTimeUnit val="days"/>
      </c:dateAx>
      <c:spPr>
        <a:noFill/>
      </c:spPr>
    </c:plotArea>
    <c:plotVisOnly val="1"/>
    <c:dispBlanksAs val="gap"/>
  </c:chart>
  <c:spPr>
    <a:noFill/>
    <a:ln w="19050"/>
  </c:spPr>
  <c:txPr>
    <a:bodyPr/>
    <a:lstStyle/>
    <a:p>
      <a:pPr>
        <a:defRPr>
          <a:solidFill>
            <a:schemeClr val="bg1"/>
          </a:solidFill>
        </a:defRPr>
      </a:pPr>
      <a:endParaRPr lang="zh-TW"/>
    </a:p>
  </c:txPr>
  <c:printSettings>
    <c:headerFooter/>
    <c:pageMargins b="0.75000000000001221" l="0.70000000000000062" r="0.70000000000000062" t="0.7500000000000122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zh-TW"/>
  <c:roundedCorners val="1"/>
  <c:chart>
    <c:plotArea>
      <c:layout>
        <c:manualLayout>
          <c:layoutTarget val="inner"/>
          <c:xMode val="edge"/>
          <c:yMode val="edge"/>
          <c:x val="8.7736675442534232E-2"/>
          <c:y val="9.3006124234470716E-2"/>
          <c:w val="0.91226332455746528"/>
          <c:h val="0.76162697844589333"/>
        </c:manualLayout>
      </c:layout>
      <c:lineChart>
        <c:grouping val="standard"/>
        <c:ser>
          <c:idx val="0"/>
          <c:order val="0"/>
          <c:tx>
            <c:strRef>
              <c:f>PK!$A$50:$B$50</c:f>
              <c:strCache>
                <c:ptCount val="1"/>
                <c:pt idx="0">
                  <c:v>1210  應收週轉天數</c:v>
                </c:pt>
              </c:strCache>
            </c:strRef>
          </c:tx>
          <c:spPr>
            <a:ln>
              <a:solidFill>
                <a:srgbClr val="00B0F0"/>
              </a:solidFill>
            </a:ln>
          </c:spPr>
          <c:marker>
            <c:symbol val="none"/>
          </c:marker>
          <c:cat>
            <c:numRef>
              <c:f>PK!$C$1:$J$1</c:f>
              <c:numCache>
                <c:formatCode>General</c:formatCode>
                <c:ptCount val="8"/>
                <c:pt idx="0">
                  <c:v>1</c:v>
                </c:pt>
                <c:pt idx="1">
                  <c:v>2</c:v>
                </c:pt>
                <c:pt idx="2">
                  <c:v>3</c:v>
                </c:pt>
                <c:pt idx="3">
                  <c:v>4</c:v>
                </c:pt>
                <c:pt idx="4">
                  <c:v>5</c:v>
                </c:pt>
                <c:pt idx="5">
                  <c:v>6</c:v>
                </c:pt>
                <c:pt idx="6">
                  <c:v>7</c:v>
                </c:pt>
                <c:pt idx="7">
                  <c:v>8</c:v>
                </c:pt>
              </c:numCache>
            </c:numRef>
          </c:cat>
          <c:val>
            <c:numRef>
              <c:f>PK!$C$50:$J$50</c:f>
              <c:numCache>
                <c:formatCode>_(* #,##0_);_(* \(#,##0\);_(* "-"??_);_(@_)</c:formatCode>
                <c:ptCount val="8"/>
                <c:pt idx="0">
                  <c:v>23.115312474235306</c:v>
                </c:pt>
                <c:pt idx="1">
                  <c:v>23.115312474235306</c:v>
                </c:pt>
                <c:pt idx="2">
                  <c:v>25.785771203745206</c:v>
                </c:pt>
                <c:pt idx="3">
                  <c:v>26.637335702073095</c:v>
                </c:pt>
                <c:pt idx="4">
                  <c:v>26.867190636290648</c:v>
                </c:pt>
                <c:pt idx="5">
                  <c:v>27.488542680116748</c:v>
                </c:pt>
                <c:pt idx="6">
                  <c:v>28.204498703787195</c:v>
                </c:pt>
                <c:pt idx="7">
                  <c:v>26.207946714417496</c:v>
                </c:pt>
              </c:numCache>
            </c:numRef>
          </c:val>
          <c:smooth val="1"/>
          <c:extLst xmlns:c16r2="http://schemas.microsoft.com/office/drawing/2015/06/chart">
            <c:ext xmlns:c16="http://schemas.microsoft.com/office/drawing/2014/chart" uri="{C3380CC4-5D6E-409C-BE32-E72D297353CC}">
              <c16:uniqueId val="{00000000-1DA2-4737-8700-D9DCA4AA89DC}"/>
            </c:ext>
          </c:extLst>
        </c:ser>
        <c:ser>
          <c:idx val="1"/>
          <c:order val="1"/>
          <c:tx>
            <c:strRef>
              <c:f>PK!$A$51:$B$51</c:f>
              <c:strCache>
                <c:ptCount val="1"/>
                <c:pt idx="0">
                  <c:v>1215  應收週轉天數</c:v>
                </c:pt>
              </c:strCache>
            </c:strRef>
          </c:tx>
          <c:spPr>
            <a:ln>
              <a:solidFill>
                <a:srgbClr val="FF0000"/>
              </a:solidFill>
            </a:ln>
          </c:spPr>
          <c:marker>
            <c:symbol val="none"/>
          </c:marker>
          <c:cat>
            <c:numRef>
              <c:f>PK!$C$1:$J$1</c:f>
              <c:numCache>
                <c:formatCode>General</c:formatCode>
                <c:ptCount val="8"/>
                <c:pt idx="0">
                  <c:v>1</c:v>
                </c:pt>
                <c:pt idx="1">
                  <c:v>2</c:v>
                </c:pt>
                <c:pt idx="2">
                  <c:v>3</c:v>
                </c:pt>
                <c:pt idx="3">
                  <c:v>4</c:v>
                </c:pt>
                <c:pt idx="4">
                  <c:v>5</c:v>
                </c:pt>
                <c:pt idx="5">
                  <c:v>6</c:v>
                </c:pt>
                <c:pt idx="6">
                  <c:v>7</c:v>
                </c:pt>
                <c:pt idx="7">
                  <c:v>8</c:v>
                </c:pt>
              </c:numCache>
            </c:numRef>
          </c:cat>
          <c:val>
            <c:numRef>
              <c:f>PK!$C$51:$J$51</c:f>
              <c:numCache>
                <c:formatCode>_(* #,##0_);_(* \(#,##0\);_(* "-"??_);_(@_)</c:formatCode>
                <c:ptCount val="8"/>
                <c:pt idx="0">
                  <c:v>35.79124253153352</c:v>
                </c:pt>
                <c:pt idx="1">
                  <c:v>35.79124253153352</c:v>
                </c:pt>
                <c:pt idx="2">
                  <c:v>38.043600299401199</c:v>
                </c:pt>
                <c:pt idx="3">
                  <c:v>36.265430134894373</c:v>
                </c:pt>
                <c:pt idx="4">
                  <c:v>33.748309668695065</c:v>
                </c:pt>
                <c:pt idx="5">
                  <c:v>36.62882866714525</c:v>
                </c:pt>
                <c:pt idx="6">
                  <c:v>35.933975563909776</c:v>
                </c:pt>
                <c:pt idx="7">
                  <c:v>35.843706777316733</c:v>
                </c:pt>
              </c:numCache>
            </c:numRef>
          </c:val>
          <c:smooth val="1"/>
          <c:extLst xmlns:c16r2="http://schemas.microsoft.com/office/drawing/2015/06/chart">
            <c:ext xmlns:c16="http://schemas.microsoft.com/office/drawing/2014/chart" uri="{C3380CC4-5D6E-409C-BE32-E72D297353CC}">
              <c16:uniqueId val="{00000001-1DA2-4737-8700-D9DCA4AA89DC}"/>
            </c:ext>
          </c:extLst>
        </c:ser>
        <c:ser>
          <c:idx val="2"/>
          <c:order val="2"/>
          <c:tx>
            <c:strRef>
              <c:f>PK!$A$52:$B$52</c:f>
              <c:strCache>
                <c:ptCount val="1"/>
                <c:pt idx="0">
                  <c:v>1215  應收週轉天數</c:v>
                </c:pt>
              </c:strCache>
            </c:strRef>
          </c:tx>
          <c:spPr>
            <a:ln>
              <a:solidFill>
                <a:srgbClr val="FFFF00"/>
              </a:solidFill>
            </a:ln>
          </c:spPr>
          <c:marker>
            <c:symbol val="none"/>
          </c:marker>
          <c:cat>
            <c:numRef>
              <c:f>PK!$C$1:$J$1</c:f>
              <c:numCache>
                <c:formatCode>General</c:formatCode>
                <c:ptCount val="8"/>
                <c:pt idx="0">
                  <c:v>1</c:v>
                </c:pt>
                <c:pt idx="1">
                  <c:v>2</c:v>
                </c:pt>
                <c:pt idx="2">
                  <c:v>3</c:v>
                </c:pt>
                <c:pt idx="3">
                  <c:v>4</c:v>
                </c:pt>
                <c:pt idx="4">
                  <c:v>5</c:v>
                </c:pt>
                <c:pt idx="5">
                  <c:v>6</c:v>
                </c:pt>
                <c:pt idx="6">
                  <c:v>7</c:v>
                </c:pt>
                <c:pt idx="7">
                  <c:v>8</c:v>
                </c:pt>
              </c:numCache>
            </c:numRef>
          </c:cat>
          <c:val>
            <c:numRef>
              <c:f>PK!$C$52:$J$52</c:f>
              <c:numCache>
                <c:formatCode>_(* #,##0_);_(* \(#,##0\);_(* "-"??_);_(@_)</c:formatCode>
                <c:ptCount val="8"/>
                <c:pt idx="0">
                  <c:v>0</c:v>
                </c:pt>
                <c:pt idx="1">
                  <c:v>0</c:v>
                </c:pt>
                <c:pt idx="2">
                  <c:v>0</c:v>
                </c:pt>
                <c:pt idx="3">
                  <c:v>0</c:v>
                </c:pt>
                <c:pt idx="4">
                  <c:v>0</c:v>
                </c:pt>
                <c:pt idx="5">
                  <c:v>0</c:v>
                </c:pt>
                <c:pt idx="6">
                  <c:v>0</c:v>
                </c:pt>
                <c:pt idx="7">
                  <c:v>0</c:v>
                </c:pt>
              </c:numCache>
            </c:numRef>
          </c:val>
          <c:smooth val="1"/>
          <c:extLst xmlns:c16r2="http://schemas.microsoft.com/office/drawing/2015/06/chart">
            <c:ext xmlns:c16="http://schemas.microsoft.com/office/drawing/2014/chart" uri="{C3380CC4-5D6E-409C-BE32-E72D297353CC}">
              <c16:uniqueId val="{00000002-1DA2-4737-8700-D9DCA4AA89DC}"/>
            </c:ext>
          </c:extLst>
        </c:ser>
        <c:dLbls/>
        <c:marker val="1"/>
        <c:axId val="183928320"/>
        <c:axId val="183929856"/>
      </c:lineChart>
      <c:catAx>
        <c:axId val="183928320"/>
        <c:scaling>
          <c:orientation val="minMax"/>
        </c:scaling>
        <c:delete val="1"/>
        <c:axPos val="b"/>
        <c:numFmt formatCode="General" sourceLinked="1"/>
        <c:majorTickMark val="none"/>
        <c:tickLblPos val="none"/>
        <c:crossAx val="183929856"/>
        <c:crosses val="autoZero"/>
        <c:auto val="1"/>
        <c:lblAlgn val="ctr"/>
        <c:lblOffset val="100"/>
      </c:catAx>
      <c:valAx>
        <c:axId val="183929856"/>
        <c:scaling>
          <c:orientation val="minMax"/>
          <c:max val="39.945780314371262"/>
          <c:min val="0"/>
        </c:scaling>
        <c:axPos val="l"/>
        <c:numFmt formatCode="#,##0_);[Red]\(#,##0\)" sourceLinked="0"/>
        <c:majorTickMark val="none"/>
        <c:tickLblPos val="nextTo"/>
        <c:spPr>
          <a:ln>
            <a:noFill/>
            <a:prstDash val="sysDash"/>
          </a:ln>
        </c:spPr>
        <c:txPr>
          <a:bodyPr/>
          <a:lstStyle/>
          <a:p>
            <a:pPr>
              <a:defRPr sz="1200" b="1">
                <a:solidFill>
                  <a:schemeClr val="bg1"/>
                </a:solidFill>
              </a:defRPr>
            </a:pPr>
            <a:endParaRPr lang="zh-TW"/>
          </a:p>
        </c:txPr>
        <c:crossAx val="183928320"/>
        <c:crosses val="autoZero"/>
        <c:crossBetween val="between"/>
      </c:valAx>
      <c:spPr>
        <a:noFill/>
        <a:ln>
          <a:noFill/>
        </a:ln>
      </c:spPr>
    </c:plotArea>
    <c:plotVisOnly val="1"/>
    <c:dispBlanksAs val="gap"/>
  </c:chart>
  <c:spPr>
    <a:noFill/>
    <a:ln w="19050"/>
  </c:spPr>
  <c:txPr>
    <a:bodyPr/>
    <a:lstStyle/>
    <a:p>
      <a:pPr>
        <a:defRPr>
          <a:solidFill>
            <a:schemeClr val="bg1"/>
          </a:solidFill>
        </a:defRPr>
      </a:pPr>
      <a:endParaRPr lang="zh-TW"/>
    </a:p>
  </c:txPr>
  <c:printSettings>
    <c:headerFooter/>
    <c:pageMargins b="0.75000000000001177" l="0.70000000000000062" r="0.70000000000000062" t="0.75000000000001177"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lang val="zh-TW"/>
  <c:roundedCorners val="1"/>
  <c:chart>
    <c:plotArea>
      <c:layout>
        <c:manualLayout>
          <c:layoutTarget val="inner"/>
          <c:xMode val="edge"/>
          <c:yMode val="edge"/>
          <c:x val="8.7736598370232177E-2"/>
          <c:y val="7.6339457567804025E-2"/>
          <c:w val="0.91226344792658953"/>
          <c:h val="0.76162697844589378"/>
        </c:manualLayout>
      </c:layout>
      <c:lineChart>
        <c:grouping val="standard"/>
        <c:ser>
          <c:idx val="0"/>
          <c:order val="0"/>
          <c:tx>
            <c:strRef>
              <c:f>PK!$A$53:$B$53</c:f>
              <c:strCache>
                <c:ptCount val="1"/>
                <c:pt idx="0">
                  <c:v>1210  存貨 週轉天數</c:v>
                </c:pt>
              </c:strCache>
            </c:strRef>
          </c:tx>
          <c:spPr>
            <a:ln>
              <a:solidFill>
                <a:srgbClr val="00B0F0"/>
              </a:solidFill>
            </a:ln>
          </c:spPr>
          <c:marker>
            <c:symbol val="none"/>
          </c:marker>
          <c:cat>
            <c:numRef>
              <c:f>PK!$C$1:$J$1</c:f>
              <c:numCache>
                <c:formatCode>General</c:formatCode>
                <c:ptCount val="8"/>
                <c:pt idx="0">
                  <c:v>1</c:v>
                </c:pt>
                <c:pt idx="1">
                  <c:v>2</c:v>
                </c:pt>
                <c:pt idx="2">
                  <c:v>3</c:v>
                </c:pt>
                <c:pt idx="3">
                  <c:v>4</c:v>
                </c:pt>
                <c:pt idx="4">
                  <c:v>5</c:v>
                </c:pt>
                <c:pt idx="5">
                  <c:v>6</c:v>
                </c:pt>
                <c:pt idx="6">
                  <c:v>7</c:v>
                </c:pt>
                <c:pt idx="7">
                  <c:v>8</c:v>
                </c:pt>
              </c:numCache>
            </c:numRef>
          </c:cat>
          <c:val>
            <c:numRef>
              <c:f>PK!$C$53:$J$53</c:f>
              <c:numCache>
                <c:formatCode>_(* #,##0_);_(* \(#,##0\);_(* "-"??_);_(@_)</c:formatCode>
                <c:ptCount val="8"/>
                <c:pt idx="0">
                  <c:v>31.533551928386927</c:v>
                </c:pt>
                <c:pt idx="1">
                  <c:v>31.533551928386927</c:v>
                </c:pt>
                <c:pt idx="2">
                  <c:v>38.913525422798152</c:v>
                </c:pt>
                <c:pt idx="3">
                  <c:v>37.837955779674161</c:v>
                </c:pt>
                <c:pt idx="4">
                  <c:v>31.547156242879929</c:v>
                </c:pt>
                <c:pt idx="5">
                  <c:v>33.846728338047683</c:v>
                </c:pt>
                <c:pt idx="6">
                  <c:v>37.611527043778956</c:v>
                </c:pt>
                <c:pt idx="7">
                  <c:v>32.603932584269664</c:v>
                </c:pt>
              </c:numCache>
            </c:numRef>
          </c:val>
          <c:smooth val="1"/>
          <c:extLst xmlns:c16r2="http://schemas.microsoft.com/office/drawing/2015/06/chart">
            <c:ext xmlns:c16="http://schemas.microsoft.com/office/drawing/2014/chart" uri="{C3380CC4-5D6E-409C-BE32-E72D297353CC}">
              <c16:uniqueId val="{00000000-24B7-4DC5-9BE2-A725D3794D97}"/>
            </c:ext>
          </c:extLst>
        </c:ser>
        <c:dLbls/>
        <c:marker val="1"/>
        <c:axId val="184097792"/>
        <c:axId val="184165120"/>
      </c:lineChart>
      <c:lineChart>
        <c:grouping val="standard"/>
        <c:ser>
          <c:idx val="1"/>
          <c:order val="1"/>
          <c:tx>
            <c:strRef>
              <c:f>PK!$A$54:$B$54</c:f>
              <c:strCache>
                <c:ptCount val="1"/>
                <c:pt idx="0">
                  <c:v>1215  存貨 週轉天數</c:v>
                </c:pt>
              </c:strCache>
            </c:strRef>
          </c:tx>
          <c:spPr>
            <a:ln>
              <a:solidFill>
                <a:srgbClr val="FF0000"/>
              </a:solidFill>
            </a:ln>
          </c:spPr>
          <c:marker>
            <c:symbol val="none"/>
          </c:marker>
          <c:val>
            <c:numRef>
              <c:f>PK!$C$54:$J$54</c:f>
              <c:numCache>
                <c:formatCode>_(* #,##0_);_(* \(#,##0\);_(* "-"??_);_(@_)</c:formatCode>
                <c:ptCount val="8"/>
                <c:pt idx="0">
                  <c:v>26.558528215556684</c:v>
                </c:pt>
                <c:pt idx="1">
                  <c:v>26.558528215556684</c:v>
                </c:pt>
                <c:pt idx="2">
                  <c:v>36.710817170564752</c:v>
                </c:pt>
                <c:pt idx="3">
                  <c:v>39.499540700960992</c:v>
                </c:pt>
                <c:pt idx="4">
                  <c:v>30.868477137690522</c:v>
                </c:pt>
                <c:pt idx="5">
                  <c:v>32.939455829410136</c:v>
                </c:pt>
                <c:pt idx="6">
                  <c:v>32.222812671420733</c:v>
                </c:pt>
                <c:pt idx="7">
                  <c:v>29.85935803474484</c:v>
                </c:pt>
              </c:numCache>
            </c:numRef>
          </c:val>
          <c:smooth val="1"/>
          <c:extLst xmlns:c16r2="http://schemas.microsoft.com/office/drawing/2015/06/chart">
            <c:ext xmlns:c16="http://schemas.microsoft.com/office/drawing/2014/chart" uri="{C3380CC4-5D6E-409C-BE32-E72D297353CC}">
              <c16:uniqueId val="{00000001-24B7-4DC5-9BE2-A725D3794D97}"/>
            </c:ext>
          </c:extLst>
        </c:ser>
        <c:ser>
          <c:idx val="2"/>
          <c:order val="2"/>
          <c:tx>
            <c:strRef>
              <c:f>PK!$A$55:$B$55</c:f>
              <c:strCache>
                <c:ptCount val="1"/>
                <c:pt idx="0">
                  <c:v>1215  存貨 週轉天數</c:v>
                </c:pt>
              </c:strCache>
            </c:strRef>
          </c:tx>
          <c:spPr>
            <a:ln>
              <a:solidFill>
                <a:srgbClr val="FFFF00"/>
              </a:solidFill>
            </a:ln>
          </c:spPr>
          <c:marker>
            <c:symbol val="none"/>
          </c:marker>
          <c:val>
            <c:numRef>
              <c:f>PK!$C$55:$J$55</c:f>
              <c:numCache>
                <c:formatCode>_(* #,##0_);_(* \(#,##0\);_(* "-"??_);_(@_)</c:formatCode>
                <c:ptCount val="8"/>
                <c:pt idx="0">
                  <c:v>0</c:v>
                </c:pt>
                <c:pt idx="1">
                  <c:v>0</c:v>
                </c:pt>
                <c:pt idx="2">
                  <c:v>0</c:v>
                </c:pt>
                <c:pt idx="3">
                  <c:v>0</c:v>
                </c:pt>
                <c:pt idx="4">
                  <c:v>0</c:v>
                </c:pt>
                <c:pt idx="5">
                  <c:v>0</c:v>
                </c:pt>
                <c:pt idx="6">
                  <c:v>0</c:v>
                </c:pt>
                <c:pt idx="7">
                  <c:v>0</c:v>
                </c:pt>
              </c:numCache>
            </c:numRef>
          </c:val>
          <c:smooth val="1"/>
          <c:extLst xmlns:c16r2="http://schemas.microsoft.com/office/drawing/2015/06/chart">
            <c:ext xmlns:c16="http://schemas.microsoft.com/office/drawing/2014/chart" uri="{C3380CC4-5D6E-409C-BE32-E72D297353CC}">
              <c16:uniqueId val="{00000002-24B7-4DC5-9BE2-A725D3794D97}"/>
            </c:ext>
          </c:extLst>
        </c:ser>
        <c:dLbls/>
        <c:marker val="1"/>
        <c:axId val="184188928"/>
        <c:axId val="184166656"/>
      </c:lineChart>
      <c:catAx>
        <c:axId val="184097792"/>
        <c:scaling>
          <c:orientation val="minMax"/>
        </c:scaling>
        <c:delete val="1"/>
        <c:axPos val="b"/>
        <c:numFmt formatCode="General" sourceLinked="1"/>
        <c:majorTickMark val="none"/>
        <c:tickLblPos val="none"/>
        <c:crossAx val="184165120"/>
        <c:crosses val="autoZero"/>
        <c:auto val="1"/>
        <c:lblAlgn val="ctr"/>
        <c:lblOffset val="100"/>
      </c:catAx>
      <c:valAx>
        <c:axId val="184165120"/>
        <c:scaling>
          <c:orientation val="minMax"/>
          <c:max val="41.474517736009048"/>
          <c:min val="0"/>
        </c:scaling>
        <c:axPos val="l"/>
        <c:numFmt formatCode="#,##0_);[Red]\(#,##0\)" sourceLinked="0"/>
        <c:majorTickMark val="none"/>
        <c:tickLblPos val="nextTo"/>
        <c:spPr>
          <a:ln>
            <a:noFill/>
            <a:prstDash val="sysDash"/>
          </a:ln>
        </c:spPr>
        <c:txPr>
          <a:bodyPr/>
          <a:lstStyle/>
          <a:p>
            <a:pPr>
              <a:defRPr sz="1200" b="1">
                <a:solidFill>
                  <a:schemeClr val="bg1"/>
                </a:solidFill>
              </a:defRPr>
            </a:pPr>
            <a:endParaRPr lang="zh-TW"/>
          </a:p>
        </c:txPr>
        <c:crossAx val="184097792"/>
        <c:crosses val="autoZero"/>
        <c:crossBetween val="between"/>
      </c:valAx>
      <c:valAx>
        <c:axId val="184166656"/>
        <c:scaling>
          <c:orientation val="minMax"/>
          <c:max val="207.28196625636673"/>
          <c:min val="42.642944634982854"/>
        </c:scaling>
        <c:delete val="1"/>
        <c:axPos val="r"/>
        <c:numFmt formatCode="_(* #,##0_);_(* \(#,##0\);_(* &quot;-&quot;??_);_(@_)" sourceLinked="1"/>
        <c:majorTickMark val="in"/>
        <c:tickLblPos val="none"/>
        <c:crossAx val="184188928"/>
        <c:crosses val="max"/>
        <c:crossBetween val="between"/>
      </c:valAx>
      <c:catAx>
        <c:axId val="184188928"/>
        <c:scaling>
          <c:orientation val="minMax"/>
        </c:scaling>
        <c:delete val="1"/>
        <c:axPos val="b"/>
        <c:tickLblPos val="none"/>
        <c:crossAx val="184166656"/>
        <c:crosses val="autoZero"/>
        <c:auto val="1"/>
        <c:lblAlgn val="ctr"/>
        <c:lblOffset val="100"/>
      </c:catAx>
      <c:spPr>
        <a:noFill/>
        <a:ln>
          <a:noFill/>
        </a:ln>
      </c:spPr>
    </c:plotArea>
    <c:plotVisOnly val="1"/>
    <c:dispBlanksAs val="gap"/>
  </c:chart>
  <c:spPr>
    <a:noFill/>
    <a:ln w="19050"/>
  </c:spPr>
  <c:printSettings>
    <c:headerFooter/>
    <c:pageMargins b="0.75000000000001199" l="0.70000000000000062" r="0.70000000000000062" t="0.75000000000001199"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lang val="zh-TW"/>
  <c:roundedCorners val="1"/>
  <c:chart>
    <c:plotArea>
      <c:layout>
        <c:manualLayout>
          <c:layoutTarget val="inner"/>
          <c:xMode val="edge"/>
          <c:yMode val="edge"/>
          <c:x val="9.3672283870191789E-2"/>
          <c:y val="7.6339369684488997E-2"/>
          <c:w val="0.81557801037599265"/>
          <c:h val="0.76162697844589422"/>
        </c:manualLayout>
      </c:layout>
      <c:barChart>
        <c:barDir val="col"/>
        <c:grouping val="clustered"/>
        <c:ser>
          <c:idx val="0"/>
          <c:order val="0"/>
          <c:tx>
            <c:strRef>
              <c:f>PK!$A$11:$B$11</c:f>
              <c:strCache>
                <c:ptCount val="1"/>
                <c:pt idx="0">
                  <c:v>1210 每股盈餘 (元)</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cat>
            <c:numRef>
              <c:f>PK!$C$1:$J$1</c:f>
              <c:numCache>
                <c:formatCode>General</c:formatCode>
                <c:ptCount val="8"/>
                <c:pt idx="0">
                  <c:v>1</c:v>
                </c:pt>
                <c:pt idx="1">
                  <c:v>2</c:v>
                </c:pt>
                <c:pt idx="2">
                  <c:v>3</c:v>
                </c:pt>
                <c:pt idx="3">
                  <c:v>4</c:v>
                </c:pt>
                <c:pt idx="4">
                  <c:v>5</c:v>
                </c:pt>
                <c:pt idx="5">
                  <c:v>6</c:v>
                </c:pt>
                <c:pt idx="6">
                  <c:v>7</c:v>
                </c:pt>
                <c:pt idx="7">
                  <c:v>8</c:v>
                </c:pt>
              </c:numCache>
            </c:numRef>
          </c:cat>
          <c:val>
            <c:numRef>
              <c:f>PK!$C$11:$J$11</c:f>
              <c:numCache>
                <c:formatCode>General</c:formatCode>
                <c:ptCount val="8"/>
                <c:pt idx="0">
                  <c:v>0.73</c:v>
                </c:pt>
                <c:pt idx="1">
                  <c:v>-0.01</c:v>
                </c:pt>
                <c:pt idx="2">
                  <c:v>0.23</c:v>
                </c:pt>
                <c:pt idx="3">
                  <c:v>0.14000000000000001</c:v>
                </c:pt>
                <c:pt idx="4">
                  <c:v>0.5</c:v>
                </c:pt>
                <c:pt idx="5">
                  <c:v>-0.01</c:v>
                </c:pt>
                <c:pt idx="6">
                  <c:v>0.73</c:v>
                </c:pt>
                <c:pt idx="7">
                  <c:v>0.77</c:v>
                </c:pt>
              </c:numCache>
            </c:numRef>
          </c:val>
          <c:extLst xmlns:c16r2="http://schemas.microsoft.com/office/drawing/2015/06/chart">
            <c:ext xmlns:c16="http://schemas.microsoft.com/office/drawing/2014/chart" uri="{C3380CC4-5D6E-409C-BE32-E72D297353CC}">
              <c16:uniqueId val="{00000000-60BD-456E-8B6E-685935959E22}"/>
            </c:ext>
          </c:extLst>
        </c:ser>
        <c:ser>
          <c:idx val="1"/>
          <c:order val="1"/>
          <c:tx>
            <c:strRef>
              <c:f>PK!$A$12:$B$12</c:f>
              <c:strCache>
                <c:ptCount val="1"/>
                <c:pt idx="0">
                  <c:v>1215 每股盈餘 (元)</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cat>
            <c:numRef>
              <c:f>PK!$C$1:$J$1</c:f>
              <c:numCache>
                <c:formatCode>General</c:formatCode>
                <c:ptCount val="8"/>
                <c:pt idx="0">
                  <c:v>1</c:v>
                </c:pt>
                <c:pt idx="1">
                  <c:v>2</c:v>
                </c:pt>
                <c:pt idx="2">
                  <c:v>3</c:v>
                </c:pt>
                <c:pt idx="3">
                  <c:v>4</c:v>
                </c:pt>
                <c:pt idx="4">
                  <c:v>5</c:v>
                </c:pt>
                <c:pt idx="5">
                  <c:v>6</c:v>
                </c:pt>
                <c:pt idx="6">
                  <c:v>7</c:v>
                </c:pt>
                <c:pt idx="7">
                  <c:v>8</c:v>
                </c:pt>
              </c:numCache>
            </c:numRef>
          </c:cat>
          <c:val>
            <c:numRef>
              <c:f>PK!$C$12:$J$12</c:f>
              <c:numCache>
                <c:formatCode>General</c:formatCode>
                <c:ptCount val="8"/>
                <c:pt idx="0">
                  <c:v>0.69</c:v>
                </c:pt>
                <c:pt idx="1">
                  <c:v>0.96</c:v>
                </c:pt>
                <c:pt idx="2">
                  <c:v>0.72</c:v>
                </c:pt>
                <c:pt idx="3">
                  <c:v>0.42</c:v>
                </c:pt>
                <c:pt idx="4">
                  <c:v>0.72</c:v>
                </c:pt>
                <c:pt idx="5">
                  <c:v>0.82</c:v>
                </c:pt>
                <c:pt idx="6">
                  <c:v>0.95</c:v>
                </c:pt>
                <c:pt idx="7">
                  <c:v>1.08</c:v>
                </c:pt>
              </c:numCache>
            </c:numRef>
          </c:val>
          <c:extLst xmlns:c16r2="http://schemas.microsoft.com/office/drawing/2015/06/chart">
            <c:ext xmlns:c16="http://schemas.microsoft.com/office/drawing/2014/chart" uri="{C3380CC4-5D6E-409C-BE32-E72D297353CC}">
              <c16:uniqueId val="{00000001-60BD-456E-8B6E-685935959E22}"/>
            </c:ext>
          </c:extLst>
        </c:ser>
        <c:ser>
          <c:idx val="2"/>
          <c:order val="2"/>
          <c:tx>
            <c:strRef>
              <c:f>PK!$A$13:$B$13</c:f>
              <c:strCache>
                <c:ptCount val="1"/>
                <c:pt idx="0">
                  <c:v>1215 每股盈餘 (元)</c:v>
                </c:pt>
              </c:strCache>
            </c:strRef>
          </c:tx>
          <c:spPr>
            <a:solidFill>
              <a:srgbClr val="FFCC0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cat>
            <c:numRef>
              <c:f>PK!$C$1:$J$1</c:f>
              <c:numCache>
                <c:formatCode>General</c:formatCode>
                <c:ptCount val="8"/>
                <c:pt idx="0">
                  <c:v>1</c:v>
                </c:pt>
                <c:pt idx="1">
                  <c:v>2</c:v>
                </c:pt>
                <c:pt idx="2">
                  <c:v>3</c:v>
                </c:pt>
                <c:pt idx="3">
                  <c:v>4</c:v>
                </c:pt>
                <c:pt idx="4">
                  <c:v>5</c:v>
                </c:pt>
                <c:pt idx="5">
                  <c:v>6</c:v>
                </c:pt>
                <c:pt idx="6">
                  <c:v>7</c:v>
                </c:pt>
                <c:pt idx="7">
                  <c:v>8</c:v>
                </c:pt>
              </c:numCache>
            </c:numRef>
          </c:cat>
          <c:val>
            <c:numRef>
              <c:f>PK!$C$13:$J$13</c:f>
              <c:numCache>
                <c:formatCode>General</c:formatCode>
                <c:ptCount val="8"/>
                <c:pt idx="0">
                  <c:v>#N/A</c:v>
                </c:pt>
                <c:pt idx="1">
                  <c:v>#N/A</c:v>
                </c:pt>
                <c:pt idx="2">
                  <c:v>#N/A</c:v>
                </c:pt>
                <c:pt idx="3">
                  <c:v>#N/A</c:v>
                </c:pt>
                <c:pt idx="4">
                  <c:v>#N/A</c:v>
                </c:pt>
                <c:pt idx="5">
                  <c:v>#N/A</c:v>
                </c:pt>
                <c:pt idx="6">
                  <c:v>#N/A</c:v>
                </c:pt>
                <c:pt idx="7">
                  <c:v>#N/A</c:v>
                </c:pt>
              </c:numCache>
            </c:numRef>
          </c:val>
          <c:extLst xmlns:c16r2="http://schemas.microsoft.com/office/drawing/2015/06/chart">
            <c:ext xmlns:c16="http://schemas.microsoft.com/office/drawing/2014/chart" uri="{C3380CC4-5D6E-409C-BE32-E72D297353CC}">
              <c16:uniqueId val="{00000002-60BD-456E-8B6E-685935959E22}"/>
            </c:ext>
          </c:extLst>
        </c:ser>
        <c:dLbls/>
        <c:gapWidth val="138"/>
        <c:overlap val="38"/>
        <c:axId val="185076352"/>
        <c:axId val="185094528"/>
      </c:barChart>
      <c:catAx>
        <c:axId val="185076352"/>
        <c:scaling>
          <c:orientation val="minMax"/>
        </c:scaling>
        <c:delete val="1"/>
        <c:axPos val="b"/>
        <c:numFmt formatCode="General" sourceLinked="1"/>
        <c:majorTickMark val="none"/>
        <c:tickLblPos val="none"/>
        <c:crossAx val="185094528"/>
        <c:crosses val="autoZero"/>
        <c:auto val="1"/>
        <c:lblAlgn val="ctr"/>
        <c:lblOffset val="100"/>
      </c:catAx>
      <c:valAx>
        <c:axId val="185094528"/>
        <c:scaling>
          <c:orientation val="minMax"/>
        </c:scaling>
        <c:axPos val="l"/>
        <c:numFmt formatCode="#,##0_);\(#,##0\)" sourceLinked="0"/>
        <c:majorTickMark val="none"/>
        <c:tickLblPos val="nextTo"/>
        <c:spPr>
          <a:ln>
            <a:noFill/>
            <a:prstDash val="sysDash"/>
          </a:ln>
        </c:spPr>
        <c:txPr>
          <a:bodyPr/>
          <a:lstStyle/>
          <a:p>
            <a:pPr>
              <a:defRPr sz="1200" b="1">
                <a:solidFill>
                  <a:schemeClr val="bg1"/>
                </a:solidFill>
              </a:defRPr>
            </a:pPr>
            <a:endParaRPr lang="zh-TW"/>
          </a:p>
        </c:txPr>
        <c:crossAx val="185076352"/>
        <c:crosses val="autoZero"/>
        <c:crossBetween val="between"/>
      </c:valAx>
      <c:spPr>
        <a:noFill/>
        <a:ln>
          <a:noFill/>
        </a:ln>
      </c:spPr>
    </c:plotArea>
    <c:plotVisOnly val="1"/>
    <c:dispBlanksAs val="gap"/>
  </c:chart>
  <c:spPr>
    <a:noFill/>
    <a:ln w="19050"/>
  </c:spPr>
  <c:printSettings>
    <c:headerFooter/>
    <c:pageMargins b="0.75000000000001221" l="0.70000000000000062" r="0.70000000000000062" t="0.75000000000001221"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lang val="zh-TW"/>
  <c:roundedCorners val="1"/>
  <c:chart>
    <c:plotArea>
      <c:layout>
        <c:manualLayout>
          <c:layoutTarget val="inner"/>
          <c:xMode val="edge"/>
          <c:yMode val="edge"/>
          <c:x val="9.3070159951979106E-2"/>
          <c:y val="0.14928788222459846"/>
          <c:w val="0.80730084415123748"/>
          <c:h val="0.7753662992125987"/>
        </c:manualLayout>
      </c:layout>
      <c:barChart>
        <c:barDir val="col"/>
        <c:grouping val="clustered"/>
        <c:ser>
          <c:idx val="3"/>
          <c:order val="0"/>
          <c:tx>
            <c:strRef>
              <c:f>PK!$A$74:$B$74</c:f>
              <c:strCache>
                <c:ptCount val="1"/>
                <c:pt idx="0">
                  <c:v>1210 每股資本支出</c:v>
                </c:pt>
              </c:strCache>
            </c:strRef>
          </c:tx>
          <c:spPr>
            <a:solidFill>
              <a:schemeClr val="tx2">
                <a:lumMod val="60000"/>
                <a:lumOff val="40000"/>
              </a:schemeClr>
            </a:solidFill>
            <a:ln>
              <a:solidFill>
                <a:schemeClr val="accent1"/>
              </a:solidFill>
            </a:ln>
            <a:scene3d>
              <a:camera prst="orthographicFront"/>
              <a:lightRig rig="threePt" dir="t"/>
            </a:scene3d>
            <a:sp3d>
              <a:bevelT w="63500" h="25400"/>
            </a:sp3d>
          </c:spPr>
          <c:val>
            <c:numRef>
              <c:f>PK!$C$74:$J$74</c:f>
              <c:numCache>
                <c:formatCode>General</c:formatCode>
                <c:ptCount val="8"/>
                <c:pt idx="0">
                  <c:v>1.0900000000000001</c:v>
                </c:pt>
                <c:pt idx="1">
                  <c:v>1.02</c:v>
                </c:pt>
                <c:pt idx="2">
                  <c:v>0.87</c:v>
                </c:pt>
                <c:pt idx="3">
                  <c:v>0.68</c:v>
                </c:pt>
                <c:pt idx="4">
                  <c:v>0.55000000000000004</c:v>
                </c:pt>
                <c:pt idx="5">
                  <c:v>0.56999999999999995</c:v>
                </c:pt>
                <c:pt idx="6">
                  <c:v>0.31</c:v>
                </c:pt>
                <c:pt idx="7">
                  <c:v>0.51</c:v>
                </c:pt>
              </c:numCache>
            </c:numRef>
          </c:val>
          <c:extLst xmlns:c16r2="http://schemas.microsoft.com/office/drawing/2015/06/chart">
            <c:ext xmlns:c16="http://schemas.microsoft.com/office/drawing/2014/chart" uri="{C3380CC4-5D6E-409C-BE32-E72D297353CC}">
              <c16:uniqueId val="{00000000-77FB-4960-9DDE-2DFFD7A83530}"/>
            </c:ext>
          </c:extLst>
        </c:ser>
        <c:ser>
          <c:idx val="4"/>
          <c:order val="1"/>
          <c:tx>
            <c:strRef>
              <c:f>PK!$A$75:$B$75</c:f>
              <c:strCache>
                <c:ptCount val="1"/>
                <c:pt idx="0">
                  <c:v>1215 每股資本支出</c:v>
                </c:pt>
              </c:strCache>
            </c:strRef>
          </c:tx>
          <c:spPr>
            <a:solidFill>
              <a:srgbClr val="CC3300"/>
            </a:solidFill>
            <a:ln>
              <a:solidFill>
                <a:schemeClr val="accent2"/>
              </a:solidFill>
            </a:ln>
            <a:scene3d>
              <a:camera prst="orthographicFront"/>
              <a:lightRig rig="threePt" dir="t"/>
            </a:scene3d>
            <a:sp3d>
              <a:bevelT w="63500" h="25400"/>
            </a:sp3d>
          </c:spPr>
          <c:val>
            <c:numRef>
              <c:f>PK!$C$75:$J$75</c:f>
              <c:numCache>
                <c:formatCode>General</c:formatCode>
                <c:ptCount val="8"/>
                <c:pt idx="0">
                  <c:v>0.62</c:v>
                </c:pt>
                <c:pt idx="1">
                  <c:v>0.56000000000000005</c:v>
                </c:pt>
                <c:pt idx="2">
                  <c:v>0.79</c:v>
                </c:pt>
                <c:pt idx="3">
                  <c:v>0.8</c:v>
                </c:pt>
                <c:pt idx="4">
                  <c:v>1.1599999999999999</c:v>
                </c:pt>
                <c:pt idx="5">
                  <c:v>0.93</c:v>
                </c:pt>
                <c:pt idx="6">
                  <c:v>1.03</c:v>
                </c:pt>
                <c:pt idx="7">
                  <c:v>0.6</c:v>
                </c:pt>
              </c:numCache>
            </c:numRef>
          </c:val>
          <c:extLst xmlns:c16r2="http://schemas.microsoft.com/office/drawing/2015/06/chart">
            <c:ext xmlns:c16="http://schemas.microsoft.com/office/drawing/2014/chart" uri="{C3380CC4-5D6E-409C-BE32-E72D297353CC}">
              <c16:uniqueId val="{00000001-77FB-4960-9DDE-2DFFD7A83530}"/>
            </c:ext>
          </c:extLst>
        </c:ser>
        <c:ser>
          <c:idx val="5"/>
          <c:order val="2"/>
          <c:tx>
            <c:strRef>
              <c:f>PK!$A$76:$B$76</c:f>
              <c:strCache>
                <c:ptCount val="1"/>
                <c:pt idx="0">
                  <c:v>1215 每股資本支出</c:v>
                </c:pt>
              </c:strCache>
            </c:strRef>
          </c:tx>
          <c:spPr>
            <a:solidFill>
              <a:srgbClr val="FFCC00"/>
            </a:solidFill>
            <a:ln>
              <a:solidFill>
                <a:schemeClr val="accent6">
                  <a:lumMod val="75000"/>
                </a:schemeClr>
              </a:solidFill>
            </a:ln>
            <a:scene3d>
              <a:camera prst="orthographicFront"/>
              <a:lightRig rig="threePt" dir="t"/>
            </a:scene3d>
            <a:sp3d>
              <a:bevelT w="63500" h="25400"/>
            </a:sp3d>
          </c:spPr>
          <c:val>
            <c:numRef>
              <c:f>PK!$C$76:$J$76</c:f>
              <c:numCache>
                <c:formatCode>General</c:formatCode>
                <c:ptCount val="8"/>
                <c:pt idx="0">
                  <c:v>#N/A</c:v>
                </c:pt>
                <c:pt idx="1">
                  <c:v>#N/A</c:v>
                </c:pt>
                <c:pt idx="2">
                  <c:v>#N/A</c:v>
                </c:pt>
                <c:pt idx="3">
                  <c:v>#N/A</c:v>
                </c:pt>
                <c:pt idx="4">
                  <c:v>#N/A</c:v>
                </c:pt>
                <c:pt idx="5">
                  <c:v>#N/A</c:v>
                </c:pt>
                <c:pt idx="6">
                  <c:v>#N/A</c:v>
                </c:pt>
                <c:pt idx="7">
                  <c:v>#N/A</c:v>
                </c:pt>
              </c:numCache>
            </c:numRef>
          </c:val>
          <c:extLst xmlns:c16r2="http://schemas.microsoft.com/office/drawing/2015/06/chart">
            <c:ext xmlns:c16="http://schemas.microsoft.com/office/drawing/2014/chart" uri="{C3380CC4-5D6E-409C-BE32-E72D297353CC}">
              <c16:uniqueId val="{00000002-77FB-4960-9DDE-2DFFD7A83530}"/>
            </c:ext>
          </c:extLst>
        </c:ser>
        <c:dLbls/>
        <c:gapWidth val="138"/>
        <c:overlap val="38"/>
        <c:axId val="185165312"/>
        <c:axId val="185166848"/>
      </c:barChart>
      <c:lineChart>
        <c:grouping val="standard"/>
        <c:ser>
          <c:idx val="0"/>
          <c:order val="3"/>
          <c:tx>
            <c:strRef>
              <c:f>PK!$A$62:$B$62</c:f>
              <c:strCache>
                <c:ptCount val="1"/>
                <c:pt idx="0">
                  <c:v>1210 折舊率</c:v>
                </c:pt>
              </c:strCache>
            </c:strRef>
          </c:tx>
          <c:spPr>
            <a:ln w="34925">
              <a:solidFill>
                <a:schemeClr val="tx2">
                  <a:lumMod val="60000"/>
                  <a:lumOff val="40000"/>
                </a:schemeClr>
              </a:solidFill>
            </a:ln>
          </c:spPr>
          <c:marker>
            <c:symbol val="none"/>
          </c:marker>
          <c:val>
            <c:numRef>
              <c:f>PK!$C$62:$J$62</c:f>
              <c:numCache>
                <c:formatCode>0%</c:formatCode>
                <c:ptCount val="8"/>
                <c:pt idx="0">
                  <c:v>1.472049983433521E-2</c:v>
                </c:pt>
                <c:pt idx="1">
                  <c:v>1.4117751848223033E-2</c:v>
                </c:pt>
                <c:pt idx="2">
                  <c:v>1.8943553700856579E-2</c:v>
                </c:pt>
                <c:pt idx="3">
                  <c:v>2.0827117025720595E-2</c:v>
                </c:pt>
                <c:pt idx="4">
                  <c:v>2.0448849396217817E-2</c:v>
                </c:pt>
                <c:pt idx="5">
                  <c:v>-4.0408705189632282E-4</c:v>
                </c:pt>
                <c:pt idx="6">
                  <c:v>2.4336138839955633E-2</c:v>
                </c:pt>
                <c:pt idx="7">
                  <c:v>2.0786516853932586E-2</c:v>
                </c:pt>
              </c:numCache>
            </c:numRef>
          </c:val>
          <c:smooth val="1"/>
          <c:extLst xmlns:c16r2="http://schemas.microsoft.com/office/drawing/2015/06/chart">
            <c:ext xmlns:c16="http://schemas.microsoft.com/office/drawing/2014/chart" uri="{C3380CC4-5D6E-409C-BE32-E72D297353CC}">
              <c16:uniqueId val="{00000003-77FB-4960-9DDE-2DFFD7A83530}"/>
            </c:ext>
          </c:extLst>
        </c:ser>
        <c:ser>
          <c:idx val="1"/>
          <c:order val="4"/>
          <c:tx>
            <c:strRef>
              <c:f>PK!$A$63:$B$63</c:f>
              <c:strCache>
                <c:ptCount val="1"/>
                <c:pt idx="0">
                  <c:v>1215 折舊率</c:v>
                </c:pt>
              </c:strCache>
            </c:strRef>
          </c:tx>
          <c:spPr>
            <a:ln w="34925">
              <a:solidFill>
                <a:srgbClr val="FF0000"/>
              </a:solidFill>
            </a:ln>
          </c:spPr>
          <c:marker>
            <c:symbol val="none"/>
          </c:marker>
          <c:val>
            <c:numRef>
              <c:f>PK!$C$63:$J$63</c:f>
              <c:numCache>
                <c:formatCode>0%</c:formatCode>
                <c:ptCount val="8"/>
                <c:pt idx="0">
                  <c:v>1.8280632411067192E-2</c:v>
                </c:pt>
                <c:pt idx="1">
                  <c:v>1.9064565327910524E-2</c:v>
                </c:pt>
                <c:pt idx="2">
                  <c:v>2.167712492869367E-2</c:v>
                </c:pt>
                <c:pt idx="3">
                  <c:v>2.2328999434708875E-2</c:v>
                </c:pt>
                <c:pt idx="4">
                  <c:v>2.1699819168173599E-2</c:v>
                </c:pt>
                <c:pt idx="5">
                  <c:v>2.4369980614788147E-2</c:v>
                </c:pt>
                <c:pt idx="6">
                  <c:v>2.4684585847504114E-2</c:v>
                </c:pt>
                <c:pt idx="7">
                  <c:v>2.5515743756786103E-2</c:v>
                </c:pt>
              </c:numCache>
            </c:numRef>
          </c:val>
          <c:smooth val="1"/>
          <c:extLst xmlns:c16r2="http://schemas.microsoft.com/office/drawing/2015/06/chart">
            <c:ext xmlns:c16="http://schemas.microsoft.com/office/drawing/2014/chart" uri="{C3380CC4-5D6E-409C-BE32-E72D297353CC}">
              <c16:uniqueId val="{00000004-77FB-4960-9DDE-2DFFD7A83530}"/>
            </c:ext>
          </c:extLst>
        </c:ser>
        <c:ser>
          <c:idx val="2"/>
          <c:order val="5"/>
          <c:tx>
            <c:strRef>
              <c:f>PK!$A$64:$B$64</c:f>
              <c:strCache>
                <c:ptCount val="1"/>
                <c:pt idx="0">
                  <c:v>1215 折舊率</c:v>
                </c:pt>
              </c:strCache>
            </c:strRef>
          </c:tx>
          <c:spPr>
            <a:ln w="34925">
              <a:solidFill>
                <a:srgbClr val="FFFF00"/>
              </a:solidFill>
            </a:ln>
          </c:spPr>
          <c:marker>
            <c:symbol val="none"/>
          </c:marker>
          <c:val>
            <c:numRef>
              <c:f>PK!$C$64:$J$64</c:f>
              <c:numCache>
                <c:formatCode>0%</c:formatCode>
                <c:ptCount val="8"/>
                <c:pt idx="0">
                  <c:v>#N/A</c:v>
                </c:pt>
                <c:pt idx="1">
                  <c:v>#N/A</c:v>
                </c:pt>
                <c:pt idx="2">
                  <c:v>#N/A</c:v>
                </c:pt>
                <c:pt idx="3">
                  <c:v>#N/A</c:v>
                </c:pt>
                <c:pt idx="4">
                  <c:v>#N/A</c:v>
                </c:pt>
                <c:pt idx="5">
                  <c:v>#N/A</c:v>
                </c:pt>
                <c:pt idx="6">
                  <c:v>#N/A</c:v>
                </c:pt>
                <c:pt idx="7">
                  <c:v>#N/A</c:v>
                </c:pt>
              </c:numCache>
            </c:numRef>
          </c:val>
          <c:smooth val="1"/>
          <c:extLst xmlns:c16r2="http://schemas.microsoft.com/office/drawing/2015/06/chart">
            <c:ext xmlns:c16="http://schemas.microsoft.com/office/drawing/2014/chart" uri="{C3380CC4-5D6E-409C-BE32-E72D297353CC}">
              <c16:uniqueId val="{00000005-77FB-4960-9DDE-2DFFD7A83530}"/>
            </c:ext>
          </c:extLst>
        </c:ser>
        <c:dLbls/>
        <c:marker val="1"/>
        <c:axId val="185190656"/>
        <c:axId val="185189120"/>
      </c:lineChart>
      <c:catAx>
        <c:axId val="185165312"/>
        <c:scaling>
          <c:orientation val="minMax"/>
        </c:scaling>
        <c:delete val="1"/>
        <c:axPos val="b"/>
        <c:numFmt formatCode="General" sourceLinked="1"/>
        <c:majorTickMark val="none"/>
        <c:tickLblPos val="none"/>
        <c:crossAx val="185166848"/>
        <c:crosses val="autoZero"/>
        <c:auto val="1"/>
        <c:lblAlgn val="ctr"/>
        <c:lblOffset val="100"/>
      </c:catAx>
      <c:valAx>
        <c:axId val="185166848"/>
        <c:scaling>
          <c:orientation val="minMax"/>
        </c:scaling>
        <c:axPos val="l"/>
        <c:numFmt formatCode="#,##0_);[Red]\(#,##0\)" sourceLinked="0"/>
        <c:majorTickMark val="none"/>
        <c:tickLblPos val="nextTo"/>
        <c:spPr>
          <a:ln>
            <a:noFill/>
          </a:ln>
        </c:spPr>
        <c:txPr>
          <a:bodyPr/>
          <a:lstStyle/>
          <a:p>
            <a:pPr>
              <a:defRPr sz="1200" b="1">
                <a:solidFill>
                  <a:schemeClr val="bg1"/>
                </a:solidFill>
              </a:defRPr>
            </a:pPr>
            <a:endParaRPr lang="zh-TW"/>
          </a:p>
        </c:txPr>
        <c:crossAx val="185165312"/>
        <c:crosses val="autoZero"/>
        <c:crossBetween val="between"/>
      </c:valAx>
      <c:valAx>
        <c:axId val="185189120"/>
        <c:scaling>
          <c:orientation val="minMax"/>
        </c:scaling>
        <c:axPos val="r"/>
        <c:numFmt formatCode="0%" sourceLinked="1"/>
        <c:tickLblPos val="nextTo"/>
        <c:txPr>
          <a:bodyPr/>
          <a:lstStyle/>
          <a:p>
            <a:pPr>
              <a:defRPr>
                <a:solidFill>
                  <a:schemeClr val="bg1"/>
                </a:solidFill>
              </a:defRPr>
            </a:pPr>
            <a:endParaRPr lang="zh-TW"/>
          </a:p>
        </c:txPr>
        <c:crossAx val="185190656"/>
        <c:crosses val="max"/>
        <c:crossBetween val="between"/>
      </c:valAx>
      <c:catAx>
        <c:axId val="185190656"/>
        <c:scaling>
          <c:orientation val="minMax"/>
        </c:scaling>
        <c:delete val="1"/>
        <c:axPos val="b"/>
        <c:tickLblPos val="none"/>
        <c:crossAx val="185189120"/>
        <c:crosses val="autoZero"/>
        <c:auto val="1"/>
        <c:lblAlgn val="ctr"/>
        <c:lblOffset val="100"/>
      </c:catAx>
      <c:spPr>
        <a:noFill/>
      </c:spPr>
    </c:plotArea>
    <c:plotVisOnly val="1"/>
    <c:dispBlanksAs val="gap"/>
  </c:chart>
  <c:spPr>
    <a:noFill/>
    <a:ln w="19050"/>
  </c:spPr>
  <c:printSettings>
    <c:headerFooter/>
    <c:pageMargins b="0.75000000000001221" l="0.70000000000000062" r="0.70000000000000062" t="0.75000000000001221"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lang val="zh-TW"/>
  <c:roundedCorners val="1"/>
  <c:chart>
    <c:plotArea>
      <c:layout>
        <c:manualLayout>
          <c:layoutTarget val="inner"/>
          <c:xMode val="edge"/>
          <c:yMode val="edge"/>
          <c:x val="9.3070115043250815E-2"/>
          <c:y val="0.16182292279821966"/>
          <c:w val="0.80730084415123748"/>
          <c:h val="0.68052683182251861"/>
        </c:manualLayout>
      </c:layout>
      <c:barChart>
        <c:barDir val="col"/>
        <c:grouping val="clustered"/>
        <c:ser>
          <c:idx val="0"/>
          <c:order val="0"/>
          <c:tx>
            <c:strRef>
              <c:f>PK!$A$2:$B$2</c:f>
              <c:strCache>
                <c:ptCount val="1"/>
                <c:pt idx="0">
                  <c:v>1210 營業收入淨額</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cat>
            <c:numRef>
              <c:f>PK!$C$1:$J$1</c:f>
              <c:numCache>
                <c:formatCode>General</c:formatCode>
                <c:ptCount val="8"/>
                <c:pt idx="0">
                  <c:v>1</c:v>
                </c:pt>
                <c:pt idx="1">
                  <c:v>2</c:v>
                </c:pt>
                <c:pt idx="2">
                  <c:v>3</c:v>
                </c:pt>
                <c:pt idx="3">
                  <c:v>4</c:v>
                </c:pt>
                <c:pt idx="4">
                  <c:v>5</c:v>
                </c:pt>
                <c:pt idx="5">
                  <c:v>6</c:v>
                </c:pt>
                <c:pt idx="6">
                  <c:v>7</c:v>
                </c:pt>
                <c:pt idx="7">
                  <c:v>8</c:v>
                </c:pt>
              </c:numCache>
            </c:numRef>
          </c:cat>
          <c:val>
            <c:numRef>
              <c:f>PK!$C$68:$J$68</c:f>
              <c:numCache>
                <c:formatCode>_-* #,##0.00_-;\-* #,##0.00_-;_-* "-"??_-;_-@_-</c:formatCode>
                <c:ptCount val="8"/>
                <c:pt idx="0">
                  <c:v>31.33</c:v>
                </c:pt>
                <c:pt idx="1">
                  <c:v>32.94</c:v>
                </c:pt>
                <c:pt idx="2">
                  <c:v>27.27</c:v>
                </c:pt>
                <c:pt idx="3">
                  <c:v>25.42</c:v>
                </c:pt>
                <c:pt idx="4">
                  <c:v>27.06</c:v>
                </c:pt>
                <c:pt idx="5">
                  <c:v>26.52</c:v>
                </c:pt>
                <c:pt idx="6">
                  <c:v>24.1</c:v>
                </c:pt>
                <c:pt idx="7">
                  <c:v>25.03</c:v>
                </c:pt>
              </c:numCache>
            </c:numRef>
          </c:val>
          <c:extLst xmlns:c16r2="http://schemas.microsoft.com/office/drawing/2015/06/chart">
            <c:ext xmlns:c16="http://schemas.microsoft.com/office/drawing/2014/chart" uri="{C3380CC4-5D6E-409C-BE32-E72D297353CC}">
              <c16:uniqueId val="{00000000-3E2A-46F5-9950-0FF2130E17BB}"/>
            </c:ext>
          </c:extLst>
        </c:ser>
        <c:ser>
          <c:idx val="1"/>
          <c:order val="1"/>
          <c:tx>
            <c:strRef>
              <c:f>PK!$A$3:$B$3</c:f>
              <c:strCache>
                <c:ptCount val="1"/>
                <c:pt idx="0">
                  <c:v>1215 營業收入淨額</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cat>
            <c:numRef>
              <c:f>PK!$C$1:$J$1</c:f>
              <c:numCache>
                <c:formatCode>General</c:formatCode>
                <c:ptCount val="8"/>
                <c:pt idx="0">
                  <c:v>1</c:v>
                </c:pt>
                <c:pt idx="1">
                  <c:v>2</c:v>
                </c:pt>
                <c:pt idx="2">
                  <c:v>3</c:v>
                </c:pt>
                <c:pt idx="3">
                  <c:v>4</c:v>
                </c:pt>
                <c:pt idx="4">
                  <c:v>5</c:v>
                </c:pt>
                <c:pt idx="5">
                  <c:v>6</c:v>
                </c:pt>
                <c:pt idx="6">
                  <c:v>7</c:v>
                </c:pt>
                <c:pt idx="7">
                  <c:v>8</c:v>
                </c:pt>
              </c:numCache>
            </c:numRef>
          </c:cat>
          <c:val>
            <c:numRef>
              <c:f>PK!$C$69:$J$69</c:f>
              <c:numCache>
                <c:formatCode>_-* #,##0.00_-;\-* #,##0.00_-;_-* "-"??_-;_-@_-</c:formatCode>
                <c:ptCount val="8"/>
                <c:pt idx="0">
                  <c:v>18.64</c:v>
                </c:pt>
                <c:pt idx="1">
                  <c:v>18.55</c:v>
                </c:pt>
                <c:pt idx="2">
                  <c:v>16.45</c:v>
                </c:pt>
                <c:pt idx="3">
                  <c:v>16.13</c:v>
                </c:pt>
                <c:pt idx="4">
                  <c:v>16.559999999999999</c:v>
                </c:pt>
                <c:pt idx="5">
                  <c:v>15.59</c:v>
                </c:pt>
                <c:pt idx="6">
                  <c:v>15.88</c:v>
                </c:pt>
                <c:pt idx="7">
                  <c:v>16.190000000000001</c:v>
                </c:pt>
              </c:numCache>
            </c:numRef>
          </c:val>
          <c:extLst xmlns:c16r2="http://schemas.microsoft.com/office/drawing/2015/06/chart">
            <c:ext xmlns:c16="http://schemas.microsoft.com/office/drawing/2014/chart" uri="{C3380CC4-5D6E-409C-BE32-E72D297353CC}">
              <c16:uniqueId val="{00000001-3E2A-46F5-9950-0FF2130E17BB}"/>
            </c:ext>
          </c:extLst>
        </c:ser>
        <c:ser>
          <c:idx val="2"/>
          <c:order val="2"/>
          <c:tx>
            <c:strRef>
              <c:f>PK!$A$4:$B$4</c:f>
              <c:strCache>
                <c:ptCount val="1"/>
                <c:pt idx="0">
                  <c:v>1215 營業收入淨額</c:v>
                </c:pt>
              </c:strCache>
            </c:strRef>
          </c:tx>
          <c:spPr>
            <a:solidFill>
              <a:srgbClr val="FFCC0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cat>
            <c:numRef>
              <c:f>PK!$C$1:$J$1</c:f>
              <c:numCache>
                <c:formatCode>General</c:formatCode>
                <c:ptCount val="8"/>
                <c:pt idx="0">
                  <c:v>1</c:v>
                </c:pt>
                <c:pt idx="1">
                  <c:v>2</c:v>
                </c:pt>
                <c:pt idx="2">
                  <c:v>3</c:v>
                </c:pt>
                <c:pt idx="3">
                  <c:v>4</c:v>
                </c:pt>
                <c:pt idx="4">
                  <c:v>5</c:v>
                </c:pt>
                <c:pt idx="5">
                  <c:v>6</c:v>
                </c:pt>
                <c:pt idx="6">
                  <c:v>7</c:v>
                </c:pt>
                <c:pt idx="7">
                  <c:v>8</c:v>
                </c:pt>
              </c:numCache>
            </c:numRef>
          </c:cat>
          <c:val>
            <c:numRef>
              <c:f>PK!$C$70:$J$70</c:f>
              <c:numCache>
                <c:formatCode>General</c:formatCode>
                <c:ptCount val="8"/>
                <c:pt idx="0">
                  <c:v>#N/A</c:v>
                </c:pt>
                <c:pt idx="1">
                  <c:v>#N/A</c:v>
                </c:pt>
                <c:pt idx="2">
                  <c:v>#N/A</c:v>
                </c:pt>
                <c:pt idx="3">
                  <c:v>#N/A</c:v>
                </c:pt>
                <c:pt idx="4">
                  <c:v>#N/A</c:v>
                </c:pt>
                <c:pt idx="5">
                  <c:v>#N/A</c:v>
                </c:pt>
                <c:pt idx="6">
                  <c:v>#N/A</c:v>
                </c:pt>
                <c:pt idx="7">
                  <c:v>#N/A</c:v>
                </c:pt>
              </c:numCache>
            </c:numRef>
          </c:val>
          <c:extLst xmlns:c16r2="http://schemas.microsoft.com/office/drawing/2015/06/chart">
            <c:ext xmlns:c16="http://schemas.microsoft.com/office/drawing/2014/chart" uri="{C3380CC4-5D6E-409C-BE32-E72D297353CC}">
              <c16:uniqueId val="{00000002-3E2A-46F5-9950-0FF2130E17BB}"/>
            </c:ext>
          </c:extLst>
        </c:ser>
        <c:dLbls/>
        <c:gapWidth val="138"/>
        <c:overlap val="38"/>
        <c:axId val="185846784"/>
        <c:axId val="185467648"/>
      </c:barChart>
      <c:lineChart>
        <c:grouping val="standard"/>
        <c:ser>
          <c:idx val="3"/>
          <c:order val="3"/>
          <c:tx>
            <c:strRef>
              <c:f>PK!$A$47:$B$47</c:f>
              <c:strCache>
                <c:ptCount val="1"/>
                <c:pt idx="0">
                  <c:v>1210 毛利率</c:v>
                </c:pt>
              </c:strCache>
            </c:strRef>
          </c:tx>
          <c:spPr>
            <a:ln>
              <a:solidFill>
                <a:srgbClr val="00B0F0"/>
              </a:solidFill>
            </a:ln>
          </c:spPr>
          <c:marker>
            <c:symbol val="none"/>
          </c:marker>
          <c:val>
            <c:numRef>
              <c:f>PK!$C$47:$J$47</c:f>
              <c:numCache>
                <c:formatCode>0%</c:formatCode>
                <c:ptCount val="8"/>
                <c:pt idx="0">
                  <c:v>8.4142535113577249E-2</c:v>
                </c:pt>
                <c:pt idx="1">
                  <c:v>7.4367219061752823E-2</c:v>
                </c:pt>
                <c:pt idx="2">
                  <c:v>9.2982718262861697E-2</c:v>
                </c:pt>
                <c:pt idx="3">
                  <c:v>0.10466980123958111</c:v>
                </c:pt>
                <c:pt idx="4">
                  <c:v>0.11902850260939382</c:v>
                </c:pt>
                <c:pt idx="5">
                  <c:v>0.11296021301653951</c:v>
                </c:pt>
                <c:pt idx="6">
                  <c:v>0.1362150586113616</c:v>
                </c:pt>
                <c:pt idx="7">
                  <c:v>0.13071789028162137</c:v>
                </c:pt>
              </c:numCache>
            </c:numRef>
          </c:val>
          <c:smooth val="1"/>
          <c:extLst xmlns:c16r2="http://schemas.microsoft.com/office/drawing/2015/06/chart">
            <c:ext xmlns:c16="http://schemas.microsoft.com/office/drawing/2014/chart" uri="{C3380CC4-5D6E-409C-BE32-E72D297353CC}">
              <c16:uniqueId val="{00000003-3E2A-46F5-9950-0FF2130E17BB}"/>
            </c:ext>
          </c:extLst>
        </c:ser>
        <c:ser>
          <c:idx val="4"/>
          <c:order val="4"/>
          <c:tx>
            <c:strRef>
              <c:f>PK!$A$48:$B$48</c:f>
              <c:strCache>
                <c:ptCount val="1"/>
                <c:pt idx="0">
                  <c:v>1215 毛利率</c:v>
                </c:pt>
              </c:strCache>
            </c:strRef>
          </c:tx>
          <c:spPr>
            <a:ln>
              <a:solidFill>
                <a:srgbClr val="FF0000"/>
              </a:solidFill>
            </a:ln>
          </c:spPr>
          <c:marker>
            <c:symbol val="none"/>
          </c:marker>
          <c:val>
            <c:numRef>
              <c:f>PK!$C$48:$J$48</c:f>
              <c:numCache>
                <c:formatCode>0%</c:formatCode>
                <c:ptCount val="8"/>
                <c:pt idx="0">
                  <c:v>0.10856639506716582</c:v>
                </c:pt>
                <c:pt idx="1">
                  <c:v>0.12945341889798628</c:v>
                </c:pt>
                <c:pt idx="2">
                  <c:v>0.125249500998004</c:v>
                </c:pt>
                <c:pt idx="3">
                  <c:v>9.9516416390939166E-2</c:v>
                </c:pt>
                <c:pt idx="4">
                  <c:v>0.12756366914581924</c:v>
                </c:pt>
                <c:pt idx="5">
                  <c:v>0.13591768365637713</c:v>
                </c:pt>
                <c:pt idx="6">
                  <c:v>0.14332706766917294</c:v>
                </c:pt>
                <c:pt idx="7">
                  <c:v>0.15076071922544951</c:v>
                </c:pt>
              </c:numCache>
            </c:numRef>
          </c:val>
          <c:smooth val="1"/>
          <c:extLst xmlns:c16r2="http://schemas.microsoft.com/office/drawing/2015/06/chart">
            <c:ext xmlns:c16="http://schemas.microsoft.com/office/drawing/2014/chart" uri="{C3380CC4-5D6E-409C-BE32-E72D297353CC}">
              <c16:uniqueId val="{00000004-3E2A-46F5-9950-0FF2130E17BB}"/>
            </c:ext>
          </c:extLst>
        </c:ser>
        <c:ser>
          <c:idx val="5"/>
          <c:order val="5"/>
          <c:tx>
            <c:strRef>
              <c:f>PK!$A$49:$B$49</c:f>
              <c:strCache>
                <c:ptCount val="1"/>
                <c:pt idx="0">
                  <c:v>1215 毛利率</c:v>
                </c:pt>
              </c:strCache>
            </c:strRef>
          </c:tx>
          <c:spPr>
            <a:ln>
              <a:solidFill>
                <a:srgbClr val="FFFF00"/>
              </a:solidFill>
            </a:ln>
          </c:spPr>
          <c:marker>
            <c:symbol val="none"/>
          </c:marker>
          <c:val>
            <c:numRef>
              <c:f>PK!$C$49:$J$49</c:f>
              <c:numCache>
                <c:formatCode>0%</c:formatCode>
                <c:ptCount val="8"/>
                <c:pt idx="0">
                  <c:v>0</c:v>
                </c:pt>
                <c:pt idx="1">
                  <c:v>0</c:v>
                </c:pt>
                <c:pt idx="2">
                  <c:v>0</c:v>
                </c:pt>
                <c:pt idx="3">
                  <c:v>0</c:v>
                </c:pt>
                <c:pt idx="4">
                  <c:v>0</c:v>
                </c:pt>
                <c:pt idx="5">
                  <c:v>0</c:v>
                </c:pt>
                <c:pt idx="6">
                  <c:v>0</c:v>
                </c:pt>
                <c:pt idx="7">
                  <c:v>0</c:v>
                </c:pt>
              </c:numCache>
            </c:numRef>
          </c:val>
          <c:smooth val="1"/>
          <c:extLst xmlns:c16r2="http://schemas.microsoft.com/office/drawing/2015/06/chart">
            <c:ext xmlns:c16="http://schemas.microsoft.com/office/drawing/2014/chart" uri="{C3380CC4-5D6E-409C-BE32-E72D297353CC}">
              <c16:uniqueId val="{00000005-3E2A-46F5-9950-0FF2130E17BB}"/>
            </c:ext>
          </c:extLst>
        </c:ser>
        <c:dLbls/>
        <c:marker val="1"/>
        <c:axId val="185479168"/>
        <c:axId val="185469184"/>
      </c:lineChart>
      <c:catAx>
        <c:axId val="185846784"/>
        <c:scaling>
          <c:orientation val="minMax"/>
        </c:scaling>
        <c:delete val="1"/>
        <c:axPos val="b"/>
        <c:numFmt formatCode="General" sourceLinked="1"/>
        <c:majorTickMark val="none"/>
        <c:tickLblPos val="none"/>
        <c:crossAx val="185467648"/>
        <c:crosses val="autoZero"/>
        <c:auto val="1"/>
        <c:lblAlgn val="ctr"/>
        <c:lblOffset val="100"/>
      </c:catAx>
      <c:valAx>
        <c:axId val="185467648"/>
        <c:scaling>
          <c:orientation val="minMax"/>
        </c:scaling>
        <c:axPos val="l"/>
        <c:numFmt formatCode="#,##0_);[Red]\(#,##0\)" sourceLinked="0"/>
        <c:majorTickMark val="none"/>
        <c:tickLblPos val="nextTo"/>
        <c:spPr>
          <a:ln>
            <a:noFill/>
          </a:ln>
        </c:spPr>
        <c:txPr>
          <a:bodyPr/>
          <a:lstStyle/>
          <a:p>
            <a:pPr>
              <a:defRPr sz="1200" b="1">
                <a:solidFill>
                  <a:schemeClr val="bg1"/>
                </a:solidFill>
              </a:defRPr>
            </a:pPr>
            <a:endParaRPr lang="zh-TW"/>
          </a:p>
        </c:txPr>
        <c:crossAx val="185846784"/>
        <c:crosses val="autoZero"/>
        <c:crossBetween val="between"/>
      </c:valAx>
      <c:valAx>
        <c:axId val="185469184"/>
        <c:scaling>
          <c:orientation val="minMax"/>
          <c:max val="0.15829875518672204"/>
          <c:min val="0"/>
        </c:scaling>
        <c:axPos val="r"/>
        <c:numFmt formatCode="0%" sourceLinked="0"/>
        <c:majorTickMark val="none"/>
        <c:tickLblPos val="nextTo"/>
        <c:spPr>
          <a:ln>
            <a:noFill/>
          </a:ln>
        </c:spPr>
        <c:txPr>
          <a:bodyPr/>
          <a:lstStyle/>
          <a:p>
            <a:pPr>
              <a:defRPr sz="1100">
                <a:solidFill>
                  <a:schemeClr val="bg1"/>
                </a:solidFill>
              </a:defRPr>
            </a:pPr>
            <a:endParaRPr lang="zh-TW"/>
          </a:p>
        </c:txPr>
        <c:crossAx val="185479168"/>
        <c:crosses val="max"/>
        <c:crossBetween val="between"/>
      </c:valAx>
      <c:catAx>
        <c:axId val="185479168"/>
        <c:scaling>
          <c:orientation val="minMax"/>
        </c:scaling>
        <c:delete val="1"/>
        <c:axPos val="b"/>
        <c:tickLblPos val="none"/>
        <c:crossAx val="185469184"/>
        <c:crosses val="autoZero"/>
        <c:auto val="1"/>
        <c:lblAlgn val="ctr"/>
        <c:lblOffset val="100"/>
      </c:catAx>
      <c:spPr>
        <a:noFill/>
      </c:spPr>
    </c:plotArea>
    <c:plotVisOnly val="1"/>
    <c:dispBlanksAs val="gap"/>
  </c:chart>
  <c:spPr>
    <a:noFill/>
    <a:ln w="19050"/>
  </c:spPr>
  <c:printSettings>
    <c:headerFooter/>
    <c:pageMargins b="0.75000000000001221" l="0.70000000000000062" r="0.70000000000000062" t="0.75000000000001221"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lang val="zh-TW"/>
  <c:roundedCorners val="1"/>
  <c:chart>
    <c:autoTitleDeleted val="1"/>
    <c:plotArea>
      <c:layout>
        <c:manualLayout>
          <c:layoutTarget val="inner"/>
          <c:xMode val="edge"/>
          <c:yMode val="edge"/>
          <c:x val="3.8784386838295083E-2"/>
          <c:y val="0.16666672082083858"/>
          <c:w val="0.92814107611548591"/>
          <c:h val="0.79166666666666652"/>
        </c:manualLayout>
      </c:layout>
      <c:barChart>
        <c:barDir val="col"/>
        <c:grouping val="clustered"/>
        <c:ser>
          <c:idx val="0"/>
          <c:order val="0"/>
          <c:tx>
            <c:strRef>
              <c:f>自結資料!$A$34</c:f>
              <c:strCache>
                <c:ptCount val="1"/>
                <c:pt idx="0">
                  <c:v>9941</c:v>
                </c:pt>
              </c:strCache>
            </c:strRef>
          </c:tx>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a:scene3d>
              <a:camera prst="orthographicFront"/>
              <a:lightRig rig="threePt" dir="t"/>
            </a:scene3d>
            <a:sp3d>
              <a:bevelT w="6350"/>
            </a:sp3d>
          </c:spPr>
          <c:dPt>
            <c:idx val="6"/>
            <c:spPr>
              <a:solidFill>
                <a:srgbClr val="FF33CC"/>
              </a:solidFill>
              <a:ln>
                <a:noFill/>
              </a:ln>
              <a:effectLst>
                <a:outerShdw blurRad="76200" dir="18900000" sy="23000" kx="-1200000" algn="bl" rotWithShape="0">
                  <a:prstClr val="black">
                    <a:alpha val="20000"/>
                  </a:prstClr>
                </a:outerShdw>
              </a:effectLst>
              <a:scene3d>
                <a:camera prst="orthographicFront"/>
                <a:lightRig rig="threePt" dir="t"/>
              </a:scene3d>
              <a:sp3d>
                <a:bevelT w="6350"/>
              </a:sp3d>
            </c:spPr>
          </c:dPt>
          <c:dPt>
            <c:idx val="7"/>
            <c:spPr>
              <a:solidFill>
                <a:srgbClr val="FF33CC"/>
              </a:solidFill>
              <a:ln>
                <a:noFill/>
              </a:ln>
              <a:effectLst>
                <a:outerShdw blurRad="76200" dir="18900000" sy="23000" kx="-1200000" algn="bl" rotWithShape="0">
                  <a:prstClr val="black">
                    <a:alpha val="20000"/>
                  </a:prstClr>
                </a:outerShdw>
              </a:effectLst>
              <a:scene3d>
                <a:camera prst="orthographicFront"/>
                <a:lightRig rig="threePt" dir="t"/>
              </a:scene3d>
              <a:sp3d>
                <a:bevelT w="6350"/>
              </a:sp3d>
            </c:spPr>
          </c:dPt>
          <c:dPt>
            <c:idx val="8"/>
            <c:spPr>
              <a:solidFill>
                <a:srgbClr val="FF33CC"/>
              </a:solidFill>
              <a:ln>
                <a:noFill/>
              </a:ln>
              <a:effectLst>
                <a:outerShdw blurRad="76200" dir="18900000" sy="23000" kx="-1200000" algn="bl" rotWithShape="0">
                  <a:prstClr val="black">
                    <a:alpha val="20000"/>
                  </a:prstClr>
                </a:outerShdw>
              </a:effectLst>
              <a:scene3d>
                <a:camera prst="orthographicFront"/>
                <a:lightRig rig="threePt" dir="t"/>
              </a:scene3d>
              <a:sp3d>
                <a:bevelT w="6350"/>
              </a:sp3d>
            </c:spPr>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zh-TW"/>
              </a:p>
            </c:txPr>
            <c:dLblPos val="inEnd"/>
            <c:showVal val="1"/>
            <c:extLst>
              <c:ext xmlns:c15="http://schemas.microsoft.com/office/drawing/2012/chart" uri="{CE6537A1-D6FC-4f65-9D91-7224C49458BB}">
                <c15:layout/>
                <c15:showLeaderLines val="1"/>
                <c15:leaderLines>
                  <c:spPr>
                    <a:ln w="9525">
                      <a:solidFill>
                        <a:schemeClr val="dk1">
                          <a:lumMod val="50000"/>
                          <a:lumOff val="50000"/>
                        </a:schemeClr>
                      </a:solidFill>
                    </a:ln>
                    <a:effectLst/>
                  </c:spPr>
                </c15:leaderLines>
              </c:ext>
            </c:extLst>
          </c:dLbls>
          <c:val>
            <c:numRef>
              <c:f>自結資料!$B$34:$M$34</c:f>
              <c:numCache>
                <c:formatCode>General</c:formatCode>
                <c:ptCount val="12"/>
                <c:pt idx="0" formatCode="_-* #,##0.00_-;\-* #,##0.00_-;_-* &quot;-&quot;??_-;_-@_-">
                  <c:v>0.47</c:v>
                </c:pt>
                <c:pt idx="1">
                  <c:v>0.83</c:v>
                </c:pt>
                <c:pt idx="2">
                  <c:v>1.18</c:v>
                </c:pt>
                <c:pt idx="3">
                  <c:v>0.8</c:v>
                </c:pt>
                <c:pt idx="4">
                  <c:v>0.31</c:v>
                </c:pt>
                <c:pt idx="5">
                  <c:v>0.73</c:v>
                </c:pt>
                <c:pt idx="6">
                  <c:v>0.69</c:v>
                </c:pt>
                <c:pt idx="7">
                  <c:v>0.73</c:v>
                </c:pt>
                <c:pt idx="8">
                  <c:v>0.84</c:v>
                </c:pt>
              </c:numCache>
            </c:numRef>
          </c:val>
        </c:ser>
        <c:dLbls>
          <c:showVal val="1"/>
        </c:dLbls>
        <c:gapWidth val="41"/>
        <c:axId val="295111296"/>
        <c:axId val="295121280"/>
      </c:barChart>
      <c:catAx>
        <c:axId val="295111296"/>
        <c:scaling>
          <c:orientation val="minMax"/>
        </c:scaling>
        <c:delete val="1"/>
        <c:axPos val="b"/>
        <c:majorTickMark val="none"/>
        <c:tickLblPos val="none"/>
        <c:crossAx val="295121280"/>
        <c:crosses val="autoZero"/>
        <c:auto val="1"/>
        <c:lblAlgn val="ctr"/>
        <c:lblOffset val="100"/>
      </c:catAx>
      <c:valAx>
        <c:axId val="295121280"/>
        <c:scaling>
          <c:orientation val="minMax"/>
        </c:scaling>
        <c:delete val="1"/>
        <c:axPos val="l"/>
        <c:numFmt formatCode="_-* #,##0.00_-;\-* #,##0.00_-;_-* &quot;-&quot;??_-;_-@_-" sourceLinked="1"/>
        <c:majorTickMark val="none"/>
        <c:tickLblPos val="none"/>
        <c:crossAx val="295111296"/>
        <c:crosses val="autoZero"/>
        <c:crossBetween val="between"/>
      </c:valAx>
      <c:spPr>
        <a:noFill/>
        <a:ln>
          <a:noFill/>
        </a:ln>
        <a:effectLst/>
      </c:spPr>
    </c:plotArea>
    <c:plotVisOnly val="1"/>
    <c:dispBlanksAs val="gap"/>
  </c:chart>
  <c: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tx2"/>
      </a:solidFill>
      <a:round/>
    </a:ln>
    <a:effectLst/>
  </c:spPr>
  <c:txPr>
    <a:bodyPr/>
    <a:lstStyle/>
    <a:p>
      <a:pPr>
        <a:defRPr/>
      </a:pPr>
      <a:endParaRPr lang="zh-TW"/>
    </a:p>
  </c:txPr>
  <c:printSettings>
    <c:headerFooter/>
    <c:pageMargins b="0.75000000000000011" l="0.70000000000000007" r="0.70000000000000007" t="0.75000000000000011" header="0.30000000000000004" footer="0.30000000000000004"/>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spPr/>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1.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0.xml"/><Relationship Id="rId5" Type="http://schemas.openxmlformats.org/officeDocument/2006/relationships/chart" Target="../charts/chart5.xml"/><Relationship Id="rId10" Type="http://schemas.openxmlformats.org/officeDocument/2006/relationships/image" Target="../media/image11.jpeg"/><Relationship Id="rId4" Type="http://schemas.openxmlformats.org/officeDocument/2006/relationships/chart" Target="../charts/chart4.xml"/><Relationship Id="rId9" Type="http://schemas.openxmlformats.org/officeDocument/2006/relationships/chart" Target="../charts/chart9.xml"/></Relationships>
</file>

<file path=xl/drawings/_rels/drawing2.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 Id="rId6" Type="http://schemas.openxmlformats.org/officeDocument/2006/relationships/chart" Target="../charts/chart17.xml"/><Relationship Id="rId5" Type="http://schemas.openxmlformats.org/officeDocument/2006/relationships/chart" Target="../charts/chart16.xml"/><Relationship Id="rId4" Type="http://schemas.openxmlformats.org/officeDocument/2006/relationships/chart" Target="../charts/chart15.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8.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5" Type="http://schemas.openxmlformats.org/officeDocument/2006/relationships/image" Target="../media/image9.emf"/><Relationship Id="rId4" Type="http://schemas.openxmlformats.org/officeDocument/2006/relationships/image" Target="../media/image8.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9.emf"/><Relationship Id="rId13" Type="http://schemas.openxmlformats.org/officeDocument/2006/relationships/image" Target="../media/image24.emf"/><Relationship Id="rId18" Type="http://schemas.openxmlformats.org/officeDocument/2006/relationships/image" Target="../media/image29.emf"/><Relationship Id="rId3" Type="http://schemas.openxmlformats.org/officeDocument/2006/relationships/image" Target="../media/image14.emf"/><Relationship Id="rId7" Type="http://schemas.openxmlformats.org/officeDocument/2006/relationships/image" Target="../media/image18.emf"/><Relationship Id="rId12" Type="http://schemas.openxmlformats.org/officeDocument/2006/relationships/image" Target="../media/image23.emf"/><Relationship Id="rId17" Type="http://schemas.openxmlformats.org/officeDocument/2006/relationships/image" Target="../media/image28.emf"/><Relationship Id="rId2" Type="http://schemas.openxmlformats.org/officeDocument/2006/relationships/image" Target="../media/image13.emf"/><Relationship Id="rId16" Type="http://schemas.openxmlformats.org/officeDocument/2006/relationships/image" Target="../media/image27.emf"/><Relationship Id="rId1" Type="http://schemas.openxmlformats.org/officeDocument/2006/relationships/image" Target="../media/image12.emf"/><Relationship Id="rId6" Type="http://schemas.openxmlformats.org/officeDocument/2006/relationships/image" Target="../media/image17.emf"/><Relationship Id="rId11" Type="http://schemas.openxmlformats.org/officeDocument/2006/relationships/image" Target="../media/image22.emf"/><Relationship Id="rId5" Type="http://schemas.openxmlformats.org/officeDocument/2006/relationships/image" Target="../media/image16.emf"/><Relationship Id="rId15" Type="http://schemas.openxmlformats.org/officeDocument/2006/relationships/image" Target="../media/image26.emf"/><Relationship Id="rId10" Type="http://schemas.openxmlformats.org/officeDocument/2006/relationships/image" Target="../media/image21.emf"/><Relationship Id="rId19" Type="http://schemas.openxmlformats.org/officeDocument/2006/relationships/image" Target="../media/image30.emf"/><Relationship Id="rId4" Type="http://schemas.openxmlformats.org/officeDocument/2006/relationships/image" Target="../media/image15.emf"/><Relationship Id="rId9" Type="http://schemas.openxmlformats.org/officeDocument/2006/relationships/image" Target="../media/image20.emf"/><Relationship Id="rId14" Type="http://schemas.openxmlformats.org/officeDocument/2006/relationships/image" Target="../media/image25.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38.emf"/><Relationship Id="rId3" Type="http://schemas.openxmlformats.org/officeDocument/2006/relationships/image" Target="../media/image33.emf"/><Relationship Id="rId7" Type="http://schemas.openxmlformats.org/officeDocument/2006/relationships/image" Target="../media/image37.emf"/><Relationship Id="rId2" Type="http://schemas.openxmlformats.org/officeDocument/2006/relationships/image" Target="../media/image32.emf"/><Relationship Id="rId1" Type="http://schemas.openxmlformats.org/officeDocument/2006/relationships/image" Target="../media/image31.emf"/><Relationship Id="rId6" Type="http://schemas.openxmlformats.org/officeDocument/2006/relationships/image" Target="../media/image36.emf"/><Relationship Id="rId5" Type="http://schemas.openxmlformats.org/officeDocument/2006/relationships/image" Target="../media/image35.emf"/><Relationship Id="rId4" Type="http://schemas.openxmlformats.org/officeDocument/2006/relationships/image" Target="../media/image34.emf"/><Relationship Id="rId9" Type="http://schemas.openxmlformats.org/officeDocument/2006/relationships/image" Target="../media/image39.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47.emf"/><Relationship Id="rId3" Type="http://schemas.openxmlformats.org/officeDocument/2006/relationships/image" Target="../media/image42.emf"/><Relationship Id="rId7" Type="http://schemas.openxmlformats.org/officeDocument/2006/relationships/image" Target="../media/image46.emf"/><Relationship Id="rId2" Type="http://schemas.openxmlformats.org/officeDocument/2006/relationships/image" Target="../media/image41.emf"/><Relationship Id="rId1" Type="http://schemas.openxmlformats.org/officeDocument/2006/relationships/image" Target="../media/image40.emf"/><Relationship Id="rId6" Type="http://schemas.openxmlformats.org/officeDocument/2006/relationships/image" Target="../media/image45.emf"/><Relationship Id="rId5" Type="http://schemas.openxmlformats.org/officeDocument/2006/relationships/image" Target="../media/image44.emf"/><Relationship Id="rId10" Type="http://schemas.openxmlformats.org/officeDocument/2006/relationships/image" Target="../media/image49.emf"/><Relationship Id="rId4" Type="http://schemas.openxmlformats.org/officeDocument/2006/relationships/image" Target="../media/image43.emf"/><Relationship Id="rId9" Type="http://schemas.openxmlformats.org/officeDocument/2006/relationships/image" Target="../media/image48.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57.emf"/><Relationship Id="rId3" Type="http://schemas.openxmlformats.org/officeDocument/2006/relationships/image" Target="../media/image52.emf"/><Relationship Id="rId7" Type="http://schemas.openxmlformats.org/officeDocument/2006/relationships/image" Target="../media/image56.emf"/><Relationship Id="rId2" Type="http://schemas.openxmlformats.org/officeDocument/2006/relationships/image" Target="../media/image51.emf"/><Relationship Id="rId1" Type="http://schemas.openxmlformats.org/officeDocument/2006/relationships/image" Target="../media/image50.emf"/><Relationship Id="rId6" Type="http://schemas.openxmlformats.org/officeDocument/2006/relationships/image" Target="../media/image55.emf"/><Relationship Id="rId5" Type="http://schemas.openxmlformats.org/officeDocument/2006/relationships/image" Target="../media/image54.emf"/><Relationship Id="rId10" Type="http://schemas.openxmlformats.org/officeDocument/2006/relationships/image" Target="../media/image59.emf"/><Relationship Id="rId4" Type="http://schemas.openxmlformats.org/officeDocument/2006/relationships/image" Target="../media/image53.emf"/><Relationship Id="rId9" Type="http://schemas.openxmlformats.org/officeDocument/2006/relationships/image" Target="../media/image58.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61.emf"/><Relationship Id="rId1" Type="http://schemas.openxmlformats.org/officeDocument/2006/relationships/image" Target="../media/image60.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69.emf"/><Relationship Id="rId3" Type="http://schemas.openxmlformats.org/officeDocument/2006/relationships/image" Target="../media/image64.emf"/><Relationship Id="rId7" Type="http://schemas.openxmlformats.org/officeDocument/2006/relationships/image" Target="../media/image68.emf"/><Relationship Id="rId2" Type="http://schemas.openxmlformats.org/officeDocument/2006/relationships/image" Target="../media/image63.emf"/><Relationship Id="rId1" Type="http://schemas.openxmlformats.org/officeDocument/2006/relationships/image" Target="../media/image62.emf"/><Relationship Id="rId6" Type="http://schemas.openxmlformats.org/officeDocument/2006/relationships/image" Target="../media/image67.emf"/><Relationship Id="rId5" Type="http://schemas.openxmlformats.org/officeDocument/2006/relationships/image" Target="../media/image66.emf"/><Relationship Id="rId4" Type="http://schemas.openxmlformats.org/officeDocument/2006/relationships/image" Target="../media/image65.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70.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71.emf"/></Relationships>
</file>

<file path=xl/drawings/drawing1.xml><?xml version="1.0" encoding="utf-8"?>
<xdr:wsDr xmlns:xdr="http://schemas.openxmlformats.org/drawingml/2006/spreadsheetDrawing" xmlns:a="http://schemas.openxmlformats.org/drawingml/2006/main">
  <xdr:twoCellAnchor>
    <xdr:from>
      <xdr:col>0</xdr:col>
      <xdr:colOff>38100</xdr:colOff>
      <xdr:row>1</xdr:row>
      <xdr:rowOff>179613</xdr:rowOff>
    </xdr:from>
    <xdr:to>
      <xdr:col>29</xdr:col>
      <xdr:colOff>604611</xdr:colOff>
      <xdr:row>13</xdr:row>
      <xdr:rowOff>20863</xdr:rowOff>
    </xdr:to>
    <xdr:graphicFrame macro="">
      <xdr:nvGraphicFramePr>
        <xdr:cNvPr id="12" name="圖表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38100</xdr:colOff>
      <xdr:row>15</xdr:row>
      <xdr:rowOff>62593</xdr:rowOff>
    </xdr:from>
    <xdr:to>
      <xdr:col>29</xdr:col>
      <xdr:colOff>604611</xdr:colOff>
      <xdr:row>26</xdr:row>
      <xdr:rowOff>162379</xdr:rowOff>
    </xdr:to>
    <xdr:graphicFrame macro="">
      <xdr:nvGraphicFramePr>
        <xdr:cNvPr id="13" name="圖表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38100</xdr:colOff>
      <xdr:row>29</xdr:row>
      <xdr:rowOff>108856</xdr:rowOff>
    </xdr:from>
    <xdr:to>
      <xdr:col>29</xdr:col>
      <xdr:colOff>604611</xdr:colOff>
      <xdr:row>40</xdr:row>
      <xdr:rowOff>48078</xdr:rowOff>
    </xdr:to>
    <xdr:graphicFrame macro="">
      <xdr:nvGraphicFramePr>
        <xdr:cNvPr id="14" name="圖表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29</xdr:col>
      <xdr:colOff>1353911</xdr:colOff>
      <xdr:row>1</xdr:row>
      <xdr:rowOff>179613</xdr:rowOff>
    </xdr:from>
    <xdr:to>
      <xdr:col>51</xdr:col>
      <xdr:colOff>375557</xdr:colOff>
      <xdr:row>13</xdr:row>
      <xdr:rowOff>20863</xdr:rowOff>
    </xdr:to>
    <xdr:graphicFrame macro="">
      <xdr:nvGraphicFramePr>
        <xdr:cNvPr id="15" name="圖表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29</xdr:col>
      <xdr:colOff>1353911</xdr:colOff>
      <xdr:row>15</xdr:row>
      <xdr:rowOff>62593</xdr:rowOff>
    </xdr:from>
    <xdr:to>
      <xdr:col>51</xdr:col>
      <xdr:colOff>375557</xdr:colOff>
      <xdr:row>26</xdr:row>
      <xdr:rowOff>162379</xdr:rowOff>
    </xdr:to>
    <xdr:graphicFrame macro="">
      <xdr:nvGraphicFramePr>
        <xdr:cNvPr id="16" name="圖表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37</xdr:col>
      <xdr:colOff>88446</xdr:colOff>
      <xdr:row>0</xdr:row>
      <xdr:rowOff>285750</xdr:rowOff>
    </xdr:from>
    <xdr:to>
      <xdr:col>39</xdr:col>
      <xdr:colOff>981075</xdr:colOff>
      <xdr:row>18</xdr:row>
      <xdr:rowOff>145864</xdr:rowOff>
    </xdr:to>
    <xdr:graphicFrame macro="">
      <xdr:nvGraphicFramePr>
        <xdr:cNvPr id="2" name="圖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37</xdr:col>
      <xdr:colOff>88446</xdr:colOff>
      <xdr:row>20</xdr:row>
      <xdr:rowOff>198664</xdr:rowOff>
    </xdr:from>
    <xdr:to>
      <xdr:col>39</xdr:col>
      <xdr:colOff>272414</xdr:colOff>
      <xdr:row>36</xdr:row>
      <xdr:rowOff>140156</xdr:rowOff>
    </xdr:to>
    <xdr:graphicFrame macro="">
      <xdr:nvGraphicFramePr>
        <xdr:cNvPr id="32" name="圖表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29</xdr:col>
      <xdr:colOff>1353911</xdr:colOff>
      <xdr:row>29</xdr:row>
      <xdr:rowOff>108856</xdr:rowOff>
    </xdr:from>
    <xdr:to>
      <xdr:col>51</xdr:col>
      <xdr:colOff>375557</xdr:colOff>
      <xdr:row>40</xdr:row>
      <xdr:rowOff>48078</xdr:rowOff>
    </xdr:to>
    <xdr:graphicFrame macro="">
      <xdr:nvGraphicFramePr>
        <xdr:cNvPr id="3" name="圖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27</xdr:col>
      <xdr:colOff>55619</xdr:colOff>
      <xdr:row>36</xdr:row>
      <xdr:rowOff>116510</xdr:rowOff>
    </xdr:from>
    <xdr:to>
      <xdr:col>29</xdr:col>
      <xdr:colOff>1301251</xdr:colOff>
      <xdr:row>48</xdr:row>
      <xdr:rowOff>79602</xdr:rowOff>
    </xdr:to>
    <xdr:graphicFrame macro="">
      <xdr:nvGraphicFramePr>
        <xdr:cNvPr id="6" name="圖表 5" hidden="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27</xdr:col>
      <xdr:colOff>22860</xdr:colOff>
      <xdr:row>22</xdr:row>
      <xdr:rowOff>25033</xdr:rowOff>
    </xdr:from>
    <xdr:to>
      <xdr:col>29</xdr:col>
      <xdr:colOff>1432558</xdr:colOff>
      <xdr:row>35</xdr:row>
      <xdr:rowOff>253633</xdr:rowOff>
    </xdr:to>
    <xdr:pic>
      <xdr:nvPicPr>
        <xdr:cNvPr id="5" name="圖片 4"/>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xmlns="" val="0"/>
            </a:ext>
          </a:extLst>
        </a:blip>
        <a:stretch>
          <a:fillRect/>
        </a:stretch>
      </xdr:blipFill>
      <xdr:spPr>
        <a:xfrm>
          <a:off x="16416746" y="5010690"/>
          <a:ext cx="4397826" cy="2873828"/>
        </a:xfrm>
        <a:prstGeom prst="rect">
          <a:avLst/>
        </a:prstGeom>
      </xdr:spPr>
    </xdr:pic>
    <xdr:clientData/>
  </xdr:twoCellAnchor>
  <xdr:twoCellAnchor>
    <xdr:from>
      <xdr:col>12</xdr:col>
      <xdr:colOff>10889</xdr:colOff>
      <xdr:row>1</xdr:row>
      <xdr:rowOff>21772</xdr:rowOff>
    </xdr:from>
    <xdr:to>
      <xdr:col>29</xdr:col>
      <xdr:colOff>1382487</xdr:colOff>
      <xdr:row>18</xdr:row>
      <xdr:rowOff>21771</xdr:rowOff>
    </xdr:to>
    <xdr:graphicFrame macro="">
      <xdr:nvGraphicFramePr>
        <xdr:cNvPr id="38" name="圖表 37" hidden="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14</xdr:col>
      <xdr:colOff>32658</xdr:colOff>
      <xdr:row>18</xdr:row>
      <xdr:rowOff>21771</xdr:rowOff>
    </xdr:from>
    <xdr:to>
      <xdr:col>29</xdr:col>
      <xdr:colOff>1415143</xdr:colOff>
      <xdr:row>36</xdr:row>
      <xdr:rowOff>43543</xdr:rowOff>
    </xdr:to>
    <xdr:graphicFrame macro="">
      <xdr:nvGraphicFramePr>
        <xdr:cNvPr id="40" name="圖表 39" hidden="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23</xdr:row>
      <xdr:rowOff>200025</xdr:rowOff>
    </xdr:from>
    <xdr:to>
      <xdr:col>8</xdr:col>
      <xdr:colOff>47626</xdr:colOff>
      <xdr:row>34</xdr:row>
      <xdr:rowOff>95251</xdr:rowOff>
    </xdr:to>
    <xdr:graphicFrame macro="">
      <xdr:nvGraphicFramePr>
        <xdr:cNvPr id="2" name="圖表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57150</xdr:colOff>
      <xdr:row>1</xdr:row>
      <xdr:rowOff>76200</xdr:rowOff>
    </xdr:from>
    <xdr:to>
      <xdr:col>15</xdr:col>
      <xdr:colOff>647700</xdr:colOff>
      <xdr:row>12</xdr:row>
      <xdr:rowOff>95250</xdr:rowOff>
    </xdr:to>
    <xdr:graphicFrame macro="">
      <xdr:nvGraphicFramePr>
        <xdr:cNvPr id="3" name="圖表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38100</xdr:colOff>
      <xdr:row>12</xdr:row>
      <xdr:rowOff>171451</xdr:rowOff>
    </xdr:from>
    <xdr:to>
      <xdr:col>15</xdr:col>
      <xdr:colOff>647700</xdr:colOff>
      <xdr:row>23</xdr:row>
      <xdr:rowOff>104775</xdr:rowOff>
    </xdr:to>
    <xdr:graphicFrame macro="">
      <xdr:nvGraphicFramePr>
        <xdr:cNvPr id="4" name="圖表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19049</xdr:colOff>
      <xdr:row>12</xdr:row>
      <xdr:rowOff>200025</xdr:rowOff>
    </xdr:from>
    <xdr:to>
      <xdr:col>9</xdr:col>
      <xdr:colOff>0</xdr:colOff>
      <xdr:row>23</xdr:row>
      <xdr:rowOff>95250</xdr:rowOff>
    </xdr:to>
    <xdr:graphicFrame macro="">
      <xdr:nvGraphicFramePr>
        <xdr:cNvPr id="5" name="圖表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47625</xdr:colOff>
      <xdr:row>23</xdr:row>
      <xdr:rowOff>190500</xdr:rowOff>
    </xdr:from>
    <xdr:to>
      <xdr:col>15</xdr:col>
      <xdr:colOff>666750</xdr:colOff>
      <xdr:row>34</xdr:row>
      <xdr:rowOff>152400</xdr:rowOff>
    </xdr:to>
    <xdr:graphicFrame macro="">
      <xdr:nvGraphicFramePr>
        <xdr:cNvPr id="6" name="圖表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38100</xdr:colOff>
      <xdr:row>1</xdr:row>
      <xdr:rowOff>85724</xdr:rowOff>
    </xdr:from>
    <xdr:to>
      <xdr:col>8</xdr:col>
      <xdr:colOff>76200</xdr:colOff>
      <xdr:row>12</xdr:row>
      <xdr:rowOff>104775</xdr:rowOff>
    </xdr:to>
    <xdr:graphicFrame macro="">
      <xdr:nvGraphicFramePr>
        <xdr:cNvPr id="8" name="圖表 7" descr="&#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16</xdr:col>
      <xdr:colOff>190500</xdr:colOff>
      <xdr:row>1</xdr:row>
      <xdr:rowOff>50800</xdr:rowOff>
    </xdr:from>
    <xdr:to>
      <xdr:col>24</xdr:col>
      <xdr:colOff>355600</xdr:colOff>
      <xdr:row>16</xdr:row>
      <xdr:rowOff>80433</xdr:rowOff>
    </xdr:to>
    <xdr:graphicFrame macro="">
      <xdr:nvGraphicFramePr>
        <xdr:cNvPr id="2" name="圖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外部資料_1790" backgroundRefresh="0" growShrinkType="overwriteClear" preserveFormatting="0" adjustColumnWidth="0" connectionId="141"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外部資料_1795" backgroundRefresh="0" growShrinkType="overwriteClear" preserveFormatting="0" adjustColumnWidth="0" connectionId="14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外部資料_1798" backgroundRefresh="0" growShrinkType="overwriteClear" preserveFormatting="0" adjustColumnWidth="0" connectionId="15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外部資料_1794" backgroundRefresh="0" growShrinkType="overwriteClear" preserveFormatting="0" adjustColumnWidth="0" connectionId="147"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外部資料_1789" backgroundRefresh="0" growShrinkType="overwriteClear" preserveFormatting="0" adjustColumnWidth="0" connectionId="140"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外部資料_1797" backgroundRefresh="0" growShrinkType="overwriteClear" preserveFormatting="0" adjustColumnWidth="0" connectionId="151"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外部資料_1785" backgroundRefresh="0" growShrinkType="overwriteClear" preserveFormatting="0" adjustColumnWidth="0" connectionId="433"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外部資料_1788" backgroundRefresh="0" growShrinkType="overwriteClear" preserveFormatting="0" adjustColumnWidth="0" connectionId="139"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外部資料_1793" backgroundRefresh="0" growShrinkType="overwriteClear" preserveFormatting="0" adjustColumnWidth="0" connectionId="145"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外部資料_920" backgroundRefresh="0" growShrinkType="overwriteClear" preserveFormatting="0" adjustColumnWidth="0" connectionId="432"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外部資料_1796" backgroundRefresh="0" growShrinkType="overwriteClear" preserveFormatting="0" adjustColumnWidth="0" connectionId="150"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外部資料_1787" backgroundRefresh="0" growShrinkType="overwriteClear" preserveFormatting="0" adjustColumnWidth="0" connectionId="138"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外部資料_1792" backgroundRefresh="0" growShrinkType="overwriteClear" preserveFormatting="0" adjustColumnWidth="0" connectionId="143"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外部資料_903" backgroundRefresh="0" growShrinkType="overwriteClear" preserveFormatting="0" adjustColumnWidth="0" connectionId="430"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外部資料_1791" backgroundRefresh="0" growShrinkType="overwriteClear" preserveFormatting="0" adjustColumnWidth="0" connectionId="142"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外部資料_1786" backgroundRefresh="0" growShrinkType="overwriteClear" preserveFormatting="0" adjustColumnWidth="0" connectionId="131"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外部資料_1799" backgroundRefresh="0" growShrinkType="overwriteClear" preserveFormatting="0" adjustColumnWidth="0" connectionId="154"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外部資料_43" headers="0" growShrinkType="overwriteClear" adjustColumnWidth="0" connectionId="425"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外部資料_31" headers="0" growShrinkType="overwriteClear" adjustColumnWidth="0" connectionId="660"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外部資料_45" headers="0" growShrinkType="overwriteClear" fillFormulas="1" adjustColumnWidth="0" connectionId="429"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外部資料_27" headers="0" growShrinkType="overwriteClear" adjustColumnWidth="0" connectionId="458"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外部資料_44" growShrinkType="overwriteClear" adjustColumnWidth="0" connectionId="428"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外部資料_29" headers="0" growShrinkType="overwriteClear" fillFormulas="1" connectionId="156"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外部資料_28" headers="0" growShrinkType="overwriteClear" fillFormulas="1" connectionId="155" autoFormatId="16" applyNumberFormats="0" applyBorderFormats="0" applyFontFormats="1" applyPatternFormats="1" applyAlignmentFormats="0" applyWidthHeightFormats="0"/>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6.xml"/><Relationship Id="rId13" Type="http://schemas.openxmlformats.org/officeDocument/2006/relationships/control" Target="../activeX/activeX11.xml"/><Relationship Id="rId18" Type="http://schemas.openxmlformats.org/officeDocument/2006/relationships/control" Target="../activeX/activeX16.xml"/><Relationship Id="rId26" Type="http://schemas.openxmlformats.org/officeDocument/2006/relationships/queryTable" Target="../queryTables/queryTable6.xml"/><Relationship Id="rId3" Type="http://schemas.openxmlformats.org/officeDocument/2006/relationships/control" Target="../activeX/activeX1.xml"/><Relationship Id="rId21" Type="http://schemas.openxmlformats.org/officeDocument/2006/relationships/queryTable" Target="../queryTables/queryTable1.xml"/><Relationship Id="rId34" Type="http://schemas.openxmlformats.org/officeDocument/2006/relationships/queryTable" Target="../queryTables/queryTable14.xml"/><Relationship Id="rId7" Type="http://schemas.openxmlformats.org/officeDocument/2006/relationships/control" Target="../activeX/activeX5.xml"/><Relationship Id="rId12" Type="http://schemas.openxmlformats.org/officeDocument/2006/relationships/control" Target="../activeX/activeX10.xml"/><Relationship Id="rId17" Type="http://schemas.openxmlformats.org/officeDocument/2006/relationships/control" Target="../activeX/activeX15.xml"/><Relationship Id="rId25" Type="http://schemas.openxmlformats.org/officeDocument/2006/relationships/queryTable" Target="../queryTables/queryTable5.xml"/><Relationship Id="rId33" Type="http://schemas.openxmlformats.org/officeDocument/2006/relationships/queryTable" Target="../queryTables/queryTable13.xml"/><Relationship Id="rId38" Type="http://schemas.openxmlformats.org/officeDocument/2006/relationships/comments" Target="../comments1.xml"/><Relationship Id="rId2" Type="http://schemas.openxmlformats.org/officeDocument/2006/relationships/vmlDrawing" Target="../drawings/vmlDrawing1.vml"/><Relationship Id="rId16" Type="http://schemas.openxmlformats.org/officeDocument/2006/relationships/control" Target="../activeX/activeX14.xml"/><Relationship Id="rId20" Type="http://schemas.openxmlformats.org/officeDocument/2006/relationships/control" Target="../activeX/activeX18.xml"/><Relationship Id="rId29" Type="http://schemas.openxmlformats.org/officeDocument/2006/relationships/queryTable" Target="../queryTables/queryTable9.xml"/><Relationship Id="rId1" Type="http://schemas.openxmlformats.org/officeDocument/2006/relationships/printerSettings" Target="../printerSettings/printerSettings1.bin"/><Relationship Id="rId6" Type="http://schemas.openxmlformats.org/officeDocument/2006/relationships/control" Target="../activeX/activeX4.xml"/><Relationship Id="rId11" Type="http://schemas.openxmlformats.org/officeDocument/2006/relationships/control" Target="../activeX/activeX9.xml"/><Relationship Id="rId24" Type="http://schemas.openxmlformats.org/officeDocument/2006/relationships/queryTable" Target="../queryTables/queryTable4.xml"/><Relationship Id="rId32" Type="http://schemas.openxmlformats.org/officeDocument/2006/relationships/queryTable" Target="../queryTables/queryTable12.xml"/><Relationship Id="rId37" Type="http://schemas.openxmlformats.org/officeDocument/2006/relationships/queryTable" Target="../queryTables/queryTable17.xml"/><Relationship Id="rId5" Type="http://schemas.openxmlformats.org/officeDocument/2006/relationships/control" Target="../activeX/activeX3.xml"/><Relationship Id="rId15" Type="http://schemas.openxmlformats.org/officeDocument/2006/relationships/control" Target="../activeX/activeX13.xml"/><Relationship Id="rId23" Type="http://schemas.openxmlformats.org/officeDocument/2006/relationships/queryTable" Target="../queryTables/queryTable3.xml"/><Relationship Id="rId28" Type="http://schemas.openxmlformats.org/officeDocument/2006/relationships/queryTable" Target="../queryTables/queryTable8.xml"/><Relationship Id="rId36" Type="http://schemas.openxmlformats.org/officeDocument/2006/relationships/queryTable" Target="../queryTables/queryTable16.xml"/><Relationship Id="rId10" Type="http://schemas.openxmlformats.org/officeDocument/2006/relationships/control" Target="../activeX/activeX8.xml"/><Relationship Id="rId19" Type="http://schemas.openxmlformats.org/officeDocument/2006/relationships/control" Target="../activeX/activeX17.xml"/><Relationship Id="rId31" Type="http://schemas.openxmlformats.org/officeDocument/2006/relationships/queryTable" Target="../queryTables/queryTable11.xml"/><Relationship Id="rId4" Type="http://schemas.openxmlformats.org/officeDocument/2006/relationships/control" Target="../activeX/activeX2.xml"/><Relationship Id="rId9" Type="http://schemas.openxmlformats.org/officeDocument/2006/relationships/control" Target="../activeX/activeX7.xml"/><Relationship Id="rId14" Type="http://schemas.openxmlformats.org/officeDocument/2006/relationships/control" Target="../activeX/activeX12.xml"/><Relationship Id="rId22" Type="http://schemas.openxmlformats.org/officeDocument/2006/relationships/queryTable" Target="../queryTables/queryTable2.xml"/><Relationship Id="rId27" Type="http://schemas.openxmlformats.org/officeDocument/2006/relationships/queryTable" Target="../queryTables/queryTable7.xml"/><Relationship Id="rId30" Type="http://schemas.openxmlformats.org/officeDocument/2006/relationships/queryTable" Target="../queryTables/queryTable10.xml"/><Relationship Id="rId35" Type="http://schemas.openxmlformats.org/officeDocument/2006/relationships/queryTable" Target="../queryTables/queryTable15.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24.xml"/><Relationship Id="rId3" Type="http://schemas.openxmlformats.org/officeDocument/2006/relationships/control" Target="../activeX/activeX19.xml"/><Relationship Id="rId7" Type="http://schemas.openxmlformats.org/officeDocument/2006/relationships/control" Target="../activeX/activeX23.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6" Type="http://schemas.openxmlformats.org/officeDocument/2006/relationships/control" Target="../activeX/activeX22.xml"/><Relationship Id="rId5" Type="http://schemas.openxmlformats.org/officeDocument/2006/relationships/control" Target="../activeX/activeX21.xml"/><Relationship Id="rId4" Type="http://schemas.openxmlformats.org/officeDocument/2006/relationships/control" Target="../activeX/activeX20.xml"/></Relationships>
</file>

<file path=xl/worksheets/_rels/sheet3.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ontrol" Target="../activeX/activeX28.xml"/><Relationship Id="rId18" Type="http://schemas.openxmlformats.org/officeDocument/2006/relationships/control" Target="../activeX/activeX33.xml"/><Relationship Id="rId26" Type="http://schemas.openxmlformats.org/officeDocument/2006/relationships/control" Target="../activeX/activeX41.xml"/><Relationship Id="rId3" Type="http://schemas.openxmlformats.org/officeDocument/2006/relationships/hyperlink" Target="https://tw.stock.yahoo.com/pf/pfsel?stocklist=1582;" TargetMode="External"/><Relationship Id="rId21" Type="http://schemas.openxmlformats.org/officeDocument/2006/relationships/control" Target="../activeX/activeX36.xml"/><Relationship Id="rId34" Type="http://schemas.openxmlformats.org/officeDocument/2006/relationships/queryTable" Target="../queryTables/queryTable22.xml"/><Relationship Id="rId7" Type="http://schemas.openxmlformats.org/officeDocument/2006/relationships/printerSettings" Target="../printerSettings/printerSettings3.bin"/><Relationship Id="rId12" Type="http://schemas.openxmlformats.org/officeDocument/2006/relationships/control" Target="../activeX/activeX27.xml"/><Relationship Id="rId17" Type="http://schemas.openxmlformats.org/officeDocument/2006/relationships/control" Target="../activeX/activeX32.xml"/><Relationship Id="rId25" Type="http://schemas.openxmlformats.org/officeDocument/2006/relationships/control" Target="../activeX/activeX40.xml"/><Relationship Id="rId33" Type="http://schemas.openxmlformats.org/officeDocument/2006/relationships/queryTable" Target="../queryTables/queryTable21.xml"/><Relationship Id="rId2" Type="http://schemas.openxmlformats.org/officeDocument/2006/relationships/hyperlink" Target="https://tw.stock.yahoo.com/pf/pfsel?stocklist=1582;" TargetMode="External"/><Relationship Id="rId16" Type="http://schemas.openxmlformats.org/officeDocument/2006/relationships/control" Target="../activeX/activeX31.xml"/><Relationship Id="rId20" Type="http://schemas.openxmlformats.org/officeDocument/2006/relationships/control" Target="../activeX/activeX35.xml"/><Relationship Id="rId29" Type="http://schemas.openxmlformats.org/officeDocument/2006/relationships/control" Target="../activeX/activeX44.xml"/><Relationship Id="rId1" Type="http://schemas.openxmlformats.org/officeDocument/2006/relationships/hyperlink" Target="https://tw.stock.yahoo.com/q/bc?s=1582" TargetMode="External"/><Relationship Id="rId6" Type="http://schemas.openxmlformats.org/officeDocument/2006/relationships/hyperlink" Target="javascript:%20CheckP(document.orderform,%20'Z',%20'/fcgi-bin/orderpage.fcg');" TargetMode="External"/><Relationship Id="rId11" Type="http://schemas.openxmlformats.org/officeDocument/2006/relationships/control" Target="../activeX/activeX26.xml"/><Relationship Id="rId24" Type="http://schemas.openxmlformats.org/officeDocument/2006/relationships/control" Target="../activeX/activeX39.xml"/><Relationship Id="rId32" Type="http://schemas.openxmlformats.org/officeDocument/2006/relationships/queryTable" Target="../queryTables/queryTable20.xml"/><Relationship Id="rId5" Type="http://schemas.openxmlformats.org/officeDocument/2006/relationships/hyperlink" Target="https://tw.rd.yahoo.com/referurl/stock/other/SIG=125v47s73/**https:/tw.screener.finance.yahoo.net/screener/check.html?symid=1582" TargetMode="External"/><Relationship Id="rId15" Type="http://schemas.openxmlformats.org/officeDocument/2006/relationships/control" Target="../activeX/activeX30.xml"/><Relationship Id="rId23" Type="http://schemas.openxmlformats.org/officeDocument/2006/relationships/control" Target="../activeX/activeX38.xml"/><Relationship Id="rId28" Type="http://schemas.openxmlformats.org/officeDocument/2006/relationships/control" Target="../activeX/activeX43.xml"/><Relationship Id="rId10" Type="http://schemas.openxmlformats.org/officeDocument/2006/relationships/control" Target="../activeX/activeX25.xml"/><Relationship Id="rId19" Type="http://schemas.openxmlformats.org/officeDocument/2006/relationships/control" Target="../activeX/activeX34.xml"/><Relationship Id="rId31" Type="http://schemas.openxmlformats.org/officeDocument/2006/relationships/queryTable" Target="../queryTables/queryTable19.xml"/><Relationship Id="rId4" Type="http://schemas.openxmlformats.org/officeDocument/2006/relationships/hyperlink" Target="https://tw.stock.yahoo.com/q/ts?s=1582" TargetMode="External"/><Relationship Id="rId9" Type="http://schemas.openxmlformats.org/officeDocument/2006/relationships/vmlDrawing" Target="../drawings/vmlDrawing3.vml"/><Relationship Id="rId14" Type="http://schemas.openxmlformats.org/officeDocument/2006/relationships/control" Target="../activeX/activeX29.xml"/><Relationship Id="rId22" Type="http://schemas.openxmlformats.org/officeDocument/2006/relationships/control" Target="../activeX/activeX37.xml"/><Relationship Id="rId27" Type="http://schemas.openxmlformats.org/officeDocument/2006/relationships/control" Target="../activeX/activeX42.xml"/><Relationship Id="rId30" Type="http://schemas.openxmlformats.org/officeDocument/2006/relationships/queryTable" Target="../queryTables/queryTable18.xml"/><Relationship Id="rId35" Type="http://schemas.openxmlformats.org/officeDocument/2006/relationships/comments" Target="../comments2.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4.vml"/><Relationship Id="rId7" Type="http://schemas.openxmlformats.org/officeDocument/2006/relationships/control" Target="../activeX/activeX48.xml"/><Relationship Id="rId12" Type="http://schemas.openxmlformats.org/officeDocument/2006/relationships/control" Target="../activeX/activeX53.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ntrol" Target="../activeX/activeX47.xml"/><Relationship Id="rId11" Type="http://schemas.openxmlformats.org/officeDocument/2006/relationships/control" Target="../activeX/activeX52.xml"/><Relationship Id="rId5" Type="http://schemas.openxmlformats.org/officeDocument/2006/relationships/control" Target="../activeX/activeX46.xml"/><Relationship Id="rId10" Type="http://schemas.openxmlformats.org/officeDocument/2006/relationships/control" Target="../activeX/activeX51.xml"/><Relationship Id="rId4" Type="http://schemas.openxmlformats.org/officeDocument/2006/relationships/control" Target="../activeX/activeX45.xml"/><Relationship Id="rId9" Type="http://schemas.openxmlformats.org/officeDocument/2006/relationships/control" Target="../activeX/activeX50.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59.xml"/><Relationship Id="rId13" Type="http://schemas.openxmlformats.org/officeDocument/2006/relationships/comments" Target="../comments3.xml"/><Relationship Id="rId3" Type="http://schemas.openxmlformats.org/officeDocument/2006/relationships/control" Target="../activeX/activeX54.xml"/><Relationship Id="rId7" Type="http://schemas.openxmlformats.org/officeDocument/2006/relationships/control" Target="../activeX/activeX58.xml"/><Relationship Id="rId12" Type="http://schemas.openxmlformats.org/officeDocument/2006/relationships/control" Target="../activeX/activeX63.x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6" Type="http://schemas.openxmlformats.org/officeDocument/2006/relationships/control" Target="../activeX/activeX57.xml"/><Relationship Id="rId11" Type="http://schemas.openxmlformats.org/officeDocument/2006/relationships/control" Target="../activeX/activeX62.xml"/><Relationship Id="rId5" Type="http://schemas.openxmlformats.org/officeDocument/2006/relationships/control" Target="../activeX/activeX56.xml"/><Relationship Id="rId10" Type="http://schemas.openxmlformats.org/officeDocument/2006/relationships/control" Target="../activeX/activeX61.xml"/><Relationship Id="rId4" Type="http://schemas.openxmlformats.org/officeDocument/2006/relationships/control" Target="../activeX/activeX55.xml"/><Relationship Id="rId9" Type="http://schemas.openxmlformats.org/officeDocument/2006/relationships/control" Target="../activeX/activeX60.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69.xml"/><Relationship Id="rId13" Type="http://schemas.openxmlformats.org/officeDocument/2006/relationships/queryTable" Target="../queryTables/queryTable23.xml"/><Relationship Id="rId3" Type="http://schemas.openxmlformats.org/officeDocument/2006/relationships/control" Target="../activeX/activeX64.xml"/><Relationship Id="rId7" Type="http://schemas.openxmlformats.org/officeDocument/2006/relationships/control" Target="../activeX/activeX68.xml"/><Relationship Id="rId12" Type="http://schemas.openxmlformats.org/officeDocument/2006/relationships/control" Target="../activeX/activeX73.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6" Type="http://schemas.openxmlformats.org/officeDocument/2006/relationships/control" Target="../activeX/activeX67.xml"/><Relationship Id="rId11" Type="http://schemas.openxmlformats.org/officeDocument/2006/relationships/control" Target="../activeX/activeX72.xml"/><Relationship Id="rId5" Type="http://schemas.openxmlformats.org/officeDocument/2006/relationships/control" Target="../activeX/activeX66.xml"/><Relationship Id="rId10" Type="http://schemas.openxmlformats.org/officeDocument/2006/relationships/control" Target="../activeX/activeX71.xml"/><Relationship Id="rId4" Type="http://schemas.openxmlformats.org/officeDocument/2006/relationships/control" Target="../activeX/activeX65.xml"/><Relationship Id="rId9" Type="http://schemas.openxmlformats.org/officeDocument/2006/relationships/control" Target="../activeX/activeX70.xml"/><Relationship Id="rId14" Type="http://schemas.openxmlformats.org/officeDocument/2006/relationships/queryTable" Target="../queryTables/queryTable2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7.bin"/><Relationship Id="rId6" Type="http://schemas.openxmlformats.org/officeDocument/2006/relationships/control" Target="../activeX/activeX76.xml"/><Relationship Id="rId5" Type="http://schemas.openxmlformats.org/officeDocument/2006/relationships/control" Target="../activeX/activeX75.xml"/><Relationship Id="rId4" Type="http://schemas.openxmlformats.org/officeDocument/2006/relationships/control" Target="../activeX/activeX74.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83.xml"/><Relationship Id="rId3" Type="http://schemas.openxmlformats.org/officeDocument/2006/relationships/control" Target="../activeX/activeX78.xml"/><Relationship Id="rId7" Type="http://schemas.openxmlformats.org/officeDocument/2006/relationships/control" Target="../activeX/activeX82.xml"/><Relationship Id="rId2" Type="http://schemas.openxmlformats.org/officeDocument/2006/relationships/control" Target="../activeX/activeX77.xml"/><Relationship Id="rId1" Type="http://schemas.openxmlformats.org/officeDocument/2006/relationships/vmlDrawing" Target="../drawings/vmlDrawing8.vml"/><Relationship Id="rId6" Type="http://schemas.openxmlformats.org/officeDocument/2006/relationships/control" Target="../activeX/activeX81.xml"/><Relationship Id="rId5" Type="http://schemas.openxmlformats.org/officeDocument/2006/relationships/control" Target="../activeX/activeX80.xml"/><Relationship Id="rId4" Type="http://schemas.openxmlformats.org/officeDocument/2006/relationships/control" Target="../activeX/activeX79.xml"/><Relationship Id="rId9" Type="http://schemas.openxmlformats.org/officeDocument/2006/relationships/control" Target="../activeX/activeX84.xml"/></Relationships>
</file>

<file path=xl/worksheets/_rels/sheet9.xml.rels><?xml version="1.0" encoding="UTF-8" standalone="yes"?>
<Relationships xmlns="http://schemas.openxmlformats.org/package/2006/relationships"><Relationship Id="rId2" Type="http://schemas.openxmlformats.org/officeDocument/2006/relationships/control" Target="../activeX/activeX85.xml"/><Relationship Id="rId1" Type="http://schemas.openxmlformats.org/officeDocument/2006/relationships/vmlDrawing" Target="../drawings/vmlDrawing9.vml"/></Relationships>
</file>

<file path=xl/worksheets/_rels/sheet11.xml.rels><?xml version="1.0" encoding="UTF-8" standalone="yes"?>
<Relationships xmlns="http://schemas.openxmlformats.org/package/2006/relationships"><Relationship Id="rId3" Type="http://schemas.openxmlformats.org/officeDocument/2006/relationships/control" Target="../activeX/activeX86.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hyperlink" Target="http://mops.twse.com.tw/server-java/t39sb01" TargetMode="Externa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sheetPr codeName="A設定"/>
  <dimension ref="A1:AZ1546"/>
  <sheetViews>
    <sheetView zoomScaleNormal="100" workbookViewId="0">
      <pane xSplit="13" ySplit="7" topLeftCell="N8" activePane="bottomRight" state="frozen"/>
      <selection pane="topRight" activeCell="N1" sqref="N1"/>
      <selection pane="bottomLeft" activeCell="A8" sqref="A8"/>
      <selection pane="bottomRight" activeCell="F18" sqref="F18"/>
    </sheetView>
  </sheetViews>
  <sheetFormatPr defaultColWidth="15.625" defaultRowHeight="19.5"/>
  <cols>
    <col min="1" max="1" width="12.5" style="95" customWidth="1"/>
    <col min="2" max="2" width="18.875" style="84" customWidth="1"/>
    <col min="3" max="3" width="16.5" style="84" customWidth="1"/>
    <col min="4" max="4" width="2.375" style="355" customWidth="1"/>
    <col min="5" max="5" width="8.625" style="144" bestFit="1" customWidth="1"/>
    <col min="6" max="6" width="15.625" style="132" customWidth="1"/>
    <col min="7" max="7" width="16.25" style="150" customWidth="1"/>
    <col min="8" max="10" width="12.25" style="132" customWidth="1"/>
    <col min="11" max="11" width="12.25" style="84" customWidth="1"/>
    <col min="12" max="12" width="17.25" style="84" bestFit="1" customWidth="1"/>
    <col min="13" max="13" width="7.5" style="106" customWidth="1"/>
    <col min="14" max="14" width="10.5" bestFit="1" customWidth="1"/>
    <col min="15" max="15" width="12.875" bestFit="1" customWidth="1"/>
    <col min="16" max="16" width="6.75" customWidth="1"/>
    <col min="17" max="17" width="8.75" customWidth="1"/>
    <col min="53" max="16384" width="15.625" style="84"/>
  </cols>
  <sheetData>
    <row r="1" spans="1:52" s="93" customFormat="1" ht="33.75" thickBot="1">
      <c r="A1" s="499" t="s">
        <v>1831</v>
      </c>
      <c r="B1" s="500"/>
      <c r="C1" s="501"/>
      <c r="D1" s="347"/>
      <c r="E1" s="158" t="s">
        <v>1864</v>
      </c>
      <c r="F1" s="397" t="s">
        <v>1853</v>
      </c>
      <c r="G1" s="398" t="s">
        <v>1854</v>
      </c>
      <c r="H1" s="502" t="s">
        <v>1869</v>
      </c>
      <c r="I1" s="503"/>
      <c r="J1" s="503"/>
      <c r="K1" s="504"/>
      <c r="L1" s="398" t="s">
        <v>3157</v>
      </c>
      <c r="M1" s="432" t="s">
        <v>3159</v>
      </c>
      <c r="N1" s="432" t="s">
        <v>3158</v>
      </c>
      <c r="O1" t="s">
        <v>3258</v>
      </c>
      <c r="P1"/>
      <c r="Q1" s="19" t="s">
        <v>3259</v>
      </c>
      <c r="R1" s="19" t="s">
        <v>3260</v>
      </c>
      <c r="S1" s="19" t="s">
        <v>3261</v>
      </c>
      <c r="T1" s="19" t="s">
        <v>3262</v>
      </c>
      <c r="U1" s="19" t="s">
        <v>3263</v>
      </c>
      <c r="V1" s="19" t="s">
        <v>3259</v>
      </c>
      <c r="W1" s="19" t="s">
        <v>3260</v>
      </c>
      <c r="X1" s="19" t="s">
        <v>3261</v>
      </c>
      <c r="Y1" s="19" t="s">
        <v>3262</v>
      </c>
      <c r="Z1" s="19" t="s">
        <v>3263</v>
      </c>
      <c r="AA1" s="19" t="s">
        <v>3259</v>
      </c>
      <c r="AB1" s="19" t="s">
        <v>3260</v>
      </c>
      <c r="AC1" s="19" t="s">
        <v>3261</v>
      </c>
      <c r="AD1" s="19" t="s">
        <v>3262</v>
      </c>
      <c r="AE1" s="19" t="s">
        <v>3263</v>
      </c>
      <c r="AF1"/>
      <c r="AG1"/>
      <c r="AH1"/>
      <c r="AI1"/>
      <c r="AJ1"/>
      <c r="AK1"/>
      <c r="AL1"/>
      <c r="AM1"/>
      <c r="AN1"/>
      <c r="AO1"/>
      <c r="AP1"/>
      <c r="AQ1"/>
      <c r="AR1"/>
      <c r="AS1"/>
      <c r="AT1"/>
      <c r="AU1"/>
      <c r="AV1"/>
      <c r="AW1"/>
      <c r="AX1"/>
      <c r="AY1"/>
      <c r="AZ1"/>
    </row>
    <row r="2" spans="1:52" ht="19.899999999999999" customHeight="1">
      <c r="A2" s="408" t="s">
        <v>1819</v>
      </c>
      <c r="B2" s="409">
        <f ca="1">TODAY()</f>
        <v>42668</v>
      </c>
      <c r="C2" s="410">
        <f ca="1">B2-WEEKDAY(TODAY())-1</f>
        <v>42664</v>
      </c>
      <c r="D2" s="348"/>
      <c r="E2" s="496" t="s">
        <v>3135</v>
      </c>
      <c r="F2" s="152" t="s">
        <v>3140</v>
      </c>
      <c r="G2" s="400" t="s">
        <v>3138</v>
      </c>
      <c r="H2" s="484" t="s">
        <v>1830</v>
      </c>
      <c r="I2" s="485"/>
      <c r="J2" s="485"/>
      <c r="K2" s="486"/>
      <c r="L2" s="429">
        <v>42668</v>
      </c>
      <c r="M2" s="106">
        <v>1101</v>
      </c>
      <c r="Q2" s="19">
        <v>1</v>
      </c>
      <c r="R2" s="19" t="s">
        <v>3264</v>
      </c>
      <c r="S2" s="210">
        <v>2207</v>
      </c>
      <c r="T2" s="210">
        <v>616900</v>
      </c>
      <c r="U2" s="19">
        <v>0.16</v>
      </c>
      <c r="V2" s="19">
        <v>1</v>
      </c>
      <c r="W2" s="19" t="s">
        <v>3264</v>
      </c>
      <c r="X2" s="210">
        <v>2206</v>
      </c>
      <c r="Y2" s="210">
        <v>617023</v>
      </c>
      <c r="Z2" s="19">
        <v>0.16</v>
      </c>
      <c r="AA2" s="19">
        <v>1</v>
      </c>
      <c r="AB2" s="19" t="s">
        <v>3264</v>
      </c>
      <c r="AC2" s="210">
        <v>4189</v>
      </c>
      <c r="AD2" s="210">
        <v>613576</v>
      </c>
      <c r="AE2" s="19">
        <v>0.15</v>
      </c>
    </row>
    <row r="3" spans="1:52" ht="19.899999999999999" customHeight="1">
      <c r="A3" s="140" t="s">
        <v>1820</v>
      </c>
      <c r="B3" s="139" t="s">
        <v>1738</v>
      </c>
      <c r="C3" s="141">
        <f ca="1">C2-7</f>
        <v>42657</v>
      </c>
      <c r="D3" s="348"/>
      <c r="E3" s="497"/>
      <c r="F3" s="153" t="s">
        <v>3139</v>
      </c>
      <c r="G3" s="401" t="s">
        <v>3254</v>
      </c>
      <c r="H3" s="487" t="s">
        <v>3255</v>
      </c>
      <c r="I3" s="488"/>
      <c r="J3" s="488"/>
      <c r="K3" s="489"/>
      <c r="L3" s="467">
        <v>42668</v>
      </c>
      <c r="M3" s="106">
        <v>1102</v>
      </c>
      <c r="N3" s="213"/>
      <c r="Q3" s="19">
        <v>2</v>
      </c>
      <c r="R3" s="19" t="s">
        <v>3265</v>
      </c>
      <c r="S3" s="210">
        <v>1201</v>
      </c>
      <c r="T3" s="210">
        <v>2866495</v>
      </c>
      <c r="U3" s="19">
        <v>0.75</v>
      </c>
      <c r="V3" s="19">
        <v>2</v>
      </c>
      <c r="W3" s="19" t="s">
        <v>3265</v>
      </c>
      <c r="X3" s="210">
        <v>1192</v>
      </c>
      <c r="Y3" s="210">
        <v>2843354</v>
      </c>
      <c r="Z3" s="19">
        <v>0.75</v>
      </c>
      <c r="AA3" s="19">
        <v>2</v>
      </c>
      <c r="AB3" s="19" t="s">
        <v>3265</v>
      </c>
      <c r="AC3" s="210">
        <v>5474</v>
      </c>
      <c r="AD3" s="210">
        <v>12813196</v>
      </c>
      <c r="AE3" s="19">
        <v>3.16</v>
      </c>
    </row>
    <row r="4" spans="1:52" ht="20.45" customHeight="1" thickBot="1">
      <c r="A4" s="140" t="s">
        <v>1821</v>
      </c>
      <c r="B4" s="139" t="s">
        <v>1736</v>
      </c>
      <c r="C4" s="141">
        <f ca="1">C3-7</f>
        <v>42650</v>
      </c>
      <c r="D4" s="348"/>
      <c r="E4" s="498"/>
      <c r="F4" s="154" t="s">
        <v>3139</v>
      </c>
      <c r="G4" s="402" t="s">
        <v>3136</v>
      </c>
      <c r="H4" s="511" t="s">
        <v>3137</v>
      </c>
      <c r="I4" s="512"/>
      <c r="J4" s="512"/>
      <c r="K4" s="513"/>
      <c r="L4" s="431">
        <v>42668</v>
      </c>
      <c r="M4" s="106">
        <v>1103</v>
      </c>
      <c r="N4" s="213"/>
      <c r="Q4" s="19">
        <v>3</v>
      </c>
      <c r="R4" s="19" t="s">
        <v>3266</v>
      </c>
      <c r="S4" s="19">
        <v>336</v>
      </c>
      <c r="T4" s="210">
        <v>2609458</v>
      </c>
      <c r="U4" s="19">
        <v>0.68</v>
      </c>
      <c r="V4" s="19">
        <v>3</v>
      </c>
      <c r="W4" s="19" t="s">
        <v>3266</v>
      </c>
      <c r="X4" s="19">
        <v>340</v>
      </c>
      <c r="Y4" s="210">
        <v>2637621</v>
      </c>
      <c r="Z4" s="19">
        <v>0.69</v>
      </c>
      <c r="AA4" s="19">
        <v>3</v>
      </c>
      <c r="AB4" s="19" t="s">
        <v>3266</v>
      </c>
      <c r="AC4" s="210">
        <v>1302</v>
      </c>
      <c r="AD4" s="210">
        <v>11141955</v>
      </c>
      <c r="AE4" s="19">
        <v>2.75</v>
      </c>
    </row>
    <row r="5" spans="1:52" ht="19.899999999999999" customHeight="1">
      <c r="A5" s="140" t="s">
        <v>1822</v>
      </c>
      <c r="B5" s="139" t="s">
        <v>1737</v>
      </c>
      <c r="C5" s="141">
        <f ca="1">C4-7</f>
        <v>42643</v>
      </c>
      <c r="D5" s="348"/>
      <c r="E5" s="479" t="s">
        <v>1865</v>
      </c>
      <c r="F5" s="399" t="s">
        <v>3192</v>
      </c>
      <c r="G5" s="403" t="s">
        <v>3193</v>
      </c>
      <c r="H5" s="505" t="s">
        <v>1858</v>
      </c>
      <c r="I5" s="506"/>
      <c r="J5" s="506"/>
      <c r="K5" s="507"/>
      <c r="L5" s="444"/>
      <c r="M5" s="106">
        <v>1104</v>
      </c>
      <c r="N5" s="213"/>
      <c r="Q5" s="19">
        <v>4</v>
      </c>
      <c r="R5" s="19" t="s">
        <v>3267</v>
      </c>
      <c r="S5" s="19">
        <v>108</v>
      </c>
      <c r="T5" s="210">
        <v>1334217</v>
      </c>
      <c r="U5" s="19">
        <v>0.35</v>
      </c>
      <c r="V5" s="19">
        <v>4</v>
      </c>
      <c r="W5" s="19" t="s">
        <v>3267</v>
      </c>
      <c r="X5" s="19">
        <v>104</v>
      </c>
      <c r="Y5" s="210">
        <v>1292717</v>
      </c>
      <c r="Z5" s="19">
        <v>0.34</v>
      </c>
      <c r="AA5" s="19">
        <v>4</v>
      </c>
      <c r="AB5" s="19" t="s">
        <v>3267</v>
      </c>
      <c r="AC5" s="19">
        <v>298</v>
      </c>
      <c r="AD5" s="210">
        <v>3823683</v>
      </c>
      <c r="AE5" s="19">
        <v>0.94</v>
      </c>
    </row>
    <row r="6" spans="1:52" ht="19.899999999999999" customHeight="1">
      <c r="A6" s="140" t="s">
        <v>1823</v>
      </c>
      <c r="B6" s="139" t="s">
        <v>1909</v>
      </c>
      <c r="C6" s="146">
        <v>1.4999999999999999E-2</v>
      </c>
      <c r="D6" s="349"/>
      <c r="E6" s="479"/>
      <c r="F6" s="155" t="s">
        <v>1855</v>
      </c>
      <c r="G6" s="404" t="s">
        <v>3194</v>
      </c>
      <c r="H6" s="514" t="s">
        <v>1861</v>
      </c>
      <c r="I6" s="515"/>
      <c r="J6" s="515"/>
      <c r="K6" s="516"/>
      <c r="L6" s="444"/>
      <c r="M6" s="106">
        <v>1108</v>
      </c>
      <c r="N6" s="213"/>
      <c r="Q6" s="19">
        <v>5</v>
      </c>
      <c r="R6" s="19" t="s">
        <v>3268</v>
      </c>
      <c r="S6" s="19">
        <v>77</v>
      </c>
      <c r="T6" s="210">
        <v>1375517</v>
      </c>
      <c r="U6" s="19">
        <v>0.36</v>
      </c>
      <c r="V6" s="19">
        <v>5</v>
      </c>
      <c r="W6" s="19" t="s">
        <v>3268</v>
      </c>
      <c r="X6" s="19">
        <v>77</v>
      </c>
      <c r="Y6" s="210">
        <v>1376917</v>
      </c>
      <c r="Z6" s="19">
        <v>0.36</v>
      </c>
      <c r="AA6" s="19">
        <v>5</v>
      </c>
      <c r="AB6" s="19" t="s">
        <v>3268</v>
      </c>
      <c r="AC6" s="19">
        <v>325</v>
      </c>
      <c r="AD6" s="210">
        <v>6242806</v>
      </c>
      <c r="AE6" s="19">
        <v>1.54</v>
      </c>
    </row>
    <row r="7" spans="1:52" ht="19.899999999999999" customHeight="1" thickBot="1">
      <c r="A7" s="140" t="s">
        <v>144</v>
      </c>
      <c r="B7" s="407"/>
      <c r="C7" s="411">
        <v>24</v>
      </c>
      <c r="D7" s="350"/>
      <c r="E7" s="480"/>
      <c r="F7" s="156" t="s">
        <v>1856</v>
      </c>
      <c r="G7" s="405" t="s">
        <v>1860</v>
      </c>
      <c r="H7" s="508" t="s">
        <v>1868</v>
      </c>
      <c r="I7" s="509"/>
      <c r="J7" s="509"/>
      <c r="K7" s="510"/>
      <c r="L7" s="430"/>
      <c r="M7" s="106">
        <v>1109</v>
      </c>
      <c r="N7" s="213"/>
      <c r="Q7" s="19">
        <v>6</v>
      </c>
      <c r="R7" s="19" t="s">
        <v>3269</v>
      </c>
      <c r="S7" s="19">
        <v>79</v>
      </c>
      <c r="T7" s="210">
        <v>1999314</v>
      </c>
      <c r="U7" s="19">
        <v>0.52</v>
      </c>
      <c r="V7" s="19">
        <v>6</v>
      </c>
      <c r="W7" s="19" t="s">
        <v>3269</v>
      </c>
      <c r="X7" s="19">
        <v>78</v>
      </c>
      <c r="Y7" s="210">
        <v>1965914</v>
      </c>
      <c r="Z7" s="19">
        <v>0.51</v>
      </c>
      <c r="AA7" s="19">
        <v>6</v>
      </c>
      <c r="AB7" s="19" t="s">
        <v>3269</v>
      </c>
      <c r="AC7" s="19">
        <v>213</v>
      </c>
      <c r="AD7" s="210">
        <v>5754826</v>
      </c>
      <c r="AE7" s="19">
        <v>1.42</v>
      </c>
    </row>
    <row r="8" spans="1:52" ht="20.45" customHeight="1" thickBot="1">
      <c r="A8" s="142"/>
      <c r="B8" s="143"/>
      <c r="C8" s="147"/>
      <c r="D8" s="351"/>
      <c r="E8" s="478" t="s">
        <v>1866</v>
      </c>
      <c r="F8" s="152" t="s">
        <v>1857</v>
      </c>
      <c r="G8" s="400" t="s">
        <v>1860</v>
      </c>
      <c r="H8" s="484" t="s">
        <v>3169</v>
      </c>
      <c r="I8" s="485"/>
      <c r="J8" s="485"/>
      <c r="K8" s="486"/>
      <c r="L8" s="429"/>
      <c r="M8" s="106">
        <v>1110</v>
      </c>
      <c r="N8" s="213"/>
      <c r="Q8" s="19">
        <v>7</v>
      </c>
      <c r="R8" s="19" t="s">
        <v>3270</v>
      </c>
      <c r="S8" s="19">
        <v>33</v>
      </c>
      <c r="T8" s="210">
        <v>1153358</v>
      </c>
      <c r="U8" s="19">
        <v>0.3</v>
      </c>
      <c r="V8" s="19">
        <v>7</v>
      </c>
      <c r="W8" s="19" t="s">
        <v>3270</v>
      </c>
      <c r="X8" s="19">
        <v>32</v>
      </c>
      <c r="Y8" s="210">
        <v>1117540</v>
      </c>
      <c r="Z8" s="19">
        <v>0.28999999999999998</v>
      </c>
      <c r="AA8" s="19">
        <v>7</v>
      </c>
      <c r="AB8" s="19" t="s">
        <v>3270</v>
      </c>
      <c r="AC8" s="19">
        <v>101</v>
      </c>
      <c r="AD8" s="210">
        <v>3751277</v>
      </c>
      <c r="AE8" s="19">
        <v>0.92</v>
      </c>
    </row>
    <row r="9" spans="1:52" ht="22.15" customHeight="1" thickBot="1">
      <c r="A9" s="481" t="s">
        <v>3203</v>
      </c>
      <c r="B9" s="482"/>
      <c r="C9" s="483"/>
      <c r="D9" s="352"/>
      <c r="E9" s="479"/>
      <c r="F9" s="153" t="s">
        <v>3134</v>
      </c>
      <c r="G9" s="401" t="s">
        <v>1860</v>
      </c>
      <c r="H9" s="487" t="s">
        <v>3133</v>
      </c>
      <c r="I9" s="488"/>
      <c r="J9" s="488"/>
      <c r="K9" s="489"/>
      <c r="L9" s="444">
        <v>42668</v>
      </c>
      <c r="M9" s="106">
        <v>1201</v>
      </c>
      <c r="N9" s="213"/>
      <c r="Q9" s="19">
        <v>8</v>
      </c>
      <c r="R9" s="19" t="s">
        <v>3271</v>
      </c>
      <c r="S9" s="19">
        <v>31</v>
      </c>
      <c r="T9" s="210">
        <v>1394953</v>
      </c>
      <c r="U9" s="19">
        <v>0.36</v>
      </c>
      <c r="V9" s="19">
        <v>8</v>
      </c>
      <c r="W9" s="19" t="s">
        <v>3271</v>
      </c>
      <c r="X9" s="19">
        <v>33</v>
      </c>
      <c r="Y9" s="210">
        <v>1473171</v>
      </c>
      <c r="Z9" s="19">
        <v>0.38</v>
      </c>
      <c r="AA9" s="19">
        <v>8</v>
      </c>
      <c r="AB9" s="19" t="s">
        <v>3271</v>
      </c>
      <c r="AC9" s="19">
        <v>96</v>
      </c>
      <c r="AD9" s="210">
        <v>4568408</v>
      </c>
      <c r="AE9" s="19">
        <v>1.1200000000000001</v>
      </c>
    </row>
    <row r="10" spans="1:52" ht="19.899999999999999" customHeight="1">
      <c r="A10" s="392" t="s">
        <v>2316</v>
      </c>
      <c r="B10" s="490" t="s">
        <v>3257</v>
      </c>
      <c r="C10" s="491"/>
      <c r="D10" s="353"/>
      <c r="E10" s="479"/>
      <c r="F10" s="153" t="s">
        <v>3131</v>
      </c>
      <c r="G10" s="401" t="s">
        <v>1860</v>
      </c>
      <c r="H10" s="487" t="s">
        <v>1910</v>
      </c>
      <c r="I10" s="488"/>
      <c r="J10" s="488"/>
      <c r="K10" s="489"/>
      <c r="L10" s="444"/>
      <c r="M10" s="106">
        <v>1203</v>
      </c>
      <c r="N10" s="213"/>
      <c r="Q10" s="19">
        <v>9</v>
      </c>
      <c r="R10" s="19" t="s">
        <v>3272</v>
      </c>
      <c r="S10" s="19">
        <v>61</v>
      </c>
      <c r="T10" s="210">
        <v>4358281</v>
      </c>
      <c r="U10" s="19">
        <v>1.1499999999999999</v>
      </c>
      <c r="V10" s="19">
        <v>9</v>
      </c>
      <c r="W10" s="19" t="s">
        <v>3272</v>
      </c>
      <c r="X10" s="19">
        <v>62</v>
      </c>
      <c r="Y10" s="210">
        <v>4431281</v>
      </c>
      <c r="Z10" s="19">
        <v>1.1599999999999999</v>
      </c>
      <c r="AA10" s="19">
        <v>9</v>
      </c>
      <c r="AB10" s="19" t="s">
        <v>3272</v>
      </c>
      <c r="AC10" s="19">
        <v>134</v>
      </c>
      <c r="AD10" s="210">
        <v>10042293</v>
      </c>
      <c r="AE10" s="19">
        <v>2.48</v>
      </c>
    </row>
    <row r="11" spans="1:52" ht="19.899999999999999" customHeight="1" thickBot="1">
      <c r="A11" s="393" t="s">
        <v>2317</v>
      </c>
      <c r="B11" s="492" t="s">
        <v>3256</v>
      </c>
      <c r="C11" s="493"/>
      <c r="D11" s="353"/>
      <c r="E11" s="479"/>
      <c r="F11" s="472" t="s">
        <v>3130</v>
      </c>
      <c r="G11" s="473" t="s">
        <v>1859</v>
      </c>
      <c r="H11" s="523" t="s">
        <v>3132</v>
      </c>
      <c r="I11" s="524"/>
      <c r="J11" s="524"/>
      <c r="K11" s="525"/>
      <c r="L11" s="444"/>
      <c r="M11" s="106">
        <v>1210</v>
      </c>
      <c r="N11" s="213"/>
      <c r="Q11" s="19">
        <v>10</v>
      </c>
      <c r="R11" s="19" t="s">
        <v>3273</v>
      </c>
      <c r="S11" s="19">
        <v>42</v>
      </c>
      <c r="T11" s="210">
        <v>5793912</v>
      </c>
      <c r="U11" s="19">
        <v>1.52</v>
      </c>
      <c r="V11" s="19">
        <v>10</v>
      </c>
      <c r="W11" s="19" t="s">
        <v>3273</v>
      </c>
      <c r="X11" s="19">
        <v>41</v>
      </c>
      <c r="Y11" s="210">
        <v>5686912</v>
      </c>
      <c r="Z11" s="19">
        <v>1.5</v>
      </c>
      <c r="AA11" s="19">
        <v>10</v>
      </c>
      <c r="AB11" s="19" t="s">
        <v>3273</v>
      </c>
      <c r="AC11" s="19">
        <v>62</v>
      </c>
      <c r="AD11" s="210">
        <v>8978303</v>
      </c>
      <c r="AE11" s="19">
        <v>2.21</v>
      </c>
    </row>
    <row r="12" spans="1:52" ht="20.45" customHeight="1">
      <c r="A12" s="393" t="s">
        <v>2318</v>
      </c>
      <c r="B12" s="492" t="s">
        <v>3202</v>
      </c>
      <c r="C12" s="493"/>
      <c r="D12" s="354"/>
      <c r="E12" s="478" t="s">
        <v>1867</v>
      </c>
      <c r="F12" s="157" t="s">
        <v>1862</v>
      </c>
      <c r="G12" s="406" t="s">
        <v>1870</v>
      </c>
      <c r="H12" s="520" t="s">
        <v>3204</v>
      </c>
      <c r="I12" s="521"/>
      <c r="J12" s="521"/>
      <c r="K12" s="522"/>
      <c r="L12" s="474"/>
      <c r="M12" s="106">
        <v>1213</v>
      </c>
      <c r="N12" s="213"/>
      <c r="Q12" s="19">
        <v>11</v>
      </c>
      <c r="R12" s="19" t="s">
        <v>3274</v>
      </c>
      <c r="S12" s="19">
        <v>17</v>
      </c>
      <c r="T12" s="210">
        <v>4674796</v>
      </c>
      <c r="U12" s="19">
        <v>1.23</v>
      </c>
      <c r="V12" s="19">
        <v>11</v>
      </c>
      <c r="W12" s="19" t="s">
        <v>3274</v>
      </c>
      <c r="X12" s="19">
        <v>17</v>
      </c>
      <c r="Y12" s="210">
        <v>4674796</v>
      </c>
      <c r="Z12" s="19">
        <v>1.23</v>
      </c>
      <c r="AA12" s="19">
        <v>11</v>
      </c>
      <c r="AB12" s="19" t="s">
        <v>3274</v>
      </c>
      <c r="AC12" s="19">
        <v>30</v>
      </c>
      <c r="AD12" s="210">
        <v>8283901</v>
      </c>
      <c r="AE12" s="19">
        <v>2.04</v>
      </c>
    </row>
    <row r="13" spans="1:52" ht="20.45" customHeight="1">
      <c r="A13" s="393" t="s">
        <v>2319</v>
      </c>
      <c r="B13" s="494" t="s">
        <v>2321</v>
      </c>
      <c r="C13" s="495"/>
      <c r="D13" s="354"/>
      <c r="E13" s="479"/>
      <c r="F13" s="470" t="s">
        <v>1863</v>
      </c>
      <c r="G13" s="471" t="s">
        <v>1870</v>
      </c>
      <c r="H13" s="517" t="s">
        <v>3281</v>
      </c>
      <c r="I13" s="518"/>
      <c r="J13" s="518"/>
      <c r="K13" s="519"/>
      <c r="L13" s="445"/>
      <c r="M13" s="106">
        <v>1215</v>
      </c>
      <c r="N13" s="213"/>
      <c r="Q13" s="19">
        <v>12</v>
      </c>
      <c r="R13" s="19" t="s">
        <v>3275</v>
      </c>
      <c r="S13" s="19">
        <v>15</v>
      </c>
      <c r="T13" s="210">
        <v>7064678</v>
      </c>
      <c r="U13" s="19">
        <v>1.86</v>
      </c>
      <c r="V13" s="19">
        <v>12</v>
      </c>
      <c r="W13" s="19" t="s">
        <v>3275</v>
      </c>
      <c r="X13" s="19">
        <v>15</v>
      </c>
      <c r="Y13" s="210">
        <v>7062678</v>
      </c>
      <c r="Z13" s="19">
        <v>1.86</v>
      </c>
      <c r="AA13" s="19">
        <v>12</v>
      </c>
      <c r="AB13" s="19" t="s">
        <v>3275</v>
      </c>
      <c r="AC13" s="19">
        <v>8</v>
      </c>
      <c r="AD13" s="210">
        <v>4012012</v>
      </c>
      <c r="AE13" s="19">
        <v>0.99</v>
      </c>
    </row>
    <row r="14" spans="1:52" ht="20.25" thickBot="1">
      <c r="A14" s="394" t="s">
        <v>2320</v>
      </c>
      <c r="B14" s="526" t="s">
        <v>3160</v>
      </c>
      <c r="C14" s="527"/>
      <c r="D14" s="354"/>
      <c r="E14" s="480"/>
      <c r="F14" s="468" t="s">
        <v>3280</v>
      </c>
      <c r="G14" s="469" t="s">
        <v>1870</v>
      </c>
      <c r="H14" s="475" t="s">
        <v>3208</v>
      </c>
      <c r="I14" s="476"/>
      <c r="J14" s="476"/>
      <c r="K14" s="477"/>
      <c r="L14" s="446"/>
      <c r="M14" s="106">
        <v>1216</v>
      </c>
      <c r="N14" s="213"/>
      <c r="Q14" s="19">
        <v>13</v>
      </c>
      <c r="R14" s="19" t="s">
        <v>3276</v>
      </c>
      <c r="S14" s="19">
        <v>4</v>
      </c>
      <c r="T14" s="210">
        <v>2823084</v>
      </c>
      <c r="U14" s="19">
        <v>0.74</v>
      </c>
      <c r="V14" s="19">
        <v>13</v>
      </c>
      <c r="W14" s="19" t="s">
        <v>3276</v>
      </c>
      <c r="X14" s="19">
        <v>4</v>
      </c>
      <c r="Y14" s="210">
        <v>2823084</v>
      </c>
      <c r="Z14" s="19">
        <v>0.74</v>
      </c>
      <c r="AA14" s="19">
        <v>13</v>
      </c>
      <c r="AB14" s="19" t="s">
        <v>3276</v>
      </c>
      <c r="AC14" s="19">
        <v>7</v>
      </c>
      <c r="AD14" s="210">
        <v>5029390</v>
      </c>
      <c r="AE14" s="19">
        <v>1.24</v>
      </c>
    </row>
    <row r="15" spans="1:52">
      <c r="D15" s="354"/>
      <c r="E15" s="209"/>
      <c r="G15" s="466"/>
      <c r="J15" s="16"/>
      <c r="K15" s="209"/>
      <c r="M15" s="106">
        <v>1217</v>
      </c>
      <c r="N15" s="213"/>
      <c r="Q15" s="19">
        <v>14</v>
      </c>
      <c r="R15" s="19" t="s">
        <v>3277</v>
      </c>
      <c r="S15" s="19">
        <v>3</v>
      </c>
      <c r="T15" s="210">
        <v>2834740</v>
      </c>
      <c r="U15" s="19">
        <v>0.74</v>
      </c>
      <c r="V15" s="19">
        <v>14</v>
      </c>
      <c r="W15" s="19" t="s">
        <v>3277</v>
      </c>
      <c r="X15" s="19">
        <v>3</v>
      </c>
      <c r="Y15" s="210">
        <v>2834740</v>
      </c>
      <c r="Z15" s="19">
        <v>0.74</v>
      </c>
      <c r="AA15" s="19">
        <v>14</v>
      </c>
      <c r="AB15" s="19" t="s">
        <v>3277</v>
      </c>
      <c r="AC15" s="19">
        <v>5</v>
      </c>
      <c r="AD15" s="210">
        <v>4755372</v>
      </c>
      <c r="AE15" s="19">
        <v>1.17</v>
      </c>
    </row>
    <row r="16" spans="1:52" ht="20.25">
      <c r="D16" s="356"/>
      <c r="E16" s="132"/>
      <c r="J16" s="16"/>
      <c r="M16" s="106">
        <v>1218</v>
      </c>
      <c r="N16" s="213"/>
      <c r="Q16" s="19">
        <v>15</v>
      </c>
      <c r="R16" s="19" t="s">
        <v>3278</v>
      </c>
      <c r="S16" s="19">
        <v>39</v>
      </c>
      <c r="T16" s="210">
        <v>338000981</v>
      </c>
      <c r="U16" s="19">
        <v>89.2</v>
      </c>
      <c r="V16" s="19">
        <v>15</v>
      </c>
      <c r="W16" s="19" t="s">
        <v>3278</v>
      </c>
      <c r="X16" s="19">
        <v>39</v>
      </c>
      <c r="Y16" s="210">
        <v>338062936</v>
      </c>
      <c r="Z16" s="19">
        <v>89.22</v>
      </c>
      <c r="AA16" s="19">
        <v>15</v>
      </c>
      <c r="AB16" s="19" t="s">
        <v>3278</v>
      </c>
      <c r="AC16" s="19">
        <v>51</v>
      </c>
      <c r="AD16" s="210">
        <v>314927051</v>
      </c>
      <c r="AE16" s="19">
        <v>77.81</v>
      </c>
    </row>
    <row r="17" spans="4:31">
      <c r="D17" s="354"/>
      <c r="E17" s="132"/>
      <c r="M17" s="106">
        <v>1219</v>
      </c>
      <c r="N17" s="213"/>
      <c r="Q17" s="19"/>
      <c r="R17" s="19" t="s">
        <v>3279</v>
      </c>
      <c r="S17" s="210">
        <v>4253</v>
      </c>
      <c r="T17" s="210">
        <v>378900684</v>
      </c>
      <c r="U17" s="19">
        <v>100</v>
      </c>
      <c r="V17" s="19"/>
      <c r="W17" s="19" t="s">
        <v>3279</v>
      </c>
      <c r="X17" s="210">
        <v>4243</v>
      </c>
      <c r="Y17" s="210">
        <v>378900684</v>
      </c>
      <c r="Z17" s="19">
        <v>100</v>
      </c>
      <c r="AA17" s="19"/>
      <c r="AB17" s="19" t="s">
        <v>3279</v>
      </c>
      <c r="AC17" s="210">
        <v>12295</v>
      </c>
      <c r="AD17" s="210">
        <v>404738049</v>
      </c>
      <c r="AE17" s="19">
        <v>100</v>
      </c>
    </row>
    <row r="18" spans="4:31">
      <c r="D18" s="354"/>
      <c r="E18" s="132"/>
      <c r="M18" s="106">
        <v>1220</v>
      </c>
      <c r="N18" s="213"/>
      <c r="V18" s="19"/>
      <c r="W18" s="19" t="s">
        <v>3279</v>
      </c>
      <c r="X18" s="210">
        <v>125406</v>
      </c>
      <c r="Y18" s="210">
        <v>3692175869</v>
      </c>
      <c r="Z18" s="19">
        <v>100</v>
      </c>
    </row>
    <row r="19" spans="4:31">
      <c r="D19" s="354"/>
      <c r="E19" s="132"/>
      <c r="M19" s="106">
        <v>1225</v>
      </c>
      <c r="N19" s="213"/>
    </row>
    <row r="20" spans="4:31">
      <c r="D20" s="354"/>
      <c r="E20" s="132"/>
      <c r="M20" s="106">
        <v>1227</v>
      </c>
      <c r="N20" s="213"/>
    </row>
    <row r="21" spans="4:31">
      <c r="D21" s="354"/>
      <c r="M21" s="106">
        <v>1229</v>
      </c>
      <c r="N21" s="213"/>
    </row>
    <row r="22" spans="4:31">
      <c r="M22" s="106">
        <v>1231</v>
      </c>
      <c r="N22" s="213"/>
    </row>
    <row r="23" spans="4:31">
      <c r="M23" s="106">
        <v>1258</v>
      </c>
      <c r="N23" s="213"/>
    </row>
    <row r="24" spans="4:31" ht="20.25">
      <c r="D24" s="356"/>
      <c r="M24" s="106">
        <v>1259</v>
      </c>
      <c r="N24" s="213"/>
    </row>
    <row r="25" spans="4:31">
      <c r="D25" s="354"/>
      <c r="M25" s="106">
        <v>1262</v>
      </c>
      <c r="N25" s="213"/>
    </row>
    <row r="26" spans="4:31">
      <c r="D26" s="354"/>
      <c r="E26" s="132"/>
      <c r="F26" s="150"/>
      <c r="G26" s="132"/>
      <c r="M26" s="106">
        <v>1264</v>
      </c>
      <c r="N26" s="213"/>
    </row>
    <row r="27" spans="4:31">
      <c r="D27" s="354"/>
      <c r="M27" s="106">
        <v>1301</v>
      </c>
      <c r="N27" s="213"/>
    </row>
    <row r="28" spans="4:31">
      <c r="M28" s="106">
        <v>1310</v>
      </c>
      <c r="N28" s="213"/>
    </row>
    <row r="29" spans="4:31">
      <c r="M29" s="106">
        <v>1312</v>
      </c>
      <c r="N29" s="213"/>
    </row>
    <row r="30" spans="4:31">
      <c r="M30" s="106">
        <v>1313</v>
      </c>
      <c r="N30" s="213"/>
    </row>
    <row r="31" spans="4:31">
      <c r="M31" s="106">
        <v>1314</v>
      </c>
      <c r="N31" s="213"/>
    </row>
    <row r="32" spans="4:31">
      <c r="M32" s="106">
        <v>1315</v>
      </c>
      <c r="N32" s="213"/>
    </row>
    <row r="33" spans="13:14">
      <c r="M33" s="106">
        <v>1316</v>
      </c>
      <c r="N33" s="213"/>
    </row>
    <row r="34" spans="13:14">
      <c r="M34" s="106">
        <v>1319</v>
      </c>
      <c r="N34" s="213"/>
    </row>
    <row r="35" spans="13:14">
      <c r="M35" s="106">
        <v>1321</v>
      </c>
      <c r="N35" s="213"/>
    </row>
    <row r="36" spans="13:14">
      <c r="M36" s="106">
        <v>1323</v>
      </c>
      <c r="N36" s="213"/>
    </row>
    <row r="37" spans="13:14">
      <c r="M37" s="106">
        <v>1324</v>
      </c>
      <c r="N37" s="213"/>
    </row>
    <row r="38" spans="13:14">
      <c r="M38" s="106">
        <v>1325</v>
      </c>
      <c r="N38" s="213"/>
    </row>
    <row r="39" spans="13:14">
      <c r="M39" s="106">
        <v>1326</v>
      </c>
      <c r="N39" s="213"/>
    </row>
    <row r="40" spans="13:14">
      <c r="M40" s="106">
        <v>1333</v>
      </c>
      <c r="N40" s="213"/>
    </row>
    <row r="41" spans="13:14">
      <c r="M41" s="106">
        <v>1336</v>
      </c>
      <c r="N41" s="213"/>
    </row>
    <row r="42" spans="13:14">
      <c r="M42" s="106">
        <v>1337</v>
      </c>
      <c r="N42" s="213"/>
    </row>
    <row r="43" spans="13:14">
      <c r="M43" s="106">
        <v>1338</v>
      </c>
      <c r="N43" s="213"/>
    </row>
    <row r="44" spans="13:14">
      <c r="M44" s="106">
        <v>1339</v>
      </c>
      <c r="N44" s="213"/>
    </row>
    <row r="45" spans="13:14">
      <c r="M45" s="106">
        <v>1340</v>
      </c>
      <c r="N45" s="213"/>
    </row>
    <row r="46" spans="13:14">
      <c r="M46" s="106">
        <v>1402</v>
      </c>
      <c r="N46" s="213"/>
    </row>
    <row r="47" spans="13:14">
      <c r="M47" s="106">
        <v>1410</v>
      </c>
      <c r="N47" s="213"/>
    </row>
    <row r="48" spans="13:14">
      <c r="M48" s="106">
        <v>1413</v>
      </c>
      <c r="N48" s="213"/>
    </row>
    <row r="49" spans="13:14">
      <c r="M49" s="106">
        <v>1414</v>
      </c>
      <c r="N49" s="213"/>
    </row>
    <row r="50" spans="13:14">
      <c r="M50" s="106">
        <v>1416</v>
      </c>
      <c r="N50" s="213"/>
    </row>
    <row r="51" spans="13:14">
      <c r="M51" s="106">
        <v>1417</v>
      </c>
      <c r="N51" s="213"/>
    </row>
    <row r="52" spans="13:14">
      <c r="M52" s="106">
        <v>1418</v>
      </c>
      <c r="N52" s="213"/>
    </row>
    <row r="53" spans="13:14">
      <c r="M53" s="106">
        <v>1419</v>
      </c>
      <c r="N53" s="213"/>
    </row>
    <row r="54" spans="13:14">
      <c r="M54" s="106">
        <v>1423</v>
      </c>
      <c r="N54" s="213"/>
    </row>
    <row r="55" spans="13:14">
      <c r="M55" s="106">
        <v>1432</v>
      </c>
      <c r="N55" s="213" t="e">
        <f>MID(#REF!,6,4)</f>
        <v>#REF!</v>
      </c>
    </row>
    <row r="56" spans="13:14">
      <c r="M56" s="106">
        <v>1434</v>
      </c>
      <c r="N56" s="213" t="e">
        <f>MID(#REF!,6,4)</f>
        <v>#REF!</v>
      </c>
    </row>
    <row r="57" spans="13:14">
      <c r="M57" s="106">
        <v>1435</v>
      </c>
      <c r="N57" s="213" t="e">
        <f>MID(#REF!,6,4)</f>
        <v>#REF!</v>
      </c>
    </row>
    <row r="58" spans="13:14">
      <c r="M58" s="106">
        <v>1436</v>
      </c>
      <c r="N58" s="213" t="e">
        <f>MID(#REF!,6,4)</f>
        <v>#REF!</v>
      </c>
    </row>
    <row r="59" spans="13:14">
      <c r="M59" s="106">
        <v>1437</v>
      </c>
      <c r="N59" s="213" t="e">
        <f>MID(#REF!,6,4)</f>
        <v>#REF!</v>
      </c>
    </row>
    <row r="60" spans="13:14">
      <c r="M60" s="106">
        <v>1438</v>
      </c>
      <c r="N60" s="213" t="e">
        <f>MID(#REF!,6,4)</f>
        <v>#REF!</v>
      </c>
    </row>
    <row r="61" spans="13:14">
      <c r="M61" s="106">
        <v>1439</v>
      </c>
      <c r="N61" s="213" t="e">
        <f>MID(#REF!,6,4)</f>
        <v>#REF!</v>
      </c>
    </row>
    <row r="62" spans="13:14">
      <c r="M62" s="106">
        <v>1440</v>
      </c>
      <c r="N62" s="213" t="e">
        <f>MID(#REF!,6,4)</f>
        <v>#REF!</v>
      </c>
    </row>
    <row r="63" spans="13:14">
      <c r="M63" s="106">
        <v>1441</v>
      </c>
      <c r="N63" s="213" t="e">
        <f>MID(#REF!,6,4)</f>
        <v>#REF!</v>
      </c>
    </row>
    <row r="64" spans="13:14">
      <c r="M64" s="106">
        <v>1442</v>
      </c>
      <c r="N64" s="213" t="e">
        <f>MID(#REF!,6,4)</f>
        <v>#REF!</v>
      </c>
    </row>
    <row r="65" spans="13:14">
      <c r="M65" s="106">
        <v>1443</v>
      </c>
      <c r="N65" s="213" t="e">
        <f>MID(#REF!,6,4)</f>
        <v>#REF!</v>
      </c>
    </row>
    <row r="66" spans="13:14">
      <c r="M66" s="106">
        <v>1444</v>
      </c>
      <c r="N66" s="213" t="e">
        <f>MID(#REF!,6,4)</f>
        <v>#REF!</v>
      </c>
    </row>
    <row r="67" spans="13:14">
      <c r="M67" s="106">
        <v>1445</v>
      </c>
      <c r="N67" s="213" t="e">
        <f>MID(#REF!,6,4)</f>
        <v>#REF!</v>
      </c>
    </row>
    <row r="68" spans="13:14">
      <c r="M68" s="106">
        <v>1446</v>
      </c>
      <c r="N68" s="213" t="e">
        <f>MID(#REF!,6,4)</f>
        <v>#REF!</v>
      </c>
    </row>
    <row r="69" spans="13:14">
      <c r="M69" s="106">
        <v>1447</v>
      </c>
      <c r="N69" s="213" t="e">
        <f>MID(#REF!,6,4)</f>
        <v>#REF!</v>
      </c>
    </row>
    <row r="70" spans="13:14">
      <c r="M70" s="106">
        <v>1449</v>
      </c>
      <c r="N70" s="213" t="e">
        <f>MID(#REF!,6,4)</f>
        <v>#REF!</v>
      </c>
    </row>
    <row r="71" spans="13:14">
      <c r="M71" s="106">
        <v>1451</v>
      </c>
      <c r="N71" s="213" t="e">
        <f>MID(#REF!,6,4)</f>
        <v>#REF!</v>
      </c>
    </row>
    <row r="72" spans="13:14">
      <c r="M72" s="106">
        <v>1452</v>
      </c>
      <c r="N72" s="213" t="e">
        <f>MID(#REF!,6,4)</f>
        <v>#REF!</v>
      </c>
    </row>
    <row r="73" spans="13:14">
      <c r="M73" s="106">
        <v>1453</v>
      </c>
      <c r="N73" s="213" t="e">
        <f>MID(#REF!,6,4)</f>
        <v>#REF!</v>
      </c>
    </row>
    <row r="74" spans="13:14">
      <c r="M74" s="106">
        <v>1454</v>
      </c>
      <c r="N74" s="213" t="e">
        <f>MID(#REF!,6,4)</f>
        <v>#REF!</v>
      </c>
    </row>
    <row r="75" spans="13:14">
      <c r="M75" s="106">
        <v>1455</v>
      </c>
      <c r="N75" s="213" t="e">
        <f>MID(#REF!,6,4)</f>
        <v>#REF!</v>
      </c>
    </row>
    <row r="76" spans="13:14">
      <c r="M76" s="106">
        <v>1456</v>
      </c>
      <c r="N76" s="213" t="e">
        <f>MID(#REF!,6,4)</f>
        <v>#REF!</v>
      </c>
    </row>
    <row r="77" spans="13:14">
      <c r="M77" s="106">
        <v>1457</v>
      </c>
      <c r="N77" s="213" t="e">
        <f>MID(#REF!,6,4)</f>
        <v>#REF!</v>
      </c>
    </row>
    <row r="78" spans="13:14">
      <c r="M78" s="106">
        <v>1459</v>
      </c>
      <c r="N78" s="213" t="e">
        <f>MID(#REF!,6,4)</f>
        <v>#REF!</v>
      </c>
    </row>
    <row r="79" spans="13:14">
      <c r="M79" s="106">
        <v>1460</v>
      </c>
      <c r="N79" s="213" t="e">
        <f>MID(#REF!,6,4)</f>
        <v>#REF!</v>
      </c>
    </row>
    <row r="80" spans="13:14">
      <c r="M80" s="106">
        <v>1463</v>
      </c>
      <c r="N80" s="213" t="e">
        <f>MID(#REF!,6,4)</f>
        <v>#REF!</v>
      </c>
    </row>
    <row r="81" spans="13:14">
      <c r="M81" s="106">
        <v>1464</v>
      </c>
      <c r="N81" s="213" t="e">
        <f>MID(#REF!,6,4)</f>
        <v>#REF!</v>
      </c>
    </row>
    <row r="82" spans="13:14">
      <c r="M82" s="106">
        <v>1465</v>
      </c>
      <c r="N82" s="213" t="e">
        <f>MID(#REF!,6,4)</f>
        <v>#REF!</v>
      </c>
    </row>
    <row r="83" spans="13:14">
      <c r="M83" s="106">
        <v>1466</v>
      </c>
      <c r="N83" s="213" t="e">
        <f>MID(#REF!,6,4)</f>
        <v>#REF!</v>
      </c>
    </row>
    <row r="84" spans="13:14">
      <c r="M84" s="106">
        <v>1467</v>
      </c>
      <c r="N84" s="213" t="e">
        <f>MID(#REF!,6,4)</f>
        <v>#REF!</v>
      </c>
    </row>
    <row r="85" spans="13:14">
      <c r="M85" s="106">
        <v>1468</v>
      </c>
      <c r="N85" s="213" t="e">
        <f>MID(#REF!,6,4)</f>
        <v>#REF!</v>
      </c>
    </row>
    <row r="86" spans="13:14">
      <c r="M86" s="106">
        <v>1469</v>
      </c>
      <c r="N86" s="213" t="e">
        <f>MID(#REF!,6,4)</f>
        <v>#REF!</v>
      </c>
    </row>
    <row r="87" spans="13:14">
      <c r="M87" s="106">
        <v>1470</v>
      </c>
      <c r="N87" s="213" t="e">
        <f>MID(#REF!,6,4)</f>
        <v>#REF!</v>
      </c>
    </row>
    <row r="88" spans="13:14">
      <c r="M88" s="106">
        <v>1471</v>
      </c>
      <c r="N88" s="213" t="e">
        <f>MID(#REF!,6,4)</f>
        <v>#REF!</v>
      </c>
    </row>
    <row r="89" spans="13:14">
      <c r="M89" s="106">
        <v>1472</v>
      </c>
      <c r="N89" s="213" t="e">
        <f>MID(#REF!,6,4)</f>
        <v>#REF!</v>
      </c>
    </row>
    <row r="90" spans="13:14">
      <c r="M90" s="106">
        <v>1473</v>
      </c>
      <c r="N90" s="213" t="e">
        <f>MID(#REF!,6,4)</f>
        <v>#REF!</v>
      </c>
    </row>
    <row r="91" spans="13:14">
      <c r="M91" s="106">
        <v>1474</v>
      </c>
      <c r="N91" s="213" t="e">
        <f>MID(#REF!,6,4)</f>
        <v>#REF!</v>
      </c>
    </row>
    <row r="92" spans="13:14">
      <c r="M92" s="106">
        <v>1475</v>
      </c>
      <c r="N92" s="213" t="e">
        <f>MID(#REF!,6,4)</f>
        <v>#REF!</v>
      </c>
    </row>
    <row r="93" spans="13:14">
      <c r="M93" s="106">
        <v>1476</v>
      </c>
      <c r="N93" s="213" t="e">
        <f>MID(#REF!,6,4)</f>
        <v>#REF!</v>
      </c>
    </row>
    <row r="94" spans="13:14">
      <c r="M94" s="106">
        <v>1477</v>
      </c>
      <c r="N94" s="213" t="e">
        <f>MID(#REF!,6,4)</f>
        <v>#REF!</v>
      </c>
    </row>
    <row r="95" spans="13:14">
      <c r="M95" s="106">
        <v>1503</v>
      </c>
      <c r="N95" s="213" t="e">
        <f>MID(#REF!,6,4)</f>
        <v>#REF!</v>
      </c>
    </row>
    <row r="96" spans="13:14">
      <c r="M96" s="106">
        <v>1504</v>
      </c>
      <c r="N96" s="213" t="e">
        <f>MID(#REF!,6,4)</f>
        <v>#REF!</v>
      </c>
    </row>
    <row r="97" spans="13:14">
      <c r="M97" s="106">
        <v>1506</v>
      </c>
      <c r="N97" s="213" t="e">
        <f>MID(#REF!,6,4)</f>
        <v>#REF!</v>
      </c>
    </row>
    <row r="98" spans="13:14">
      <c r="M98" s="106">
        <v>1507</v>
      </c>
      <c r="N98" s="213" t="e">
        <f>MID(#REF!,6,4)</f>
        <v>#REF!</v>
      </c>
    </row>
    <row r="99" spans="13:14">
      <c r="M99" s="106">
        <v>1512</v>
      </c>
      <c r="N99" s="213" t="e">
        <f>MID(#REF!,6,4)</f>
        <v>#REF!</v>
      </c>
    </row>
    <row r="100" spans="13:14">
      <c r="M100" s="106">
        <v>1513</v>
      </c>
      <c r="N100" s="213" t="e">
        <f>MID(#REF!,6,4)</f>
        <v>#REF!</v>
      </c>
    </row>
    <row r="101" spans="13:14">
      <c r="M101" s="106">
        <v>1514</v>
      </c>
      <c r="N101" s="213" t="e">
        <f>MID(#REF!,6,4)</f>
        <v>#REF!</v>
      </c>
    </row>
    <row r="102" spans="13:14">
      <c r="M102" s="106">
        <v>1515</v>
      </c>
      <c r="N102" s="213" t="e">
        <f>MID(#REF!,6,4)</f>
        <v>#REF!</v>
      </c>
    </row>
    <row r="103" spans="13:14">
      <c r="M103" s="106">
        <v>1516</v>
      </c>
      <c r="N103" s="213" t="e">
        <f>MID(#REF!,6,4)</f>
        <v>#REF!</v>
      </c>
    </row>
    <row r="104" spans="13:14">
      <c r="M104" s="106">
        <v>1517</v>
      </c>
      <c r="N104" s="213" t="e">
        <f>MID(#REF!,6,4)</f>
        <v>#REF!</v>
      </c>
    </row>
    <row r="105" spans="13:14">
      <c r="M105" s="106">
        <v>1519</v>
      </c>
      <c r="N105" s="213" t="e">
        <f>MID(#REF!,6,4)</f>
        <v>#REF!</v>
      </c>
    </row>
    <row r="106" spans="13:14">
      <c r="M106" s="106">
        <v>1521</v>
      </c>
      <c r="N106" s="213" t="e">
        <f>MID(#REF!,6,4)</f>
        <v>#REF!</v>
      </c>
    </row>
    <row r="107" spans="13:14">
      <c r="M107" s="106">
        <v>1522</v>
      </c>
      <c r="N107" s="213" t="e">
        <f>MID(#REF!,6,4)</f>
        <v>#REF!</v>
      </c>
    </row>
    <row r="108" spans="13:14">
      <c r="M108" s="106">
        <v>1524</v>
      </c>
      <c r="N108" s="213" t="e">
        <f>MID(#REF!,6,4)</f>
        <v>#REF!</v>
      </c>
    </row>
    <row r="109" spans="13:14">
      <c r="M109" s="106">
        <v>1525</v>
      </c>
      <c r="N109" s="213" t="e">
        <f>MID(#REF!,6,4)</f>
        <v>#REF!</v>
      </c>
    </row>
    <row r="110" spans="13:14">
      <c r="M110" s="106">
        <v>1526</v>
      </c>
      <c r="N110" s="213" t="e">
        <f>MID(#REF!,6,4)</f>
        <v>#REF!</v>
      </c>
    </row>
    <row r="111" spans="13:14">
      <c r="M111" s="106">
        <v>1527</v>
      </c>
      <c r="N111" s="213" t="e">
        <f>MID(#REF!,6,4)</f>
        <v>#REF!</v>
      </c>
    </row>
    <row r="112" spans="13:14">
      <c r="M112" s="106">
        <v>1528</v>
      </c>
      <c r="N112" s="213" t="e">
        <f>MID(#REF!,6,4)</f>
        <v>#REF!</v>
      </c>
    </row>
    <row r="113" spans="13:14">
      <c r="M113" s="106">
        <v>1529</v>
      </c>
      <c r="N113" s="213" t="e">
        <f>MID(#REF!,6,4)</f>
        <v>#REF!</v>
      </c>
    </row>
    <row r="114" spans="13:14">
      <c r="M114" s="106">
        <v>1530</v>
      </c>
      <c r="N114" s="213" t="e">
        <f>MID(#REF!,6,4)</f>
        <v>#REF!</v>
      </c>
    </row>
    <row r="115" spans="13:14">
      <c r="M115" s="106">
        <v>1531</v>
      </c>
      <c r="N115" s="213" t="e">
        <f>MID(#REF!,6,4)</f>
        <v>#REF!</v>
      </c>
    </row>
    <row r="116" spans="13:14">
      <c r="M116" s="106">
        <v>1532</v>
      </c>
      <c r="N116" s="213" t="e">
        <f>MID(#REF!,6,4)</f>
        <v>#REF!</v>
      </c>
    </row>
    <row r="117" spans="13:14">
      <c r="M117" s="106">
        <v>1533</v>
      </c>
      <c r="N117" s="213" t="e">
        <f>MID(#REF!,6,4)</f>
        <v>#REF!</v>
      </c>
    </row>
    <row r="118" spans="13:14">
      <c r="M118" s="106">
        <v>1535</v>
      </c>
      <c r="N118" s="213" t="e">
        <f>MID(#REF!,6,4)</f>
        <v>#REF!</v>
      </c>
    </row>
    <row r="119" spans="13:14">
      <c r="M119" s="106">
        <v>1536</v>
      </c>
      <c r="N119" s="213" t="e">
        <f>MID(#REF!,6,4)</f>
        <v>#REF!</v>
      </c>
    </row>
    <row r="120" spans="13:14">
      <c r="M120" s="106">
        <v>1537</v>
      </c>
      <c r="N120" s="213" t="e">
        <f>MID(#REF!,6,4)</f>
        <v>#REF!</v>
      </c>
    </row>
    <row r="121" spans="13:14">
      <c r="M121" s="106">
        <v>1538</v>
      </c>
      <c r="N121" s="213" t="e">
        <f>MID(#REF!,6,4)</f>
        <v>#REF!</v>
      </c>
    </row>
    <row r="122" spans="13:14">
      <c r="M122" s="106">
        <v>1539</v>
      </c>
      <c r="N122" s="213" t="e">
        <f>MID(#REF!,6,4)</f>
        <v>#REF!</v>
      </c>
    </row>
    <row r="123" spans="13:14">
      <c r="M123" s="106">
        <v>1540</v>
      </c>
      <c r="N123" s="213" t="e">
        <f>MID(#REF!,6,4)</f>
        <v>#REF!</v>
      </c>
    </row>
    <row r="124" spans="13:14">
      <c r="M124" s="106">
        <v>1541</v>
      </c>
      <c r="N124" s="213" t="e">
        <f>MID(#REF!,6,4)</f>
        <v>#REF!</v>
      </c>
    </row>
    <row r="125" spans="13:14">
      <c r="M125" s="106">
        <v>1558</v>
      </c>
      <c r="N125" s="213" t="e">
        <f>MID(#REF!,6,4)</f>
        <v>#REF!</v>
      </c>
    </row>
    <row r="126" spans="13:14">
      <c r="M126" s="106">
        <v>1560</v>
      </c>
      <c r="N126" s="213" t="e">
        <f>MID(#REF!,6,4)</f>
        <v>#REF!</v>
      </c>
    </row>
    <row r="127" spans="13:14">
      <c r="M127" s="106">
        <v>1565</v>
      </c>
      <c r="N127" s="213" t="str">
        <f>MID(O2,6,4)</f>
        <v/>
      </c>
    </row>
    <row r="128" spans="13:14">
      <c r="M128" s="106">
        <v>1566</v>
      </c>
      <c r="N128" s="213" t="e">
        <f>MID(#REF!,6,4)</f>
        <v>#REF!</v>
      </c>
    </row>
    <row r="129" spans="13:14">
      <c r="M129" s="106">
        <v>1568</v>
      </c>
      <c r="N129" s="213" t="str">
        <f>MID(O3,6,4)</f>
        <v/>
      </c>
    </row>
    <row r="130" spans="13:14">
      <c r="M130" s="106">
        <v>1569</v>
      </c>
      <c r="N130" s="213" t="str">
        <f>MID(O4,6,4)</f>
        <v/>
      </c>
    </row>
    <row r="131" spans="13:14">
      <c r="M131" s="106">
        <v>1570</v>
      </c>
      <c r="N131" s="213" t="e">
        <f>MID(#REF!,6,4)</f>
        <v>#REF!</v>
      </c>
    </row>
    <row r="132" spans="13:14">
      <c r="M132" s="106">
        <v>1580</v>
      </c>
      <c r="N132" s="213" t="str">
        <f>MID(O5,6,4)</f>
        <v/>
      </c>
    </row>
    <row r="133" spans="13:14">
      <c r="M133" s="106">
        <v>1582</v>
      </c>
      <c r="N133" s="213" t="str">
        <f>MID(O6,6,4)</f>
        <v/>
      </c>
    </row>
    <row r="134" spans="13:14">
      <c r="M134" s="106">
        <v>1583</v>
      </c>
      <c r="N134" s="213" t="str">
        <f>MID(O7,6,4)</f>
        <v/>
      </c>
    </row>
    <row r="135" spans="13:14">
      <c r="M135" s="106">
        <v>1584</v>
      </c>
      <c r="N135" s="213" t="e">
        <f>MID(#REF!,6,4)</f>
        <v>#REF!</v>
      </c>
    </row>
    <row r="136" spans="13:14">
      <c r="M136" s="106">
        <v>1586</v>
      </c>
      <c r="N136" s="213" t="e">
        <f>MID(#REF!,6,4)</f>
        <v>#REF!</v>
      </c>
    </row>
    <row r="137" spans="13:14">
      <c r="M137" s="106">
        <v>1589</v>
      </c>
      <c r="N137" s="213" t="e">
        <f>MID(#REF!,6,4)</f>
        <v>#REF!</v>
      </c>
    </row>
    <row r="138" spans="13:14">
      <c r="M138" s="106">
        <v>1590</v>
      </c>
      <c r="N138" s="213" t="str">
        <f t="shared" ref="N138:N143" si="0">MID(O8,6,4)</f>
        <v/>
      </c>
    </row>
    <row r="139" spans="13:14">
      <c r="M139" s="106">
        <v>1591</v>
      </c>
      <c r="N139" s="213" t="str">
        <f t="shared" si="0"/>
        <v/>
      </c>
    </row>
    <row r="140" spans="13:14">
      <c r="M140" s="106">
        <v>1592</v>
      </c>
      <c r="N140" s="213" t="str">
        <f t="shared" si="0"/>
        <v/>
      </c>
    </row>
    <row r="141" spans="13:14">
      <c r="M141" s="106">
        <v>1593</v>
      </c>
      <c r="N141" s="213" t="str">
        <f t="shared" si="0"/>
        <v/>
      </c>
    </row>
    <row r="142" spans="13:14">
      <c r="M142" s="106">
        <v>1595</v>
      </c>
      <c r="N142" s="213" t="str">
        <f t="shared" si="0"/>
        <v/>
      </c>
    </row>
    <row r="143" spans="13:14">
      <c r="M143" s="106">
        <v>1597</v>
      </c>
      <c r="N143" s="213" t="str">
        <f t="shared" si="0"/>
        <v/>
      </c>
    </row>
    <row r="144" spans="13:14">
      <c r="M144" s="106">
        <v>1599</v>
      </c>
      <c r="N144" s="213" t="e">
        <f>MID(#REF!,6,4)</f>
        <v>#REF!</v>
      </c>
    </row>
    <row r="145" spans="13:14">
      <c r="M145" s="106">
        <v>1603</v>
      </c>
      <c r="N145" s="213" t="e">
        <f>MID(#REF!,6,4)</f>
        <v>#REF!</v>
      </c>
    </row>
    <row r="146" spans="13:14">
      <c r="M146" s="106">
        <v>1604</v>
      </c>
      <c r="N146" s="213" t="e">
        <f>MID(#REF!,6,4)</f>
        <v>#REF!</v>
      </c>
    </row>
    <row r="147" spans="13:14">
      <c r="M147" s="106">
        <v>1605</v>
      </c>
      <c r="N147" s="213" t="e">
        <f>MID(#REF!,6,4)</f>
        <v>#REF!</v>
      </c>
    </row>
    <row r="148" spans="13:14">
      <c r="M148" s="106">
        <v>1608</v>
      </c>
      <c r="N148" s="213" t="e">
        <f>MID(#REF!,6,4)</f>
        <v>#REF!</v>
      </c>
    </row>
    <row r="149" spans="13:14">
      <c r="M149" s="106">
        <v>1609</v>
      </c>
      <c r="N149" s="213" t="e">
        <f>MID(#REF!,6,4)</f>
        <v>#REF!</v>
      </c>
    </row>
    <row r="150" spans="13:14">
      <c r="M150" s="106">
        <v>1611</v>
      </c>
      <c r="N150" s="213" t="e">
        <f>MID(#REF!,6,4)</f>
        <v>#REF!</v>
      </c>
    </row>
    <row r="151" spans="13:14">
      <c r="M151" s="106">
        <v>1612</v>
      </c>
      <c r="N151" s="213" t="e">
        <f>MID(#REF!,6,4)</f>
        <v>#REF!</v>
      </c>
    </row>
    <row r="152" spans="13:14">
      <c r="M152" s="106">
        <v>1613</v>
      </c>
      <c r="N152" s="213" t="e">
        <f>MID(#REF!,6,4)</f>
        <v>#REF!</v>
      </c>
    </row>
    <row r="153" spans="13:14">
      <c r="M153" s="106">
        <v>1614</v>
      </c>
      <c r="N153" s="213" t="e">
        <f>MID(#REF!,6,4)</f>
        <v>#REF!</v>
      </c>
    </row>
    <row r="154" spans="13:14">
      <c r="M154" s="106">
        <v>1615</v>
      </c>
      <c r="N154" s="213" t="e">
        <f>MID(#REF!,6,4)</f>
        <v>#REF!</v>
      </c>
    </row>
    <row r="155" spans="13:14">
      <c r="M155" s="106">
        <v>1616</v>
      </c>
      <c r="N155" s="213" t="e">
        <f>MID(#REF!,6,4)</f>
        <v>#REF!</v>
      </c>
    </row>
    <row r="156" spans="13:14">
      <c r="M156" s="106">
        <v>1617</v>
      </c>
      <c r="N156" s="213" t="str">
        <f t="shared" ref="N156:N191" si="1">MID(O14,6,4)</f>
        <v/>
      </c>
    </row>
    <row r="157" spans="13:14">
      <c r="M157" s="106">
        <v>1618</v>
      </c>
      <c r="N157" s="213" t="str">
        <f t="shared" si="1"/>
        <v/>
      </c>
    </row>
    <row r="158" spans="13:14">
      <c r="M158" s="106">
        <v>1626</v>
      </c>
      <c r="N158" s="213" t="str">
        <f t="shared" si="1"/>
        <v/>
      </c>
    </row>
    <row r="159" spans="13:14">
      <c r="M159" s="106">
        <v>1701</v>
      </c>
      <c r="N159" s="213" t="str">
        <f t="shared" si="1"/>
        <v/>
      </c>
    </row>
    <row r="160" spans="13:14">
      <c r="M160" s="106">
        <v>1702</v>
      </c>
      <c r="N160" s="213" t="str">
        <f t="shared" si="1"/>
        <v/>
      </c>
    </row>
    <row r="161" spans="13:14">
      <c r="M161" s="106">
        <v>1704</v>
      </c>
      <c r="N161" s="213" t="str">
        <f t="shared" si="1"/>
        <v/>
      </c>
    </row>
    <row r="162" spans="13:14">
      <c r="M162" s="106">
        <v>1707</v>
      </c>
      <c r="N162" s="213" t="str">
        <f t="shared" si="1"/>
        <v/>
      </c>
    </row>
    <row r="163" spans="13:14">
      <c r="M163" s="106">
        <v>1708</v>
      </c>
      <c r="N163" s="213" t="str">
        <f t="shared" si="1"/>
        <v/>
      </c>
    </row>
    <row r="164" spans="13:14">
      <c r="M164" s="106">
        <v>1709</v>
      </c>
      <c r="N164" s="213" t="str">
        <f t="shared" si="1"/>
        <v/>
      </c>
    </row>
    <row r="165" spans="13:14">
      <c r="M165" s="106">
        <v>1710</v>
      </c>
      <c r="N165" s="213" t="str">
        <f t="shared" si="1"/>
        <v/>
      </c>
    </row>
    <row r="166" spans="13:14">
      <c r="M166" s="106">
        <v>1711</v>
      </c>
      <c r="N166" s="213" t="str">
        <f t="shared" si="1"/>
        <v/>
      </c>
    </row>
    <row r="167" spans="13:14">
      <c r="M167" s="106">
        <v>1712</v>
      </c>
      <c r="N167" s="213" t="str">
        <f t="shared" si="1"/>
        <v/>
      </c>
    </row>
    <row r="168" spans="13:14">
      <c r="M168" s="106">
        <v>1713</v>
      </c>
      <c r="N168" s="213" t="str">
        <f t="shared" si="1"/>
        <v/>
      </c>
    </row>
    <row r="169" spans="13:14">
      <c r="M169" s="106">
        <v>1714</v>
      </c>
      <c r="N169" s="213" t="str">
        <f t="shared" si="1"/>
        <v/>
      </c>
    </row>
    <row r="170" spans="13:14">
      <c r="M170" s="106">
        <v>1715</v>
      </c>
      <c r="N170" s="213" t="str">
        <f t="shared" si="1"/>
        <v/>
      </c>
    </row>
    <row r="171" spans="13:14">
      <c r="M171" s="106">
        <v>1717</v>
      </c>
      <c r="N171" s="213" t="str">
        <f t="shared" si="1"/>
        <v/>
      </c>
    </row>
    <row r="172" spans="13:14">
      <c r="M172" s="106">
        <v>1720</v>
      </c>
      <c r="N172" s="213" t="str">
        <f t="shared" si="1"/>
        <v/>
      </c>
    </row>
    <row r="173" spans="13:14">
      <c r="M173" s="106">
        <v>1721</v>
      </c>
      <c r="N173" s="213" t="str">
        <f t="shared" si="1"/>
        <v/>
      </c>
    </row>
    <row r="174" spans="13:14">
      <c r="M174" s="106">
        <v>1722</v>
      </c>
      <c r="N174" s="213" t="str">
        <f t="shared" si="1"/>
        <v/>
      </c>
    </row>
    <row r="175" spans="13:14">
      <c r="M175" s="106">
        <v>1723</v>
      </c>
      <c r="N175" s="213" t="str">
        <f t="shared" si="1"/>
        <v/>
      </c>
    </row>
    <row r="176" spans="13:14">
      <c r="M176" s="106">
        <v>1724</v>
      </c>
      <c r="N176" s="213" t="str">
        <f t="shared" si="1"/>
        <v/>
      </c>
    </row>
    <row r="177" spans="13:14">
      <c r="M177" s="106">
        <v>1725</v>
      </c>
      <c r="N177" s="213" t="str">
        <f t="shared" si="1"/>
        <v/>
      </c>
    </row>
    <row r="178" spans="13:14">
      <c r="M178" s="106">
        <v>1726</v>
      </c>
      <c r="N178" s="213" t="str">
        <f t="shared" si="1"/>
        <v/>
      </c>
    </row>
    <row r="179" spans="13:14">
      <c r="M179" s="106">
        <v>1727</v>
      </c>
      <c r="N179" s="213" t="str">
        <f t="shared" si="1"/>
        <v/>
      </c>
    </row>
    <row r="180" spans="13:14">
      <c r="M180" s="106">
        <v>1729</v>
      </c>
      <c r="N180" s="213" t="str">
        <f t="shared" si="1"/>
        <v/>
      </c>
    </row>
    <row r="181" spans="13:14">
      <c r="M181" s="106">
        <v>1730</v>
      </c>
      <c r="N181" s="213" t="str">
        <f t="shared" si="1"/>
        <v/>
      </c>
    </row>
    <row r="182" spans="13:14">
      <c r="M182" s="106">
        <v>1731</v>
      </c>
      <c r="N182" s="213" t="str">
        <f t="shared" si="1"/>
        <v/>
      </c>
    </row>
    <row r="183" spans="13:14">
      <c r="M183" s="106">
        <v>1732</v>
      </c>
      <c r="N183" s="213" t="str">
        <f t="shared" si="1"/>
        <v/>
      </c>
    </row>
    <row r="184" spans="13:14">
      <c r="M184" s="106">
        <v>1733</v>
      </c>
      <c r="N184" s="213" t="str">
        <f t="shared" si="1"/>
        <v/>
      </c>
    </row>
    <row r="185" spans="13:14">
      <c r="M185" s="106">
        <v>1734</v>
      </c>
      <c r="N185" s="213" t="str">
        <f t="shared" si="1"/>
        <v/>
      </c>
    </row>
    <row r="186" spans="13:14">
      <c r="M186" s="106">
        <v>1735</v>
      </c>
      <c r="N186" s="213" t="str">
        <f t="shared" si="1"/>
        <v/>
      </c>
    </row>
    <row r="187" spans="13:14">
      <c r="M187" s="106">
        <v>1736</v>
      </c>
      <c r="N187" s="213" t="str">
        <f t="shared" si="1"/>
        <v/>
      </c>
    </row>
    <row r="188" spans="13:14">
      <c r="M188" s="106">
        <v>1737</v>
      </c>
      <c r="N188" s="213" t="str">
        <f t="shared" si="1"/>
        <v/>
      </c>
    </row>
    <row r="189" spans="13:14">
      <c r="M189" s="106">
        <v>1742</v>
      </c>
      <c r="N189" s="213" t="str">
        <f t="shared" si="1"/>
        <v/>
      </c>
    </row>
    <row r="190" spans="13:14">
      <c r="M190" s="106">
        <v>1752</v>
      </c>
      <c r="N190" s="213" t="str">
        <f t="shared" si="1"/>
        <v/>
      </c>
    </row>
    <row r="191" spans="13:14">
      <c r="M191" s="106">
        <v>1762</v>
      </c>
      <c r="N191" s="213" t="str">
        <f t="shared" si="1"/>
        <v/>
      </c>
    </row>
    <row r="192" spans="13:14">
      <c r="M192" s="106">
        <v>1773</v>
      </c>
      <c r="N192" s="213" t="str">
        <f t="shared" ref="N192:N255" si="2">MID(O50,6,4)</f>
        <v/>
      </c>
    </row>
    <row r="193" spans="13:14">
      <c r="M193" s="106">
        <v>1776</v>
      </c>
      <c r="N193" s="213" t="str">
        <f t="shared" si="2"/>
        <v/>
      </c>
    </row>
    <row r="194" spans="13:14">
      <c r="M194" s="106">
        <v>1777</v>
      </c>
      <c r="N194" s="213" t="str">
        <f t="shared" si="2"/>
        <v/>
      </c>
    </row>
    <row r="195" spans="13:14">
      <c r="M195" s="106">
        <v>1781</v>
      </c>
      <c r="N195" s="213" t="str">
        <f t="shared" si="2"/>
        <v/>
      </c>
    </row>
    <row r="196" spans="13:14">
      <c r="M196" s="106">
        <v>1783</v>
      </c>
      <c r="N196" s="213" t="str">
        <f t="shared" si="2"/>
        <v/>
      </c>
    </row>
    <row r="197" spans="13:14">
      <c r="M197" s="106">
        <v>1784</v>
      </c>
      <c r="N197" s="213" t="str">
        <f t="shared" si="2"/>
        <v/>
      </c>
    </row>
    <row r="198" spans="13:14">
      <c r="M198" s="106">
        <v>1786</v>
      </c>
      <c r="N198" s="213" t="str">
        <f t="shared" si="2"/>
        <v/>
      </c>
    </row>
    <row r="199" spans="13:14">
      <c r="M199" s="106">
        <v>1787</v>
      </c>
      <c r="N199" s="213" t="str">
        <f t="shared" si="2"/>
        <v/>
      </c>
    </row>
    <row r="200" spans="13:14">
      <c r="M200" s="106">
        <v>1788</v>
      </c>
      <c r="N200" s="213" t="str">
        <f t="shared" si="2"/>
        <v/>
      </c>
    </row>
    <row r="201" spans="13:14">
      <c r="M201" s="106">
        <v>1789</v>
      </c>
      <c r="N201" s="213" t="str">
        <f t="shared" si="2"/>
        <v/>
      </c>
    </row>
    <row r="202" spans="13:14">
      <c r="M202" s="106">
        <v>1795</v>
      </c>
      <c r="N202" s="213" t="str">
        <f t="shared" si="2"/>
        <v/>
      </c>
    </row>
    <row r="203" spans="13:14">
      <c r="M203" s="106">
        <v>1799</v>
      </c>
      <c r="N203" s="213" t="str">
        <f t="shared" si="2"/>
        <v/>
      </c>
    </row>
    <row r="204" spans="13:14">
      <c r="M204" s="106">
        <v>1802</v>
      </c>
      <c r="N204" s="213" t="str">
        <f t="shared" si="2"/>
        <v/>
      </c>
    </row>
    <row r="205" spans="13:14">
      <c r="M205" s="106">
        <v>1805</v>
      </c>
      <c r="N205" s="213" t="str">
        <f t="shared" si="2"/>
        <v/>
      </c>
    </row>
    <row r="206" spans="13:14">
      <c r="M206" s="106">
        <v>1806</v>
      </c>
      <c r="N206" s="213" t="str">
        <f t="shared" si="2"/>
        <v/>
      </c>
    </row>
    <row r="207" spans="13:14">
      <c r="M207" s="106">
        <v>1808</v>
      </c>
      <c r="N207" s="213" t="str">
        <f t="shared" si="2"/>
        <v/>
      </c>
    </row>
    <row r="208" spans="13:14">
      <c r="M208" s="106">
        <v>1809</v>
      </c>
      <c r="N208" s="213" t="str">
        <f t="shared" si="2"/>
        <v/>
      </c>
    </row>
    <row r="209" spans="13:14">
      <c r="M209" s="106">
        <v>1810</v>
      </c>
      <c r="N209" s="213" t="str">
        <f t="shared" si="2"/>
        <v/>
      </c>
    </row>
    <row r="210" spans="13:14">
      <c r="M210" s="106">
        <v>1813</v>
      </c>
      <c r="N210" s="213" t="str">
        <f t="shared" si="2"/>
        <v/>
      </c>
    </row>
    <row r="211" spans="13:14">
      <c r="M211" s="106">
        <v>1815</v>
      </c>
      <c r="N211" s="213" t="str">
        <f t="shared" si="2"/>
        <v/>
      </c>
    </row>
    <row r="212" spans="13:14">
      <c r="M212" s="106">
        <v>1817</v>
      </c>
      <c r="N212" s="213" t="str">
        <f t="shared" si="2"/>
        <v/>
      </c>
    </row>
    <row r="213" spans="13:14">
      <c r="M213" s="106">
        <v>1902</v>
      </c>
      <c r="N213" s="213" t="str">
        <f t="shared" si="2"/>
        <v/>
      </c>
    </row>
    <row r="214" spans="13:14">
      <c r="M214" s="106">
        <v>1903</v>
      </c>
      <c r="N214" s="213" t="str">
        <f t="shared" si="2"/>
        <v/>
      </c>
    </row>
    <row r="215" spans="13:14">
      <c r="M215" s="106">
        <v>1904</v>
      </c>
      <c r="N215" s="213" t="str">
        <f t="shared" si="2"/>
        <v/>
      </c>
    </row>
    <row r="216" spans="13:14">
      <c r="M216" s="106">
        <v>1905</v>
      </c>
      <c r="N216" s="213" t="str">
        <f t="shared" si="2"/>
        <v/>
      </c>
    </row>
    <row r="217" spans="13:14">
      <c r="M217" s="106">
        <v>1906</v>
      </c>
      <c r="N217" s="213" t="str">
        <f t="shared" si="2"/>
        <v/>
      </c>
    </row>
    <row r="218" spans="13:14">
      <c r="M218" s="106">
        <v>1907</v>
      </c>
      <c r="N218" s="213" t="str">
        <f t="shared" si="2"/>
        <v/>
      </c>
    </row>
    <row r="219" spans="13:14">
      <c r="M219" s="106">
        <v>1909</v>
      </c>
      <c r="N219" s="213" t="str">
        <f t="shared" si="2"/>
        <v/>
      </c>
    </row>
    <row r="220" spans="13:14">
      <c r="M220" s="106">
        <v>2002</v>
      </c>
      <c r="N220" s="213" t="str">
        <f t="shared" si="2"/>
        <v/>
      </c>
    </row>
    <row r="221" spans="13:14">
      <c r="M221" s="106">
        <v>2006</v>
      </c>
      <c r="N221" s="213" t="str">
        <f t="shared" si="2"/>
        <v/>
      </c>
    </row>
    <row r="222" spans="13:14">
      <c r="M222" s="106">
        <v>2007</v>
      </c>
      <c r="N222" s="213" t="str">
        <f t="shared" si="2"/>
        <v/>
      </c>
    </row>
    <row r="223" spans="13:14">
      <c r="M223" s="106">
        <v>2008</v>
      </c>
      <c r="N223" s="213" t="str">
        <f t="shared" si="2"/>
        <v/>
      </c>
    </row>
    <row r="224" spans="13:14">
      <c r="M224" s="106">
        <v>2009</v>
      </c>
      <c r="N224" s="213" t="str">
        <f t="shared" si="2"/>
        <v/>
      </c>
    </row>
    <row r="225" spans="13:14">
      <c r="M225" s="106">
        <v>2010</v>
      </c>
      <c r="N225" s="213" t="str">
        <f t="shared" si="2"/>
        <v/>
      </c>
    </row>
    <row r="226" spans="13:14">
      <c r="M226" s="106">
        <v>2012</v>
      </c>
      <c r="N226" s="213" t="str">
        <f t="shared" si="2"/>
        <v/>
      </c>
    </row>
    <row r="227" spans="13:14">
      <c r="M227" s="106">
        <v>2013</v>
      </c>
      <c r="N227" s="213" t="str">
        <f t="shared" si="2"/>
        <v/>
      </c>
    </row>
    <row r="228" spans="13:14">
      <c r="M228" s="106">
        <v>2014</v>
      </c>
      <c r="N228" s="213" t="str">
        <f t="shared" si="2"/>
        <v/>
      </c>
    </row>
    <row r="229" spans="13:14">
      <c r="M229" s="106">
        <v>2015</v>
      </c>
      <c r="N229" s="213" t="str">
        <f t="shared" si="2"/>
        <v/>
      </c>
    </row>
    <row r="230" spans="13:14">
      <c r="M230" s="106">
        <v>2017</v>
      </c>
      <c r="N230" s="213" t="str">
        <f t="shared" si="2"/>
        <v/>
      </c>
    </row>
    <row r="231" spans="13:14">
      <c r="M231" s="106">
        <v>2020</v>
      </c>
      <c r="N231" s="213" t="str">
        <f t="shared" si="2"/>
        <v/>
      </c>
    </row>
    <row r="232" spans="13:14">
      <c r="M232" s="106">
        <v>2022</v>
      </c>
      <c r="N232" s="213" t="str">
        <f t="shared" si="2"/>
        <v/>
      </c>
    </row>
    <row r="233" spans="13:14">
      <c r="M233" s="106">
        <v>2023</v>
      </c>
      <c r="N233" s="213" t="str">
        <f t="shared" si="2"/>
        <v/>
      </c>
    </row>
    <row r="234" spans="13:14">
      <c r="M234" s="106">
        <v>2024</v>
      </c>
      <c r="N234" s="213" t="str">
        <f t="shared" si="2"/>
        <v/>
      </c>
    </row>
    <row r="235" spans="13:14">
      <c r="M235" s="106">
        <v>2025</v>
      </c>
      <c r="N235" s="213" t="str">
        <f t="shared" si="2"/>
        <v/>
      </c>
    </row>
    <row r="236" spans="13:14">
      <c r="M236" s="106">
        <v>2027</v>
      </c>
      <c r="N236" s="213" t="str">
        <f t="shared" si="2"/>
        <v/>
      </c>
    </row>
    <row r="237" spans="13:14">
      <c r="M237" s="106">
        <v>2028</v>
      </c>
      <c r="N237" s="213" t="str">
        <f t="shared" si="2"/>
        <v/>
      </c>
    </row>
    <row r="238" spans="13:14">
      <c r="M238" s="106">
        <v>2029</v>
      </c>
      <c r="N238" s="213" t="str">
        <f t="shared" si="2"/>
        <v/>
      </c>
    </row>
    <row r="239" spans="13:14">
      <c r="M239" s="106">
        <v>2030</v>
      </c>
      <c r="N239" s="213" t="str">
        <f t="shared" si="2"/>
        <v/>
      </c>
    </row>
    <row r="240" spans="13:14">
      <c r="M240" s="106">
        <v>2031</v>
      </c>
      <c r="N240" s="213" t="str">
        <f t="shared" si="2"/>
        <v/>
      </c>
    </row>
    <row r="241" spans="13:14">
      <c r="M241" s="106">
        <v>2032</v>
      </c>
      <c r="N241" s="213" t="str">
        <f t="shared" si="2"/>
        <v/>
      </c>
    </row>
    <row r="242" spans="13:14">
      <c r="M242" s="106">
        <v>2033</v>
      </c>
      <c r="N242" s="213" t="str">
        <f t="shared" si="2"/>
        <v/>
      </c>
    </row>
    <row r="243" spans="13:14">
      <c r="M243" s="106">
        <v>2034</v>
      </c>
      <c r="N243" s="213" t="str">
        <f t="shared" si="2"/>
        <v/>
      </c>
    </row>
    <row r="244" spans="13:14">
      <c r="M244" s="106">
        <v>2035</v>
      </c>
      <c r="N244" s="213" t="str">
        <f t="shared" si="2"/>
        <v/>
      </c>
    </row>
    <row r="245" spans="13:14">
      <c r="M245" s="106">
        <v>2038</v>
      </c>
      <c r="N245" s="213" t="str">
        <f t="shared" si="2"/>
        <v/>
      </c>
    </row>
    <row r="246" spans="13:14">
      <c r="M246" s="106">
        <v>2049</v>
      </c>
      <c r="N246" s="213" t="str">
        <f t="shared" si="2"/>
        <v/>
      </c>
    </row>
    <row r="247" spans="13:14">
      <c r="M247" s="106">
        <v>2059</v>
      </c>
      <c r="N247" s="213" t="str">
        <f t="shared" si="2"/>
        <v/>
      </c>
    </row>
    <row r="248" spans="13:14">
      <c r="M248" s="106">
        <v>2061</v>
      </c>
      <c r="N248" s="213" t="str">
        <f t="shared" si="2"/>
        <v/>
      </c>
    </row>
    <row r="249" spans="13:14">
      <c r="M249" s="106">
        <v>2062</v>
      </c>
      <c r="N249" s="213" t="str">
        <f t="shared" si="2"/>
        <v/>
      </c>
    </row>
    <row r="250" spans="13:14">
      <c r="M250" s="106">
        <v>2063</v>
      </c>
      <c r="N250" s="213" t="str">
        <f t="shared" si="2"/>
        <v/>
      </c>
    </row>
    <row r="251" spans="13:14">
      <c r="M251" s="106">
        <v>2064</v>
      </c>
      <c r="N251" s="213" t="str">
        <f t="shared" si="2"/>
        <v/>
      </c>
    </row>
    <row r="252" spans="13:14">
      <c r="M252" s="106">
        <v>2066</v>
      </c>
      <c r="N252" s="213" t="str">
        <f t="shared" si="2"/>
        <v/>
      </c>
    </row>
    <row r="253" spans="13:14">
      <c r="M253" s="106">
        <v>2067</v>
      </c>
      <c r="N253" s="213" t="str">
        <f t="shared" si="2"/>
        <v/>
      </c>
    </row>
    <row r="254" spans="13:14">
      <c r="M254" s="106">
        <v>2069</v>
      </c>
      <c r="N254" s="213" t="str">
        <f t="shared" si="2"/>
        <v/>
      </c>
    </row>
    <row r="255" spans="13:14">
      <c r="M255" s="106">
        <v>2101</v>
      </c>
      <c r="N255" s="213" t="str">
        <f t="shared" si="2"/>
        <v/>
      </c>
    </row>
    <row r="256" spans="13:14">
      <c r="M256" s="106">
        <v>2102</v>
      </c>
      <c r="N256" s="213" t="str">
        <f t="shared" ref="N256:N319" si="3">MID(O114,6,4)</f>
        <v/>
      </c>
    </row>
    <row r="257" spans="13:14">
      <c r="M257" s="106">
        <v>2103</v>
      </c>
      <c r="N257" s="213" t="str">
        <f t="shared" si="3"/>
        <v/>
      </c>
    </row>
    <row r="258" spans="13:14">
      <c r="M258" s="106">
        <v>2104</v>
      </c>
      <c r="N258" s="213" t="str">
        <f t="shared" si="3"/>
        <v/>
      </c>
    </row>
    <row r="259" spans="13:14">
      <c r="M259" s="106">
        <v>2105</v>
      </c>
      <c r="N259" s="213" t="str">
        <f t="shared" si="3"/>
        <v/>
      </c>
    </row>
    <row r="260" spans="13:14">
      <c r="M260" s="106">
        <v>2106</v>
      </c>
      <c r="N260" s="213" t="str">
        <f t="shared" si="3"/>
        <v/>
      </c>
    </row>
    <row r="261" spans="13:14">
      <c r="M261" s="106">
        <v>2107</v>
      </c>
      <c r="N261" s="213" t="str">
        <f t="shared" si="3"/>
        <v/>
      </c>
    </row>
    <row r="262" spans="13:14">
      <c r="M262" s="106">
        <v>2108</v>
      </c>
      <c r="N262" s="213" t="str">
        <f t="shared" si="3"/>
        <v/>
      </c>
    </row>
    <row r="263" spans="13:14">
      <c r="M263" s="106">
        <v>2109</v>
      </c>
      <c r="N263" s="213" t="str">
        <f t="shared" si="3"/>
        <v/>
      </c>
    </row>
    <row r="264" spans="13:14">
      <c r="M264" s="106">
        <v>2114</v>
      </c>
      <c r="N264" s="213" t="str">
        <f t="shared" si="3"/>
        <v/>
      </c>
    </row>
    <row r="265" spans="13:14">
      <c r="M265" s="106">
        <v>2115</v>
      </c>
      <c r="N265" s="213" t="str">
        <f t="shared" si="3"/>
        <v/>
      </c>
    </row>
    <row r="266" spans="13:14">
      <c r="M266" s="106">
        <v>2201</v>
      </c>
      <c r="N266" s="213" t="str">
        <f t="shared" si="3"/>
        <v/>
      </c>
    </row>
    <row r="267" spans="13:14">
      <c r="M267" s="106">
        <v>2204</v>
      </c>
      <c r="N267" s="213" t="str">
        <f t="shared" si="3"/>
        <v/>
      </c>
    </row>
    <row r="268" spans="13:14">
      <c r="M268" s="106">
        <v>2206</v>
      </c>
      <c r="N268" s="213" t="str">
        <f t="shared" si="3"/>
        <v/>
      </c>
    </row>
    <row r="269" spans="13:14">
      <c r="M269" s="106">
        <v>2207</v>
      </c>
      <c r="N269" s="213" t="str">
        <f t="shared" si="3"/>
        <v/>
      </c>
    </row>
    <row r="270" spans="13:14">
      <c r="M270" s="106">
        <v>2208</v>
      </c>
      <c r="N270" s="213" t="str">
        <f t="shared" si="3"/>
        <v/>
      </c>
    </row>
    <row r="271" spans="13:14">
      <c r="M271" s="106">
        <v>2221</v>
      </c>
      <c r="N271" s="213" t="str">
        <f t="shared" si="3"/>
        <v/>
      </c>
    </row>
    <row r="272" spans="13:14">
      <c r="M272" s="106">
        <v>2227</v>
      </c>
      <c r="N272" s="213" t="str">
        <f t="shared" si="3"/>
        <v/>
      </c>
    </row>
    <row r="273" spans="13:14">
      <c r="M273" s="106">
        <v>2228</v>
      </c>
      <c r="N273" s="213" t="str">
        <f t="shared" si="3"/>
        <v/>
      </c>
    </row>
    <row r="274" spans="13:14">
      <c r="M274" s="106">
        <v>2230</v>
      </c>
      <c r="N274" s="213" t="str">
        <f t="shared" si="3"/>
        <v/>
      </c>
    </row>
    <row r="275" spans="13:14">
      <c r="M275" s="106">
        <v>2231</v>
      </c>
      <c r="N275" s="213" t="str">
        <f t="shared" si="3"/>
        <v/>
      </c>
    </row>
    <row r="276" spans="13:14">
      <c r="M276" s="106">
        <v>2233</v>
      </c>
      <c r="N276" s="213" t="str">
        <f t="shared" si="3"/>
        <v/>
      </c>
    </row>
    <row r="277" spans="13:14">
      <c r="M277" s="106">
        <v>2235</v>
      </c>
      <c r="N277" s="213" t="str">
        <f t="shared" si="3"/>
        <v/>
      </c>
    </row>
    <row r="278" spans="13:14">
      <c r="M278" s="106">
        <v>2236</v>
      </c>
      <c r="N278" s="213" t="str">
        <f t="shared" si="3"/>
        <v/>
      </c>
    </row>
    <row r="279" spans="13:14">
      <c r="M279" s="106">
        <v>2239</v>
      </c>
      <c r="N279" s="213" t="str">
        <f t="shared" si="3"/>
        <v/>
      </c>
    </row>
    <row r="280" spans="13:14">
      <c r="M280" s="106">
        <v>2301</v>
      </c>
      <c r="N280" s="213" t="str">
        <f t="shared" si="3"/>
        <v/>
      </c>
    </row>
    <row r="281" spans="13:14">
      <c r="M281" s="106">
        <v>2302</v>
      </c>
      <c r="N281" s="213" t="str">
        <f t="shared" si="3"/>
        <v/>
      </c>
    </row>
    <row r="282" spans="13:14">
      <c r="M282" s="106">
        <v>2303</v>
      </c>
      <c r="N282" s="213" t="str">
        <f t="shared" si="3"/>
        <v/>
      </c>
    </row>
    <row r="283" spans="13:14">
      <c r="M283" s="106">
        <v>2305</v>
      </c>
      <c r="N283" s="213" t="str">
        <f t="shared" si="3"/>
        <v/>
      </c>
    </row>
    <row r="284" spans="13:14">
      <c r="M284" s="106">
        <v>2308</v>
      </c>
      <c r="N284" s="213" t="str">
        <f t="shared" si="3"/>
        <v/>
      </c>
    </row>
    <row r="285" spans="13:14">
      <c r="M285" s="106">
        <v>2311</v>
      </c>
      <c r="N285" s="213" t="str">
        <f t="shared" si="3"/>
        <v/>
      </c>
    </row>
    <row r="286" spans="13:14">
      <c r="M286" s="106">
        <v>2312</v>
      </c>
      <c r="N286" s="213" t="str">
        <f t="shared" si="3"/>
        <v/>
      </c>
    </row>
    <row r="287" spans="13:14">
      <c r="M287" s="106">
        <v>2313</v>
      </c>
      <c r="N287" s="213" t="str">
        <f t="shared" si="3"/>
        <v/>
      </c>
    </row>
    <row r="288" spans="13:14">
      <c r="M288" s="106">
        <v>2314</v>
      </c>
      <c r="N288" s="213" t="str">
        <f t="shared" si="3"/>
        <v/>
      </c>
    </row>
    <row r="289" spans="13:14">
      <c r="M289" s="106">
        <v>2316</v>
      </c>
      <c r="N289" s="213" t="str">
        <f t="shared" si="3"/>
        <v/>
      </c>
    </row>
    <row r="290" spans="13:14">
      <c r="M290" s="106">
        <v>2317</v>
      </c>
      <c r="N290" s="213" t="str">
        <f t="shared" si="3"/>
        <v/>
      </c>
    </row>
    <row r="291" spans="13:14">
      <c r="M291" s="106">
        <v>2321</v>
      </c>
      <c r="N291" s="213" t="str">
        <f t="shared" si="3"/>
        <v/>
      </c>
    </row>
    <row r="292" spans="13:14">
      <c r="M292" s="106">
        <v>2323</v>
      </c>
      <c r="N292" s="213" t="str">
        <f t="shared" si="3"/>
        <v/>
      </c>
    </row>
    <row r="293" spans="13:14">
      <c r="M293" s="106">
        <v>2324</v>
      </c>
      <c r="N293" s="213" t="str">
        <f t="shared" si="3"/>
        <v/>
      </c>
    </row>
    <row r="294" spans="13:14">
      <c r="M294" s="106">
        <v>2325</v>
      </c>
      <c r="N294" s="213" t="str">
        <f t="shared" si="3"/>
        <v/>
      </c>
    </row>
    <row r="295" spans="13:14">
      <c r="M295" s="106">
        <v>2327</v>
      </c>
      <c r="N295" s="213" t="str">
        <f t="shared" si="3"/>
        <v/>
      </c>
    </row>
    <row r="296" spans="13:14">
      <c r="M296" s="106">
        <v>2328</v>
      </c>
      <c r="N296" s="213" t="str">
        <f t="shared" si="3"/>
        <v/>
      </c>
    </row>
    <row r="297" spans="13:14">
      <c r="M297" s="106">
        <v>2329</v>
      </c>
      <c r="N297" s="213" t="str">
        <f t="shared" si="3"/>
        <v/>
      </c>
    </row>
    <row r="298" spans="13:14">
      <c r="M298" s="106">
        <v>2330</v>
      </c>
      <c r="N298" s="213" t="str">
        <f t="shared" si="3"/>
        <v/>
      </c>
    </row>
    <row r="299" spans="13:14">
      <c r="M299" s="106">
        <v>2331</v>
      </c>
      <c r="N299" s="213" t="str">
        <f t="shared" si="3"/>
        <v/>
      </c>
    </row>
    <row r="300" spans="13:14">
      <c r="M300" s="106">
        <v>2332</v>
      </c>
      <c r="N300" s="213" t="str">
        <f t="shared" si="3"/>
        <v/>
      </c>
    </row>
    <row r="301" spans="13:14">
      <c r="M301" s="106">
        <v>2337</v>
      </c>
      <c r="N301" s="213" t="str">
        <f t="shared" si="3"/>
        <v/>
      </c>
    </row>
    <row r="302" spans="13:14">
      <c r="M302" s="106">
        <v>2338</v>
      </c>
      <c r="N302" s="213" t="str">
        <f t="shared" si="3"/>
        <v/>
      </c>
    </row>
    <row r="303" spans="13:14">
      <c r="M303" s="106">
        <v>2340</v>
      </c>
      <c r="N303" s="213" t="str">
        <f t="shared" si="3"/>
        <v/>
      </c>
    </row>
    <row r="304" spans="13:14">
      <c r="M304" s="106">
        <v>2342</v>
      </c>
      <c r="N304" s="213" t="str">
        <f t="shared" si="3"/>
        <v/>
      </c>
    </row>
    <row r="305" spans="13:14">
      <c r="M305" s="106">
        <v>2344</v>
      </c>
      <c r="N305" s="213" t="str">
        <f t="shared" si="3"/>
        <v/>
      </c>
    </row>
    <row r="306" spans="13:14">
      <c r="M306" s="106">
        <v>2345</v>
      </c>
      <c r="N306" s="213" t="str">
        <f t="shared" si="3"/>
        <v/>
      </c>
    </row>
    <row r="307" spans="13:14">
      <c r="M307" s="106">
        <v>2347</v>
      </c>
      <c r="N307" s="213" t="str">
        <f t="shared" si="3"/>
        <v/>
      </c>
    </row>
    <row r="308" spans="13:14">
      <c r="M308" s="106">
        <v>2348</v>
      </c>
      <c r="N308" s="213" t="str">
        <f t="shared" si="3"/>
        <v/>
      </c>
    </row>
    <row r="309" spans="13:14">
      <c r="M309" s="106">
        <v>2349</v>
      </c>
      <c r="N309" s="213" t="str">
        <f t="shared" si="3"/>
        <v/>
      </c>
    </row>
    <row r="310" spans="13:14">
      <c r="M310" s="106">
        <v>2351</v>
      </c>
      <c r="N310" s="213" t="str">
        <f t="shared" si="3"/>
        <v/>
      </c>
    </row>
    <row r="311" spans="13:14">
      <c r="M311" s="106">
        <v>2352</v>
      </c>
      <c r="N311" s="213" t="str">
        <f t="shared" si="3"/>
        <v/>
      </c>
    </row>
    <row r="312" spans="13:14">
      <c r="M312" s="106">
        <v>2353</v>
      </c>
      <c r="N312" s="213" t="str">
        <f t="shared" si="3"/>
        <v/>
      </c>
    </row>
    <row r="313" spans="13:14">
      <c r="M313" s="106">
        <v>2354</v>
      </c>
      <c r="N313" s="213" t="str">
        <f t="shared" si="3"/>
        <v/>
      </c>
    </row>
    <row r="314" spans="13:14">
      <c r="M314" s="106">
        <v>2355</v>
      </c>
      <c r="N314" s="213" t="str">
        <f t="shared" si="3"/>
        <v/>
      </c>
    </row>
    <row r="315" spans="13:14">
      <c r="M315" s="106">
        <v>2356</v>
      </c>
      <c r="N315" s="213" t="str">
        <f t="shared" si="3"/>
        <v/>
      </c>
    </row>
    <row r="316" spans="13:14">
      <c r="M316" s="106">
        <v>2357</v>
      </c>
      <c r="N316" s="213" t="str">
        <f t="shared" si="3"/>
        <v/>
      </c>
    </row>
    <row r="317" spans="13:14">
      <c r="M317" s="106">
        <v>2358</v>
      </c>
      <c r="N317" s="213" t="str">
        <f t="shared" si="3"/>
        <v/>
      </c>
    </row>
    <row r="318" spans="13:14">
      <c r="M318" s="106">
        <v>2359</v>
      </c>
      <c r="N318" s="213" t="str">
        <f t="shared" si="3"/>
        <v/>
      </c>
    </row>
    <row r="319" spans="13:14">
      <c r="M319" s="106">
        <v>2360</v>
      </c>
      <c r="N319" s="213" t="str">
        <f t="shared" si="3"/>
        <v/>
      </c>
    </row>
    <row r="320" spans="13:14">
      <c r="M320" s="106">
        <v>2362</v>
      </c>
      <c r="N320" s="213" t="str">
        <f t="shared" ref="N320:N383" si="4">MID(O178,6,4)</f>
        <v/>
      </c>
    </row>
    <row r="321" spans="13:14">
      <c r="M321" s="106">
        <v>2363</v>
      </c>
      <c r="N321" s="213" t="str">
        <f t="shared" si="4"/>
        <v/>
      </c>
    </row>
    <row r="322" spans="13:14">
      <c r="M322" s="106">
        <v>2364</v>
      </c>
      <c r="N322" s="213" t="str">
        <f t="shared" si="4"/>
        <v/>
      </c>
    </row>
    <row r="323" spans="13:14">
      <c r="M323" s="106">
        <v>2365</v>
      </c>
      <c r="N323" s="213" t="str">
        <f t="shared" si="4"/>
        <v/>
      </c>
    </row>
    <row r="324" spans="13:14">
      <c r="M324" s="106">
        <v>2367</v>
      </c>
      <c r="N324" s="213" t="str">
        <f t="shared" si="4"/>
        <v/>
      </c>
    </row>
    <row r="325" spans="13:14">
      <c r="M325" s="106">
        <v>2368</v>
      </c>
      <c r="N325" s="213" t="str">
        <f t="shared" si="4"/>
        <v/>
      </c>
    </row>
    <row r="326" spans="13:14">
      <c r="M326" s="106">
        <v>2369</v>
      </c>
      <c r="N326" s="213" t="str">
        <f t="shared" si="4"/>
        <v/>
      </c>
    </row>
    <row r="327" spans="13:14">
      <c r="M327" s="106">
        <v>2371</v>
      </c>
      <c r="N327" s="213" t="str">
        <f t="shared" si="4"/>
        <v/>
      </c>
    </row>
    <row r="328" spans="13:14">
      <c r="M328" s="106">
        <v>2373</v>
      </c>
      <c r="N328" s="213" t="str">
        <f t="shared" si="4"/>
        <v/>
      </c>
    </row>
    <row r="329" spans="13:14">
      <c r="M329" s="106">
        <v>2374</v>
      </c>
      <c r="N329" s="213" t="str">
        <f t="shared" si="4"/>
        <v/>
      </c>
    </row>
    <row r="330" spans="13:14">
      <c r="M330" s="106">
        <v>2375</v>
      </c>
      <c r="N330" s="213" t="str">
        <f t="shared" si="4"/>
        <v/>
      </c>
    </row>
    <row r="331" spans="13:14">
      <c r="M331" s="106">
        <v>2376</v>
      </c>
      <c r="N331" s="213" t="str">
        <f t="shared" si="4"/>
        <v/>
      </c>
    </row>
    <row r="332" spans="13:14">
      <c r="M332" s="106">
        <v>2377</v>
      </c>
      <c r="N332" s="213" t="str">
        <f t="shared" si="4"/>
        <v/>
      </c>
    </row>
    <row r="333" spans="13:14">
      <c r="M333" s="106">
        <v>2379</v>
      </c>
      <c r="N333" s="213" t="str">
        <f t="shared" si="4"/>
        <v/>
      </c>
    </row>
    <row r="334" spans="13:14">
      <c r="M334" s="106">
        <v>2380</v>
      </c>
      <c r="N334" s="213" t="str">
        <f t="shared" si="4"/>
        <v/>
      </c>
    </row>
    <row r="335" spans="13:14">
      <c r="M335" s="106">
        <v>2382</v>
      </c>
      <c r="N335" s="213" t="str">
        <f t="shared" si="4"/>
        <v/>
      </c>
    </row>
    <row r="336" spans="13:14">
      <c r="M336" s="106">
        <v>2383</v>
      </c>
      <c r="N336" s="213" t="str">
        <f t="shared" si="4"/>
        <v/>
      </c>
    </row>
    <row r="337" spans="13:14">
      <c r="M337" s="106">
        <v>2385</v>
      </c>
      <c r="N337" s="213" t="str">
        <f t="shared" si="4"/>
        <v/>
      </c>
    </row>
    <row r="338" spans="13:14">
      <c r="M338" s="106">
        <v>2387</v>
      </c>
      <c r="N338" s="213" t="str">
        <f t="shared" si="4"/>
        <v/>
      </c>
    </row>
    <row r="339" spans="13:14">
      <c r="M339" s="106">
        <v>2388</v>
      </c>
      <c r="N339" s="213" t="str">
        <f t="shared" si="4"/>
        <v/>
      </c>
    </row>
    <row r="340" spans="13:14">
      <c r="M340" s="106">
        <v>2390</v>
      </c>
      <c r="N340" s="213" t="str">
        <f t="shared" si="4"/>
        <v/>
      </c>
    </row>
    <row r="341" spans="13:14">
      <c r="M341" s="106">
        <v>2392</v>
      </c>
      <c r="N341" s="213" t="str">
        <f t="shared" si="4"/>
        <v/>
      </c>
    </row>
    <row r="342" spans="13:14">
      <c r="M342" s="106">
        <v>2393</v>
      </c>
      <c r="N342" s="213" t="str">
        <f t="shared" si="4"/>
        <v/>
      </c>
    </row>
    <row r="343" spans="13:14">
      <c r="M343" s="106">
        <v>2395</v>
      </c>
      <c r="N343" s="213" t="str">
        <f t="shared" si="4"/>
        <v/>
      </c>
    </row>
    <row r="344" spans="13:14">
      <c r="M344" s="106">
        <v>2397</v>
      </c>
      <c r="N344" s="213" t="str">
        <f t="shared" si="4"/>
        <v/>
      </c>
    </row>
    <row r="345" spans="13:14">
      <c r="M345" s="106">
        <v>2399</v>
      </c>
      <c r="N345" s="213" t="str">
        <f t="shared" si="4"/>
        <v/>
      </c>
    </row>
    <row r="346" spans="13:14">
      <c r="M346" s="106">
        <v>2401</v>
      </c>
      <c r="N346" s="213" t="str">
        <f t="shared" si="4"/>
        <v/>
      </c>
    </row>
    <row r="347" spans="13:14">
      <c r="M347" s="106">
        <v>2402</v>
      </c>
      <c r="N347" s="213" t="str">
        <f t="shared" si="4"/>
        <v/>
      </c>
    </row>
    <row r="348" spans="13:14">
      <c r="M348" s="106">
        <v>2404</v>
      </c>
      <c r="N348" s="213" t="str">
        <f t="shared" si="4"/>
        <v/>
      </c>
    </row>
    <row r="349" spans="13:14">
      <c r="M349" s="106">
        <v>2405</v>
      </c>
      <c r="N349" s="213" t="str">
        <f t="shared" si="4"/>
        <v/>
      </c>
    </row>
    <row r="350" spans="13:14">
      <c r="M350" s="106">
        <v>2406</v>
      </c>
      <c r="N350" s="213" t="str">
        <f t="shared" si="4"/>
        <v/>
      </c>
    </row>
    <row r="351" spans="13:14">
      <c r="M351" s="106">
        <v>2408</v>
      </c>
      <c r="N351" s="213" t="str">
        <f t="shared" si="4"/>
        <v/>
      </c>
    </row>
    <row r="352" spans="13:14">
      <c r="M352" s="106">
        <v>2409</v>
      </c>
      <c r="N352" s="213" t="str">
        <f t="shared" si="4"/>
        <v/>
      </c>
    </row>
    <row r="353" spans="13:14">
      <c r="M353" s="106">
        <v>2412</v>
      </c>
      <c r="N353" s="213" t="str">
        <f t="shared" si="4"/>
        <v/>
      </c>
    </row>
    <row r="354" spans="13:14">
      <c r="M354" s="106">
        <v>2413</v>
      </c>
      <c r="N354" s="213" t="str">
        <f t="shared" si="4"/>
        <v/>
      </c>
    </row>
    <row r="355" spans="13:14">
      <c r="M355" s="106">
        <v>2414</v>
      </c>
      <c r="N355" s="213" t="str">
        <f t="shared" si="4"/>
        <v/>
      </c>
    </row>
    <row r="356" spans="13:14">
      <c r="M356" s="106">
        <v>2415</v>
      </c>
      <c r="N356" s="213" t="str">
        <f t="shared" si="4"/>
        <v/>
      </c>
    </row>
    <row r="357" spans="13:14">
      <c r="M357" s="106">
        <v>2417</v>
      </c>
      <c r="N357" s="213" t="str">
        <f t="shared" si="4"/>
        <v/>
      </c>
    </row>
    <row r="358" spans="13:14">
      <c r="M358" s="106">
        <v>2419</v>
      </c>
      <c r="N358" s="213" t="str">
        <f t="shared" si="4"/>
        <v/>
      </c>
    </row>
    <row r="359" spans="13:14">
      <c r="M359" s="106">
        <v>2420</v>
      </c>
      <c r="N359" s="213" t="str">
        <f t="shared" si="4"/>
        <v/>
      </c>
    </row>
    <row r="360" spans="13:14">
      <c r="M360" s="106">
        <v>2421</v>
      </c>
      <c r="N360" s="213" t="str">
        <f t="shared" si="4"/>
        <v/>
      </c>
    </row>
    <row r="361" spans="13:14">
      <c r="M361" s="106">
        <v>2423</v>
      </c>
      <c r="N361" s="213" t="str">
        <f t="shared" si="4"/>
        <v/>
      </c>
    </row>
    <row r="362" spans="13:14">
      <c r="M362" s="106">
        <v>2424</v>
      </c>
      <c r="N362" s="213" t="str">
        <f t="shared" si="4"/>
        <v/>
      </c>
    </row>
    <row r="363" spans="13:14">
      <c r="M363" s="106">
        <v>2425</v>
      </c>
      <c r="N363" s="213" t="str">
        <f t="shared" si="4"/>
        <v/>
      </c>
    </row>
    <row r="364" spans="13:14">
      <c r="M364" s="106">
        <v>2426</v>
      </c>
      <c r="N364" s="213" t="str">
        <f t="shared" si="4"/>
        <v/>
      </c>
    </row>
    <row r="365" spans="13:14">
      <c r="M365" s="106">
        <v>2427</v>
      </c>
      <c r="N365" s="213" t="str">
        <f t="shared" si="4"/>
        <v/>
      </c>
    </row>
    <row r="366" spans="13:14">
      <c r="M366" s="106">
        <v>2428</v>
      </c>
      <c r="N366" s="213" t="str">
        <f t="shared" si="4"/>
        <v/>
      </c>
    </row>
    <row r="367" spans="13:14">
      <c r="M367" s="106">
        <v>2429</v>
      </c>
      <c r="N367" s="213" t="str">
        <f t="shared" si="4"/>
        <v/>
      </c>
    </row>
    <row r="368" spans="13:14">
      <c r="M368" s="106">
        <v>2430</v>
      </c>
      <c r="N368" s="213" t="str">
        <f t="shared" si="4"/>
        <v/>
      </c>
    </row>
    <row r="369" spans="13:14">
      <c r="M369" s="106">
        <v>2431</v>
      </c>
      <c r="N369" s="213" t="str">
        <f t="shared" si="4"/>
        <v/>
      </c>
    </row>
    <row r="370" spans="13:14">
      <c r="M370" s="106">
        <v>2433</v>
      </c>
      <c r="N370" s="213" t="str">
        <f t="shared" si="4"/>
        <v/>
      </c>
    </row>
    <row r="371" spans="13:14">
      <c r="M371" s="106">
        <v>2434</v>
      </c>
      <c r="N371" s="213" t="str">
        <f t="shared" si="4"/>
        <v/>
      </c>
    </row>
    <row r="372" spans="13:14">
      <c r="M372" s="106">
        <v>2436</v>
      </c>
      <c r="N372" s="213" t="str">
        <f t="shared" si="4"/>
        <v/>
      </c>
    </row>
    <row r="373" spans="13:14">
      <c r="M373" s="106">
        <v>2437</v>
      </c>
      <c r="N373" s="213" t="str">
        <f t="shared" si="4"/>
        <v/>
      </c>
    </row>
    <row r="374" spans="13:14">
      <c r="M374" s="106">
        <v>2438</v>
      </c>
      <c r="N374" s="213" t="str">
        <f t="shared" si="4"/>
        <v/>
      </c>
    </row>
    <row r="375" spans="13:14">
      <c r="M375" s="106">
        <v>2439</v>
      </c>
      <c r="N375" s="213" t="str">
        <f t="shared" si="4"/>
        <v/>
      </c>
    </row>
    <row r="376" spans="13:14">
      <c r="M376" s="106">
        <v>2440</v>
      </c>
      <c r="N376" s="213" t="str">
        <f t="shared" si="4"/>
        <v/>
      </c>
    </row>
    <row r="377" spans="13:14">
      <c r="M377" s="106">
        <v>2441</v>
      </c>
      <c r="N377" s="213" t="str">
        <f t="shared" si="4"/>
        <v/>
      </c>
    </row>
    <row r="378" spans="13:14">
      <c r="M378" s="106">
        <v>2442</v>
      </c>
      <c r="N378" s="213" t="str">
        <f t="shared" si="4"/>
        <v/>
      </c>
    </row>
    <row r="379" spans="13:14">
      <c r="M379" s="106">
        <v>2443</v>
      </c>
      <c r="N379" s="213" t="str">
        <f t="shared" si="4"/>
        <v/>
      </c>
    </row>
    <row r="380" spans="13:14">
      <c r="M380" s="106">
        <v>2444</v>
      </c>
      <c r="N380" s="213" t="str">
        <f t="shared" si="4"/>
        <v/>
      </c>
    </row>
    <row r="381" spans="13:14">
      <c r="M381" s="106">
        <v>2448</v>
      </c>
      <c r="N381" s="213" t="str">
        <f t="shared" si="4"/>
        <v/>
      </c>
    </row>
    <row r="382" spans="13:14">
      <c r="M382" s="106">
        <v>2449</v>
      </c>
      <c r="N382" s="213" t="str">
        <f t="shared" si="4"/>
        <v/>
      </c>
    </row>
    <row r="383" spans="13:14">
      <c r="M383" s="106">
        <v>2450</v>
      </c>
      <c r="N383" s="213" t="str">
        <f t="shared" si="4"/>
        <v/>
      </c>
    </row>
    <row r="384" spans="13:14">
      <c r="M384" s="106">
        <v>2451</v>
      </c>
      <c r="N384" s="213" t="str">
        <f t="shared" ref="N384:N447" si="5">MID(O242,6,4)</f>
        <v/>
      </c>
    </row>
    <row r="385" spans="13:14">
      <c r="M385" s="106">
        <v>2453</v>
      </c>
      <c r="N385" s="213" t="str">
        <f t="shared" si="5"/>
        <v/>
      </c>
    </row>
    <row r="386" spans="13:14">
      <c r="M386" s="106">
        <v>2454</v>
      </c>
      <c r="N386" s="213" t="str">
        <f t="shared" si="5"/>
        <v/>
      </c>
    </row>
    <row r="387" spans="13:14">
      <c r="M387" s="106">
        <v>2455</v>
      </c>
      <c r="N387" s="213" t="str">
        <f t="shared" si="5"/>
        <v/>
      </c>
    </row>
    <row r="388" spans="13:14">
      <c r="M388" s="106">
        <v>2456</v>
      </c>
      <c r="N388" s="213" t="str">
        <f t="shared" si="5"/>
        <v/>
      </c>
    </row>
    <row r="389" spans="13:14">
      <c r="M389" s="106">
        <v>2457</v>
      </c>
      <c r="N389" s="213" t="str">
        <f t="shared" si="5"/>
        <v/>
      </c>
    </row>
    <row r="390" spans="13:14">
      <c r="M390" s="106">
        <v>2458</v>
      </c>
      <c r="N390" s="213" t="str">
        <f t="shared" si="5"/>
        <v/>
      </c>
    </row>
    <row r="391" spans="13:14">
      <c r="M391" s="106">
        <v>2459</v>
      </c>
      <c r="N391" s="213" t="str">
        <f t="shared" si="5"/>
        <v/>
      </c>
    </row>
    <row r="392" spans="13:14">
      <c r="M392" s="106">
        <v>2460</v>
      </c>
      <c r="N392" s="213" t="str">
        <f t="shared" si="5"/>
        <v/>
      </c>
    </row>
    <row r="393" spans="13:14">
      <c r="M393" s="106">
        <v>2461</v>
      </c>
      <c r="N393" s="213" t="str">
        <f t="shared" si="5"/>
        <v/>
      </c>
    </row>
    <row r="394" spans="13:14">
      <c r="M394" s="106">
        <v>2462</v>
      </c>
      <c r="N394" s="213" t="str">
        <f t="shared" si="5"/>
        <v/>
      </c>
    </row>
    <row r="395" spans="13:14">
      <c r="M395" s="106">
        <v>2464</v>
      </c>
      <c r="N395" s="213" t="str">
        <f t="shared" si="5"/>
        <v/>
      </c>
    </row>
    <row r="396" spans="13:14">
      <c r="M396" s="106">
        <v>2465</v>
      </c>
      <c r="N396" s="213" t="str">
        <f t="shared" si="5"/>
        <v/>
      </c>
    </row>
    <row r="397" spans="13:14">
      <c r="M397" s="106">
        <v>2466</v>
      </c>
      <c r="N397" s="213" t="str">
        <f t="shared" si="5"/>
        <v/>
      </c>
    </row>
    <row r="398" spans="13:14">
      <c r="M398" s="106">
        <v>2467</v>
      </c>
      <c r="N398" s="213" t="str">
        <f t="shared" si="5"/>
        <v/>
      </c>
    </row>
    <row r="399" spans="13:14">
      <c r="M399" s="106">
        <v>2468</v>
      </c>
      <c r="N399" s="213" t="str">
        <f t="shared" si="5"/>
        <v/>
      </c>
    </row>
    <row r="400" spans="13:14">
      <c r="M400" s="106">
        <v>2471</v>
      </c>
      <c r="N400" s="213" t="str">
        <f t="shared" si="5"/>
        <v/>
      </c>
    </row>
    <row r="401" spans="13:14">
      <c r="M401" s="106">
        <v>2472</v>
      </c>
      <c r="N401" s="213" t="str">
        <f t="shared" si="5"/>
        <v/>
      </c>
    </row>
    <row r="402" spans="13:14">
      <c r="M402" s="106">
        <v>2474</v>
      </c>
      <c r="N402" s="213" t="str">
        <f t="shared" si="5"/>
        <v/>
      </c>
    </row>
    <row r="403" spans="13:14">
      <c r="M403" s="106">
        <v>2475</v>
      </c>
      <c r="N403" s="213" t="str">
        <f t="shared" si="5"/>
        <v/>
      </c>
    </row>
    <row r="404" spans="13:14">
      <c r="M404" s="106">
        <v>2476</v>
      </c>
      <c r="N404" s="213" t="str">
        <f t="shared" si="5"/>
        <v/>
      </c>
    </row>
    <row r="405" spans="13:14">
      <c r="M405" s="106">
        <v>2477</v>
      </c>
      <c r="N405" s="213" t="str">
        <f t="shared" si="5"/>
        <v/>
      </c>
    </row>
    <row r="406" spans="13:14">
      <c r="M406" s="106">
        <v>2478</v>
      </c>
      <c r="N406" s="213" t="str">
        <f t="shared" si="5"/>
        <v/>
      </c>
    </row>
    <row r="407" spans="13:14">
      <c r="M407" s="106">
        <v>2480</v>
      </c>
      <c r="N407" s="213" t="str">
        <f t="shared" si="5"/>
        <v/>
      </c>
    </row>
    <row r="408" spans="13:14">
      <c r="M408" s="106">
        <v>2481</v>
      </c>
      <c r="N408" s="213" t="str">
        <f t="shared" si="5"/>
        <v/>
      </c>
    </row>
    <row r="409" spans="13:14">
      <c r="M409" s="106">
        <v>2482</v>
      </c>
      <c r="N409" s="213" t="str">
        <f t="shared" si="5"/>
        <v/>
      </c>
    </row>
    <row r="410" spans="13:14">
      <c r="M410" s="106">
        <v>2483</v>
      </c>
      <c r="N410" s="213" t="str">
        <f t="shared" si="5"/>
        <v/>
      </c>
    </row>
    <row r="411" spans="13:14">
      <c r="M411" s="106">
        <v>2484</v>
      </c>
      <c r="N411" s="213" t="str">
        <f t="shared" si="5"/>
        <v/>
      </c>
    </row>
    <row r="412" spans="13:14">
      <c r="M412" s="106">
        <v>2485</v>
      </c>
      <c r="N412" s="213" t="str">
        <f t="shared" si="5"/>
        <v/>
      </c>
    </row>
    <row r="413" spans="13:14">
      <c r="M413" s="106">
        <v>2486</v>
      </c>
      <c r="N413" s="213" t="str">
        <f t="shared" si="5"/>
        <v/>
      </c>
    </row>
    <row r="414" spans="13:14">
      <c r="M414" s="106">
        <v>2488</v>
      </c>
      <c r="N414" s="213" t="str">
        <f t="shared" si="5"/>
        <v/>
      </c>
    </row>
    <row r="415" spans="13:14">
      <c r="M415" s="106">
        <v>2489</v>
      </c>
      <c r="N415" s="213" t="str">
        <f t="shared" si="5"/>
        <v/>
      </c>
    </row>
    <row r="416" spans="13:14">
      <c r="M416" s="106">
        <v>2491</v>
      </c>
      <c r="N416" s="213" t="str">
        <f t="shared" si="5"/>
        <v/>
      </c>
    </row>
    <row r="417" spans="13:14">
      <c r="M417" s="106">
        <v>2492</v>
      </c>
      <c r="N417" s="213" t="str">
        <f t="shared" si="5"/>
        <v/>
      </c>
    </row>
    <row r="418" spans="13:14">
      <c r="M418" s="106">
        <v>2493</v>
      </c>
      <c r="N418" s="213" t="str">
        <f t="shared" si="5"/>
        <v/>
      </c>
    </row>
    <row r="419" spans="13:14">
      <c r="M419" s="106">
        <v>2495</v>
      </c>
      <c r="N419" s="213" t="str">
        <f t="shared" si="5"/>
        <v/>
      </c>
    </row>
    <row r="420" spans="13:14">
      <c r="M420" s="106">
        <v>2496</v>
      </c>
      <c r="N420" s="213" t="str">
        <f t="shared" si="5"/>
        <v/>
      </c>
    </row>
    <row r="421" spans="13:14">
      <c r="M421" s="106">
        <v>2497</v>
      </c>
      <c r="N421" s="213" t="str">
        <f t="shared" si="5"/>
        <v/>
      </c>
    </row>
    <row r="422" spans="13:14">
      <c r="M422" s="106">
        <v>2498</v>
      </c>
      <c r="N422" s="213" t="str">
        <f t="shared" si="5"/>
        <v/>
      </c>
    </row>
    <row r="423" spans="13:14">
      <c r="M423" s="106">
        <v>2499</v>
      </c>
      <c r="N423" s="213" t="str">
        <f t="shared" si="5"/>
        <v/>
      </c>
    </row>
    <row r="424" spans="13:14">
      <c r="M424" s="106">
        <v>2501</v>
      </c>
      <c r="N424" s="213" t="str">
        <f t="shared" si="5"/>
        <v/>
      </c>
    </row>
    <row r="425" spans="13:14">
      <c r="M425" s="106">
        <v>2504</v>
      </c>
      <c r="N425" s="213" t="str">
        <f t="shared" si="5"/>
        <v/>
      </c>
    </row>
    <row r="426" spans="13:14">
      <c r="M426" s="106">
        <v>2505</v>
      </c>
      <c r="N426" s="213" t="str">
        <f t="shared" si="5"/>
        <v/>
      </c>
    </row>
    <row r="427" spans="13:14">
      <c r="M427" s="106">
        <v>2506</v>
      </c>
      <c r="N427" s="213" t="str">
        <f t="shared" si="5"/>
        <v/>
      </c>
    </row>
    <row r="428" spans="13:14">
      <c r="M428" s="106">
        <v>2509</v>
      </c>
      <c r="N428" s="213" t="str">
        <f t="shared" si="5"/>
        <v/>
      </c>
    </row>
    <row r="429" spans="13:14">
      <c r="M429" s="106">
        <v>2511</v>
      </c>
      <c r="N429" s="213" t="str">
        <f t="shared" si="5"/>
        <v/>
      </c>
    </row>
    <row r="430" spans="13:14">
      <c r="M430" s="106">
        <v>2515</v>
      </c>
      <c r="N430" s="213" t="str">
        <f t="shared" si="5"/>
        <v/>
      </c>
    </row>
    <row r="431" spans="13:14">
      <c r="M431" s="106">
        <v>2516</v>
      </c>
      <c r="N431" s="213" t="str">
        <f t="shared" si="5"/>
        <v/>
      </c>
    </row>
    <row r="432" spans="13:14">
      <c r="M432" s="106">
        <v>2520</v>
      </c>
      <c r="N432" s="213" t="str">
        <f t="shared" si="5"/>
        <v/>
      </c>
    </row>
    <row r="433" spans="13:14">
      <c r="M433" s="106">
        <v>2524</v>
      </c>
      <c r="N433" s="213" t="str">
        <f t="shared" si="5"/>
        <v/>
      </c>
    </row>
    <row r="434" spans="13:14">
      <c r="M434" s="106">
        <v>2527</v>
      </c>
      <c r="N434" s="213" t="str">
        <f t="shared" si="5"/>
        <v/>
      </c>
    </row>
    <row r="435" spans="13:14">
      <c r="M435" s="106">
        <v>2528</v>
      </c>
      <c r="N435" s="213" t="str">
        <f t="shared" si="5"/>
        <v/>
      </c>
    </row>
    <row r="436" spans="13:14">
      <c r="M436" s="106">
        <v>2530</v>
      </c>
      <c r="N436" s="213" t="str">
        <f t="shared" si="5"/>
        <v/>
      </c>
    </row>
    <row r="437" spans="13:14">
      <c r="M437" s="106">
        <v>2534</v>
      </c>
      <c r="N437" s="213" t="str">
        <f t="shared" si="5"/>
        <v/>
      </c>
    </row>
    <row r="438" spans="13:14">
      <c r="M438" s="106">
        <v>2535</v>
      </c>
      <c r="N438" s="213" t="str">
        <f t="shared" si="5"/>
        <v/>
      </c>
    </row>
    <row r="439" spans="13:14">
      <c r="M439" s="106">
        <v>2536</v>
      </c>
      <c r="N439" s="213" t="str">
        <f t="shared" si="5"/>
        <v/>
      </c>
    </row>
    <row r="440" spans="13:14">
      <c r="M440" s="106">
        <v>2537</v>
      </c>
      <c r="N440" s="213" t="str">
        <f t="shared" si="5"/>
        <v/>
      </c>
    </row>
    <row r="441" spans="13:14">
      <c r="M441" s="106">
        <v>2538</v>
      </c>
      <c r="N441" s="213" t="str">
        <f t="shared" si="5"/>
        <v/>
      </c>
    </row>
    <row r="442" spans="13:14">
      <c r="M442" s="106">
        <v>2539</v>
      </c>
      <c r="N442" s="213" t="str">
        <f t="shared" si="5"/>
        <v/>
      </c>
    </row>
    <row r="443" spans="13:14">
      <c r="M443" s="106">
        <v>2540</v>
      </c>
      <c r="N443" s="213" t="str">
        <f t="shared" si="5"/>
        <v/>
      </c>
    </row>
    <row r="444" spans="13:14">
      <c r="M444" s="106">
        <v>2542</v>
      </c>
      <c r="N444" s="213" t="str">
        <f t="shared" si="5"/>
        <v/>
      </c>
    </row>
    <row r="445" spans="13:14">
      <c r="M445" s="106">
        <v>2543</v>
      </c>
      <c r="N445" s="213" t="str">
        <f t="shared" si="5"/>
        <v/>
      </c>
    </row>
    <row r="446" spans="13:14">
      <c r="M446" s="106">
        <v>2545</v>
      </c>
      <c r="N446" s="213" t="str">
        <f t="shared" si="5"/>
        <v/>
      </c>
    </row>
    <row r="447" spans="13:14">
      <c r="M447" s="106">
        <v>2546</v>
      </c>
      <c r="N447" s="213" t="str">
        <f t="shared" si="5"/>
        <v/>
      </c>
    </row>
    <row r="448" spans="13:14">
      <c r="M448" s="106">
        <v>2547</v>
      </c>
      <c r="N448" s="213" t="str">
        <f t="shared" ref="N448:N511" si="6">MID(O306,6,4)</f>
        <v/>
      </c>
    </row>
    <row r="449" spans="13:14">
      <c r="M449" s="106">
        <v>2548</v>
      </c>
      <c r="N449" s="213" t="str">
        <f t="shared" si="6"/>
        <v/>
      </c>
    </row>
    <row r="450" spans="13:14">
      <c r="M450" s="106">
        <v>2596</v>
      </c>
      <c r="N450" s="213" t="str">
        <f t="shared" si="6"/>
        <v/>
      </c>
    </row>
    <row r="451" spans="13:14">
      <c r="M451" s="106">
        <v>2597</v>
      </c>
      <c r="N451" s="213" t="str">
        <f t="shared" si="6"/>
        <v/>
      </c>
    </row>
    <row r="452" spans="13:14">
      <c r="M452" s="106">
        <v>2601</v>
      </c>
      <c r="N452" s="213" t="str">
        <f t="shared" si="6"/>
        <v/>
      </c>
    </row>
    <row r="453" spans="13:14">
      <c r="M453" s="106">
        <v>2603</v>
      </c>
      <c r="N453" s="213" t="str">
        <f t="shared" si="6"/>
        <v/>
      </c>
    </row>
    <row r="454" spans="13:14">
      <c r="M454" s="106">
        <v>2605</v>
      </c>
      <c r="N454" s="213" t="str">
        <f t="shared" si="6"/>
        <v/>
      </c>
    </row>
    <row r="455" spans="13:14">
      <c r="M455" s="106">
        <v>2606</v>
      </c>
      <c r="N455" s="213" t="str">
        <f t="shared" si="6"/>
        <v/>
      </c>
    </row>
    <row r="456" spans="13:14">
      <c r="M456" s="106">
        <v>2607</v>
      </c>
      <c r="N456" s="213" t="str">
        <f t="shared" si="6"/>
        <v/>
      </c>
    </row>
    <row r="457" spans="13:14">
      <c r="M457" s="106">
        <v>2608</v>
      </c>
      <c r="N457" s="213" t="str">
        <f t="shared" si="6"/>
        <v/>
      </c>
    </row>
    <row r="458" spans="13:14">
      <c r="M458" s="106">
        <v>2609</v>
      </c>
      <c r="N458" s="213" t="str">
        <f t="shared" si="6"/>
        <v/>
      </c>
    </row>
    <row r="459" spans="13:14">
      <c r="M459" s="106">
        <v>2610</v>
      </c>
      <c r="N459" s="213" t="str">
        <f t="shared" si="6"/>
        <v/>
      </c>
    </row>
    <row r="460" spans="13:14">
      <c r="M460" s="106">
        <v>2611</v>
      </c>
      <c r="N460" s="213" t="str">
        <f t="shared" si="6"/>
        <v/>
      </c>
    </row>
    <row r="461" spans="13:14">
      <c r="M461" s="106">
        <v>2612</v>
      </c>
      <c r="N461" s="213" t="str">
        <f t="shared" si="6"/>
        <v/>
      </c>
    </row>
    <row r="462" spans="13:14">
      <c r="M462" s="106">
        <v>2613</v>
      </c>
      <c r="N462" s="213" t="str">
        <f t="shared" si="6"/>
        <v/>
      </c>
    </row>
    <row r="463" spans="13:14">
      <c r="M463" s="106">
        <v>2614</v>
      </c>
      <c r="N463" s="213" t="str">
        <f t="shared" si="6"/>
        <v/>
      </c>
    </row>
    <row r="464" spans="13:14">
      <c r="M464" s="106">
        <v>2615</v>
      </c>
      <c r="N464" s="213" t="str">
        <f t="shared" si="6"/>
        <v/>
      </c>
    </row>
    <row r="465" spans="13:14">
      <c r="M465" s="106">
        <v>2616</v>
      </c>
      <c r="N465" s="213" t="str">
        <f t="shared" si="6"/>
        <v/>
      </c>
    </row>
    <row r="466" spans="13:14">
      <c r="M466" s="106">
        <v>2617</v>
      </c>
      <c r="N466" s="213" t="str">
        <f t="shared" si="6"/>
        <v/>
      </c>
    </row>
    <row r="467" spans="13:14">
      <c r="M467" s="106">
        <v>2618</v>
      </c>
      <c r="N467" s="213" t="str">
        <f t="shared" si="6"/>
        <v/>
      </c>
    </row>
    <row r="468" spans="13:14">
      <c r="M468" s="106">
        <v>2634</v>
      </c>
      <c r="N468" s="213" t="str">
        <f t="shared" si="6"/>
        <v/>
      </c>
    </row>
    <row r="469" spans="13:14">
      <c r="M469" s="106">
        <v>2636</v>
      </c>
      <c r="N469" s="213" t="str">
        <f t="shared" si="6"/>
        <v/>
      </c>
    </row>
    <row r="470" spans="13:14">
      <c r="M470" s="106">
        <v>2637</v>
      </c>
      <c r="N470" s="213" t="str">
        <f t="shared" si="6"/>
        <v/>
      </c>
    </row>
    <row r="471" spans="13:14">
      <c r="M471" s="106">
        <v>2640</v>
      </c>
      <c r="N471" s="213" t="str">
        <f t="shared" si="6"/>
        <v/>
      </c>
    </row>
    <row r="472" spans="13:14">
      <c r="M472" s="106">
        <v>2641</v>
      </c>
      <c r="N472" s="213" t="str">
        <f t="shared" si="6"/>
        <v/>
      </c>
    </row>
    <row r="473" spans="13:14">
      <c r="M473" s="106">
        <v>2642</v>
      </c>
      <c r="N473" s="213" t="str">
        <f t="shared" si="6"/>
        <v/>
      </c>
    </row>
    <row r="474" spans="13:14">
      <c r="M474" s="106">
        <v>2643</v>
      </c>
      <c r="N474" s="213" t="str">
        <f t="shared" si="6"/>
        <v/>
      </c>
    </row>
    <row r="475" spans="13:14">
      <c r="M475" s="106">
        <v>2701</v>
      </c>
      <c r="N475" s="213" t="str">
        <f t="shared" si="6"/>
        <v/>
      </c>
    </row>
    <row r="476" spans="13:14">
      <c r="M476" s="106">
        <v>2702</v>
      </c>
      <c r="N476" s="213" t="str">
        <f t="shared" si="6"/>
        <v/>
      </c>
    </row>
    <row r="477" spans="13:14">
      <c r="M477" s="106">
        <v>2704</v>
      </c>
      <c r="N477" s="213" t="str">
        <f t="shared" si="6"/>
        <v/>
      </c>
    </row>
    <row r="478" spans="13:14">
      <c r="M478" s="106">
        <v>2705</v>
      </c>
      <c r="N478" s="213" t="str">
        <f t="shared" si="6"/>
        <v/>
      </c>
    </row>
    <row r="479" spans="13:14">
      <c r="M479" s="106">
        <v>2706</v>
      </c>
      <c r="N479" s="213" t="str">
        <f t="shared" si="6"/>
        <v/>
      </c>
    </row>
    <row r="480" spans="13:14">
      <c r="M480" s="106">
        <v>2707</v>
      </c>
      <c r="N480" s="213" t="str">
        <f t="shared" si="6"/>
        <v/>
      </c>
    </row>
    <row r="481" spans="13:14">
      <c r="M481" s="106">
        <v>2712</v>
      </c>
      <c r="N481" s="213" t="str">
        <f t="shared" si="6"/>
        <v/>
      </c>
    </row>
    <row r="482" spans="13:14">
      <c r="M482" s="106">
        <v>2718</v>
      </c>
      <c r="N482" s="213" t="str">
        <f t="shared" si="6"/>
        <v/>
      </c>
    </row>
    <row r="483" spans="13:14">
      <c r="M483" s="106">
        <v>2719</v>
      </c>
      <c r="N483" s="213" t="str">
        <f t="shared" si="6"/>
        <v/>
      </c>
    </row>
    <row r="484" spans="13:14">
      <c r="M484" s="106">
        <v>2722</v>
      </c>
      <c r="N484" s="213" t="str">
        <f t="shared" si="6"/>
        <v/>
      </c>
    </row>
    <row r="485" spans="13:14">
      <c r="M485" s="106">
        <v>2723</v>
      </c>
      <c r="N485" s="213" t="str">
        <f t="shared" si="6"/>
        <v/>
      </c>
    </row>
    <row r="486" spans="13:14">
      <c r="M486" s="106">
        <v>2724</v>
      </c>
      <c r="N486" s="213" t="str">
        <f t="shared" si="6"/>
        <v/>
      </c>
    </row>
    <row r="487" spans="13:14">
      <c r="M487" s="106">
        <v>2726</v>
      </c>
      <c r="N487" s="213" t="str">
        <f t="shared" si="6"/>
        <v/>
      </c>
    </row>
    <row r="488" spans="13:14">
      <c r="M488" s="106">
        <v>2727</v>
      </c>
      <c r="N488" s="213" t="str">
        <f t="shared" si="6"/>
        <v/>
      </c>
    </row>
    <row r="489" spans="13:14">
      <c r="M489" s="106">
        <v>2729</v>
      </c>
      <c r="N489" s="213" t="str">
        <f t="shared" si="6"/>
        <v/>
      </c>
    </row>
    <row r="490" spans="13:14">
      <c r="M490" s="106">
        <v>2731</v>
      </c>
      <c r="N490" s="213" t="str">
        <f t="shared" si="6"/>
        <v/>
      </c>
    </row>
    <row r="491" spans="13:14">
      <c r="M491" s="106">
        <v>2732</v>
      </c>
      <c r="N491" s="213" t="str">
        <f t="shared" si="6"/>
        <v/>
      </c>
    </row>
    <row r="492" spans="13:14">
      <c r="M492" s="106">
        <v>2734</v>
      </c>
      <c r="N492" s="213" t="str">
        <f t="shared" si="6"/>
        <v/>
      </c>
    </row>
    <row r="493" spans="13:14">
      <c r="M493" s="106">
        <v>2736</v>
      </c>
      <c r="N493" s="213" t="str">
        <f t="shared" si="6"/>
        <v/>
      </c>
    </row>
    <row r="494" spans="13:14">
      <c r="M494" s="106">
        <v>2739</v>
      </c>
      <c r="N494" s="213" t="str">
        <f t="shared" si="6"/>
        <v/>
      </c>
    </row>
    <row r="495" spans="13:14">
      <c r="M495" s="106">
        <v>2740</v>
      </c>
      <c r="N495" s="213" t="str">
        <f t="shared" si="6"/>
        <v/>
      </c>
    </row>
    <row r="496" spans="13:14">
      <c r="M496" s="106">
        <v>2841</v>
      </c>
      <c r="N496" s="213" t="str">
        <f t="shared" si="6"/>
        <v/>
      </c>
    </row>
    <row r="497" spans="13:14">
      <c r="M497" s="106">
        <v>2901</v>
      </c>
      <c r="N497" s="213" t="str">
        <f t="shared" si="6"/>
        <v/>
      </c>
    </row>
    <row r="498" spans="13:14">
      <c r="M498" s="106">
        <v>2903</v>
      </c>
      <c r="N498" s="213" t="str">
        <f t="shared" si="6"/>
        <v/>
      </c>
    </row>
    <row r="499" spans="13:14">
      <c r="M499" s="106">
        <v>2904</v>
      </c>
      <c r="N499" s="213" t="str">
        <f t="shared" si="6"/>
        <v/>
      </c>
    </row>
    <row r="500" spans="13:14">
      <c r="M500" s="106">
        <v>2906</v>
      </c>
      <c r="N500" s="213" t="str">
        <f t="shared" si="6"/>
        <v/>
      </c>
    </row>
    <row r="501" spans="13:14">
      <c r="M501" s="106">
        <v>2908</v>
      </c>
      <c r="N501" s="213" t="str">
        <f t="shared" si="6"/>
        <v/>
      </c>
    </row>
    <row r="502" spans="13:14">
      <c r="M502" s="106">
        <v>2910</v>
      </c>
      <c r="N502" s="213" t="str">
        <f t="shared" si="6"/>
        <v/>
      </c>
    </row>
    <row r="503" spans="13:14">
      <c r="M503" s="106">
        <v>2911</v>
      </c>
      <c r="N503" s="213" t="str">
        <f t="shared" si="6"/>
        <v/>
      </c>
    </row>
    <row r="504" spans="13:14">
      <c r="M504" s="106">
        <v>2912</v>
      </c>
      <c r="N504" s="213" t="str">
        <f t="shared" si="6"/>
        <v/>
      </c>
    </row>
    <row r="505" spans="13:14">
      <c r="M505" s="106">
        <v>2913</v>
      </c>
      <c r="N505" s="213" t="str">
        <f t="shared" si="6"/>
        <v/>
      </c>
    </row>
    <row r="506" spans="13:14">
      <c r="M506" s="106">
        <v>2915</v>
      </c>
      <c r="N506" s="213" t="str">
        <f t="shared" si="6"/>
        <v/>
      </c>
    </row>
    <row r="507" spans="13:14">
      <c r="M507" s="106">
        <v>2916</v>
      </c>
      <c r="N507" s="213" t="str">
        <f t="shared" si="6"/>
        <v/>
      </c>
    </row>
    <row r="508" spans="13:14">
      <c r="M508" s="106">
        <v>2923</v>
      </c>
      <c r="N508" s="213" t="str">
        <f t="shared" si="6"/>
        <v/>
      </c>
    </row>
    <row r="509" spans="13:14">
      <c r="M509" s="106">
        <v>2924</v>
      </c>
      <c r="N509" s="213" t="str">
        <f t="shared" si="6"/>
        <v/>
      </c>
    </row>
    <row r="510" spans="13:14">
      <c r="M510" s="106">
        <v>2926</v>
      </c>
      <c r="N510" s="213" t="str">
        <f t="shared" si="6"/>
        <v/>
      </c>
    </row>
    <row r="511" spans="13:14">
      <c r="M511" s="106">
        <v>2928</v>
      </c>
      <c r="N511" s="213" t="str">
        <f t="shared" si="6"/>
        <v/>
      </c>
    </row>
    <row r="512" spans="13:14">
      <c r="M512" s="106">
        <v>2929</v>
      </c>
      <c r="N512" s="213" t="str">
        <f t="shared" ref="N512:N575" si="7">MID(O370,6,4)</f>
        <v/>
      </c>
    </row>
    <row r="513" spans="13:14">
      <c r="M513" s="106">
        <v>3002</v>
      </c>
      <c r="N513" s="213" t="str">
        <f t="shared" si="7"/>
        <v/>
      </c>
    </row>
    <row r="514" spans="13:14">
      <c r="M514" s="106">
        <v>3003</v>
      </c>
      <c r="N514" s="213" t="str">
        <f t="shared" si="7"/>
        <v/>
      </c>
    </row>
    <row r="515" spans="13:14">
      <c r="M515" s="106">
        <v>3004</v>
      </c>
      <c r="N515" s="213" t="str">
        <f t="shared" si="7"/>
        <v/>
      </c>
    </row>
    <row r="516" spans="13:14">
      <c r="M516" s="106">
        <v>3005</v>
      </c>
      <c r="N516" s="213" t="str">
        <f t="shared" si="7"/>
        <v/>
      </c>
    </row>
    <row r="517" spans="13:14">
      <c r="M517" s="106">
        <v>3006</v>
      </c>
      <c r="N517" s="213" t="str">
        <f t="shared" si="7"/>
        <v/>
      </c>
    </row>
    <row r="518" spans="13:14">
      <c r="M518" s="106">
        <v>3008</v>
      </c>
      <c r="N518" s="213" t="str">
        <f t="shared" si="7"/>
        <v/>
      </c>
    </row>
    <row r="519" spans="13:14">
      <c r="M519" s="106">
        <v>3010</v>
      </c>
      <c r="N519" s="213" t="str">
        <f t="shared" si="7"/>
        <v/>
      </c>
    </row>
    <row r="520" spans="13:14">
      <c r="M520" s="106">
        <v>3011</v>
      </c>
      <c r="N520" s="213" t="str">
        <f t="shared" si="7"/>
        <v/>
      </c>
    </row>
    <row r="521" spans="13:14">
      <c r="M521" s="106">
        <v>3013</v>
      </c>
      <c r="N521" s="213" t="str">
        <f t="shared" si="7"/>
        <v/>
      </c>
    </row>
    <row r="522" spans="13:14">
      <c r="M522" s="106">
        <v>3014</v>
      </c>
      <c r="N522" s="213" t="str">
        <f t="shared" si="7"/>
        <v/>
      </c>
    </row>
    <row r="523" spans="13:14">
      <c r="M523" s="106">
        <v>3015</v>
      </c>
      <c r="N523" s="213" t="str">
        <f t="shared" si="7"/>
        <v/>
      </c>
    </row>
    <row r="524" spans="13:14">
      <c r="M524" s="106">
        <v>3016</v>
      </c>
      <c r="N524" s="213" t="str">
        <f t="shared" si="7"/>
        <v/>
      </c>
    </row>
    <row r="525" spans="13:14">
      <c r="M525" s="106">
        <v>3017</v>
      </c>
      <c r="N525" s="213" t="str">
        <f t="shared" si="7"/>
        <v/>
      </c>
    </row>
    <row r="526" spans="13:14">
      <c r="M526" s="106">
        <v>3018</v>
      </c>
      <c r="N526" s="213" t="str">
        <f t="shared" si="7"/>
        <v/>
      </c>
    </row>
    <row r="527" spans="13:14">
      <c r="M527" s="106">
        <v>3019</v>
      </c>
      <c r="N527" s="213" t="str">
        <f t="shared" si="7"/>
        <v/>
      </c>
    </row>
    <row r="528" spans="13:14">
      <c r="M528" s="106">
        <v>3021</v>
      </c>
      <c r="N528" s="213" t="str">
        <f t="shared" si="7"/>
        <v/>
      </c>
    </row>
    <row r="529" spans="13:14">
      <c r="M529" s="106">
        <v>3022</v>
      </c>
      <c r="N529" s="213" t="str">
        <f t="shared" si="7"/>
        <v/>
      </c>
    </row>
    <row r="530" spans="13:14">
      <c r="M530" s="106">
        <v>3023</v>
      </c>
      <c r="N530" s="213" t="str">
        <f t="shared" si="7"/>
        <v/>
      </c>
    </row>
    <row r="531" spans="13:14">
      <c r="M531" s="106">
        <v>3024</v>
      </c>
      <c r="N531" s="213" t="str">
        <f t="shared" si="7"/>
        <v/>
      </c>
    </row>
    <row r="532" spans="13:14">
      <c r="M532" s="106">
        <v>3025</v>
      </c>
      <c r="N532" s="213" t="str">
        <f t="shared" si="7"/>
        <v/>
      </c>
    </row>
    <row r="533" spans="13:14">
      <c r="M533" s="106">
        <v>3026</v>
      </c>
      <c r="N533" s="213" t="str">
        <f t="shared" si="7"/>
        <v/>
      </c>
    </row>
    <row r="534" spans="13:14">
      <c r="M534" s="106">
        <v>3027</v>
      </c>
      <c r="N534" s="213" t="str">
        <f t="shared" si="7"/>
        <v/>
      </c>
    </row>
    <row r="535" spans="13:14">
      <c r="M535" s="106">
        <v>3028</v>
      </c>
      <c r="N535" s="213" t="str">
        <f t="shared" si="7"/>
        <v/>
      </c>
    </row>
    <row r="536" spans="13:14">
      <c r="M536" s="106">
        <v>3029</v>
      </c>
      <c r="N536" s="213" t="str">
        <f t="shared" si="7"/>
        <v/>
      </c>
    </row>
    <row r="537" spans="13:14">
      <c r="M537" s="106">
        <v>3030</v>
      </c>
      <c r="N537" s="213" t="str">
        <f t="shared" si="7"/>
        <v/>
      </c>
    </row>
    <row r="538" spans="13:14">
      <c r="M538" s="106">
        <v>3031</v>
      </c>
      <c r="N538" s="213" t="str">
        <f t="shared" si="7"/>
        <v/>
      </c>
    </row>
    <row r="539" spans="13:14">
      <c r="M539" s="106">
        <v>3032</v>
      </c>
      <c r="N539" s="213" t="str">
        <f t="shared" si="7"/>
        <v/>
      </c>
    </row>
    <row r="540" spans="13:14">
      <c r="M540" s="106">
        <v>3033</v>
      </c>
      <c r="N540" s="213" t="str">
        <f t="shared" si="7"/>
        <v/>
      </c>
    </row>
    <row r="541" spans="13:14">
      <c r="M541" s="106">
        <v>3034</v>
      </c>
      <c r="N541" s="213" t="str">
        <f t="shared" si="7"/>
        <v/>
      </c>
    </row>
    <row r="542" spans="13:14">
      <c r="M542" s="106">
        <v>3035</v>
      </c>
      <c r="N542" s="213" t="str">
        <f t="shared" si="7"/>
        <v/>
      </c>
    </row>
    <row r="543" spans="13:14">
      <c r="M543" s="106">
        <v>3036</v>
      </c>
      <c r="N543" s="213" t="str">
        <f t="shared" si="7"/>
        <v/>
      </c>
    </row>
    <row r="544" spans="13:14">
      <c r="M544" s="106">
        <v>3037</v>
      </c>
      <c r="N544" s="213" t="str">
        <f t="shared" si="7"/>
        <v/>
      </c>
    </row>
    <row r="545" spans="13:14">
      <c r="M545" s="106">
        <v>3038</v>
      </c>
      <c r="N545" s="213" t="str">
        <f t="shared" si="7"/>
        <v/>
      </c>
    </row>
    <row r="546" spans="13:14">
      <c r="M546" s="106">
        <v>3040</v>
      </c>
      <c r="N546" s="213" t="str">
        <f t="shared" si="7"/>
        <v/>
      </c>
    </row>
    <row r="547" spans="13:14">
      <c r="M547" s="106">
        <v>3041</v>
      </c>
      <c r="N547" s="213" t="str">
        <f t="shared" si="7"/>
        <v/>
      </c>
    </row>
    <row r="548" spans="13:14">
      <c r="M548" s="106">
        <v>3042</v>
      </c>
      <c r="N548" s="213" t="str">
        <f t="shared" si="7"/>
        <v/>
      </c>
    </row>
    <row r="549" spans="13:14">
      <c r="M549" s="106">
        <v>3043</v>
      </c>
      <c r="N549" s="213" t="str">
        <f t="shared" si="7"/>
        <v/>
      </c>
    </row>
    <row r="550" spans="13:14">
      <c r="M550" s="106">
        <v>3044</v>
      </c>
      <c r="N550" s="213" t="str">
        <f t="shared" si="7"/>
        <v/>
      </c>
    </row>
    <row r="551" spans="13:14">
      <c r="M551" s="106">
        <v>3045</v>
      </c>
      <c r="N551" s="213" t="str">
        <f t="shared" si="7"/>
        <v/>
      </c>
    </row>
    <row r="552" spans="13:14">
      <c r="M552" s="106">
        <v>3046</v>
      </c>
      <c r="N552" s="213" t="str">
        <f t="shared" si="7"/>
        <v/>
      </c>
    </row>
    <row r="553" spans="13:14">
      <c r="M553" s="106">
        <v>3047</v>
      </c>
      <c r="N553" s="213" t="str">
        <f t="shared" si="7"/>
        <v/>
      </c>
    </row>
    <row r="554" spans="13:14">
      <c r="M554" s="106">
        <v>3048</v>
      </c>
      <c r="N554" s="213" t="str">
        <f t="shared" si="7"/>
        <v/>
      </c>
    </row>
    <row r="555" spans="13:14">
      <c r="M555" s="106">
        <v>3049</v>
      </c>
      <c r="N555" s="213" t="str">
        <f t="shared" si="7"/>
        <v/>
      </c>
    </row>
    <row r="556" spans="13:14">
      <c r="M556" s="106">
        <v>3050</v>
      </c>
      <c r="N556" s="213" t="str">
        <f t="shared" si="7"/>
        <v/>
      </c>
    </row>
    <row r="557" spans="13:14">
      <c r="M557" s="106">
        <v>3051</v>
      </c>
      <c r="N557" s="213" t="str">
        <f t="shared" si="7"/>
        <v/>
      </c>
    </row>
    <row r="558" spans="13:14">
      <c r="M558" s="106">
        <v>3052</v>
      </c>
      <c r="N558" s="213" t="str">
        <f t="shared" si="7"/>
        <v/>
      </c>
    </row>
    <row r="559" spans="13:14">
      <c r="M559" s="106">
        <v>3054</v>
      </c>
      <c r="N559" s="213" t="str">
        <f t="shared" si="7"/>
        <v/>
      </c>
    </row>
    <row r="560" spans="13:14">
      <c r="M560" s="106">
        <v>3055</v>
      </c>
      <c r="N560" s="213" t="str">
        <f t="shared" si="7"/>
        <v/>
      </c>
    </row>
    <row r="561" spans="13:14">
      <c r="M561" s="106">
        <v>3056</v>
      </c>
      <c r="N561" s="213" t="str">
        <f t="shared" si="7"/>
        <v/>
      </c>
    </row>
    <row r="562" spans="13:14">
      <c r="M562" s="106">
        <v>3057</v>
      </c>
      <c r="N562" s="213" t="str">
        <f t="shared" si="7"/>
        <v/>
      </c>
    </row>
    <row r="563" spans="13:14">
      <c r="M563" s="106">
        <v>3058</v>
      </c>
      <c r="N563" s="213" t="str">
        <f t="shared" si="7"/>
        <v/>
      </c>
    </row>
    <row r="564" spans="13:14">
      <c r="M564" s="106">
        <v>3059</v>
      </c>
      <c r="N564" s="213" t="str">
        <f t="shared" si="7"/>
        <v/>
      </c>
    </row>
    <row r="565" spans="13:14">
      <c r="M565" s="106">
        <v>3060</v>
      </c>
      <c r="N565" s="213" t="str">
        <f t="shared" si="7"/>
        <v/>
      </c>
    </row>
    <row r="566" spans="13:14">
      <c r="M566" s="106">
        <v>3062</v>
      </c>
      <c r="N566" s="213" t="str">
        <f t="shared" si="7"/>
        <v/>
      </c>
    </row>
    <row r="567" spans="13:14">
      <c r="M567" s="106">
        <v>3064</v>
      </c>
      <c r="N567" s="213" t="str">
        <f t="shared" si="7"/>
        <v/>
      </c>
    </row>
    <row r="568" spans="13:14">
      <c r="M568" s="106">
        <v>3066</v>
      </c>
      <c r="N568" s="213" t="str">
        <f t="shared" si="7"/>
        <v/>
      </c>
    </row>
    <row r="569" spans="13:14">
      <c r="M569" s="106">
        <v>3067</v>
      </c>
      <c r="N569" s="213" t="str">
        <f t="shared" si="7"/>
        <v/>
      </c>
    </row>
    <row r="570" spans="13:14">
      <c r="M570" s="106">
        <v>3068</v>
      </c>
      <c r="N570" s="213" t="str">
        <f t="shared" si="7"/>
        <v/>
      </c>
    </row>
    <row r="571" spans="13:14">
      <c r="M571" s="106">
        <v>3071</v>
      </c>
      <c r="N571" s="213" t="str">
        <f t="shared" si="7"/>
        <v/>
      </c>
    </row>
    <row r="572" spans="13:14">
      <c r="M572" s="106">
        <v>3073</v>
      </c>
      <c r="N572" s="213" t="str">
        <f t="shared" si="7"/>
        <v/>
      </c>
    </row>
    <row r="573" spans="13:14">
      <c r="M573" s="106">
        <v>3078</v>
      </c>
      <c r="N573" s="213" t="str">
        <f t="shared" si="7"/>
        <v/>
      </c>
    </row>
    <row r="574" spans="13:14">
      <c r="M574" s="106">
        <v>3081</v>
      </c>
      <c r="N574" s="213" t="str">
        <f t="shared" si="7"/>
        <v/>
      </c>
    </row>
    <row r="575" spans="13:14">
      <c r="M575" s="106">
        <v>3083</v>
      </c>
      <c r="N575" s="213" t="str">
        <f t="shared" si="7"/>
        <v/>
      </c>
    </row>
    <row r="576" spans="13:14">
      <c r="M576" s="106">
        <v>3085</v>
      </c>
      <c r="N576" s="213" t="str">
        <f t="shared" ref="N576:N639" si="8">MID(O434,6,4)</f>
        <v/>
      </c>
    </row>
    <row r="577" spans="13:14">
      <c r="M577" s="106">
        <v>3086</v>
      </c>
      <c r="N577" s="213" t="str">
        <f t="shared" si="8"/>
        <v/>
      </c>
    </row>
    <row r="578" spans="13:14">
      <c r="M578" s="106">
        <v>3088</v>
      </c>
      <c r="N578" s="213" t="str">
        <f t="shared" si="8"/>
        <v/>
      </c>
    </row>
    <row r="579" spans="13:14">
      <c r="M579" s="106">
        <v>3089</v>
      </c>
      <c r="N579" s="213" t="str">
        <f t="shared" si="8"/>
        <v/>
      </c>
    </row>
    <row r="580" spans="13:14">
      <c r="M580" s="106">
        <v>3090</v>
      </c>
      <c r="N580" s="213" t="str">
        <f t="shared" si="8"/>
        <v/>
      </c>
    </row>
    <row r="581" spans="13:14">
      <c r="M581" s="106">
        <v>3092</v>
      </c>
      <c r="N581" s="213" t="str">
        <f t="shared" si="8"/>
        <v/>
      </c>
    </row>
    <row r="582" spans="13:14">
      <c r="M582" s="106">
        <v>3093</v>
      </c>
      <c r="N582" s="213" t="str">
        <f t="shared" si="8"/>
        <v/>
      </c>
    </row>
    <row r="583" spans="13:14">
      <c r="M583" s="106">
        <v>3094</v>
      </c>
      <c r="N583" s="213" t="str">
        <f t="shared" si="8"/>
        <v/>
      </c>
    </row>
    <row r="584" spans="13:14">
      <c r="M584" s="106">
        <v>3095</v>
      </c>
      <c r="N584" s="213" t="str">
        <f t="shared" si="8"/>
        <v/>
      </c>
    </row>
    <row r="585" spans="13:14">
      <c r="M585" s="106">
        <v>3105</v>
      </c>
      <c r="N585" s="213" t="str">
        <f t="shared" si="8"/>
        <v/>
      </c>
    </row>
    <row r="586" spans="13:14">
      <c r="M586" s="106">
        <v>3114</v>
      </c>
      <c r="N586" s="213" t="str">
        <f t="shared" si="8"/>
        <v/>
      </c>
    </row>
    <row r="587" spans="13:14">
      <c r="M587" s="106">
        <v>3115</v>
      </c>
      <c r="N587" s="213" t="str">
        <f t="shared" si="8"/>
        <v/>
      </c>
    </row>
    <row r="588" spans="13:14">
      <c r="M588" s="106">
        <v>3118</v>
      </c>
      <c r="N588" s="213" t="str">
        <f t="shared" si="8"/>
        <v/>
      </c>
    </row>
    <row r="589" spans="13:14">
      <c r="M589" s="106">
        <v>3122</v>
      </c>
      <c r="N589" s="213" t="str">
        <f t="shared" si="8"/>
        <v/>
      </c>
    </row>
    <row r="590" spans="13:14">
      <c r="M590" s="106">
        <v>3128</v>
      </c>
      <c r="N590" s="213" t="str">
        <f t="shared" si="8"/>
        <v/>
      </c>
    </row>
    <row r="591" spans="13:14">
      <c r="M591" s="106">
        <v>3130</v>
      </c>
      <c r="N591" s="213" t="str">
        <f t="shared" si="8"/>
        <v/>
      </c>
    </row>
    <row r="592" spans="13:14">
      <c r="M592" s="106">
        <v>3131</v>
      </c>
      <c r="N592" s="213" t="str">
        <f t="shared" si="8"/>
        <v/>
      </c>
    </row>
    <row r="593" spans="13:14">
      <c r="M593" s="106">
        <v>3141</v>
      </c>
      <c r="N593" s="213" t="str">
        <f t="shared" si="8"/>
        <v/>
      </c>
    </row>
    <row r="594" spans="13:14">
      <c r="M594" s="106">
        <v>3144</v>
      </c>
      <c r="N594" s="213" t="str">
        <f t="shared" si="8"/>
        <v/>
      </c>
    </row>
    <row r="595" spans="13:14">
      <c r="M595" s="106">
        <v>3149</v>
      </c>
      <c r="N595" s="213" t="str">
        <f t="shared" si="8"/>
        <v/>
      </c>
    </row>
    <row r="596" spans="13:14">
      <c r="M596" s="106">
        <v>3152</v>
      </c>
      <c r="N596" s="213" t="str">
        <f t="shared" si="8"/>
        <v/>
      </c>
    </row>
    <row r="597" spans="13:14">
      <c r="M597" s="106">
        <v>3162</v>
      </c>
      <c r="N597" s="213" t="str">
        <f t="shared" si="8"/>
        <v/>
      </c>
    </row>
    <row r="598" spans="13:14">
      <c r="M598" s="106">
        <v>3163</v>
      </c>
      <c r="N598" s="213" t="str">
        <f t="shared" si="8"/>
        <v/>
      </c>
    </row>
    <row r="599" spans="13:14">
      <c r="M599" s="106">
        <v>3164</v>
      </c>
      <c r="N599" s="213" t="str">
        <f t="shared" si="8"/>
        <v/>
      </c>
    </row>
    <row r="600" spans="13:14">
      <c r="M600" s="106">
        <v>3167</v>
      </c>
      <c r="N600" s="213" t="str">
        <f t="shared" si="8"/>
        <v/>
      </c>
    </row>
    <row r="601" spans="13:14">
      <c r="M601" s="106">
        <v>3169</v>
      </c>
      <c r="N601" s="213" t="str">
        <f t="shared" si="8"/>
        <v/>
      </c>
    </row>
    <row r="602" spans="13:14">
      <c r="M602" s="106">
        <v>3171</v>
      </c>
      <c r="N602" s="213" t="str">
        <f t="shared" si="8"/>
        <v/>
      </c>
    </row>
    <row r="603" spans="13:14">
      <c r="M603" s="106">
        <v>3176</v>
      </c>
      <c r="N603" s="213" t="str">
        <f t="shared" si="8"/>
        <v/>
      </c>
    </row>
    <row r="604" spans="13:14">
      <c r="M604" s="106">
        <v>3188</v>
      </c>
      <c r="N604" s="213" t="str">
        <f t="shared" si="8"/>
        <v/>
      </c>
    </row>
    <row r="605" spans="13:14">
      <c r="M605" s="106">
        <v>3189</v>
      </c>
      <c r="N605" s="213" t="str">
        <f t="shared" si="8"/>
        <v/>
      </c>
    </row>
    <row r="606" spans="13:14">
      <c r="M606" s="106">
        <v>3191</v>
      </c>
      <c r="N606" s="213" t="str">
        <f t="shared" si="8"/>
        <v/>
      </c>
    </row>
    <row r="607" spans="13:14">
      <c r="M607" s="106">
        <v>3202</v>
      </c>
      <c r="N607" s="213" t="str">
        <f t="shared" si="8"/>
        <v/>
      </c>
    </row>
    <row r="608" spans="13:14">
      <c r="M608" s="106">
        <v>3205</v>
      </c>
      <c r="N608" s="213" t="str">
        <f t="shared" si="8"/>
        <v/>
      </c>
    </row>
    <row r="609" spans="13:14">
      <c r="M609" s="106">
        <v>3206</v>
      </c>
      <c r="N609" s="213" t="str">
        <f t="shared" si="8"/>
        <v/>
      </c>
    </row>
    <row r="610" spans="13:14">
      <c r="M610" s="106">
        <v>3207</v>
      </c>
      <c r="N610" s="213" t="str">
        <f t="shared" si="8"/>
        <v/>
      </c>
    </row>
    <row r="611" spans="13:14">
      <c r="M611" s="106">
        <v>3209</v>
      </c>
      <c r="N611" s="213" t="str">
        <f t="shared" si="8"/>
        <v/>
      </c>
    </row>
    <row r="612" spans="13:14">
      <c r="M612" s="106">
        <v>3211</v>
      </c>
      <c r="N612" s="213" t="str">
        <f t="shared" si="8"/>
        <v/>
      </c>
    </row>
    <row r="613" spans="13:14">
      <c r="M613" s="106">
        <v>3213</v>
      </c>
      <c r="N613" s="213" t="str">
        <f t="shared" si="8"/>
        <v/>
      </c>
    </row>
    <row r="614" spans="13:14">
      <c r="M614" s="106">
        <v>3217</v>
      </c>
      <c r="N614" s="213" t="str">
        <f t="shared" si="8"/>
        <v/>
      </c>
    </row>
    <row r="615" spans="13:14">
      <c r="M615" s="106">
        <v>3218</v>
      </c>
      <c r="N615" s="213" t="str">
        <f t="shared" si="8"/>
        <v/>
      </c>
    </row>
    <row r="616" spans="13:14">
      <c r="M616" s="106">
        <v>3219</v>
      </c>
      <c r="N616" s="213" t="str">
        <f t="shared" si="8"/>
        <v/>
      </c>
    </row>
    <row r="617" spans="13:14">
      <c r="M617" s="106">
        <v>3221</v>
      </c>
      <c r="N617" s="213" t="str">
        <f t="shared" si="8"/>
        <v/>
      </c>
    </row>
    <row r="618" spans="13:14">
      <c r="M618" s="106">
        <v>3224</v>
      </c>
      <c r="N618" s="213" t="str">
        <f t="shared" si="8"/>
        <v/>
      </c>
    </row>
    <row r="619" spans="13:14">
      <c r="M619" s="106">
        <v>3226</v>
      </c>
      <c r="N619" s="213" t="str">
        <f t="shared" si="8"/>
        <v/>
      </c>
    </row>
    <row r="620" spans="13:14">
      <c r="M620" s="106">
        <v>3227</v>
      </c>
      <c r="N620" s="213" t="str">
        <f t="shared" si="8"/>
        <v/>
      </c>
    </row>
    <row r="621" spans="13:14">
      <c r="M621" s="106">
        <v>3228</v>
      </c>
      <c r="N621" s="213" t="str">
        <f t="shared" si="8"/>
        <v/>
      </c>
    </row>
    <row r="622" spans="13:14">
      <c r="M622" s="106">
        <v>3229</v>
      </c>
      <c r="N622" s="213" t="str">
        <f t="shared" si="8"/>
        <v/>
      </c>
    </row>
    <row r="623" spans="13:14">
      <c r="M623" s="106">
        <v>3230</v>
      </c>
      <c r="N623" s="213" t="str">
        <f t="shared" si="8"/>
        <v/>
      </c>
    </row>
    <row r="624" spans="13:14">
      <c r="M624" s="106">
        <v>3231</v>
      </c>
      <c r="N624" s="213" t="str">
        <f t="shared" si="8"/>
        <v/>
      </c>
    </row>
    <row r="625" spans="13:14">
      <c r="M625" s="106">
        <v>3232</v>
      </c>
      <c r="N625" s="213" t="str">
        <f t="shared" si="8"/>
        <v/>
      </c>
    </row>
    <row r="626" spans="13:14">
      <c r="M626" s="106">
        <v>3234</v>
      </c>
      <c r="N626" s="213" t="str">
        <f t="shared" si="8"/>
        <v/>
      </c>
    </row>
    <row r="627" spans="13:14">
      <c r="M627" s="106">
        <v>3236</v>
      </c>
      <c r="N627" s="213" t="str">
        <f t="shared" si="8"/>
        <v/>
      </c>
    </row>
    <row r="628" spans="13:14">
      <c r="M628" s="106">
        <v>3252</v>
      </c>
      <c r="N628" s="213" t="str">
        <f t="shared" si="8"/>
        <v/>
      </c>
    </row>
    <row r="629" spans="13:14">
      <c r="M629" s="106">
        <v>3257</v>
      </c>
      <c r="N629" s="213" t="str">
        <f t="shared" si="8"/>
        <v/>
      </c>
    </row>
    <row r="630" spans="13:14">
      <c r="M630" s="106">
        <v>3259</v>
      </c>
      <c r="N630" s="213" t="str">
        <f t="shared" si="8"/>
        <v/>
      </c>
    </row>
    <row r="631" spans="13:14">
      <c r="M631" s="106">
        <v>3260</v>
      </c>
      <c r="N631" s="213" t="str">
        <f t="shared" si="8"/>
        <v/>
      </c>
    </row>
    <row r="632" spans="13:14">
      <c r="M632" s="106">
        <v>3264</v>
      </c>
      <c r="N632" s="213" t="str">
        <f t="shared" si="8"/>
        <v/>
      </c>
    </row>
    <row r="633" spans="13:14">
      <c r="M633" s="106">
        <v>3265</v>
      </c>
      <c r="N633" s="213" t="str">
        <f t="shared" si="8"/>
        <v/>
      </c>
    </row>
    <row r="634" spans="13:14">
      <c r="M634" s="106">
        <v>3266</v>
      </c>
      <c r="N634" s="213" t="str">
        <f t="shared" si="8"/>
        <v/>
      </c>
    </row>
    <row r="635" spans="13:14">
      <c r="M635" s="106">
        <v>3268</v>
      </c>
      <c r="N635" s="213" t="str">
        <f t="shared" si="8"/>
        <v/>
      </c>
    </row>
    <row r="636" spans="13:14">
      <c r="M636" s="106">
        <v>3272</v>
      </c>
      <c r="N636" s="213" t="str">
        <f t="shared" si="8"/>
        <v/>
      </c>
    </row>
    <row r="637" spans="13:14">
      <c r="M637" s="106">
        <v>3276</v>
      </c>
      <c r="N637" s="213" t="str">
        <f t="shared" si="8"/>
        <v/>
      </c>
    </row>
    <row r="638" spans="13:14">
      <c r="M638" s="106">
        <v>3284</v>
      </c>
      <c r="N638" s="213" t="str">
        <f t="shared" si="8"/>
        <v/>
      </c>
    </row>
    <row r="639" spans="13:14">
      <c r="M639" s="106">
        <v>3285</v>
      </c>
      <c r="N639" s="213" t="str">
        <f t="shared" si="8"/>
        <v/>
      </c>
    </row>
    <row r="640" spans="13:14">
      <c r="M640" s="106">
        <v>3287</v>
      </c>
      <c r="N640" s="213" t="str">
        <f t="shared" ref="N640:N703" si="9">MID(O498,6,4)</f>
        <v/>
      </c>
    </row>
    <row r="641" spans="13:14">
      <c r="M641" s="106">
        <v>3288</v>
      </c>
      <c r="N641" s="213" t="str">
        <f t="shared" si="9"/>
        <v/>
      </c>
    </row>
    <row r="642" spans="13:14">
      <c r="M642" s="106">
        <v>3289</v>
      </c>
      <c r="N642" s="213" t="str">
        <f t="shared" si="9"/>
        <v/>
      </c>
    </row>
    <row r="643" spans="13:14">
      <c r="M643" s="106">
        <v>3290</v>
      </c>
      <c r="N643" s="213" t="str">
        <f t="shared" si="9"/>
        <v/>
      </c>
    </row>
    <row r="644" spans="13:14">
      <c r="M644" s="106">
        <v>3291</v>
      </c>
      <c r="N644" s="213" t="str">
        <f t="shared" si="9"/>
        <v/>
      </c>
    </row>
    <row r="645" spans="13:14">
      <c r="M645" s="106">
        <v>3293</v>
      </c>
      <c r="N645" s="213" t="str">
        <f t="shared" si="9"/>
        <v/>
      </c>
    </row>
    <row r="646" spans="13:14">
      <c r="M646" s="106">
        <v>3294</v>
      </c>
      <c r="N646" s="213" t="str">
        <f t="shared" si="9"/>
        <v/>
      </c>
    </row>
    <row r="647" spans="13:14">
      <c r="M647" s="106">
        <v>3296</v>
      </c>
      <c r="N647" s="213" t="str">
        <f t="shared" si="9"/>
        <v/>
      </c>
    </row>
    <row r="648" spans="13:14">
      <c r="M648" s="106">
        <v>3297</v>
      </c>
      <c r="N648" s="213" t="str">
        <f t="shared" si="9"/>
        <v/>
      </c>
    </row>
    <row r="649" spans="13:14">
      <c r="M649" s="106">
        <v>3299</v>
      </c>
      <c r="N649" s="213" t="str">
        <f t="shared" si="9"/>
        <v/>
      </c>
    </row>
    <row r="650" spans="13:14">
      <c r="M650" s="106">
        <v>3303</v>
      </c>
      <c r="N650" s="213" t="str">
        <f t="shared" si="9"/>
        <v/>
      </c>
    </row>
    <row r="651" spans="13:14">
      <c r="M651" s="106">
        <v>3305</v>
      </c>
      <c r="N651" s="213" t="str">
        <f t="shared" si="9"/>
        <v/>
      </c>
    </row>
    <row r="652" spans="13:14">
      <c r="M652" s="106">
        <v>3306</v>
      </c>
      <c r="N652" s="213" t="str">
        <f t="shared" si="9"/>
        <v/>
      </c>
    </row>
    <row r="653" spans="13:14">
      <c r="M653" s="106">
        <v>3308</v>
      </c>
      <c r="N653" s="213" t="str">
        <f t="shared" si="9"/>
        <v/>
      </c>
    </row>
    <row r="654" spans="13:14">
      <c r="M654" s="106">
        <v>3310</v>
      </c>
      <c r="N654" s="213" t="str">
        <f t="shared" si="9"/>
        <v/>
      </c>
    </row>
    <row r="655" spans="13:14">
      <c r="M655" s="106">
        <v>3311</v>
      </c>
      <c r="N655" s="213" t="str">
        <f t="shared" si="9"/>
        <v/>
      </c>
    </row>
    <row r="656" spans="13:14">
      <c r="M656" s="106">
        <v>3312</v>
      </c>
      <c r="N656" s="213" t="str">
        <f t="shared" si="9"/>
        <v/>
      </c>
    </row>
    <row r="657" spans="13:14">
      <c r="M657" s="106">
        <v>3313</v>
      </c>
      <c r="N657" s="213" t="str">
        <f t="shared" si="9"/>
        <v/>
      </c>
    </row>
    <row r="658" spans="13:14">
      <c r="M658" s="106">
        <v>3315</v>
      </c>
      <c r="N658" s="213" t="str">
        <f t="shared" si="9"/>
        <v/>
      </c>
    </row>
    <row r="659" spans="13:14">
      <c r="M659" s="106">
        <v>3317</v>
      </c>
      <c r="N659" s="213" t="str">
        <f t="shared" si="9"/>
        <v/>
      </c>
    </row>
    <row r="660" spans="13:14">
      <c r="M660" s="106">
        <v>3321</v>
      </c>
      <c r="N660" s="213" t="str">
        <f t="shared" si="9"/>
        <v/>
      </c>
    </row>
    <row r="661" spans="13:14">
      <c r="M661" s="106">
        <v>3322</v>
      </c>
      <c r="N661" s="213" t="str">
        <f t="shared" si="9"/>
        <v/>
      </c>
    </row>
    <row r="662" spans="13:14">
      <c r="M662" s="106">
        <v>3323</v>
      </c>
      <c r="N662" s="213" t="str">
        <f t="shared" si="9"/>
        <v/>
      </c>
    </row>
    <row r="663" spans="13:14">
      <c r="M663" s="106">
        <v>3324</v>
      </c>
      <c r="N663" s="213" t="str">
        <f t="shared" si="9"/>
        <v/>
      </c>
    </row>
    <row r="664" spans="13:14">
      <c r="M664" s="106">
        <v>3325</v>
      </c>
      <c r="N664" s="213" t="str">
        <f t="shared" si="9"/>
        <v/>
      </c>
    </row>
    <row r="665" spans="13:14">
      <c r="M665" s="106">
        <v>3332</v>
      </c>
      <c r="N665" s="213" t="str">
        <f t="shared" si="9"/>
        <v/>
      </c>
    </row>
    <row r="666" spans="13:14">
      <c r="M666" s="106">
        <v>3338</v>
      </c>
      <c r="N666" s="213" t="str">
        <f t="shared" si="9"/>
        <v/>
      </c>
    </row>
    <row r="667" spans="13:14">
      <c r="M667" s="106">
        <v>3339</v>
      </c>
      <c r="N667" s="213" t="str">
        <f t="shared" si="9"/>
        <v/>
      </c>
    </row>
    <row r="668" spans="13:14">
      <c r="M668" s="106">
        <v>3354</v>
      </c>
      <c r="N668" s="213" t="str">
        <f t="shared" si="9"/>
        <v/>
      </c>
    </row>
    <row r="669" spans="13:14">
      <c r="M669" s="106">
        <v>3356</v>
      </c>
      <c r="N669" s="213" t="str">
        <f t="shared" si="9"/>
        <v/>
      </c>
    </row>
    <row r="670" spans="13:14">
      <c r="M670" s="106">
        <v>3360</v>
      </c>
      <c r="N670" s="213" t="str">
        <f t="shared" si="9"/>
        <v/>
      </c>
    </row>
    <row r="671" spans="13:14">
      <c r="M671" s="106">
        <v>3362</v>
      </c>
      <c r="N671" s="213" t="str">
        <f t="shared" si="9"/>
        <v/>
      </c>
    </row>
    <row r="672" spans="13:14">
      <c r="M672" s="106">
        <v>3363</v>
      </c>
      <c r="N672" s="213" t="str">
        <f t="shared" si="9"/>
        <v/>
      </c>
    </row>
    <row r="673" spans="13:14">
      <c r="M673" s="106">
        <v>3372</v>
      </c>
      <c r="N673" s="213" t="str">
        <f t="shared" si="9"/>
        <v/>
      </c>
    </row>
    <row r="674" spans="13:14">
      <c r="M674" s="106">
        <v>3373</v>
      </c>
      <c r="N674" s="213" t="str">
        <f t="shared" si="9"/>
        <v/>
      </c>
    </row>
    <row r="675" spans="13:14">
      <c r="M675" s="106">
        <v>3374</v>
      </c>
      <c r="N675" s="213" t="str">
        <f t="shared" si="9"/>
        <v/>
      </c>
    </row>
    <row r="676" spans="13:14">
      <c r="M676" s="106">
        <v>3376</v>
      </c>
      <c r="N676" s="213" t="str">
        <f t="shared" si="9"/>
        <v/>
      </c>
    </row>
    <row r="677" spans="13:14">
      <c r="M677" s="106">
        <v>3379</v>
      </c>
      <c r="N677" s="213" t="str">
        <f t="shared" si="9"/>
        <v/>
      </c>
    </row>
    <row r="678" spans="13:14">
      <c r="M678" s="106">
        <v>3380</v>
      </c>
      <c r="N678" s="213" t="str">
        <f t="shared" si="9"/>
        <v/>
      </c>
    </row>
    <row r="679" spans="13:14">
      <c r="M679" s="106">
        <v>3383</v>
      </c>
      <c r="N679" s="213" t="str">
        <f t="shared" si="9"/>
        <v/>
      </c>
    </row>
    <row r="680" spans="13:14">
      <c r="M680" s="106">
        <v>3388</v>
      </c>
      <c r="N680" s="213" t="str">
        <f t="shared" si="9"/>
        <v/>
      </c>
    </row>
    <row r="681" spans="13:14">
      <c r="M681" s="106">
        <v>3390</v>
      </c>
      <c r="N681" s="213" t="str">
        <f t="shared" si="9"/>
        <v/>
      </c>
    </row>
    <row r="682" spans="13:14">
      <c r="M682" s="106">
        <v>3402</v>
      </c>
      <c r="N682" s="213" t="str">
        <f t="shared" si="9"/>
        <v/>
      </c>
    </row>
    <row r="683" spans="13:14">
      <c r="M683" s="106">
        <v>3406</v>
      </c>
      <c r="N683" s="213" t="str">
        <f t="shared" si="9"/>
        <v/>
      </c>
    </row>
    <row r="684" spans="13:14">
      <c r="M684" s="106">
        <v>3413</v>
      </c>
      <c r="N684" s="213" t="str">
        <f t="shared" si="9"/>
        <v/>
      </c>
    </row>
    <row r="685" spans="13:14">
      <c r="M685" s="106">
        <v>3416</v>
      </c>
      <c r="N685" s="213" t="str">
        <f t="shared" si="9"/>
        <v/>
      </c>
    </row>
    <row r="686" spans="13:14">
      <c r="M686" s="106">
        <v>3419</v>
      </c>
      <c r="N686" s="213" t="str">
        <f t="shared" si="9"/>
        <v/>
      </c>
    </row>
    <row r="687" spans="13:14">
      <c r="M687" s="106">
        <v>3428</v>
      </c>
      <c r="N687" s="213" t="str">
        <f t="shared" si="9"/>
        <v/>
      </c>
    </row>
    <row r="688" spans="13:14">
      <c r="M688" s="106">
        <v>3431</v>
      </c>
      <c r="N688" s="213" t="str">
        <f t="shared" si="9"/>
        <v/>
      </c>
    </row>
    <row r="689" spans="13:14">
      <c r="M689" s="106">
        <v>3432</v>
      </c>
      <c r="N689" s="213" t="str">
        <f t="shared" si="9"/>
        <v/>
      </c>
    </row>
    <row r="690" spans="13:14">
      <c r="M690" s="106">
        <v>3434</v>
      </c>
      <c r="N690" s="213" t="str">
        <f t="shared" si="9"/>
        <v/>
      </c>
    </row>
    <row r="691" spans="13:14">
      <c r="M691" s="106">
        <v>3437</v>
      </c>
      <c r="N691" s="213" t="str">
        <f t="shared" si="9"/>
        <v/>
      </c>
    </row>
    <row r="692" spans="13:14">
      <c r="M692" s="106">
        <v>3438</v>
      </c>
      <c r="N692" s="213" t="str">
        <f t="shared" si="9"/>
        <v/>
      </c>
    </row>
    <row r="693" spans="13:14">
      <c r="M693" s="106">
        <v>3441</v>
      </c>
      <c r="N693" s="213" t="str">
        <f t="shared" si="9"/>
        <v/>
      </c>
    </row>
    <row r="694" spans="13:14">
      <c r="M694" s="106">
        <v>3443</v>
      </c>
      <c r="N694" s="213" t="str">
        <f t="shared" si="9"/>
        <v/>
      </c>
    </row>
    <row r="695" spans="13:14">
      <c r="M695" s="106">
        <v>3444</v>
      </c>
      <c r="N695" s="213" t="str">
        <f t="shared" si="9"/>
        <v/>
      </c>
    </row>
    <row r="696" spans="13:14">
      <c r="M696" s="106">
        <v>3450</v>
      </c>
      <c r="N696" s="213" t="str">
        <f t="shared" si="9"/>
        <v/>
      </c>
    </row>
    <row r="697" spans="13:14">
      <c r="M697" s="106">
        <v>3452</v>
      </c>
      <c r="N697" s="213" t="str">
        <f t="shared" si="9"/>
        <v/>
      </c>
    </row>
    <row r="698" spans="13:14">
      <c r="M698" s="106">
        <v>3454</v>
      </c>
      <c r="N698" s="213" t="str">
        <f t="shared" si="9"/>
        <v/>
      </c>
    </row>
    <row r="699" spans="13:14">
      <c r="M699" s="106">
        <v>3455</v>
      </c>
      <c r="N699" s="213" t="str">
        <f t="shared" si="9"/>
        <v/>
      </c>
    </row>
    <row r="700" spans="13:14">
      <c r="M700" s="106">
        <v>3465</v>
      </c>
      <c r="N700" s="213" t="str">
        <f t="shared" si="9"/>
        <v/>
      </c>
    </row>
    <row r="701" spans="13:14">
      <c r="M701" s="106">
        <v>3466</v>
      </c>
      <c r="N701" s="213" t="str">
        <f t="shared" si="9"/>
        <v/>
      </c>
    </row>
    <row r="702" spans="13:14">
      <c r="M702" s="106">
        <v>3474</v>
      </c>
      <c r="N702" s="213" t="str">
        <f t="shared" si="9"/>
        <v/>
      </c>
    </row>
    <row r="703" spans="13:14">
      <c r="M703" s="106">
        <v>3479</v>
      </c>
      <c r="N703" s="213" t="str">
        <f t="shared" si="9"/>
        <v/>
      </c>
    </row>
    <row r="704" spans="13:14">
      <c r="M704" s="106">
        <v>3481</v>
      </c>
      <c r="N704" s="213" t="str">
        <f t="shared" ref="N704:N767" si="10">MID(O562,6,4)</f>
        <v/>
      </c>
    </row>
    <row r="705" spans="13:14">
      <c r="M705" s="106">
        <v>3483</v>
      </c>
      <c r="N705" s="213" t="str">
        <f t="shared" si="10"/>
        <v/>
      </c>
    </row>
    <row r="706" spans="13:14">
      <c r="M706" s="106">
        <v>3484</v>
      </c>
      <c r="N706" s="213" t="str">
        <f t="shared" si="10"/>
        <v/>
      </c>
    </row>
    <row r="707" spans="13:14">
      <c r="M707" s="106">
        <v>3489</v>
      </c>
      <c r="N707" s="213" t="str">
        <f t="shared" si="10"/>
        <v/>
      </c>
    </row>
    <row r="708" spans="13:14">
      <c r="M708" s="106">
        <v>3490</v>
      </c>
      <c r="N708" s="213" t="str">
        <f t="shared" si="10"/>
        <v/>
      </c>
    </row>
    <row r="709" spans="13:14">
      <c r="M709" s="106">
        <v>3491</v>
      </c>
      <c r="N709" s="213" t="str">
        <f t="shared" si="10"/>
        <v/>
      </c>
    </row>
    <row r="710" spans="13:14">
      <c r="M710" s="106">
        <v>3492</v>
      </c>
      <c r="N710" s="213" t="str">
        <f t="shared" si="10"/>
        <v/>
      </c>
    </row>
    <row r="711" spans="13:14">
      <c r="M711" s="106">
        <v>3494</v>
      </c>
      <c r="N711" s="213" t="str">
        <f t="shared" si="10"/>
        <v/>
      </c>
    </row>
    <row r="712" spans="13:14">
      <c r="M712" s="106">
        <v>3498</v>
      </c>
      <c r="N712" s="213" t="str">
        <f t="shared" si="10"/>
        <v/>
      </c>
    </row>
    <row r="713" spans="13:14">
      <c r="M713" s="106">
        <v>3499</v>
      </c>
      <c r="N713" s="213" t="str">
        <f t="shared" si="10"/>
        <v/>
      </c>
    </row>
    <row r="714" spans="13:14">
      <c r="M714" s="106">
        <v>3501</v>
      </c>
      <c r="N714" s="213" t="str">
        <f t="shared" si="10"/>
        <v/>
      </c>
    </row>
    <row r="715" spans="13:14">
      <c r="M715" s="106">
        <v>3504</v>
      </c>
      <c r="N715" s="213" t="str">
        <f t="shared" si="10"/>
        <v/>
      </c>
    </row>
    <row r="716" spans="13:14">
      <c r="M716" s="106">
        <v>3508</v>
      </c>
      <c r="N716" s="213" t="str">
        <f t="shared" si="10"/>
        <v/>
      </c>
    </row>
    <row r="717" spans="13:14">
      <c r="M717" s="106">
        <v>3511</v>
      </c>
      <c r="N717" s="213" t="str">
        <f t="shared" si="10"/>
        <v/>
      </c>
    </row>
    <row r="718" spans="13:14">
      <c r="M718" s="106">
        <v>3512</v>
      </c>
      <c r="N718" s="213" t="str">
        <f t="shared" si="10"/>
        <v/>
      </c>
    </row>
    <row r="719" spans="13:14">
      <c r="M719" s="106">
        <v>3514</v>
      </c>
      <c r="N719" s="213" t="str">
        <f t="shared" si="10"/>
        <v/>
      </c>
    </row>
    <row r="720" spans="13:14">
      <c r="M720" s="106">
        <v>3515</v>
      </c>
      <c r="N720" s="213" t="str">
        <f t="shared" si="10"/>
        <v/>
      </c>
    </row>
    <row r="721" spans="13:14">
      <c r="M721" s="106">
        <v>3516</v>
      </c>
      <c r="N721" s="213" t="str">
        <f t="shared" si="10"/>
        <v/>
      </c>
    </row>
    <row r="722" spans="13:14">
      <c r="M722" s="106">
        <v>3518</v>
      </c>
      <c r="N722" s="213" t="str">
        <f t="shared" si="10"/>
        <v/>
      </c>
    </row>
    <row r="723" spans="13:14">
      <c r="M723" s="106">
        <v>3519</v>
      </c>
      <c r="N723" s="213" t="str">
        <f t="shared" si="10"/>
        <v/>
      </c>
    </row>
    <row r="724" spans="13:14">
      <c r="M724" s="106">
        <v>3520</v>
      </c>
      <c r="N724" s="213" t="str">
        <f t="shared" si="10"/>
        <v/>
      </c>
    </row>
    <row r="725" spans="13:14">
      <c r="M725" s="106">
        <v>3521</v>
      </c>
      <c r="N725" s="213" t="str">
        <f t="shared" si="10"/>
        <v/>
      </c>
    </row>
    <row r="726" spans="13:14">
      <c r="M726" s="106">
        <v>3522</v>
      </c>
      <c r="N726" s="213" t="str">
        <f t="shared" si="10"/>
        <v/>
      </c>
    </row>
    <row r="727" spans="13:14">
      <c r="M727" s="106">
        <v>3523</v>
      </c>
      <c r="N727" s="213" t="str">
        <f t="shared" si="10"/>
        <v/>
      </c>
    </row>
    <row r="728" spans="13:14">
      <c r="M728" s="106">
        <v>3526</v>
      </c>
      <c r="N728" s="213" t="str">
        <f t="shared" si="10"/>
        <v/>
      </c>
    </row>
    <row r="729" spans="13:14">
      <c r="M729" s="106">
        <v>3527</v>
      </c>
      <c r="N729" s="213" t="str">
        <f t="shared" si="10"/>
        <v/>
      </c>
    </row>
    <row r="730" spans="13:14">
      <c r="M730" s="106">
        <v>3528</v>
      </c>
      <c r="N730" s="213" t="str">
        <f t="shared" si="10"/>
        <v/>
      </c>
    </row>
    <row r="731" spans="13:14">
      <c r="M731" s="106">
        <v>3529</v>
      </c>
      <c r="N731" s="213" t="str">
        <f t="shared" si="10"/>
        <v/>
      </c>
    </row>
    <row r="732" spans="13:14">
      <c r="M732" s="106">
        <v>3531</v>
      </c>
      <c r="N732" s="213" t="str">
        <f t="shared" si="10"/>
        <v/>
      </c>
    </row>
    <row r="733" spans="13:14">
      <c r="M733" s="106">
        <v>3532</v>
      </c>
      <c r="N733" s="213" t="str">
        <f t="shared" si="10"/>
        <v/>
      </c>
    </row>
    <row r="734" spans="13:14">
      <c r="M734" s="106">
        <v>3533</v>
      </c>
      <c r="N734" s="213" t="str">
        <f t="shared" si="10"/>
        <v/>
      </c>
    </row>
    <row r="735" spans="13:14">
      <c r="M735" s="106">
        <v>3535</v>
      </c>
      <c r="N735" s="213" t="str">
        <f t="shared" si="10"/>
        <v/>
      </c>
    </row>
    <row r="736" spans="13:14">
      <c r="M736" s="106">
        <v>3536</v>
      </c>
      <c r="N736" s="213" t="str">
        <f t="shared" si="10"/>
        <v/>
      </c>
    </row>
    <row r="737" spans="13:14">
      <c r="M737" s="106">
        <v>3537</v>
      </c>
      <c r="N737" s="213" t="str">
        <f t="shared" si="10"/>
        <v/>
      </c>
    </row>
    <row r="738" spans="13:14">
      <c r="M738" s="106">
        <v>3540</v>
      </c>
      <c r="N738" s="213" t="str">
        <f t="shared" si="10"/>
        <v/>
      </c>
    </row>
    <row r="739" spans="13:14">
      <c r="M739" s="106">
        <v>3541</v>
      </c>
      <c r="N739" s="213" t="str">
        <f t="shared" si="10"/>
        <v/>
      </c>
    </row>
    <row r="740" spans="13:14">
      <c r="M740" s="106">
        <v>3545</v>
      </c>
      <c r="N740" s="213" t="str">
        <f t="shared" si="10"/>
        <v/>
      </c>
    </row>
    <row r="741" spans="13:14">
      <c r="M741" s="106">
        <v>3546</v>
      </c>
      <c r="N741" s="213" t="str">
        <f t="shared" si="10"/>
        <v/>
      </c>
    </row>
    <row r="742" spans="13:14">
      <c r="M742" s="106">
        <v>3548</v>
      </c>
      <c r="N742" s="213" t="str">
        <f t="shared" si="10"/>
        <v/>
      </c>
    </row>
    <row r="743" spans="13:14">
      <c r="M743" s="106">
        <v>3550</v>
      </c>
      <c r="N743" s="213" t="str">
        <f t="shared" si="10"/>
        <v/>
      </c>
    </row>
    <row r="744" spans="13:14">
      <c r="M744" s="106">
        <v>3551</v>
      </c>
      <c r="N744" s="213" t="str">
        <f t="shared" si="10"/>
        <v/>
      </c>
    </row>
    <row r="745" spans="13:14">
      <c r="M745" s="106">
        <v>3552</v>
      </c>
      <c r="N745" s="213" t="str">
        <f t="shared" si="10"/>
        <v/>
      </c>
    </row>
    <row r="746" spans="13:14">
      <c r="M746" s="106">
        <v>3553</v>
      </c>
      <c r="N746" s="213" t="str">
        <f t="shared" si="10"/>
        <v/>
      </c>
    </row>
    <row r="747" spans="13:14">
      <c r="M747" s="106">
        <v>3555</v>
      </c>
      <c r="N747" s="213" t="str">
        <f t="shared" si="10"/>
        <v/>
      </c>
    </row>
    <row r="748" spans="13:14">
      <c r="M748" s="106">
        <v>3556</v>
      </c>
      <c r="N748" s="213" t="str">
        <f t="shared" si="10"/>
        <v/>
      </c>
    </row>
    <row r="749" spans="13:14">
      <c r="M749" s="106">
        <v>3557</v>
      </c>
      <c r="N749" s="213" t="str">
        <f t="shared" si="10"/>
        <v/>
      </c>
    </row>
    <row r="750" spans="13:14">
      <c r="M750" s="106">
        <v>3558</v>
      </c>
      <c r="N750" s="213" t="str">
        <f t="shared" si="10"/>
        <v/>
      </c>
    </row>
    <row r="751" spans="13:14">
      <c r="M751" s="106">
        <v>3559</v>
      </c>
      <c r="N751" s="213" t="str">
        <f t="shared" si="10"/>
        <v/>
      </c>
    </row>
    <row r="752" spans="13:14">
      <c r="M752" s="106">
        <v>3561</v>
      </c>
      <c r="N752" s="213" t="str">
        <f t="shared" si="10"/>
        <v/>
      </c>
    </row>
    <row r="753" spans="13:14">
      <c r="M753" s="106">
        <v>3562</v>
      </c>
      <c r="N753" s="213" t="str">
        <f t="shared" si="10"/>
        <v/>
      </c>
    </row>
    <row r="754" spans="13:14">
      <c r="M754" s="106">
        <v>3563</v>
      </c>
      <c r="N754" s="213" t="str">
        <f t="shared" si="10"/>
        <v/>
      </c>
    </row>
    <row r="755" spans="13:14">
      <c r="M755" s="106">
        <v>3564</v>
      </c>
      <c r="N755" s="213" t="str">
        <f t="shared" si="10"/>
        <v/>
      </c>
    </row>
    <row r="756" spans="13:14">
      <c r="M756" s="106">
        <v>3567</v>
      </c>
      <c r="N756" s="213" t="str">
        <f t="shared" si="10"/>
        <v/>
      </c>
    </row>
    <row r="757" spans="13:14">
      <c r="M757" s="106">
        <v>3570</v>
      </c>
      <c r="N757" s="213" t="str">
        <f t="shared" si="10"/>
        <v/>
      </c>
    </row>
    <row r="758" spans="13:14">
      <c r="M758" s="106">
        <v>3576</v>
      </c>
      <c r="N758" s="213" t="str">
        <f t="shared" si="10"/>
        <v/>
      </c>
    </row>
    <row r="759" spans="13:14">
      <c r="M759" s="106">
        <v>3577</v>
      </c>
      <c r="N759" s="213" t="str">
        <f t="shared" si="10"/>
        <v/>
      </c>
    </row>
    <row r="760" spans="13:14">
      <c r="M760" s="106">
        <v>3579</v>
      </c>
      <c r="N760" s="213" t="str">
        <f t="shared" si="10"/>
        <v/>
      </c>
    </row>
    <row r="761" spans="13:14">
      <c r="M761" s="106">
        <v>3580</v>
      </c>
      <c r="N761" s="213" t="str">
        <f t="shared" si="10"/>
        <v/>
      </c>
    </row>
    <row r="762" spans="13:14">
      <c r="M762" s="106">
        <v>3581</v>
      </c>
      <c r="N762" s="213" t="str">
        <f t="shared" si="10"/>
        <v/>
      </c>
    </row>
    <row r="763" spans="13:14">
      <c r="M763" s="106">
        <v>3583</v>
      </c>
      <c r="N763" s="213" t="str">
        <f t="shared" si="10"/>
        <v/>
      </c>
    </row>
    <row r="764" spans="13:14">
      <c r="M764" s="106">
        <v>3587</v>
      </c>
      <c r="N764" s="213" t="str">
        <f t="shared" si="10"/>
        <v/>
      </c>
    </row>
    <row r="765" spans="13:14">
      <c r="M765" s="106">
        <v>3588</v>
      </c>
      <c r="N765" s="213" t="str">
        <f t="shared" si="10"/>
        <v/>
      </c>
    </row>
    <row r="766" spans="13:14">
      <c r="M766" s="106">
        <v>3591</v>
      </c>
      <c r="N766" s="213" t="str">
        <f t="shared" si="10"/>
        <v/>
      </c>
    </row>
    <row r="767" spans="13:14">
      <c r="M767" s="106">
        <v>3593</v>
      </c>
      <c r="N767" s="213" t="str">
        <f t="shared" si="10"/>
        <v/>
      </c>
    </row>
    <row r="768" spans="13:14">
      <c r="M768" s="106">
        <v>3594</v>
      </c>
      <c r="N768" s="213" t="str">
        <f t="shared" ref="N768:N831" si="11">MID(O626,6,4)</f>
        <v/>
      </c>
    </row>
    <row r="769" spans="13:14">
      <c r="M769" s="106">
        <v>3596</v>
      </c>
      <c r="N769" s="213" t="str">
        <f t="shared" si="11"/>
        <v/>
      </c>
    </row>
    <row r="770" spans="13:14">
      <c r="M770" s="106">
        <v>3605</v>
      </c>
      <c r="N770" s="213" t="str">
        <f t="shared" si="11"/>
        <v/>
      </c>
    </row>
    <row r="771" spans="13:14">
      <c r="M771" s="106">
        <v>3607</v>
      </c>
      <c r="N771" s="213" t="str">
        <f t="shared" si="11"/>
        <v/>
      </c>
    </row>
    <row r="772" spans="13:14">
      <c r="M772" s="106">
        <v>3609</v>
      </c>
      <c r="N772" s="213" t="str">
        <f t="shared" si="11"/>
        <v/>
      </c>
    </row>
    <row r="773" spans="13:14">
      <c r="M773" s="106">
        <v>3611</v>
      </c>
      <c r="N773" s="213" t="str">
        <f t="shared" si="11"/>
        <v/>
      </c>
    </row>
    <row r="774" spans="13:14">
      <c r="M774" s="106">
        <v>3615</v>
      </c>
      <c r="N774" s="213" t="str">
        <f t="shared" si="11"/>
        <v/>
      </c>
    </row>
    <row r="775" spans="13:14">
      <c r="M775" s="106">
        <v>3617</v>
      </c>
      <c r="N775" s="213" t="str">
        <f t="shared" si="11"/>
        <v/>
      </c>
    </row>
    <row r="776" spans="13:14">
      <c r="M776" s="106">
        <v>3622</v>
      </c>
      <c r="N776" s="213" t="str">
        <f t="shared" si="11"/>
        <v/>
      </c>
    </row>
    <row r="777" spans="13:14">
      <c r="M777" s="106">
        <v>3623</v>
      </c>
      <c r="N777" s="213" t="str">
        <f t="shared" si="11"/>
        <v/>
      </c>
    </row>
    <row r="778" spans="13:14">
      <c r="M778" s="106">
        <v>3624</v>
      </c>
      <c r="N778" s="213" t="str">
        <f t="shared" si="11"/>
        <v/>
      </c>
    </row>
    <row r="779" spans="13:14">
      <c r="M779" s="106">
        <v>3625</v>
      </c>
      <c r="N779" s="213" t="str">
        <f t="shared" si="11"/>
        <v/>
      </c>
    </row>
    <row r="780" spans="13:14">
      <c r="M780" s="106">
        <v>3628</v>
      </c>
      <c r="N780" s="213" t="str">
        <f t="shared" si="11"/>
        <v/>
      </c>
    </row>
    <row r="781" spans="13:14">
      <c r="M781" s="106">
        <v>3629</v>
      </c>
      <c r="N781" s="213" t="str">
        <f t="shared" si="11"/>
        <v/>
      </c>
    </row>
    <row r="782" spans="13:14">
      <c r="M782" s="106">
        <v>3630</v>
      </c>
      <c r="N782" s="213" t="str">
        <f t="shared" si="11"/>
        <v/>
      </c>
    </row>
    <row r="783" spans="13:14">
      <c r="M783" s="106">
        <v>3631</v>
      </c>
      <c r="N783" s="213" t="str">
        <f t="shared" si="11"/>
        <v/>
      </c>
    </row>
    <row r="784" spans="13:14">
      <c r="M784" s="106">
        <v>3632</v>
      </c>
      <c r="N784" s="213" t="str">
        <f t="shared" si="11"/>
        <v/>
      </c>
    </row>
    <row r="785" spans="13:14">
      <c r="M785" s="106">
        <v>3642</v>
      </c>
      <c r="N785" s="213" t="str">
        <f t="shared" si="11"/>
        <v/>
      </c>
    </row>
    <row r="786" spans="13:14">
      <c r="M786" s="106">
        <v>3645</v>
      </c>
      <c r="N786" s="213" t="str">
        <f t="shared" si="11"/>
        <v/>
      </c>
    </row>
    <row r="787" spans="13:14">
      <c r="M787" s="106">
        <v>3646</v>
      </c>
      <c r="N787" s="213" t="str">
        <f t="shared" si="11"/>
        <v/>
      </c>
    </row>
    <row r="788" spans="13:14">
      <c r="M788" s="106">
        <v>3652</v>
      </c>
      <c r="N788" s="213" t="str">
        <f t="shared" si="11"/>
        <v/>
      </c>
    </row>
    <row r="789" spans="13:14">
      <c r="M789" s="106">
        <v>3653</v>
      </c>
      <c r="N789" s="213" t="str">
        <f t="shared" si="11"/>
        <v/>
      </c>
    </row>
    <row r="790" spans="13:14">
      <c r="M790" s="106">
        <v>3658</v>
      </c>
      <c r="N790" s="213" t="str">
        <f t="shared" si="11"/>
        <v/>
      </c>
    </row>
    <row r="791" spans="13:14">
      <c r="M791" s="106">
        <v>3661</v>
      </c>
      <c r="N791" s="213" t="str">
        <f t="shared" si="11"/>
        <v/>
      </c>
    </row>
    <row r="792" spans="13:14">
      <c r="M792" s="106">
        <v>3662</v>
      </c>
      <c r="N792" s="213" t="str">
        <f t="shared" si="11"/>
        <v/>
      </c>
    </row>
    <row r="793" spans="13:14">
      <c r="M793" s="106">
        <v>3663</v>
      </c>
      <c r="N793" s="213" t="str">
        <f t="shared" si="11"/>
        <v/>
      </c>
    </row>
    <row r="794" spans="13:14">
      <c r="M794" s="106">
        <v>3664</v>
      </c>
      <c r="N794" s="213" t="str">
        <f t="shared" si="11"/>
        <v/>
      </c>
    </row>
    <row r="795" spans="13:14">
      <c r="M795" s="106">
        <v>3665</v>
      </c>
      <c r="N795" s="213" t="str">
        <f t="shared" si="11"/>
        <v/>
      </c>
    </row>
    <row r="796" spans="13:14">
      <c r="M796" s="106">
        <v>3666</v>
      </c>
      <c r="N796" s="213" t="str">
        <f t="shared" si="11"/>
        <v/>
      </c>
    </row>
    <row r="797" spans="13:14">
      <c r="M797" s="106">
        <v>3669</v>
      </c>
      <c r="N797" s="213" t="str">
        <f t="shared" si="11"/>
        <v/>
      </c>
    </row>
    <row r="798" spans="13:14">
      <c r="M798" s="106">
        <v>3672</v>
      </c>
      <c r="N798" s="213" t="str">
        <f t="shared" si="11"/>
        <v/>
      </c>
    </row>
    <row r="799" spans="13:14">
      <c r="M799" s="106">
        <v>3673</v>
      </c>
      <c r="N799" s="213" t="str">
        <f t="shared" si="11"/>
        <v/>
      </c>
    </row>
    <row r="800" spans="13:14">
      <c r="M800" s="106">
        <v>3675</v>
      </c>
      <c r="N800" s="213" t="str">
        <f t="shared" si="11"/>
        <v/>
      </c>
    </row>
    <row r="801" spans="13:14">
      <c r="M801" s="106">
        <v>3679</v>
      </c>
      <c r="N801" s="213" t="str">
        <f t="shared" si="11"/>
        <v/>
      </c>
    </row>
    <row r="802" spans="13:14">
      <c r="M802" s="106">
        <v>3680</v>
      </c>
      <c r="N802" s="213" t="str">
        <f t="shared" si="11"/>
        <v/>
      </c>
    </row>
    <row r="803" spans="13:14">
      <c r="M803" s="106">
        <v>3682</v>
      </c>
      <c r="N803" s="213" t="str">
        <f t="shared" si="11"/>
        <v/>
      </c>
    </row>
    <row r="804" spans="13:14">
      <c r="M804" s="106">
        <v>3684</v>
      </c>
      <c r="N804" s="213" t="str">
        <f t="shared" si="11"/>
        <v/>
      </c>
    </row>
    <row r="805" spans="13:14">
      <c r="M805" s="106">
        <v>3685</v>
      </c>
      <c r="N805" s="213" t="str">
        <f t="shared" si="11"/>
        <v/>
      </c>
    </row>
    <row r="806" spans="13:14">
      <c r="M806" s="106">
        <v>3686</v>
      </c>
      <c r="N806" s="213" t="str">
        <f t="shared" si="11"/>
        <v/>
      </c>
    </row>
    <row r="807" spans="13:14">
      <c r="M807" s="106">
        <v>3687</v>
      </c>
      <c r="N807" s="213" t="str">
        <f t="shared" si="11"/>
        <v/>
      </c>
    </row>
    <row r="808" spans="13:14">
      <c r="M808" s="106">
        <v>3689</v>
      </c>
      <c r="N808" s="213" t="str">
        <f t="shared" si="11"/>
        <v/>
      </c>
    </row>
    <row r="809" spans="13:14">
      <c r="M809" s="106">
        <v>3691</v>
      </c>
      <c r="N809" s="213" t="str">
        <f t="shared" si="11"/>
        <v/>
      </c>
    </row>
    <row r="810" spans="13:14">
      <c r="M810" s="106">
        <v>3693</v>
      </c>
      <c r="N810" s="213" t="str">
        <f t="shared" si="11"/>
        <v/>
      </c>
    </row>
    <row r="811" spans="13:14">
      <c r="M811" s="106">
        <v>3694</v>
      </c>
      <c r="N811" s="213" t="str">
        <f t="shared" si="11"/>
        <v/>
      </c>
    </row>
    <row r="812" spans="13:14">
      <c r="M812" s="106">
        <v>3698</v>
      </c>
      <c r="N812" s="213" t="str">
        <f t="shared" si="11"/>
        <v/>
      </c>
    </row>
    <row r="813" spans="13:14">
      <c r="M813" s="106">
        <v>3701</v>
      </c>
      <c r="N813" s="213" t="str">
        <f t="shared" si="11"/>
        <v/>
      </c>
    </row>
    <row r="814" spans="13:14">
      <c r="M814" s="106">
        <v>3702</v>
      </c>
      <c r="N814" s="213" t="str">
        <f t="shared" si="11"/>
        <v/>
      </c>
    </row>
    <row r="815" spans="13:14">
      <c r="M815" s="106">
        <v>3703</v>
      </c>
      <c r="N815" s="213" t="str">
        <f t="shared" si="11"/>
        <v/>
      </c>
    </row>
    <row r="816" spans="13:14">
      <c r="M816" s="106">
        <v>3704</v>
      </c>
      <c r="N816" s="213" t="str">
        <f t="shared" si="11"/>
        <v/>
      </c>
    </row>
    <row r="817" spans="13:14">
      <c r="M817" s="106">
        <v>3705</v>
      </c>
      <c r="N817" s="213" t="str">
        <f t="shared" si="11"/>
        <v/>
      </c>
    </row>
    <row r="818" spans="13:14">
      <c r="M818" s="106">
        <v>3706</v>
      </c>
      <c r="N818" s="213" t="str">
        <f t="shared" si="11"/>
        <v/>
      </c>
    </row>
    <row r="819" spans="13:14">
      <c r="M819" s="106">
        <v>3707</v>
      </c>
      <c r="N819" s="213" t="str">
        <f t="shared" si="11"/>
        <v/>
      </c>
    </row>
    <row r="820" spans="13:14">
      <c r="M820" s="106">
        <v>4102</v>
      </c>
      <c r="N820" s="213" t="str">
        <f t="shared" si="11"/>
        <v/>
      </c>
    </row>
    <row r="821" spans="13:14">
      <c r="M821" s="106">
        <v>4103</v>
      </c>
      <c r="N821" s="213" t="str">
        <f t="shared" si="11"/>
        <v/>
      </c>
    </row>
    <row r="822" spans="13:14">
      <c r="M822" s="106">
        <v>4104</v>
      </c>
      <c r="N822" s="213" t="str">
        <f t="shared" si="11"/>
        <v/>
      </c>
    </row>
    <row r="823" spans="13:14">
      <c r="M823" s="106">
        <v>4105</v>
      </c>
      <c r="N823" s="213" t="str">
        <f t="shared" si="11"/>
        <v/>
      </c>
    </row>
    <row r="824" spans="13:14">
      <c r="M824" s="106">
        <v>4106</v>
      </c>
      <c r="N824" s="213" t="str">
        <f t="shared" si="11"/>
        <v/>
      </c>
    </row>
    <row r="825" spans="13:14">
      <c r="M825" s="106">
        <v>4107</v>
      </c>
      <c r="N825" s="213" t="str">
        <f t="shared" si="11"/>
        <v/>
      </c>
    </row>
    <row r="826" spans="13:14">
      <c r="M826" s="106">
        <v>4108</v>
      </c>
      <c r="N826" s="213" t="str">
        <f t="shared" si="11"/>
        <v/>
      </c>
    </row>
    <row r="827" spans="13:14">
      <c r="M827" s="106">
        <v>4109</v>
      </c>
      <c r="N827" s="213" t="str">
        <f t="shared" si="11"/>
        <v/>
      </c>
    </row>
    <row r="828" spans="13:14">
      <c r="M828" s="106">
        <v>4111</v>
      </c>
      <c r="N828" s="213" t="str">
        <f t="shared" si="11"/>
        <v/>
      </c>
    </row>
    <row r="829" spans="13:14">
      <c r="M829" s="106">
        <v>4113</v>
      </c>
      <c r="N829" s="213" t="str">
        <f t="shared" si="11"/>
        <v/>
      </c>
    </row>
    <row r="830" spans="13:14">
      <c r="M830" s="106">
        <v>4114</v>
      </c>
      <c r="N830" s="213" t="str">
        <f t="shared" si="11"/>
        <v/>
      </c>
    </row>
    <row r="831" spans="13:14">
      <c r="M831" s="106">
        <v>4116</v>
      </c>
      <c r="N831" s="213" t="str">
        <f t="shared" si="11"/>
        <v/>
      </c>
    </row>
    <row r="832" spans="13:14">
      <c r="M832" s="106">
        <v>4119</v>
      </c>
      <c r="N832" s="213" t="str">
        <f t="shared" ref="N832:N895" si="12">MID(O690,6,4)</f>
        <v/>
      </c>
    </row>
    <row r="833" spans="13:14">
      <c r="M833" s="106">
        <v>4120</v>
      </c>
      <c r="N833" s="213" t="str">
        <f t="shared" si="12"/>
        <v/>
      </c>
    </row>
    <row r="834" spans="13:14">
      <c r="M834" s="106">
        <v>4121</v>
      </c>
      <c r="N834" s="213" t="str">
        <f t="shared" si="12"/>
        <v/>
      </c>
    </row>
    <row r="835" spans="13:14">
      <c r="M835" s="106">
        <v>4123</v>
      </c>
      <c r="N835" s="213" t="str">
        <f t="shared" si="12"/>
        <v/>
      </c>
    </row>
    <row r="836" spans="13:14">
      <c r="M836" s="106">
        <v>4126</v>
      </c>
      <c r="N836" s="213" t="str">
        <f t="shared" si="12"/>
        <v/>
      </c>
    </row>
    <row r="837" spans="13:14">
      <c r="M837" s="106">
        <v>4127</v>
      </c>
      <c r="N837" s="213" t="str">
        <f t="shared" si="12"/>
        <v/>
      </c>
    </row>
    <row r="838" spans="13:14">
      <c r="M838" s="106">
        <v>4128</v>
      </c>
      <c r="N838" s="213" t="str">
        <f t="shared" si="12"/>
        <v/>
      </c>
    </row>
    <row r="839" spans="13:14">
      <c r="M839" s="106">
        <v>4129</v>
      </c>
      <c r="N839" s="213" t="str">
        <f t="shared" si="12"/>
        <v/>
      </c>
    </row>
    <row r="840" spans="13:14">
      <c r="M840" s="106">
        <v>4130</v>
      </c>
      <c r="N840" s="213" t="str">
        <f t="shared" si="12"/>
        <v/>
      </c>
    </row>
    <row r="841" spans="13:14">
      <c r="M841" s="106">
        <v>4131</v>
      </c>
      <c r="N841" s="213" t="str">
        <f t="shared" si="12"/>
        <v/>
      </c>
    </row>
    <row r="842" spans="13:14">
      <c r="M842" s="106">
        <v>4133</v>
      </c>
      <c r="N842" s="213" t="str">
        <f t="shared" si="12"/>
        <v/>
      </c>
    </row>
    <row r="843" spans="13:14">
      <c r="M843" s="106">
        <v>4137</v>
      </c>
      <c r="N843" s="213" t="str">
        <f t="shared" si="12"/>
        <v/>
      </c>
    </row>
    <row r="844" spans="13:14">
      <c r="M844" s="106">
        <v>4138</v>
      </c>
      <c r="N844" s="213" t="str">
        <f t="shared" si="12"/>
        <v/>
      </c>
    </row>
    <row r="845" spans="13:14">
      <c r="M845" s="106">
        <v>4139</v>
      </c>
      <c r="N845" s="213" t="str">
        <f t="shared" si="12"/>
        <v/>
      </c>
    </row>
    <row r="846" spans="13:14">
      <c r="M846" s="106">
        <v>4141</v>
      </c>
      <c r="N846" s="213" t="str">
        <f t="shared" si="12"/>
        <v/>
      </c>
    </row>
    <row r="847" spans="13:14">
      <c r="M847" s="106">
        <v>4142</v>
      </c>
      <c r="N847" s="213" t="str">
        <f t="shared" si="12"/>
        <v/>
      </c>
    </row>
    <row r="848" spans="13:14">
      <c r="M848" s="106">
        <v>4144</v>
      </c>
      <c r="N848" s="213" t="str">
        <f t="shared" si="12"/>
        <v/>
      </c>
    </row>
    <row r="849" spans="13:14">
      <c r="M849" s="106">
        <v>4147</v>
      </c>
      <c r="N849" s="213" t="str">
        <f t="shared" si="12"/>
        <v/>
      </c>
    </row>
    <row r="850" spans="13:14">
      <c r="M850" s="106">
        <v>4152</v>
      </c>
      <c r="N850" s="213" t="str">
        <f t="shared" si="12"/>
        <v/>
      </c>
    </row>
    <row r="851" spans="13:14">
      <c r="M851" s="106">
        <v>4153</v>
      </c>
      <c r="N851" s="213" t="str">
        <f t="shared" si="12"/>
        <v/>
      </c>
    </row>
    <row r="852" spans="13:14">
      <c r="M852" s="106">
        <v>4154</v>
      </c>
      <c r="N852" s="213" t="str">
        <f t="shared" si="12"/>
        <v/>
      </c>
    </row>
    <row r="853" spans="13:14">
      <c r="M853" s="106">
        <v>4157</v>
      </c>
      <c r="N853" s="213" t="str">
        <f t="shared" si="12"/>
        <v/>
      </c>
    </row>
    <row r="854" spans="13:14">
      <c r="M854" s="106">
        <v>4160</v>
      </c>
      <c r="N854" s="213" t="str">
        <f t="shared" si="12"/>
        <v/>
      </c>
    </row>
    <row r="855" spans="13:14">
      <c r="M855" s="106">
        <v>4161</v>
      </c>
      <c r="N855" s="213" t="str">
        <f t="shared" si="12"/>
        <v/>
      </c>
    </row>
    <row r="856" spans="13:14">
      <c r="M856" s="106">
        <v>4162</v>
      </c>
      <c r="N856" s="213" t="str">
        <f t="shared" si="12"/>
        <v/>
      </c>
    </row>
    <row r="857" spans="13:14">
      <c r="M857" s="106">
        <v>4163</v>
      </c>
      <c r="N857" s="213" t="str">
        <f t="shared" si="12"/>
        <v/>
      </c>
    </row>
    <row r="858" spans="13:14">
      <c r="M858" s="106">
        <v>4164</v>
      </c>
      <c r="N858" s="213" t="str">
        <f t="shared" si="12"/>
        <v/>
      </c>
    </row>
    <row r="859" spans="13:14">
      <c r="M859" s="106">
        <v>4167</v>
      </c>
      <c r="N859" s="213" t="str">
        <f t="shared" si="12"/>
        <v/>
      </c>
    </row>
    <row r="860" spans="13:14">
      <c r="M860" s="106">
        <v>4168</v>
      </c>
      <c r="N860" s="213" t="str">
        <f t="shared" si="12"/>
        <v/>
      </c>
    </row>
    <row r="861" spans="13:14">
      <c r="M861" s="106">
        <v>4171</v>
      </c>
      <c r="N861" s="213" t="str">
        <f t="shared" si="12"/>
        <v/>
      </c>
    </row>
    <row r="862" spans="13:14">
      <c r="M862" s="106">
        <v>4173</v>
      </c>
      <c r="N862" s="213" t="str">
        <f t="shared" si="12"/>
        <v/>
      </c>
    </row>
    <row r="863" spans="13:14">
      <c r="M863" s="106">
        <v>4174</v>
      </c>
      <c r="N863" s="213" t="str">
        <f t="shared" si="12"/>
        <v/>
      </c>
    </row>
    <row r="864" spans="13:14">
      <c r="M864" s="106">
        <v>4175</v>
      </c>
      <c r="N864" s="213" t="str">
        <f t="shared" si="12"/>
        <v/>
      </c>
    </row>
    <row r="865" spans="13:14">
      <c r="M865" s="106">
        <v>4180</v>
      </c>
      <c r="N865" s="213" t="str">
        <f t="shared" si="12"/>
        <v/>
      </c>
    </row>
    <row r="866" spans="13:14">
      <c r="M866" s="106">
        <v>4188</v>
      </c>
      <c r="N866" s="213" t="str">
        <f t="shared" si="12"/>
        <v/>
      </c>
    </row>
    <row r="867" spans="13:14">
      <c r="M867" s="106">
        <v>4190</v>
      </c>
      <c r="N867" s="213" t="str">
        <f t="shared" si="12"/>
        <v/>
      </c>
    </row>
    <row r="868" spans="13:14">
      <c r="M868" s="106">
        <v>4192</v>
      </c>
      <c r="N868" s="213" t="str">
        <f t="shared" si="12"/>
        <v/>
      </c>
    </row>
    <row r="869" spans="13:14">
      <c r="M869" s="106">
        <v>4198</v>
      </c>
      <c r="N869" s="213" t="str">
        <f t="shared" si="12"/>
        <v/>
      </c>
    </row>
    <row r="870" spans="13:14">
      <c r="M870" s="106">
        <v>4205</v>
      </c>
      <c r="N870" s="213" t="str">
        <f t="shared" si="12"/>
        <v/>
      </c>
    </row>
    <row r="871" spans="13:14">
      <c r="M871" s="106">
        <v>4207</v>
      </c>
      <c r="N871" s="213" t="str">
        <f t="shared" si="12"/>
        <v/>
      </c>
    </row>
    <row r="872" spans="13:14">
      <c r="M872" s="106">
        <v>4303</v>
      </c>
      <c r="N872" s="213" t="str">
        <f t="shared" si="12"/>
        <v/>
      </c>
    </row>
    <row r="873" spans="13:14">
      <c r="M873" s="106">
        <v>4304</v>
      </c>
      <c r="N873" s="213" t="str">
        <f t="shared" si="12"/>
        <v/>
      </c>
    </row>
    <row r="874" spans="13:14">
      <c r="M874" s="106">
        <v>4305</v>
      </c>
      <c r="N874" s="213" t="str">
        <f t="shared" si="12"/>
        <v/>
      </c>
    </row>
    <row r="875" spans="13:14">
      <c r="M875" s="106">
        <v>4306</v>
      </c>
      <c r="N875" s="213" t="str">
        <f t="shared" si="12"/>
        <v/>
      </c>
    </row>
    <row r="876" spans="13:14">
      <c r="M876" s="106">
        <v>4401</v>
      </c>
      <c r="N876" s="213" t="str">
        <f t="shared" si="12"/>
        <v/>
      </c>
    </row>
    <row r="877" spans="13:14">
      <c r="M877" s="106">
        <v>4402</v>
      </c>
      <c r="N877" s="213" t="str">
        <f t="shared" si="12"/>
        <v/>
      </c>
    </row>
    <row r="878" spans="13:14">
      <c r="M878" s="106">
        <v>4406</v>
      </c>
      <c r="N878" s="213" t="str">
        <f t="shared" si="12"/>
        <v/>
      </c>
    </row>
    <row r="879" spans="13:14">
      <c r="M879" s="106">
        <v>4413</v>
      </c>
      <c r="N879" s="213" t="str">
        <f t="shared" si="12"/>
        <v/>
      </c>
    </row>
    <row r="880" spans="13:14">
      <c r="M880" s="106">
        <v>4414</v>
      </c>
      <c r="N880" s="213" t="str">
        <f t="shared" si="12"/>
        <v/>
      </c>
    </row>
    <row r="881" spans="13:14">
      <c r="M881" s="106">
        <v>4415</v>
      </c>
      <c r="N881" s="213" t="str">
        <f t="shared" si="12"/>
        <v/>
      </c>
    </row>
    <row r="882" spans="13:14">
      <c r="M882" s="106">
        <v>4416</v>
      </c>
      <c r="N882" s="213" t="str">
        <f t="shared" si="12"/>
        <v/>
      </c>
    </row>
    <row r="883" spans="13:14">
      <c r="M883" s="106">
        <v>4417</v>
      </c>
      <c r="N883" s="213" t="str">
        <f t="shared" si="12"/>
        <v/>
      </c>
    </row>
    <row r="884" spans="13:14">
      <c r="M884" s="106">
        <v>4419</v>
      </c>
      <c r="N884" s="213" t="str">
        <f t="shared" si="12"/>
        <v/>
      </c>
    </row>
    <row r="885" spans="13:14">
      <c r="M885" s="106">
        <v>4420</v>
      </c>
      <c r="N885" s="213" t="str">
        <f t="shared" si="12"/>
        <v/>
      </c>
    </row>
    <row r="886" spans="13:14">
      <c r="M886" s="106">
        <v>4426</v>
      </c>
      <c r="N886" s="213" t="str">
        <f t="shared" si="12"/>
        <v/>
      </c>
    </row>
    <row r="887" spans="13:14">
      <c r="M887" s="106">
        <v>4429</v>
      </c>
      <c r="N887" s="213" t="str">
        <f t="shared" si="12"/>
        <v/>
      </c>
    </row>
    <row r="888" spans="13:14">
      <c r="M888" s="106">
        <v>4430</v>
      </c>
      <c r="N888" s="213" t="str">
        <f t="shared" si="12"/>
        <v/>
      </c>
    </row>
    <row r="889" spans="13:14">
      <c r="M889" s="106">
        <v>4432</v>
      </c>
      <c r="N889" s="213" t="str">
        <f t="shared" si="12"/>
        <v/>
      </c>
    </row>
    <row r="890" spans="13:14">
      <c r="M890" s="106">
        <v>4433</v>
      </c>
      <c r="N890" s="213" t="str">
        <f t="shared" si="12"/>
        <v/>
      </c>
    </row>
    <row r="891" spans="13:14">
      <c r="M891" s="106">
        <v>4502</v>
      </c>
      <c r="N891" s="213" t="str">
        <f t="shared" si="12"/>
        <v/>
      </c>
    </row>
    <row r="892" spans="13:14">
      <c r="M892" s="106">
        <v>4503</v>
      </c>
      <c r="N892" s="213" t="str">
        <f t="shared" si="12"/>
        <v/>
      </c>
    </row>
    <row r="893" spans="13:14">
      <c r="M893" s="106">
        <v>4506</v>
      </c>
      <c r="N893" s="213" t="str">
        <f t="shared" si="12"/>
        <v/>
      </c>
    </row>
    <row r="894" spans="13:14">
      <c r="M894" s="106">
        <v>4510</v>
      </c>
      <c r="N894" s="213" t="str">
        <f t="shared" si="12"/>
        <v/>
      </c>
    </row>
    <row r="895" spans="13:14">
      <c r="M895" s="106">
        <v>4513</v>
      </c>
      <c r="N895" s="213" t="str">
        <f t="shared" si="12"/>
        <v/>
      </c>
    </row>
    <row r="896" spans="13:14">
      <c r="M896" s="106">
        <v>4523</v>
      </c>
      <c r="N896" s="213" t="str">
        <f t="shared" ref="N896:N959" si="13">MID(O754,6,4)</f>
        <v/>
      </c>
    </row>
    <row r="897" spans="13:14">
      <c r="M897" s="106">
        <v>4526</v>
      </c>
      <c r="N897" s="213" t="str">
        <f t="shared" si="13"/>
        <v/>
      </c>
    </row>
    <row r="898" spans="13:14">
      <c r="M898" s="106">
        <v>4527</v>
      </c>
      <c r="N898" s="213" t="str">
        <f t="shared" si="13"/>
        <v/>
      </c>
    </row>
    <row r="899" spans="13:14">
      <c r="M899" s="106">
        <v>4528</v>
      </c>
      <c r="N899" s="213" t="str">
        <f t="shared" si="13"/>
        <v/>
      </c>
    </row>
    <row r="900" spans="13:14">
      <c r="M900" s="106">
        <v>4529</v>
      </c>
      <c r="N900" s="213" t="str">
        <f t="shared" si="13"/>
        <v/>
      </c>
    </row>
    <row r="901" spans="13:14">
      <c r="M901" s="106">
        <v>4530</v>
      </c>
      <c r="N901" s="213" t="str">
        <f t="shared" si="13"/>
        <v/>
      </c>
    </row>
    <row r="902" spans="13:14">
      <c r="M902" s="106">
        <v>4532</v>
      </c>
      <c r="N902" s="213" t="str">
        <f t="shared" si="13"/>
        <v/>
      </c>
    </row>
    <row r="903" spans="13:14">
      <c r="M903" s="106">
        <v>4533</v>
      </c>
      <c r="N903" s="213" t="str">
        <f t="shared" si="13"/>
        <v/>
      </c>
    </row>
    <row r="904" spans="13:14">
      <c r="M904" s="106">
        <v>4534</v>
      </c>
      <c r="N904" s="213" t="str">
        <f t="shared" si="13"/>
        <v/>
      </c>
    </row>
    <row r="905" spans="13:14">
      <c r="M905" s="106">
        <v>4535</v>
      </c>
      <c r="N905" s="213" t="str">
        <f t="shared" si="13"/>
        <v/>
      </c>
    </row>
    <row r="906" spans="13:14">
      <c r="M906" s="106">
        <v>4536</v>
      </c>
      <c r="N906" s="213" t="str">
        <f t="shared" si="13"/>
        <v/>
      </c>
    </row>
    <row r="907" spans="13:14">
      <c r="M907" s="106">
        <v>4541</v>
      </c>
      <c r="N907" s="213" t="str">
        <f t="shared" si="13"/>
        <v/>
      </c>
    </row>
    <row r="908" spans="13:14">
      <c r="M908" s="106">
        <v>4542</v>
      </c>
      <c r="N908" s="213" t="str">
        <f t="shared" si="13"/>
        <v/>
      </c>
    </row>
    <row r="909" spans="13:14">
      <c r="M909" s="106">
        <v>4543</v>
      </c>
      <c r="N909" s="213" t="str">
        <f t="shared" si="13"/>
        <v/>
      </c>
    </row>
    <row r="910" spans="13:14">
      <c r="M910" s="106">
        <v>4545</v>
      </c>
      <c r="N910" s="213" t="str">
        <f t="shared" si="13"/>
        <v/>
      </c>
    </row>
    <row r="911" spans="13:14">
      <c r="M911" s="106">
        <v>4549</v>
      </c>
      <c r="N911" s="213" t="str">
        <f t="shared" si="13"/>
        <v/>
      </c>
    </row>
    <row r="912" spans="13:14">
      <c r="M912" s="106">
        <v>4550</v>
      </c>
      <c r="N912" s="213" t="str">
        <f t="shared" si="13"/>
        <v/>
      </c>
    </row>
    <row r="913" spans="13:14">
      <c r="M913" s="106">
        <v>4551</v>
      </c>
      <c r="N913" s="213" t="str">
        <f t="shared" si="13"/>
        <v/>
      </c>
    </row>
    <row r="914" spans="13:14">
      <c r="M914" s="106">
        <v>4552</v>
      </c>
      <c r="N914" s="213" t="str">
        <f t="shared" si="13"/>
        <v/>
      </c>
    </row>
    <row r="915" spans="13:14">
      <c r="M915" s="106">
        <v>4554</v>
      </c>
      <c r="N915" s="213" t="str">
        <f t="shared" si="13"/>
        <v/>
      </c>
    </row>
    <row r="916" spans="13:14">
      <c r="M916" s="106">
        <v>4555</v>
      </c>
      <c r="N916" s="213" t="str">
        <f t="shared" si="13"/>
        <v/>
      </c>
    </row>
    <row r="917" spans="13:14">
      <c r="M917" s="106">
        <v>4556</v>
      </c>
      <c r="N917" s="213" t="str">
        <f t="shared" si="13"/>
        <v/>
      </c>
    </row>
    <row r="918" spans="13:14">
      <c r="M918" s="106">
        <v>4557</v>
      </c>
      <c r="N918" s="213" t="str">
        <f t="shared" si="13"/>
        <v/>
      </c>
    </row>
    <row r="919" spans="13:14">
      <c r="M919" s="106">
        <v>4609</v>
      </c>
      <c r="N919" s="213" t="str">
        <f t="shared" si="13"/>
        <v/>
      </c>
    </row>
    <row r="920" spans="13:14">
      <c r="M920" s="106">
        <v>4702</v>
      </c>
      <c r="N920" s="213" t="str">
        <f t="shared" si="13"/>
        <v/>
      </c>
    </row>
    <row r="921" spans="13:14">
      <c r="M921" s="106">
        <v>4706</v>
      </c>
      <c r="N921" s="213" t="str">
        <f t="shared" si="13"/>
        <v/>
      </c>
    </row>
    <row r="922" spans="13:14">
      <c r="M922" s="106">
        <v>4707</v>
      </c>
      <c r="N922" s="213" t="str">
        <f t="shared" si="13"/>
        <v/>
      </c>
    </row>
    <row r="923" spans="13:14">
      <c r="M923" s="106">
        <v>4711</v>
      </c>
      <c r="N923" s="213" t="str">
        <f t="shared" si="13"/>
        <v/>
      </c>
    </row>
    <row r="924" spans="13:14">
      <c r="M924" s="106">
        <v>4712</v>
      </c>
      <c r="N924" s="213" t="str">
        <f t="shared" si="13"/>
        <v/>
      </c>
    </row>
    <row r="925" spans="13:14">
      <c r="M925" s="106">
        <v>4714</v>
      </c>
      <c r="N925" s="213" t="str">
        <f t="shared" si="13"/>
        <v/>
      </c>
    </row>
    <row r="926" spans="13:14">
      <c r="M926" s="106">
        <v>4716</v>
      </c>
      <c r="N926" s="213" t="str">
        <f t="shared" si="13"/>
        <v/>
      </c>
    </row>
    <row r="927" spans="13:14">
      <c r="M927" s="106">
        <v>4720</v>
      </c>
      <c r="N927" s="213" t="str">
        <f t="shared" si="13"/>
        <v/>
      </c>
    </row>
    <row r="928" spans="13:14">
      <c r="M928" s="106">
        <v>4721</v>
      </c>
      <c r="N928" s="213" t="str">
        <f t="shared" si="13"/>
        <v/>
      </c>
    </row>
    <row r="929" spans="13:14">
      <c r="M929" s="106">
        <v>4722</v>
      </c>
      <c r="N929" s="213" t="str">
        <f t="shared" si="13"/>
        <v/>
      </c>
    </row>
    <row r="930" spans="13:14">
      <c r="M930" s="106">
        <v>4725</v>
      </c>
      <c r="N930" s="213" t="str">
        <f t="shared" si="13"/>
        <v/>
      </c>
    </row>
    <row r="931" spans="13:14">
      <c r="M931" s="106">
        <v>4726</v>
      </c>
      <c r="N931" s="213" t="str">
        <f t="shared" si="13"/>
        <v/>
      </c>
    </row>
    <row r="932" spans="13:14">
      <c r="M932" s="106">
        <v>4728</v>
      </c>
      <c r="N932" s="213" t="str">
        <f t="shared" si="13"/>
        <v/>
      </c>
    </row>
    <row r="933" spans="13:14">
      <c r="M933" s="106">
        <v>4729</v>
      </c>
      <c r="N933" s="213" t="str">
        <f t="shared" si="13"/>
        <v/>
      </c>
    </row>
    <row r="934" spans="13:14">
      <c r="M934" s="106">
        <v>4733</v>
      </c>
      <c r="N934" s="213" t="str">
        <f t="shared" si="13"/>
        <v/>
      </c>
    </row>
    <row r="935" spans="13:14">
      <c r="M935" s="106">
        <v>4735</v>
      </c>
      <c r="N935" s="213" t="str">
        <f t="shared" si="13"/>
        <v/>
      </c>
    </row>
    <row r="936" spans="13:14">
      <c r="M936" s="106">
        <v>4736</v>
      </c>
      <c r="N936" s="213" t="str">
        <f t="shared" si="13"/>
        <v/>
      </c>
    </row>
    <row r="937" spans="13:14">
      <c r="M937" s="106">
        <v>4737</v>
      </c>
      <c r="N937" s="213" t="str">
        <f t="shared" si="13"/>
        <v/>
      </c>
    </row>
    <row r="938" spans="13:14">
      <c r="M938" s="106">
        <v>4739</v>
      </c>
      <c r="N938" s="213" t="str">
        <f t="shared" si="13"/>
        <v/>
      </c>
    </row>
    <row r="939" spans="13:14">
      <c r="M939" s="106">
        <v>4743</v>
      </c>
      <c r="N939" s="213" t="str">
        <f t="shared" si="13"/>
        <v/>
      </c>
    </row>
    <row r="940" spans="13:14">
      <c r="M940" s="106">
        <v>4745</v>
      </c>
      <c r="N940" s="213" t="str">
        <f t="shared" si="13"/>
        <v/>
      </c>
    </row>
    <row r="941" spans="13:14">
      <c r="M941" s="106">
        <v>4746</v>
      </c>
      <c r="N941" s="213" t="str">
        <f t="shared" si="13"/>
        <v/>
      </c>
    </row>
    <row r="942" spans="13:14">
      <c r="M942" s="106">
        <v>4747</v>
      </c>
      <c r="N942" s="213" t="str">
        <f t="shared" si="13"/>
        <v/>
      </c>
    </row>
    <row r="943" spans="13:14">
      <c r="M943" s="106">
        <v>4755</v>
      </c>
      <c r="N943" s="213" t="str">
        <f t="shared" si="13"/>
        <v/>
      </c>
    </row>
    <row r="944" spans="13:14">
      <c r="M944" s="106">
        <v>4762</v>
      </c>
      <c r="N944" s="213" t="str">
        <f t="shared" si="13"/>
        <v/>
      </c>
    </row>
    <row r="945" spans="13:14">
      <c r="M945" s="106">
        <v>4763</v>
      </c>
      <c r="N945" s="213" t="str">
        <f t="shared" si="13"/>
        <v/>
      </c>
    </row>
    <row r="946" spans="13:14">
      <c r="M946" s="106">
        <v>4803</v>
      </c>
      <c r="N946" s="213" t="str">
        <f t="shared" si="13"/>
        <v/>
      </c>
    </row>
    <row r="947" spans="13:14">
      <c r="M947" s="106">
        <v>4804</v>
      </c>
      <c r="N947" s="213" t="str">
        <f t="shared" si="13"/>
        <v/>
      </c>
    </row>
    <row r="948" spans="13:14">
      <c r="M948" s="106">
        <v>4806</v>
      </c>
      <c r="N948" s="213" t="str">
        <f t="shared" si="13"/>
        <v/>
      </c>
    </row>
    <row r="949" spans="13:14">
      <c r="M949" s="106">
        <v>4903</v>
      </c>
      <c r="N949" s="213" t="str">
        <f t="shared" si="13"/>
        <v/>
      </c>
    </row>
    <row r="950" spans="13:14">
      <c r="M950" s="106">
        <v>4904</v>
      </c>
      <c r="N950" s="213" t="str">
        <f t="shared" si="13"/>
        <v/>
      </c>
    </row>
    <row r="951" spans="13:14">
      <c r="M951" s="106">
        <v>4905</v>
      </c>
      <c r="N951" s="213" t="str">
        <f t="shared" si="13"/>
        <v/>
      </c>
    </row>
    <row r="952" spans="13:14">
      <c r="M952" s="106">
        <v>4906</v>
      </c>
      <c r="N952" s="213" t="str">
        <f t="shared" si="13"/>
        <v/>
      </c>
    </row>
    <row r="953" spans="13:14">
      <c r="M953" s="106">
        <v>4907</v>
      </c>
      <c r="N953" s="213" t="str">
        <f t="shared" si="13"/>
        <v/>
      </c>
    </row>
    <row r="954" spans="13:14">
      <c r="M954" s="106">
        <v>4908</v>
      </c>
      <c r="N954" s="213" t="str">
        <f t="shared" si="13"/>
        <v/>
      </c>
    </row>
    <row r="955" spans="13:14">
      <c r="M955" s="106">
        <v>4909</v>
      </c>
      <c r="N955" s="213" t="str">
        <f t="shared" si="13"/>
        <v/>
      </c>
    </row>
    <row r="956" spans="13:14">
      <c r="M956" s="106">
        <v>4911</v>
      </c>
      <c r="N956" s="213" t="str">
        <f t="shared" si="13"/>
        <v/>
      </c>
    </row>
    <row r="957" spans="13:14">
      <c r="M957" s="106">
        <v>4912</v>
      </c>
      <c r="N957" s="213" t="str">
        <f t="shared" si="13"/>
        <v/>
      </c>
    </row>
    <row r="958" spans="13:14">
      <c r="M958" s="106">
        <v>4915</v>
      </c>
      <c r="N958" s="213" t="str">
        <f t="shared" si="13"/>
        <v/>
      </c>
    </row>
    <row r="959" spans="13:14">
      <c r="M959" s="106">
        <v>4916</v>
      </c>
      <c r="N959" s="213" t="str">
        <f t="shared" si="13"/>
        <v/>
      </c>
    </row>
    <row r="960" spans="13:14">
      <c r="M960" s="106">
        <v>4919</v>
      </c>
      <c r="N960" s="213" t="str">
        <f t="shared" ref="N960:N1023" si="14">MID(O818,6,4)</f>
        <v/>
      </c>
    </row>
    <row r="961" spans="13:14">
      <c r="M961" s="106">
        <v>4924</v>
      </c>
      <c r="N961" s="213" t="str">
        <f t="shared" si="14"/>
        <v/>
      </c>
    </row>
    <row r="962" spans="13:14">
      <c r="M962" s="106">
        <v>4927</v>
      </c>
      <c r="N962" s="213" t="str">
        <f t="shared" si="14"/>
        <v/>
      </c>
    </row>
    <row r="963" spans="13:14">
      <c r="M963" s="106">
        <v>4930</v>
      </c>
      <c r="N963" s="213" t="str">
        <f t="shared" si="14"/>
        <v/>
      </c>
    </row>
    <row r="964" spans="13:14">
      <c r="M964" s="106">
        <v>4933</v>
      </c>
      <c r="N964" s="213" t="str">
        <f t="shared" si="14"/>
        <v/>
      </c>
    </row>
    <row r="965" spans="13:14">
      <c r="M965" s="106">
        <v>4934</v>
      </c>
      <c r="N965" s="213" t="str">
        <f t="shared" si="14"/>
        <v/>
      </c>
    </row>
    <row r="966" spans="13:14">
      <c r="M966" s="106">
        <v>4935</v>
      </c>
      <c r="N966" s="213" t="str">
        <f t="shared" si="14"/>
        <v/>
      </c>
    </row>
    <row r="967" spans="13:14">
      <c r="M967" s="106">
        <v>4938</v>
      </c>
      <c r="N967" s="213" t="str">
        <f t="shared" si="14"/>
        <v/>
      </c>
    </row>
    <row r="968" spans="13:14">
      <c r="M968" s="106">
        <v>4939</v>
      </c>
      <c r="N968" s="213" t="str">
        <f t="shared" si="14"/>
        <v/>
      </c>
    </row>
    <row r="969" spans="13:14">
      <c r="M969" s="106">
        <v>4942</v>
      </c>
      <c r="N969" s="213" t="str">
        <f t="shared" si="14"/>
        <v/>
      </c>
    </row>
    <row r="970" spans="13:14">
      <c r="M970" s="106">
        <v>4944</v>
      </c>
      <c r="N970" s="213" t="str">
        <f t="shared" si="14"/>
        <v/>
      </c>
    </row>
    <row r="971" spans="13:14">
      <c r="M971" s="106">
        <v>4946</v>
      </c>
      <c r="N971" s="213" t="str">
        <f t="shared" si="14"/>
        <v/>
      </c>
    </row>
    <row r="972" spans="13:14">
      <c r="M972" s="106">
        <v>4947</v>
      </c>
      <c r="N972" s="213" t="str">
        <f t="shared" si="14"/>
        <v/>
      </c>
    </row>
    <row r="973" spans="13:14">
      <c r="M973" s="106">
        <v>4950</v>
      </c>
      <c r="N973" s="213" t="str">
        <f t="shared" si="14"/>
        <v/>
      </c>
    </row>
    <row r="974" spans="13:14">
      <c r="M974" s="106">
        <v>4952</v>
      </c>
      <c r="N974" s="213" t="str">
        <f t="shared" si="14"/>
        <v/>
      </c>
    </row>
    <row r="975" spans="13:14">
      <c r="M975" s="106">
        <v>4953</v>
      </c>
      <c r="N975" s="213" t="str">
        <f t="shared" si="14"/>
        <v/>
      </c>
    </row>
    <row r="976" spans="13:14">
      <c r="M976" s="106">
        <v>4956</v>
      </c>
      <c r="N976" s="213" t="str">
        <f t="shared" si="14"/>
        <v/>
      </c>
    </row>
    <row r="977" spans="13:14">
      <c r="M977" s="106">
        <v>4958</v>
      </c>
      <c r="N977" s="213" t="str">
        <f t="shared" si="14"/>
        <v/>
      </c>
    </row>
    <row r="978" spans="13:14">
      <c r="M978" s="106">
        <v>4960</v>
      </c>
      <c r="N978" s="213" t="str">
        <f t="shared" si="14"/>
        <v/>
      </c>
    </row>
    <row r="979" spans="13:14">
      <c r="M979" s="106">
        <v>4965</v>
      </c>
      <c r="N979" s="213" t="str">
        <f t="shared" si="14"/>
        <v/>
      </c>
    </row>
    <row r="980" spans="13:14">
      <c r="M980" s="106">
        <v>4966</v>
      </c>
      <c r="N980" s="213" t="str">
        <f t="shared" si="14"/>
        <v/>
      </c>
    </row>
    <row r="981" spans="13:14">
      <c r="M981" s="106">
        <v>4968</v>
      </c>
      <c r="N981" s="213" t="str">
        <f t="shared" si="14"/>
        <v/>
      </c>
    </row>
    <row r="982" spans="13:14">
      <c r="M982" s="106">
        <v>4971</v>
      </c>
      <c r="N982" s="213" t="str">
        <f t="shared" si="14"/>
        <v/>
      </c>
    </row>
    <row r="983" spans="13:14">
      <c r="M983" s="106">
        <v>4972</v>
      </c>
      <c r="N983" s="213" t="str">
        <f t="shared" si="14"/>
        <v/>
      </c>
    </row>
    <row r="984" spans="13:14">
      <c r="M984" s="106">
        <v>4973</v>
      </c>
      <c r="N984" s="213" t="str">
        <f t="shared" si="14"/>
        <v/>
      </c>
    </row>
    <row r="985" spans="13:14">
      <c r="M985" s="106">
        <v>4974</v>
      </c>
      <c r="N985" s="213" t="str">
        <f t="shared" si="14"/>
        <v/>
      </c>
    </row>
    <row r="986" spans="13:14">
      <c r="M986" s="106">
        <v>4976</v>
      </c>
      <c r="N986" s="213" t="str">
        <f t="shared" si="14"/>
        <v/>
      </c>
    </row>
    <row r="987" spans="13:14">
      <c r="M987" s="106">
        <v>4977</v>
      </c>
      <c r="N987" s="213" t="str">
        <f t="shared" si="14"/>
        <v/>
      </c>
    </row>
    <row r="988" spans="13:14">
      <c r="M988" s="106">
        <v>4979</v>
      </c>
      <c r="N988" s="213" t="str">
        <f t="shared" si="14"/>
        <v/>
      </c>
    </row>
    <row r="989" spans="13:14">
      <c r="M989" s="106">
        <v>4984</v>
      </c>
      <c r="N989" s="213" t="str">
        <f t="shared" si="14"/>
        <v/>
      </c>
    </row>
    <row r="990" spans="13:14">
      <c r="M990" s="106">
        <v>4987</v>
      </c>
      <c r="N990" s="213" t="str">
        <f t="shared" si="14"/>
        <v/>
      </c>
    </row>
    <row r="991" spans="13:14">
      <c r="M991" s="106">
        <v>4991</v>
      </c>
      <c r="N991" s="213" t="str">
        <f t="shared" si="14"/>
        <v/>
      </c>
    </row>
    <row r="992" spans="13:14">
      <c r="M992" s="106">
        <v>4994</v>
      </c>
      <c r="N992" s="213" t="str">
        <f t="shared" si="14"/>
        <v/>
      </c>
    </row>
    <row r="993" spans="13:14">
      <c r="M993" s="106">
        <v>4995</v>
      </c>
      <c r="N993" s="213" t="str">
        <f t="shared" si="14"/>
        <v/>
      </c>
    </row>
    <row r="994" spans="13:14">
      <c r="M994" s="106">
        <v>4999</v>
      </c>
      <c r="N994" s="213" t="str">
        <f t="shared" si="14"/>
        <v/>
      </c>
    </row>
    <row r="995" spans="13:14">
      <c r="M995" s="106">
        <v>5007</v>
      </c>
      <c r="N995" s="213" t="str">
        <f t="shared" si="14"/>
        <v/>
      </c>
    </row>
    <row r="996" spans="13:14">
      <c r="M996" s="106">
        <v>5009</v>
      </c>
      <c r="N996" s="213" t="str">
        <f t="shared" si="14"/>
        <v/>
      </c>
    </row>
    <row r="997" spans="13:14">
      <c r="M997" s="106">
        <v>5011</v>
      </c>
      <c r="N997" s="213" t="str">
        <f t="shared" si="14"/>
        <v/>
      </c>
    </row>
    <row r="998" spans="13:14">
      <c r="M998" s="106">
        <v>5013</v>
      </c>
      <c r="N998" s="213" t="str">
        <f t="shared" si="14"/>
        <v/>
      </c>
    </row>
    <row r="999" spans="13:14">
      <c r="M999" s="106">
        <v>5014</v>
      </c>
      <c r="N999" s="213" t="str">
        <f t="shared" si="14"/>
        <v/>
      </c>
    </row>
    <row r="1000" spans="13:14">
      <c r="M1000" s="106">
        <v>5015</v>
      </c>
      <c r="N1000" s="213" t="str">
        <f t="shared" si="14"/>
        <v/>
      </c>
    </row>
    <row r="1001" spans="13:14">
      <c r="M1001" s="106">
        <v>5016</v>
      </c>
      <c r="N1001" s="213" t="str">
        <f t="shared" si="14"/>
        <v/>
      </c>
    </row>
    <row r="1002" spans="13:14">
      <c r="M1002" s="106">
        <v>5102</v>
      </c>
      <c r="N1002" s="213" t="str">
        <f t="shared" si="14"/>
        <v/>
      </c>
    </row>
    <row r="1003" spans="13:14">
      <c r="M1003" s="106">
        <v>5201</v>
      </c>
      <c r="N1003" s="213" t="str">
        <f t="shared" si="14"/>
        <v/>
      </c>
    </row>
    <row r="1004" spans="13:14">
      <c r="M1004" s="106">
        <v>5202</v>
      </c>
      <c r="N1004" s="213" t="str">
        <f t="shared" si="14"/>
        <v/>
      </c>
    </row>
    <row r="1005" spans="13:14">
      <c r="M1005" s="106">
        <v>5203</v>
      </c>
      <c r="N1005" s="213" t="str">
        <f t="shared" si="14"/>
        <v/>
      </c>
    </row>
    <row r="1006" spans="13:14">
      <c r="M1006" s="106">
        <v>5205</v>
      </c>
      <c r="N1006" s="213" t="str">
        <f t="shared" si="14"/>
        <v/>
      </c>
    </row>
    <row r="1007" spans="13:14">
      <c r="M1007" s="106">
        <v>5206</v>
      </c>
      <c r="N1007" s="213" t="str">
        <f t="shared" si="14"/>
        <v/>
      </c>
    </row>
    <row r="1008" spans="13:14">
      <c r="M1008" s="106">
        <v>5209</v>
      </c>
      <c r="N1008" s="213" t="str">
        <f t="shared" si="14"/>
        <v/>
      </c>
    </row>
    <row r="1009" spans="13:14">
      <c r="M1009" s="106">
        <v>5210</v>
      </c>
      <c r="N1009" s="213" t="str">
        <f t="shared" si="14"/>
        <v/>
      </c>
    </row>
    <row r="1010" spans="13:14">
      <c r="M1010" s="106">
        <v>5211</v>
      </c>
      <c r="N1010" s="213" t="str">
        <f t="shared" si="14"/>
        <v/>
      </c>
    </row>
    <row r="1011" spans="13:14">
      <c r="M1011" s="106">
        <v>5212</v>
      </c>
      <c r="N1011" s="213" t="str">
        <f t="shared" si="14"/>
        <v/>
      </c>
    </row>
    <row r="1012" spans="13:14">
      <c r="M1012" s="106">
        <v>5213</v>
      </c>
      <c r="N1012" s="213" t="str">
        <f t="shared" si="14"/>
        <v/>
      </c>
    </row>
    <row r="1013" spans="13:14">
      <c r="M1013" s="106">
        <v>5215</v>
      </c>
      <c r="N1013" s="213" t="str">
        <f t="shared" si="14"/>
        <v/>
      </c>
    </row>
    <row r="1014" spans="13:14">
      <c r="M1014" s="106">
        <v>5225</v>
      </c>
      <c r="N1014" s="213" t="str">
        <f t="shared" si="14"/>
        <v/>
      </c>
    </row>
    <row r="1015" spans="13:14">
      <c r="M1015" s="106">
        <v>5227</v>
      </c>
      <c r="N1015" s="213" t="str">
        <f t="shared" si="14"/>
        <v/>
      </c>
    </row>
    <row r="1016" spans="13:14">
      <c r="M1016" s="106">
        <v>5230</v>
      </c>
      <c r="N1016" s="213" t="str">
        <f t="shared" si="14"/>
        <v/>
      </c>
    </row>
    <row r="1017" spans="13:14">
      <c r="M1017" s="106">
        <v>5234</v>
      </c>
      <c r="N1017" s="213" t="str">
        <f t="shared" si="14"/>
        <v/>
      </c>
    </row>
    <row r="1018" spans="13:14">
      <c r="M1018" s="106">
        <v>5243</v>
      </c>
      <c r="N1018" s="213" t="str">
        <f t="shared" si="14"/>
        <v/>
      </c>
    </row>
    <row r="1019" spans="13:14">
      <c r="M1019" s="106">
        <v>5245</v>
      </c>
      <c r="N1019" s="213" t="str">
        <f t="shared" si="14"/>
        <v/>
      </c>
    </row>
    <row r="1020" spans="13:14">
      <c r="M1020" s="106">
        <v>5251</v>
      </c>
      <c r="N1020" s="213" t="str">
        <f t="shared" si="14"/>
        <v/>
      </c>
    </row>
    <row r="1021" spans="13:14">
      <c r="M1021" s="106">
        <v>5255</v>
      </c>
      <c r="N1021" s="213" t="str">
        <f t="shared" si="14"/>
        <v/>
      </c>
    </row>
    <row r="1022" spans="13:14">
      <c r="M1022" s="106">
        <v>5259</v>
      </c>
      <c r="N1022" s="213" t="str">
        <f t="shared" si="14"/>
        <v/>
      </c>
    </row>
    <row r="1023" spans="13:14">
      <c r="M1023" s="106">
        <v>5263</v>
      </c>
      <c r="N1023" s="213" t="str">
        <f t="shared" si="14"/>
        <v/>
      </c>
    </row>
    <row r="1024" spans="13:14">
      <c r="M1024" s="106">
        <v>5264</v>
      </c>
      <c r="N1024" s="213" t="str">
        <f t="shared" ref="N1024:N1087" si="15">MID(O882,6,4)</f>
        <v/>
      </c>
    </row>
    <row r="1025" spans="13:14">
      <c r="M1025" s="106">
        <v>5269</v>
      </c>
      <c r="N1025" s="213" t="str">
        <f t="shared" si="15"/>
        <v/>
      </c>
    </row>
    <row r="1026" spans="13:14">
      <c r="M1026" s="106">
        <v>5272</v>
      </c>
      <c r="N1026" s="213" t="str">
        <f t="shared" si="15"/>
        <v/>
      </c>
    </row>
    <row r="1027" spans="13:14">
      <c r="M1027" s="106">
        <v>5274</v>
      </c>
      <c r="N1027" s="213" t="str">
        <f t="shared" si="15"/>
        <v/>
      </c>
    </row>
    <row r="1028" spans="13:14">
      <c r="M1028" s="106">
        <v>5276</v>
      </c>
      <c r="N1028" s="213" t="str">
        <f t="shared" si="15"/>
        <v/>
      </c>
    </row>
    <row r="1029" spans="13:14">
      <c r="M1029" s="106">
        <v>5278</v>
      </c>
      <c r="N1029" s="213" t="str">
        <f t="shared" si="15"/>
        <v/>
      </c>
    </row>
    <row r="1030" spans="13:14">
      <c r="M1030" s="106">
        <v>5281</v>
      </c>
      <c r="N1030" s="213" t="str">
        <f t="shared" si="15"/>
        <v/>
      </c>
    </row>
    <row r="1031" spans="13:14">
      <c r="M1031" s="106">
        <v>5284</v>
      </c>
      <c r="N1031" s="213" t="str">
        <f t="shared" si="15"/>
        <v/>
      </c>
    </row>
    <row r="1032" spans="13:14">
      <c r="M1032" s="106">
        <v>5285</v>
      </c>
      <c r="N1032" s="213" t="str">
        <f t="shared" si="15"/>
        <v/>
      </c>
    </row>
    <row r="1033" spans="13:14">
      <c r="M1033" s="106">
        <v>5287</v>
      </c>
      <c r="N1033" s="213" t="str">
        <f t="shared" si="15"/>
        <v/>
      </c>
    </row>
    <row r="1034" spans="13:14">
      <c r="M1034" s="106">
        <v>5288</v>
      </c>
      <c r="N1034" s="213" t="str">
        <f t="shared" si="15"/>
        <v/>
      </c>
    </row>
    <row r="1035" spans="13:14">
      <c r="M1035" s="106">
        <v>5289</v>
      </c>
      <c r="N1035" s="213" t="str">
        <f t="shared" si="15"/>
        <v/>
      </c>
    </row>
    <row r="1036" spans="13:14">
      <c r="M1036" s="106">
        <v>5291</v>
      </c>
      <c r="N1036" s="213" t="str">
        <f t="shared" si="15"/>
        <v/>
      </c>
    </row>
    <row r="1037" spans="13:14">
      <c r="M1037" s="106">
        <v>5301</v>
      </c>
      <c r="N1037" s="213" t="str">
        <f t="shared" si="15"/>
        <v/>
      </c>
    </row>
    <row r="1038" spans="13:14">
      <c r="M1038" s="106">
        <v>5302</v>
      </c>
      <c r="N1038" s="213" t="str">
        <f t="shared" si="15"/>
        <v/>
      </c>
    </row>
    <row r="1039" spans="13:14">
      <c r="M1039" s="106">
        <v>5304</v>
      </c>
      <c r="N1039" s="213" t="str">
        <f t="shared" si="15"/>
        <v/>
      </c>
    </row>
    <row r="1040" spans="13:14">
      <c r="M1040" s="106">
        <v>5305</v>
      </c>
      <c r="N1040" s="213" t="str">
        <f t="shared" si="15"/>
        <v/>
      </c>
    </row>
    <row r="1041" spans="13:14">
      <c r="M1041" s="106">
        <v>5306</v>
      </c>
      <c r="N1041" s="213" t="str">
        <f t="shared" si="15"/>
        <v/>
      </c>
    </row>
    <row r="1042" spans="13:14">
      <c r="M1042" s="106">
        <v>5309</v>
      </c>
      <c r="N1042" s="213" t="str">
        <f t="shared" si="15"/>
        <v/>
      </c>
    </row>
    <row r="1043" spans="13:14">
      <c r="M1043" s="106">
        <v>5310</v>
      </c>
      <c r="N1043" s="213" t="str">
        <f t="shared" si="15"/>
        <v/>
      </c>
    </row>
    <row r="1044" spans="13:14">
      <c r="M1044" s="106">
        <v>5312</v>
      </c>
      <c r="N1044" s="213" t="str">
        <f t="shared" si="15"/>
        <v/>
      </c>
    </row>
    <row r="1045" spans="13:14">
      <c r="M1045" s="106">
        <v>5314</v>
      </c>
      <c r="N1045" s="213" t="str">
        <f t="shared" si="15"/>
        <v/>
      </c>
    </row>
    <row r="1046" spans="13:14">
      <c r="M1046" s="106">
        <v>5315</v>
      </c>
      <c r="N1046" s="213" t="str">
        <f t="shared" si="15"/>
        <v/>
      </c>
    </row>
    <row r="1047" spans="13:14">
      <c r="M1047" s="106">
        <v>5317</v>
      </c>
      <c r="N1047" s="213" t="str">
        <f t="shared" si="15"/>
        <v/>
      </c>
    </row>
    <row r="1048" spans="13:14">
      <c r="M1048" s="106">
        <v>5321</v>
      </c>
      <c r="N1048" s="213" t="str">
        <f t="shared" si="15"/>
        <v/>
      </c>
    </row>
    <row r="1049" spans="13:14">
      <c r="M1049" s="106">
        <v>5324</v>
      </c>
      <c r="N1049" s="213" t="str">
        <f t="shared" si="15"/>
        <v/>
      </c>
    </row>
    <row r="1050" spans="13:14">
      <c r="M1050" s="106">
        <v>5328</v>
      </c>
      <c r="N1050" s="213" t="str">
        <f t="shared" si="15"/>
        <v/>
      </c>
    </row>
    <row r="1051" spans="13:14">
      <c r="M1051" s="106">
        <v>5340</v>
      </c>
      <c r="N1051" s="213" t="str">
        <f t="shared" si="15"/>
        <v/>
      </c>
    </row>
    <row r="1052" spans="13:14">
      <c r="M1052" s="106">
        <v>5344</v>
      </c>
      <c r="N1052" s="213" t="str">
        <f t="shared" si="15"/>
        <v/>
      </c>
    </row>
    <row r="1053" spans="13:14">
      <c r="M1053" s="106">
        <v>5345</v>
      </c>
      <c r="N1053" s="213" t="str">
        <f t="shared" si="15"/>
        <v/>
      </c>
    </row>
    <row r="1054" spans="13:14">
      <c r="M1054" s="106">
        <v>5347</v>
      </c>
      <c r="N1054" s="213" t="str">
        <f t="shared" si="15"/>
        <v/>
      </c>
    </row>
    <row r="1055" spans="13:14">
      <c r="M1055" s="106">
        <v>5348</v>
      </c>
      <c r="N1055" s="213" t="str">
        <f t="shared" si="15"/>
        <v/>
      </c>
    </row>
    <row r="1056" spans="13:14">
      <c r="M1056" s="106">
        <v>5349</v>
      </c>
      <c r="N1056" s="213" t="str">
        <f t="shared" si="15"/>
        <v/>
      </c>
    </row>
    <row r="1057" spans="13:14">
      <c r="M1057" s="106">
        <v>5351</v>
      </c>
      <c r="N1057" s="213" t="str">
        <f t="shared" si="15"/>
        <v/>
      </c>
    </row>
    <row r="1058" spans="13:14">
      <c r="M1058" s="106">
        <v>5353</v>
      </c>
      <c r="N1058" s="213" t="str">
        <f t="shared" si="15"/>
        <v/>
      </c>
    </row>
    <row r="1059" spans="13:14">
      <c r="M1059" s="106">
        <v>5355</v>
      </c>
      <c r="N1059" s="213" t="str">
        <f t="shared" si="15"/>
        <v/>
      </c>
    </row>
    <row r="1060" spans="13:14">
      <c r="M1060" s="106">
        <v>5356</v>
      </c>
      <c r="N1060" s="213" t="str">
        <f t="shared" si="15"/>
        <v/>
      </c>
    </row>
    <row r="1061" spans="13:14">
      <c r="M1061" s="106">
        <v>5364</v>
      </c>
      <c r="N1061" s="213" t="str">
        <f t="shared" si="15"/>
        <v/>
      </c>
    </row>
    <row r="1062" spans="13:14">
      <c r="M1062" s="106">
        <v>5371</v>
      </c>
      <c r="N1062" s="213" t="str">
        <f t="shared" si="15"/>
        <v/>
      </c>
    </row>
    <row r="1063" spans="13:14">
      <c r="M1063" s="106">
        <v>5381</v>
      </c>
      <c r="N1063" s="213" t="str">
        <f t="shared" si="15"/>
        <v/>
      </c>
    </row>
    <row r="1064" spans="13:14">
      <c r="M1064" s="106">
        <v>5383</v>
      </c>
      <c r="N1064" s="213" t="str">
        <f t="shared" si="15"/>
        <v/>
      </c>
    </row>
    <row r="1065" spans="13:14">
      <c r="M1065" s="106">
        <v>5384</v>
      </c>
      <c r="N1065" s="213" t="str">
        <f t="shared" si="15"/>
        <v/>
      </c>
    </row>
    <row r="1066" spans="13:14">
      <c r="M1066" s="106">
        <v>5386</v>
      </c>
      <c r="N1066" s="213" t="str">
        <f t="shared" si="15"/>
        <v/>
      </c>
    </row>
    <row r="1067" spans="13:14">
      <c r="M1067" s="106">
        <v>5388</v>
      </c>
      <c r="N1067" s="213" t="str">
        <f t="shared" si="15"/>
        <v/>
      </c>
    </row>
    <row r="1068" spans="13:14">
      <c r="M1068" s="106">
        <v>5392</v>
      </c>
      <c r="N1068" s="213" t="str">
        <f t="shared" si="15"/>
        <v/>
      </c>
    </row>
    <row r="1069" spans="13:14">
      <c r="M1069" s="106">
        <v>5395</v>
      </c>
      <c r="N1069" s="213" t="str">
        <f t="shared" si="15"/>
        <v/>
      </c>
    </row>
    <row r="1070" spans="13:14">
      <c r="M1070" s="106">
        <v>5398</v>
      </c>
      <c r="N1070" s="213" t="str">
        <f t="shared" si="15"/>
        <v/>
      </c>
    </row>
    <row r="1071" spans="13:14">
      <c r="M1071" s="106">
        <v>5403</v>
      </c>
      <c r="N1071" s="213" t="str">
        <f t="shared" si="15"/>
        <v/>
      </c>
    </row>
    <row r="1072" spans="13:14">
      <c r="M1072" s="106">
        <v>5410</v>
      </c>
      <c r="N1072" s="213" t="str">
        <f t="shared" si="15"/>
        <v/>
      </c>
    </row>
    <row r="1073" spans="13:14">
      <c r="M1073" s="106">
        <v>5425</v>
      </c>
      <c r="N1073" s="213" t="str">
        <f t="shared" si="15"/>
        <v/>
      </c>
    </row>
    <row r="1074" spans="13:14">
      <c r="M1074" s="106">
        <v>5426</v>
      </c>
      <c r="N1074" s="213" t="str">
        <f t="shared" si="15"/>
        <v/>
      </c>
    </row>
    <row r="1075" spans="13:14">
      <c r="M1075" s="106">
        <v>5432</v>
      </c>
      <c r="N1075" s="213" t="str">
        <f t="shared" si="15"/>
        <v/>
      </c>
    </row>
    <row r="1076" spans="13:14">
      <c r="M1076" s="106">
        <v>5434</v>
      </c>
      <c r="N1076" s="213" t="str">
        <f t="shared" si="15"/>
        <v/>
      </c>
    </row>
    <row r="1077" spans="13:14">
      <c r="M1077" s="106">
        <v>5438</v>
      </c>
      <c r="N1077" s="213" t="str">
        <f t="shared" si="15"/>
        <v/>
      </c>
    </row>
    <row r="1078" spans="13:14">
      <c r="M1078" s="106">
        <v>5439</v>
      </c>
      <c r="N1078" s="213" t="str">
        <f t="shared" si="15"/>
        <v/>
      </c>
    </row>
    <row r="1079" spans="13:14">
      <c r="M1079" s="106">
        <v>5443</v>
      </c>
      <c r="N1079" s="213" t="str">
        <f t="shared" si="15"/>
        <v/>
      </c>
    </row>
    <row r="1080" spans="13:14">
      <c r="M1080" s="106">
        <v>5450</v>
      </c>
      <c r="N1080" s="213" t="str">
        <f t="shared" si="15"/>
        <v/>
      </c>
    </row>
    <row r="1081" spans="13:14">
      <c r="M1081" s="106">
        <v>5452</v>
      </c>
      <c r="N1081" s="213" t="str">
        <f t="shared" si="15"/>
        <v/>
      </c>
    </row>
    <row r="1082" spans="13:14">
      <c r="M1082" s="106">
        <v>5455</v>
      </c>
      <c r="N1082" s="213" t="str">
        <f t="shared" si="15"/>
        <v/>
      </c>
    </row>
    <row r="1083" spans="13:14">
      <c r="M1083" s="106">
        <v>5457</v>
      </c>
      <c r="N1083" s="213" t="str">
        <f t="shared" si="15"/>
        <v/>
      </c>
    </row>
    <row r="1084" spans="13:14">
      <c r="M1084" s="106">
        <v>5460</v>
      </c>
      <c r="N1084" s="213" t="str">
        <f t="shared" si="15"/>
        <v/>
      </c>
    </row>
    <row r="1085" spans="13:14">
      <c r="M1085" s="106">
        <v>5464</v>
      </c>
      <c r="N1085" s="213" t="str">
        <f t="shared" si="15"/>
        <v/>
      </c>
    </row>
    <row r="1086" spans="13:14">
      <c r="M1086" s="106">
        <v>5465</v>
      </c>
      <c r="N1086" s="213" t="str">
        <f t="shared" si="15"/>
        <v/>
      </c>
    </row>
    <row r="1087" spans="13:14">
      <c r="M1087" s="106">
        <v>5468</v>
      </c>
      <c r="N1087" s="213" t="str">
        <f t="shared" si="15"/>
        <v/>
      </c>
    </row>
    <row r="1088" spans="13:14">
      <c r="M1088" s="106">
        <v>5469</v>
      </c>
      <c r="N1088" s="213" t="str">
        <f t="shared" ref="N1088:N1151" si="16">MID(O946,6,4)</f>
        <v/>
      </c>
    </row>
    <row r="1089" spans="13:14">
      <c r="M1089" s="106">
        <v>5471</v>
      </c>
      <c r="N1089" s="213" t="str">
        <f t="shared" si="16"/>
        <v/>
      </c>
    </row>
    <row r="1090" spans="13:14">
      <c r="M1090" s="106">
        <v>5474</v>
      </c>
      <c r="N1090" s="213" t="str">
        <f t="shared" si="16"/>
        <v/>
      </c>
    </row>
    <row r="1091" spans="13:14">
      <c r="M1091" s="106">
        <v>5475</v>
      </c>
      <c r="N1091" s="213" t="str">
        <f t="shared" si="16"/>
        <v/>
      </c>
    </row>
    <row r="1092" spans="13:14">
      <c r="M1092" s="106">
        <v>5478</v>
      </c>
      <c r="N1092" s="213" t="str">
        <f t="shared" si="16"/>
        <v/>
      </c>
    </row>
    <row r="1093" spans="13:14">
      <c r="M1093" s="106">
        <v>5480</v>
      </c>
      <c r="N1093" s="213" t="str">
        <f t="shared" si="16"/>
        <v/>
      </c>
    </row>
    <row r="1094" spans="13:14">
      <c r="M1094" s="106">
        <v>5481</v>
      </c>
      <c r="N1094" s="213" t="str">
        <f t="shared" si="16"/>
        <v/>
      </c>
    </row>
    <row r="1095" spans="13:14">
      <c r="M1095" s="106">
        <v>5483</v>
      </c>
      <c r="N1095" s="213" t="str">
        <f t="shared" si="16"/>
        <v/>
      </c>
    </row>
    <row r="1096" spans="13:14">
      <c r="M1096" s="106">
        <v>5484</v>
      </c>
      <c r="N1096" s="213" t="str">
        <f t="shared" si="16"/>
        <v/>
      </c>
    </row>
    <row r="1097" spans="13:14">
      <c r="M1097" s="106">
        <v>5487</v>
      </c>
      <c r="N1097" s="213" t="str">
        <f t="shared" si="16"/>
        <v/>
      </c>
    </row>
    <row r="1098" spans="13:14">
      <c r="M1098" s="106">
        <v>5488</v>
      </c>
      <c r="N1098" s="213" t="str">
        <f t="shared" si="16"/>
        <v/>
      </c>
    </row>
    <row r="1099" spans="13:14">
      <c r="M1099" s="106">
        <v>5489</v>
      </c>
      <c r="N1099" s="213" t="str">
        <f t="shared" si="16"/>
        <v/>
      </c>
    </row>
    <row r="1100" spans="13:14">
      <c r="M1100" s="106">
        <v>5490</v>
      </c>
      <c r="N1100" s="213" t="str">
        <f t="shared" si="16"/>
        <v/>
      </c>
    </row>
    <row r="1101" spans="13:14">
      <c r="M1101" s="106">
        <v>5491</v>
      </c>
      <c r="N1101" s="213" t="str">
        <f t="shared" si="16"/>
        <v/>
      </c>
    </row>
    <row r="1102" spans="13:14">
      <c r="M1102" s="106">
        <v>5493</v>
      </c>
      <c r="N1102" s="213" t="str">
        <f t="shared" si="16"/>
        <v/>
      </c>
    </row>
    <row r="1103" spans="13:14">
      <c r="M1103" s="106">
        <v>5498</v>
      </c>
      <c r="N1103" s="213" t="str">
        <f t="shared" si="16"/>
        <v/>
      </c>
    </row>
    <row r="1104" spans="13:14">
      <c r="M1104" s="106">
        <v>5508</v>
      </c>
      <c r="N1104" s="213" t="str">
        <f t="shared" si="16"/>
        <v/>
      </c>
    </row>
    <row r="1105" spans="13:14">
      <c r="M1105" s="106">
        <v>5511</v>
      </c>
      <c r="N1105" s="213" t="str">
        <f t="shared" si="16"/>
        <v/>
      </c>
    </row>
    <row r="1106" spans="13:14">
      <c r="M1106" s="106">
        <v>5512</v>
      </c>
      <c r="N1106" s="213" t="str">
        <f t="shared" si="16"/>
        <v/>
      </c>
    </row>
    <row r="1107" spans="13:14">
      <c r="M1107" s="106">
        <v>5514</v>
      </c>
      <c r="N1107" s="213" t="str">
        <f t="shared" si="16"/>
        <v/>
      </c>
    </row>
    <row r="1108" spans="13:14">
      <c r="M1108" s="106">
        <v>5515</v>
      </c>
      <c r="N1108" s="213" t="str">
        <f t="shared" si="16"/>
        <v/>
      </c>
    </row>
    <row r="1109" spans="13:14">
      <c r="M1109" s="106">
        <v>5516</v>
      </c>
      <c r="N1109" s="213" t="str">
        <f t="shared" si="16"/>
        <v/>
      </c>
    </row>
    <row r="1110" spans="13:14">
      <c r="M1110" s="106">
        <v>5519</v>
      </c>
      <c r="N1110" s="213" t="str">
        <f t="shared" si="16"/>
        <v/>
      </c>
    </row>
    <row r="1111" spans="13:14">
      <c r="M1111" s="106">
        <v>5520</v>
      </c>
      <c r="N1111" s="213" t="str">
        <f t="shared" si="16"/>
        <v/>
      </c>
    </row>
    <row r="1112" spans="13:14">
      <c r="M1112" s="106">
        <v>5521</v>
      </c>
      <c r="N1112" s="213" t="str">
        <f t="shared" si="16"/>
        <v/>
      </c>
    </row>
    <row r="1113" spans="13:14">
      <c r="M1113" s="106">
        <v>5522</v>
      </c>
      <c r="N1113" s="213" t="str">
        <f t="shared" si="16"/>
        <v/>
      </c>
    </row>
    <row r="1114" spans="13:14">
      <c r="M1114" s="106">
        <v>5523</v>
      </c>
      <c r="N1114" s="213" t="str">
        <f t="shared" si="16"/>
        <v/>
      </c>
    </row>
    <row r="1115" spans="13:14">
      <c r="M1115" s="106">
        <v>5525</v>
      </c>
      <c r="N1115" s="213" t="str">
        <f t="shared" si="16"/>
        <v/>
      </c>
    </row>
    <row r="1116" spans="13:14">
      <c r="M1116" s="106">
        <v>5529</v>
      </c>
      <c r="N1116" s="213" t="str">
        <f t="shared" si="16"/>
        <v/>
      </c>
    </row>
    <row r="1117" spans="13:14">
      <c r="M1117" s="106">
        <v>5530</v>
      </c>
      <c r="N1117" s="213" t="str">
        <f t="shared" si="16"/>
        <v/>
      </c>
    </row>
    <row r="1118" spans="13:14">
      <c r="M1118" s="106">
        <v>5531</v>
      </c>
      <c r="N1118" s="213" t="str">
        <f t="shared" si="16"/>
        <v/>
      </c>
    </row>
    <row r="1119" spans="13:14">
      <c r="M1119" s="106">
        <v>5533</v>
      </c>
      <c r="N1119" s="213" t="str">
        <f t="shared" si="16"/>
        <v/>
      </c>
    </row>
    <row r="1120" spans="13:14">
      <c r="M1120" s="106">
        <v>5534</v>
      </c>
      <c r="N1120" s="213" t="str">
        <f t="shared" si="16"/>
        <v/>
      </c>
    </row>
    <row r="1121" spans="13:14">
      <c r="M1121" s="106">
        <v>5536</v>
      </c>
      <c r="N1121" s="213" t="str">
        <f t="shared" si="16"/>
        <v/>
      </c>
    </row>
    <row r="1122" spans="13:14">
      <c r="M1122" s="106">
        <v>5538</v>
      </c>
      <c r="N1122" s="213" t="str">
        <f t="shared" si="16"/>
        <v/>
      </c>
    </row>
    <row r="1123" spans="13:14">
      <c r="M1123" s="106">
        <v>5543</v>
      </c>
      <c r="N1123" s="213" t="str">
        <f t="shared" si="16"/>
        <v/>
      </c>
    </row>
    <row r="1124" spans="13:14">
      <c r="M1124" s="106">
        <v>5601</v>
      </c>
      <c r="N1124" s="213" t="str">
        <f t="shared" si="16"/>
        <v/>
      </c>
    </row>
    <row r="1125" spans="13:14">
      <c r="M1125" s="106">
        <v>5603</v>
      </c>
      <c r="N1125" s="213" t="str">
        <f t="shared" si="16"/>
        <v/>
      </c>
    </row>
    <row r="1126" spans="13:14">
      <c r="M1126" s="106">
        <v>5604</v>
      </c>
      <c r="N1126" s="213" t="str">
        <f t="shared" si="16"/>
        <v/>
      </c>
    </row>
    <row r="1127" spans="13:14">
      <c r="M1127" s="106">
        <v>5607</v>
      </c>
      <c r="N1127" s="213" t="str">
        <f t="shared" si="16"/>
        <v/>
      </c>
    </row>
    <row r="1128" spans="13:14">
      <c r="M1128" s="106">
        <v>5608</v>
      </c>
      <c r="N1128" s="213" t="str">
        <f t="shared" si="16"/>
        <v/>
      </c>
    </row>
    <row r="1129" spans="13:14">
      <c r="M1129" s="106">
        <v>5609</v>
      </c>
      <c r="N1129" s="213" t="str">
        <f t="shared" si="16"/>
        <v/>
      </c>
    </row>
    <row r="1130" spans="13:14">
      <c r="M1130" s="106">
        <v>5701</v>
      </c>
      <c r="N1130" s="213" t="str">
        <f t="shared" si="16"/>
        <v/>
      </c>
    </row>
    <row r="1131" spans="13:14">
      <c r="M1131" s="106">
        <v>5703</v>
      </c>
      <c r="N1131" s="213" t="str">
        <f t="shared" si="16"/>
        <v/>
      </c>
    </row>
    <row r="1132" spans="13:14">
      <c r="M1132" s="106">
        <v>5704</v>
      </c>
      <c r="N1132" s="213" t="str">
        <f t="shared" si="16"/>
        <v/>
      </c>
    </row>
    <row r="1133" spans="13:14">
      <c r="M1133" s="106">
        <v>5706</v>
      </c>
      <c r="N1133" s="213" t="str">
        <f t="shared" si="16"/>
        <v/>
      </c>
    </row>
    <row r="1134" spans="13:14">
      <c r="M1134" s="106">
        <v>5871</v>
      </c>
      <c r="N1134" s="213" t="str">
        <f t="shared" si="16"/>
        <v/>
      </c>
    </row>
    <row r="1135" spans="13:14">
      <c r="M1135" s="106">
        <v>5878</v>
      </c>
      <c r="N1135" s="213" t="str">
        <f t="shared" si="16"/>
        <v/>
      </c>
    </row>
    <row r="1136" spans="13:14">
      <c r="M1136" s="106">
        <v>5902</v>
      </c>
      <c r="N1136" s="213" t="str">
        <f t="shared" si="16"/>
        <v/>
      </c>
    </row>
    <row r="1137" spans="13:14">
      <c r="M1137" s="106">
        <v>5903</v>
      </c>
      <c r="N1137" s="213" t="str">
        <f t="shared" si="16"/>
        <v/>
      </c>
    </row>
    <row r="1138" spans="13:14">
      <c r="M1138" s="106">
        <v>5904</v>
      </c>
      <c r="N1138" s="213" t="str">
        <f t="shared" si="16"/>
        <v/>
      </c>
    </row>
    <row r="1139" spans="13:14">
      <c r="M1139" s="106">
        <v>5905</v>
      </c>
      <c r="N1139" s="213" t="str">
        <f t="shared" si="16"/>
        <v/>
      </c>
    </row>
    <row r="1140" spans="13:14">
      <c r="M1140" s="106">
        <v>5906</v>
      </c>
      <c r="N1140" s="213" t="str">
        <f t="shared" si="16"/>
        <v/>
      </c>
    </row>
    <row r="1141" spans="13:14">
      <c r="M1141" s="106">
        <v>5907</v>
      </c>
      <c r="N1141" s="213" t="str">
        <f t="shared" si="16"/>
        <v/>
      </c>
    </row>
    <row r="1142" spans="13:14">
      <c r="M1142" s="106">
        <v>6101</v>
      </c>
      <c r="N1142" s="213" t="str">
        <f t="shared" si="16"/>
        <v/>
      </c>
    </row>
    <row r="1143" spans="13:14">
      <c r="M1143" s="106">
        <v>6103</v>
      </c>
      <c r="N1143" s="213" t="str">
        <f t="shared" si="16"/>
        <v/>
      </c>
    </row>
    <row r="1144" spans="13:14">
      <c r="M1144" s="106">
        <v>6104</v>
      </c>
      <c r="N1144" s="213" t="str">
        <f t="shared" si="16"/>
        <v/>
      </c>
    </row>
    <row r="1145" spans="13:14">
      <c r="M1145" s="106">
        <v>6105</v>
      </c>
      <c r="N1145" s="213" t="str">
        <f t="shared" si="16"/>
        <v/>
      </c>
    </row>
    <row r="1146" spans="13:14">
      <c r="M1146" s="106">
        <v>6107</v>
      </c>
      <c r="N1146" s="213" t="str">
        <f t="shared" si="16"/>
        <v/>
      </c>
    </row>
    <row r="1147" spans="13:14">
      <c r="M1147" s="106">
        <v>6108</v>
      </c>
      <c r="N1147" s="213" t="str">
        <f t="shared" si="16"/>
        <v/>
      </c>
    </row>
    <row r="1148" spans="13:14">
      <c r="M1148" s="106">
        <v>6109</v>
      </c>
      <c r="N1148" s="213" t="str">
        <f t="shared" si="16"/>
        <v/>
      </c>
    </row>
    <row r="1149" spans="13:14">
      <c r="M1149" s="106">
        <v>6111</v>
      </c>
      <c r="N1149" s="213" t="str">
        <f t="shared" si="16"/>
        <v/>
      </c>
    </row>
    <row r="1150" spans="13:14">
      <c r="M1150" s="106">
        <v>6112</v>
      </c>
      <c r="N1150" s="213" t="str">
        <f t="shared" si="16"/>
        <v/>
      </c>
    </row>
    <row r="1151" spans="13:14">
      <c r="M1151" s="106">
        <v>6113</v>
      </c>
      <c r="N1151" s="213" t="str">
        <f t="shared" si="16"/>
        <v/>
      </c>
    </row>
    <row r="1152" spans="13:14">
      <c r="M1152" s="106">
        <v>6114</v>
      </c>
      <c r="N1152" s="213" t="str">
        <f t="shared" ref="N1152:N1215" si="17">MID(O1010,6,4)</f>
        <v/>
      </c>
    </row>
    <row r="1153" spans="13:14">
      <c r="M1153" s="106">
        <v>6115</v>
      </c>
      <c r="N1153" s="213" t="str">
        <f t="shared" si="17"/>
        <v/>
      </c>
    </row>
    <row r="1154" spans="13:14">
      <c r="M1154" s="106">
        <v>6116</v>
      </c>
      <c r="N1154" s="213" t="str">
        <f t="shared" si="17"/>
        <v/>
      </c>
    </row>
    <row r="1155" spans="13:14">
      <c r="M1155" s="106">
        <v>6117</v>
      </c>
      <c r="N1155" s="213" t="str">
        <f t="shared" si="17"/>
        <v/>
      </c>
    </row>
    <row r="1156" spans="13:14">
      <c r="M1156" s="106">
        <v>6118</v>
      </c>
      <c r="N1156" s="213" t="str">
        <f t="shared" si="17"/>
        <v/>
      </c>
    </row>
    <row r="1157" spans="13:14">
      <c r="M1157" s="106">
        <v>6120</v>
      </c>
      <c r="N1157" s="213" t="str">
        <f t="shared" si="17"/>
        <v/>
      </c>
    </row>
    <row r="1158" spans="13:14">
      <c r="M1158" s="106">
        <v>6121</v>
      </c>
      <c r="N1158" s="213" t="str">
        <f t="shared" si="17"/>
        <v/>
      </c>
    </row>
    <row r="1159" spans="13:14">
      <c r="M1159" s="106">
        <v>6122</v>
      </c>
      <c r="N1159" s="213" t="str">
        <f t="shared" si="17"/>
        <v/>
      </c>
    </row>
    <row r="1160" spans="13:14">
      <c r="M1160" s="106">
        <v>6123</v>
      </c>
      <c r="N1160" s="213" t="str">
        <f t="shared" si="17"/>
        <v/>
      </c>
    </row>
    <row r="1161" spans="13:14">
      <c r="M1161" s="106">
        <v>6124</v>
      </c>
      <c r="N1161" s="213" t="str">
        <f t="shared" si="17"/>
        <v/>
      </c>
    </row>
    <row r="1162" spans="13:14">
      <c r="M1162" s="106">
        <v>6125</v>
      </c>
      <c r="N1162" s="213" t="str">
        <f t="shared" si="17"/>
        <v/>
      </c>
    </row>
    <row r="1163" spans="13:14">
      <c r="M1163" s="106">
        <v>6126</v>
      </c>
      <c r="N1163" s="213" t="str">
        <f t="shared" si="17"/>
        <v/>
      </c>
    </row>
    <row r="1164" spans="13:14">
      <c r="M1164" s="106">
        <v>6127</v>
      </c>
      <c r="N1164" s="213" t="str">
        <f t="shared" si="17"/>
        <v/>
      </c>
    </row>
    <row r="1165" spans="13:14">
      <c r="M1165" s="106">
        <v>6128</v>
      </c>
      <c r="N1165" s="213" t="str">
        <f t="shared" si="17"/>
        <v/>
      </c>
    </row>
    <row r="1166" spans="13:14">
      <c r="M1166" s="106">
        <v>6129</v>
      </c>
      <c r="N1166" s="213" t="str">
        <f t="shared" si="17"/>
        <v/>
      </c>
    </row>
    <row r="1167" spans="13:14">
      <c r="M1167" s="106">
        <v>6130</v>
      </c>
      <c r="N1167" s="213" t="str">
        <f t="shared" si="17"/>
        <v/>
      </c>
    </row>
    <row r="1168" spans="13:14">
      <c r="M1168" s="106">
        <v>6131</v>
      </c>
      <c r="N1168" s="213" t="str">
        <f t="shared" si="17"/>
        <v/>
      </c>
    </row>
    <row r="1169" spans="13:14">
      <c r="M1169" s="106">
        <v>6133</v>
      </c>
      <c r="N1169" s="213" t="str">
        <f t="shared" si="17"/>
        <v/>
      </c>
    </row>
    <row r="1170" spans="13:14">
      <c r="M1170" s="106">
        <v>6134</v>
      </c>
      <c r="N1170" s="213" t="str">
        <f t="shared" si="17"/>
        <v/>
      </c>
    </row>
    <row r="1171" spans="13:14">
      <c r="M1171" s="106">
        <v>6136</v>
      </c>
      <c r="N1171" s="213" t="str">
        <f t="shared" si="17"/>
        <v/>
      </c>
    </row>
    <row r="1172" spans="13:14">
      <c r="M1172" s="106">
        <v>6138</v>
      </c>
      <c r="N1172" s="213" t="str">
        <f t="shared" si="17"/>
        <v/>
      </c>
    </row>
    <row r="1173" spans="13:14">
      <c r="M1173" s="106">
        <v>6139</v>
      </c>
      <c r="N1173" s="213" t="str">
        <f t="shared" si="17"/>
        <v/>
      </c>
    </row>
    <row r="1174" spans="13:14">
      <c r="M1174" s="106">
        <v>6140</v>
      </c>
      <c r="N1174" s="213" t="str">
        <f t="shared" si="17"/>
        <v/>
      </c>
    </row>
    <row r="1175" spans="13:14">
      <c r="M1175" s="106">
        <v>6141</v>
      </c>
      <c r="N1175" s="213" t="str">
        <f t="shared" si="17"/>
        <v/>
      </c>
    </row>
    <row r="1176" spans="13:14">
      <c r="M1176" s="106">
        <v>6142</v>
      </c>
      <c r="N1176" s="213" t="str">
        <f t="shared" si="17"/>
        <v/>
      </c>
    </row>
    <row r="1177" spans="13:14">
      <c r="M1177" s="106">
        <v>6143</v>
      </c>
      <c r="N1177" s="213" t="str">
        <f t="shared" si="17"/>
        <v/>
      </c>
    </row>
    <row r="1178" spans="13:14">
      <c r="M1178" s="106">
        <v>6144</v>
      </c>
      <c r="N1178" s="213" t="str">
        <f t="shared" si="17"/>
        <v/>
      </c>
    </row>
    <row r="1179" spans="13:14">
      <c r="M1179" s="106">
        <v>6145</v>
      </c>
      <c r="N1179" s="213" t="str">
        <f t="shared" si="17"/>
        <v/>
      </c>
    </row>
    <row r="1180" spans="13:14">
      <c r="M1180" s="106">
        <v>6146</v>
      </c>
      <c r="N1180" s="213" t="str">
        <f t="shared" si="17"/>
        <v/>
      </c>
    </row>
    <row r="1181" spans="13:14">
      <c r="M1181" s="106">
        <v>6147</v>
      </c>
      <c r="N1181" s="213" t="str">
        <f t="shared" si="17"/>
        <v/>
      </c>
    </row>
    <row r="1182" spans="13:14">
      <c r="M1182" s="106">
        <v>6148</v>
      </c>
      <c r="N1182" s="213" t="str">
        <f t="shared" si="17"/>
        <v/>
      </c>
    </row>
    <row r="1183" spans="13:14">
      <c r="M1183" s="106">
        <v>6150</v>
      </c>
      <c r="N1183" s="213" t="str">
        <f t="shared" si="17"/>
        <v/>
      </c>
    </row>
    <row r="1184" spans="13:14">
      <c r="M1184" s="106">
        <v>6151</v>
      </c>
      <c r="N1184" s="213" t="str">
        <f t="shared" si="17"/>
        <v/>
      </c>
    </row>
    <row r="1185" spans="13:14">
      <c r="M1185" s="106">
        <v>6152</v>
      </c>
      <c r="N1185" s="213" t="str">
        <f t="shared" si="17"/>
        <v/>
      </c>
    </row>
    <row r="1186" spans="13:14">
      <c r="M1186" s="106">
        <v>6153</v>
      </c>
      <c r="N1186" s="213" t="str">
        <f t="shared" si="17"/>
        <v/>
      </c>
    </row>
    <row r="1187" spans="13:14">
      <c r="M1187" s="106">
        <v>6154</v>
      </c>
      <c r="N1187" s="213" t="str">
        <f t="shared" si="17"/>
        <v/>
      </c>
    </row>
    <row r="1188" spans="13:14">
      <c r="M1188" s="106">
        <v>6155</v>
      </c>
      <c r="N1188" s="213" t="str">
        <f t="shared" si="17"/>
        <v/>
      </c>
    </row>
    <row r="1189" spans="13:14">
      <c r="M1189" s="106">
        <v>6156</v>
      </c>
      <c r="N1189" s="213" t="str">
        <f t="shared" si="17"/>
        <v/>
      </c>
    </row>
    <row r="1190" spans="13:14">
      <c r="M1190" s="106">
        <v>6158</v>
      </c>
      <c r="N1190" s="213" t="str">
        <f t="shared" si="17"/>
        <v/>
      </c>
    </row>
    <row r="1191" spans="13:14">
      <c r="M1191" s="106">
        <v>6160</v>
      </c>
      <c r="N1191" s="213" t="str">
        <f t="shared" si="17"/>
        <v/>
      </c>
    </row>
    <row r="1192" spans="13:14">
      <c r="M1192" s="106">
        <v>6161</v>
      </c>
      <c r="N1192" s="213" t="str">
        <f t="shared" si="17"/>
        <v/>
      </c>
    </row>
    <row r="1193" spans="13:14">
      <c r="M1193" s="106">
        <v>6163</v>
      </c>
      <c r="N1193" s="213" t="str">
        <f t="shared" si="17"/>
        <v/>
      </c>
    </row>
    <row r="1194" spans="13:14">
      <c r="M1194" s="106">
        <v>6164</v>
      </c>
      <c r="N1194" s="213" t="str">
        <f t="shared" si="17"/>
        <v/>
      </c>
    </row>
    <row r="1195" spans="13:14">
      <c r="M1195" s="106">
        <v>6165</v>
      </c>
      <c r="N1195" s="213" t="str">
        <f t="shared" si="17"/>
        <v/>
      </c>
    </row>
    <row r="1196" spans="13:14">
      <c r="M1196" s="106">
        <v>6166</v>
      </c>
      <c r="N1196" s="213" t="str">
        <f t="shared" si="17"/>
        <v/>
      </c>
    </row>
    <row r="1197" spans="13:14">
      <c r="M1197" s="106">
        <v>6167</v>
      </c>
      <c r="N1197" s="213" t="str">
        <f t="shared" si="17"/>
        <v/>
      </c>
    </row>
    <row r="1198" spans="13:14">
      <c r="M1198" s="106">
        <v>6168</v>
      </c>
      <c r="N1198" s="213" t="str">
        <f t="shared" si="17"/>
        <v/>
      </c>
    </row>
    <row r="1199" spans="13:14">
      <c r="M1199" s="106">
        <v>6169</v>
      </c>
      <c r="N1199" s="213" t="str">
        <f t="shared" si="17"/>
        <v/>
      </c>
    </row>
    <row r="1200" spans="13:14">
      <c r="M1200" s="106">
        <v>6170</v>
      </c>
      <c r="N1200" s="213" t="str">
        <f t="shared" si="17"/>
        <v/>
      </c>
    </row>
    <row r="1201" spans="13:14">
      <c r="M1201" s="106">
        <v>6171</v>
      </c>
      <c r="N1201" s="213" t="str">
        <f t="shared" si="17"/>
        <v/>
      </c>
    </row>
    <row r="1202" spans="13:14">
      <c r="M1202" s="106">
        <v>6172</v>
      </c>
      <c r="N1202" s="213" t="str">
        <f t="shared" si="17"/>
        <v/>
      </c>
    </row>
    <row r="1203" spans="13:14">
      <c r="M1203" s="106">
        <v>6173</v>
      </c>
      <c r="N1203" s="213" t="str">
        <f t="shared" si="17"/>
        <v/>
      </c>
    </row>
    <row r="1204" spans="13:14">
      <c r="M1204" s="106">
        <v>6174</v>
      </c>
      <c r="N1204" s="213" t="str">
        <f t="shared" si="17"/>
        <v/>
      </c>
    </row>
    <row r="1205" spans="13:14">
      <c r="M1205" s="106">
        <v>6175</v>
      </c>
      <c r="N1205" s="213" t="str">
        <f t="shared" si="17"/>
        <v/>
      </c>
    </row>
    <row r="1206" spans="13:14">
      <c r="M1206" s="106">
        <v>6176</v>
      </c>
      <c r="N1206" s="213" t="str">
        <f t="shared" si="17"/>
        <v/>
      </c>
    </row>
    <row r="1207" spans="13:14">
      <c r="M1207" s="106">
        <v>6177</v>
      </c>
      <c r="N1207" s="213" t="str">
        <f t="shared" si="17"/>
        <v/>
      </c>
    </row>
    <row r="1208" spans="13:14">
      <c r="M1208" s="106">
        <v>6179</v>
      </c>
      <c r="N1208" s="213" t="str">
        <f t="shared" si="17"/>
        <v/>
      </c>
    </row>
    <row r="1209" spans="13:14">
      <c r="M1209" s="106">
        <v>6180</v>
      </c>
      <c r="N1209" s="213" t="str">
        <f t="shared" si="17"/>
        <v/>
      </c>
    </row>
    <row r="1210" spans="13:14">
      <c r="M1210" s="106">
        <v>6182</v>
      </c>
      <c r="N1210" s="213" t="str">
        <f t="shared" si="17"/>
        <v/>
      </c>
    </row>
    <row r="1211" spans="13:14">
      <c r="M1211" s="106">
        <v>6183</v>
      </c>
      <c r="N1211" s="213" t="str">
        <f t="shared" si="17"/>
        <v/>
      </c>
    </row>
    <row r="1212" spans="13:14">
      <c r="M1212" s="106">
        <v>6184</v>
      </c>
      <c r="N1212" s="213" t="str">
        <f t="shared" si="17"/>
        <v/>
      </c>
    </row>
    <row r="1213" spans="13:14">
      <c r="M1213" s="106">
        <v>6185</v>
      </c>
      <c r="N1213" s="213" t="str">
        <f t="shared" si="17"/>
        <v/>
      </c>
    </row>
    <row r="1214" spans="13:14">
      <c r="M1214" s="106">
        <v>6186</v>
      </c>
      <c r="N1214" s="213" t="str">
        <f t="shared" si="17"/>
        <v/>
      </c>
    </row>
    <row r="1215" spans="13:14">
      <c r="M1215" s="106">
        <v>6187</v>
      </c>
      <c r="N1215" s="213" t="str">
        <f t="shared" si="17"/>
        <v/>
      </c>
    </row>
    <row r="1216" spans="13:14">
      <c r="M1216" s="106">
        <v>6188</v>
      </c>
      <c r="N1216" s="213" t="str">
        <f t="shared" ref="N1216:N1279" si="18">MID(O1074,6,4)</f>
        <v/>
      </c>
    </row>
    <row r="1217" spans="13:14">
      <c r="M1217" s="106">
        <v>6189</v>
      </c>
      <c r="N1217" s="213" t="str">
        <f t="shared" si="18"/>
        <v/>
      </c>
    </row>
    <row r="1218" spans="13:14">
      <c r="M1218" s="106">
        <v>6190</v>
      </c>
      <c r="N1218" s="213" t="str">
        <f t="shared" si="18"/>
        <v/>
      </c>
    </row>
    <row r="1219" spans="13:14">
      <c r="M1219" s="106">
        <v>6191</v>
      </c>
      <c r="N1219" s="213" t="str">
        <f t="shared" si="18"/>
        <v/>
      </c>
    </row>
    <row r="1220" spans="13:14">
      <c r="M1220" s="106">
        <v>6192</v>
      </c>
      <c r="N1220" s="213" t="str">
        <f t="shared" si="18"/>
        <v/>
      </c>
    </row>
    <row r="1221" spans="13:14">
      <c r="M1221" s="106">
        <v>6194</v>
      </c>
      <c r="N1221" s="213" t="str">
        <f t="shared" si="18"/>
        <v/>
      </c>
    </row>
    <row r="1222" spans="13:14">
      <c r="M1222" s="106">
        <v>6195</v>
      </c>
      <c r="N1222" s="213" t="str">
        <f t="shared" si="18"/>
        <v/>
      </c>
    </row>
    <row r="1223" spans="13:14">
      <c r="M1223" s="106">
        <v>6196</v>
      </c>
      <c r="N1223" s="213" t="str">
        <f t="shared" si="18"/>
        <v/>
      </c>
    </row>
    <row r="1224" spans="13:14">
      <c r="M1224" s="106">
        <v>6197</v>
      </c>
      <c r="N1224" s="213" t="str">
        <f t="shared" si="18"/>
        <v/>
      </c>
    </row>
    <row r="1225" spans="13:14">
      <c r="M1225" s="106">
        <v>6198</v>
      </c>
      <c r="N1225" s="213" t="str">
        <f t="shared" si="18"/>
        <v/>
      </c>
    </row>
    <row r="1226" spans="13:14">
      <c r="M1226" s="106">
        <v>6199</v>
      </c>
      <c r="N1226" s="213" t="str">
        <f t="shared" si="18"/>
        <v/>
      </c>
    </row>
    <row r="1227" spans="13:14">
      <c r="M1227" s="106">
        <v>6201</v>
      </c>
      <c r="N1227" s="213" t="str">
        <f t="shared" si="18"/>
        <v/>
      </c>
    </row>
    <row r="1228" spans="13:14">
      <c r="M1228" s="106">
        <v>6202</v>
      </c>
      <c r="N1228" s="213" t="str">
        <f t="shared" si="18"/>
        <v/>
      </c>
    </row>
    <row r="1229" spans="13:14">
      <c r="M1229" s="106">
        <v>6203</v>
      </c>
      <c r="N1229" s="213" t="str">
        <f t="shared" si="18"/>
        <v/>
      </c>
    </row>
    <row r="1230" spans="13:14">
      <c r="M1230" s="106">
        <v>6204</v>
      </c>
      <c r="N1230" s="213" t="str">
        <f t="shared" si="18"/>
        <v/>
      </c>
    </row>
    <row r="1231" spans="13:14">
      <c r="M1231" s="106">
        <v>6205</v>
      </c>
      <c r="N1231" s="213" t="str">
        <f t="shared" si="18"/>
        <v/>
      </c>
    </row>
    <row r="1232" spans="13:14">
      <c r="M1232" s="106">
        <v>6206</v>
      </c>
      <c r="N1232" s="213" t="str">
        <f t="shared" si="18"/>
        <v/>
      </c>
    </row>
    <row r="1233" spans="13:14">
      <c r="M1233" s="106">
        <v>6207</v>
      </c>
      <c r="N1233" s="213" t="str">
        <f t="shared" si="18"/>
        <v/>
      </c>
    </row>
    <row r="1234" spans="13:14">
      <c r="M1234" s="106">
        <v>6208</v>
      </c>
      <c r="N1234" s="213" t="str">
        <f t="shared" si="18"/>
        <v/>
      </c>
    </row>
    <row r="1235" spans="13:14">
      <c r="M1235" s="106">
        <v>6209</v>
      </c>
      <c r="N1235" s="213" t="str">
        <f t="shared" si="18"/>
        <v/>
      </c>
    </row>
    <row r="1236" spans="13:14">
      <c r="M1236" s="106">
        <v>6210</v>
      </c>
      <c r="N1236" s="213" t="str">
        <f t="shared" si="18"/>
        <v/>
      </c>
    </row>
    <row r="1237" spans="13:14">
      <c r="M1237" s="106">
        <v>6212</v>
      </c>
      <c r="N1237" s="213" t="str">
        <f t="shared" si="18"/>
        <v/>
      </c>
    </row>
    <row r="1238" spans="13:14">
      <c r="M1238" s="106">
        <v>6213</v>
      </c>
      <c r="N1238" s="213" t="str">
        <f t="shared" si="18"/>
        <v/>
      </c>
    </row>
    <row r="1239" spans="13:14">
      <c r="M1239" s="106">
        <v>6214</v>
      </c>
      <c r="N1239" s="213" t="str">
        <f t="shared" si="18"/>
        <v/>
      </c>
    </row>
    <row r="1240" spans="13:14">
      <c r="M1240" s="106">
        <v>6215</v>
      </c>
      <c r="N1240" s="213" t="str">
        <f t="shared" si="18"/>
        <v/>
      </c>
    </row>
    <row r="1241" spans="13:14">
      <c r="M1241" s="106">
        <v>6216</v>
      </c>
      <c r="N1241" s="213" t="str">
        <f t="shared" si="18"/>
        <v/>
      </c>
    </row>
    <row r="1242" spans="13:14">
      <c r="M1242" s="106">
        <v>6217</v>
      </c>
      <c r="N1242" s="213" t="str">
        <f t="shared" si="18"/>
        <v/>
      </c>
    </row>
    <row r="1243" spans="13:14">
      <c r="M1243" s="106">
        <v>6218</v>
      </c>
      <c r="N1243" s="213" t="str">
        <f t="shared" si="18"/>
        <v/>
      </c>
    </row>
    <row r="1244" spans="13:14">
      <c r="M1244" s="106">
        <v>6219</v>
      </c>
      <c r="N1244" s="213" t="str">
        <f t="shared" si="18"/>
        <v/>
      </c>
    </row>
    <row r="1245" spans="13:14">
      <c r="M1245" s="106">
        <v>6220</v>
      </c>
      <c r="N1245" s="213" t="str">
        <f t="shared" si="18"/>
        <v/>
      </c>
    </row>
    <row r="1246" spans="13:14">
      <c r="M1246" s="106">
        <v>6221</v>
      </c>
      <c r="N1246" s="213" t="str">
        <f t="shared" si="18"/>
        <v/>
      </c>
    </row>
    <row r="1247" spans="13:14">
      <c r="M1247" s="106">
        <v>6222</v>
      </c>
      <c r="N1247" s="213" t="str">
        <f t="shared" si="18"/>
        <v/>
      </c>
    </row>
    <row r="1248" spans="13:14">
      <c r="M1248" s="106">
        <v>6223</v>
      </c>
      <c r="N1248" s="213" t="str">
        <f t="shared" si="18"/>
        <v/>
      </c>
    </row>
    <row r="1249" spans="13:14">
      <c r="M1249" s="106">
        <v>6224</v>
      </c>
      <c r="N1249" s="213" t="str">
        <f t="shared" si="18"/>
        <v/>
      </c>
    </row>
    <row r="1250" spans="13:14">
      <c r="M1250" s="106">
        <v>6225</v>
      </c>
      <c r="N1250" s="213" t="str">
        <f t="shared" si="18"/>
        <v/>
      </c>
    </row>
    <row r="1251" spans="13:14">
      <c r="M1251" s="106">
        <v>6226</v>
      </c>
      <c r="N1251" s="213" t="str">
        <f t="shared" si="18"/>
        <v/>
      </c>
    </row>
    <row r="1252" spans="13:14">
      <c r="M1252" s="106">
        <v>6227</v>
      </c>
      <c r="N1252" s="213" t="str">
        <f t="shared" si="18"/>
        <v/>
      </c>
    </row>
    <row r="1253" spans="13:14">
      <c r="M1253" s="106">
        <v>6228</v>
      </c>
      <c r="N1253" s="213" t="str">
        <f t="shared" si="18"/>
        <v/>
      </c>
    </row>
    <row r="1254" spans="13:14">
      <c r="M1254" s="106">
        <v>6229</v>
      </c>
      <c r="N1254" s="213" t="str">
        <f t="shared" si="18"/>
        <v/>
      </c>
    </row>
    <row r="1255" spans="13:14">
      <c r="M1255" s="106">
        <v>6230</v>
      </c>
      <c r="N1255" s="213" t="str">
        <f t="shared" si="18"/>
        <v/>
      </c>
    </row>
    <row r="1256" spans="13:14">
      <c r="M1256" s="106">
        <v>6231</v>
      </c>
      <c r="N1256" s="213" t="str">
        <f t="shared" si="18"/>
        <v/>
      </c>
    </row>
    <row r="1257" spans="13:14">
      <c r="M1257" s="106">
        <v>6233</v>
      </c>
      <c r="N1257" s="213" t="str">
        <f t="shared" si="18"/>
        <v/>
      </c>
    </row>
    <row r="1258" spans="13:14">
      <c r="M1258" s="106">
        <v>6234</v>
      </c>
      <c r="N1258" s="213" t="str">
        <f t="shared" si="18"/>
        <v/>
      </c>
    </row>
    <row r="1259" spans="13:14">
      <c r="M1259" s="106">
        <v>6235</v>
      </c>
      <c r="N1259" s="213" t="str">
        <f t="shared" si="18"/>
        <v/>
      </c>
    </row>
    <row r="1260" spans="13:14">
      <c r="M1260" s="106">
        <v>6236</v>
      </c>
      <c r="N1260" s="213" t="str">
        <f t="shared" si="18"/>
        <v/>
      </c>
    </row>
    <row r="1261" spans="13:14">
      <c r="M1261" s="106">
        <v>6237</v>
      </c>
      <c r="N1261" s="213" t="str">
        <f t="shared" si="18"/>
        <v/>
      </c>
    </row>
    <row r="1262" spans="13:14">
      <c r="M1262" s="106">
        <v>6238</v>
      </c>
      <c r="N1262" s="213" t="str">
        <f t="shared" si="18"/>
        <v/>
      </c>
    </row>
    <row r="1263" spans="13:14">
      <c r="M1263" s="106">
        <v>6239</v>
      </c>
      <c r="N1263" s="213" t="str">
        <f t="shared" si="18"/>
        <v/>
      </c>
    </row>
    <row r="1264" spans="13:14">
      <c r="M1264" s="106">
        <v>6240</v>
      </c>
      <c r="N1264" s="213" t="str">
        <f t="shared" si="18"/>
        <v/>
      </c>
    </row>
    <row r="1265" spans="13:14">
      <c r="M1265" s="106">
        <v>6241</v>
      </c>
      <c r="N1265" s="213" t="str">
        <f t="shared" si="18"/>
        <v/>
      </c>
    </row>
    <row r="1266" spans="13:14">
      <c r="M1266" s="106">
        <v>6242</v>
      </c>
      <c r="N1266" s="213" t="str">
        <f t="shared" si="18"/>
        <v/>
      </c>
    </row>
    <row r="1267" spans="13:14">
      <c r="M1267" s="106">
        <v>6243</v>
      </c>
      <c r="N1267" s="213" t="str">
        <f t="shared" si="18"/>
        <v/>
      </c>
    </row>
    <row r="1268" spans="13:14">
      <c r="M1268" s="106">
        <v>6244</v>
      </c>
      <c r="N1268" s="213" t="str">
        <f t="shared" si="18"/>
        <v/>
      </c>
    </row>
    <row r="1269" spans="13:14">
      <c r="M1269" s="106">
        <v>6245</v>
      </c>
      <c r="N1269" s="213" t="str">
        <f t="shared" si="18"/>
        <v/>
      </c>
    </row>
    <row r="1270" spans="13:14">
      <c r="M1270" s="106">
        <v>6246</v>
      </c>
      <c r="N1270" s="213" t="str">
        <f t="shared" si="18"/>
        <v/>
      </c>
    </row>
    <row r="1271" spans="13:14">
      <c r="M1271" s="106">
        <v>6247</v>
      </c>
      <c r="N1271" s="213" t="str">
        <f t="shared" si="18"/>
        <v/>
      </c>
    </row>
    <row r="1272" spans="13:14">
      <c r="M1272" s="106">
        <v>6248</v>
      </c>
      <c r="N1272" s="213" t="str">
        <f t="shared" si="18"/>
        <v/>
      </c>
    </row>
    <row r="1273" spans="13:14">
      <c r="M1273" s="106">
        <v>6251</v>
      </c>
      <c r="N1273" s="213" t="str">
        <f t="shared" si="18"/>
        <v/>
      </c>
    </row>
    <row r="1274" spans="13:14">
      <c r="M1274" s="106">
        <v>6257</v>
      </c>
      <c r="N1274" s="213" t="str">
        <f t="shared" si="18"/>
        <v/>
      </c>
    </row>
    <row r="1275" spans="13:14">
      <c r="M1275" s="106">
        <v>6259</v>
      </c>
      <c r="N1275" s="213" t="str">
        <f t="shared" si="18"/>
        <v/>
      </c>
    </row>
    <row r="1276" spans="13:14">
      <c r="M1276" s="106">
        <v>6261</v>
      </c>
      <c r="N1276" s="213" t="str">
        <f t="shared" si="18"/>
        <v/>
      </c>
    </row>
    <row r="1277" spans="13:14">
      <c r="M1277" s="106">
        <v>6263</v>
      </c>
      <c r="N1277" s="213" t="str">
        <f t="shared" si="18"/>
        <v/>
      </c>
    </row>
    <row r="1278" spans="13:14">
      <c r="M1278" s="106">
        <v>6264</v>
      </c>
      <c r="N1278" s="213" t="str">
        <f t="shared" si="18"/>
        <v/>
      </c>
    </row>
    <row r="1279" spans="13:14">
      <c r="M1279" s="106">
        <v>6265</v>
      </c>
      <c r="N1279" s="213" t="str">
        <f t="shared" si="18"/>
        <v/>
      </c>
    </row>
    <row r="1280" spans="13:14">
      <c r="M1280" s="106">
        <v>6266</v>
      </c>
      <c r="N1280" s="213" t="str">
        <f t="shared" ref="N1280:N1343" si="19">MID(O1138,6,4)</f>
        <v/>
      </c>
    </row>
    <row r="1281" spans="13:14">
      <c r="M1281" s="106">
        <v>6269</v>
      </c>
      <c r="N1281" s="213" t="str">
        <f t="shared" si="19"/>
        <v/>
      </c>
    </row>
    <row r="1282" spans="13:14">
      <c r="M1282" s="106">
        <v>6270</v>
      </c>
      <c r="N1282" s="213" t="str">
        <f t="shared" si="19"/>
        <v/>
      </c>
    </row>
    <row r="1283" spans="13:14">
      <c r="M1283" s="106">
        <v>6271</v>
      </c>
      <c r="N1283" s="213" t="str">
        <f t="shared" si="19"/>
        <v/>
      </c>
    </row>
    <row r="1284" spans="13:14">
      <c r="M1284" s="106">
        <v>6274</v>
      </c>
      <c r="N1284" s="213" t="str">
        <f t="shared" si="19"/>
        <v/>
      </c>
    </row>
    <row r="1285" spans="13:14">
      <c r="M1285" s="106">
        <v>6275</v>
      </c>
      <c r="N1285" s="213" t="str">
        <f t="shared" si="19"/>
        <v/>
      </c>
    </row>
    <row r="1286" spans="13:14">
      <c r="M1286" s="106">
        <v>6276</v>
      </c>
      <c r="N1286" s="213" t="str">
        <f t="shared" si="19"/>
        <v/>
      </c>
    </row>
    <row r="1287" spans="13:14">
      <c r="M1287" s="106">
        <v>6277</v>
      </c>
      <c r="N1287" s="213" t="str">
        <f t="shared" si="19"/>
        <v/>
      </c>
    </row>
    <row r="1288" spans="13:14">
      <c r="M1288" s="106">
        <v>6278</v>
      </c>
      <c r="N1288" s="213" t="str">
        <f t="shared" si="19"/>
        <v/>
      </c>
    </row>
    <row r="1289" spans="13:14">
      <c r="M1289" s="106">
        <v>6279</v>
      </c>
      <c r="N1289" s="213" t="str">
        <f t="shared" si="19"/>
        <v/>
      </c>
    </row>
    <row r="1290" spans="13:14">
      <c r="M1290" s="106">
        <v>6281</v>
      </c>
      <c r="N1290" s="213" t="str">
        <f t="shared" si="19"/>
        <v/>
      </c>
    </row>
    <row r="1291" spans="13:14">
      <c r="M1291" s="106">
        <v>6282</v>
      </c>
      <c r="N1291" s="213" t="str">
        <f t="shared" si="19"/>
        <v/>
      </c>
    </row>
    <row r="1292" spans="13:14">
      <c r="M1292" s="106">
        <v>6283</v>
      </c>
      <c r="N1292" s="213" t="str">
        <f t="shared" si="19"/>
        <v/>
      </c>
    </row>
    <row r="1293" spans="13:14">
      <c r="M1293" s="106">
        <v>6284</v>
      </c>
      <c r="N1293" s="213" t="str">
        <f t="shared" si="19"/>
        <v/>
      </c>
    </row>
    <row r="1294" spans="13:14">
      <c r="M1294" s="106">
        <v>6285</v>
      </c>
      <c r="N1294" s="213" t="str">
        <f t="shared" si="19"/>
        <v/>
      </c>
    </row>
    <row r="1295" spans="13:14">
      <c r="M1295" s="106">
        <v>6287</v>
      </c>
      <c r="N1295" s="213" t="str">
        <f t="shared" si="19"/>
        <v/>
      </c>
    </row>
    <row r="1296" spans="13:14">
      <c r="M1296" s="106">
        <v>6289</v>
      </c>
      <c r="N1296" s="213" t="str">
        <f t="shared" si="19"/>
        <v/>
      </c>
    </row>
    <row r="1297" spans="13:14">
      <c r="M1297" s="106">
        <v>6290</v>
      </c>
      <c r="N1297" s="213" t="str">
        <f t="shared" si="19"/>
        <v/>
      </c>
    </row>
    <row r="1298" spans="13:14">
      <c r="M1298" s="106">
        <v>6291</v>
      </c>
      <c r="N1298" s="213" t="str">
        <f t="shared" si="19"/>
        <v/>
      </c>
    </row>
    <row r="1299" spans="13:14">
      <c r="M1299" s="106">
        <v>6292</v>
      </c>
      <c r="N1299" s="213" t="str">
        <f t="shared" si="19"/>
        <v/>
      </c>
    </row>
    <row r="1300" spans="13:14">
      <c r="M1300" s="106">
        <v>6294</v>
      </c>
      <c r="N1300" s="213" t="str">
        <f t="shared" si="19"/>
        <v/>
      </c>
    </row>
    <row r="1301" spans="13:14">
      <c r="M1301" s="106">
        <v>6298</v>
      </c>
      <c r="N1301" s="213" t="str">
        <f t="shared" si="19"/>
        <v/>
      </c>
    </row>
    <row r="1302" spans="13:14">
      <c r="M1302" s="106">
        <v>6404</v>
      </c>
      <c r="N1302" s="213" t="str">
        <f t="shared" si="19"/>
        <v/>
      </c>
    </row>
    <row r="1303" spans="13:14">
      <c r="M1303" s="106">
        <v>6405</v>
      </c>
      <c r="N1303" s="213" t="str">
        <f t="shared" si="19"/>
        <v/>
      </c>
    </row>
    <row r="1304" spans="13:14">
      <c r="M1304" s="106">
        <v>6409</v>
      </c>
      <c r="N1304" s="213" t="str">
        <f t="shared" si="19"/>
        <v/>
      </c>
    </row>
    <row r="1305" spans="13:14">
      <c r="M1305" s="106">
        <v>6411</v>
      </c>
      <c r="N1305" s="213" t="str">
        <f t="shared" si="19"/>
        <v/>
      </c>
    </row>
    <row r="1306" spans="13:14">
      <c r="M1306" s="106">
        <v>6412</v>
      </c>
      <c r="N1306" s="213" t="str">
        <f t="shared" si="19"/>
        <v/>
      </c>
    </row>
    <row r="1307" spans="13:14">
      <c r="M1307" s="106">
        <v>6414</v>
      </c>
      <c r="N1307" s="213" t="str">
        <f t="shared" si="19"/>
        <v/>
      </c>
    </row>
    <row r="1308" spans="13:14">
      <c r="M1308" s="106">
        <v>6415</v>
      </c>
      <c r="N1308" s="213" t="str">
        <f t="shared" si="19"/>
        <v/>
      </c>
    </row>
    <row r="1309" spans="13:14">
      <c r="M1309" s="106">
        <v>6417</v>
      </c>
      <c r="N1309" s="213" t="str">
        <f t="shared" si="19"/>
        <v/>
      </c>
    </row>
    <row r="1310" spans="13:14">
      <c r="M1310" s="106">
        <v>6419</v>
      </c>
      <c r="N1310" s="213" t="str">
        <f t="shared" si="19"/>
        <v/>
      </c>
    </row>
    <row r="1311" spans="13:14">
      <c r="M1311" s="106">
        <v>6422</v>
      </c>
      <c r="N1311" s="213" t="str">
        <f t="shared" si="19"/>
        <v/>
      </c>
    </row>
    <row r="1312" spans="13:14">
      <c r="M1312" s="106">
        <v>6426</v>
      </c>
      <c r="N1312" s="213" t="str">
        <f t="shared" si="19"/>
        <v/>
      </c>
    </row>
    <row r="1313" spans="13:14">
      <c r="M1313" s="106">
        <v>6431</v>
      </c>
      <c r="N1313" s="213" t="str">
        <f t="shared" si="19"/>
        <v/>
      </c>
    </row>
    <row r="1314" spans="13:14">
      <c r="M1314" s="106">
        <v>6432</v>
      </c>
      <c r="N1314" s="213" t="str">
        <f t="shared" si="19"/>
        <v/>
      </c>
    </row>
    <row r="1315" spans="13:14">
      <c r="M1315" s="106">
        <v>6435</v>
      </c>
      <c r="N1315" s="213" t="str">
        <f t="shared" si="19"/>
        <v/>
      </c>
    </row>
    <row r="1316" spans="13:14">
      <c r="M1316" s="106">
        <v>6442</v>
      </c>
      <c r="N1316" s="213" t="str">
        <f t="shared" si="19"/>
        <v/>
      </c>
    </row>
    <row r="1317" spans="13:14">
      <c r="M1317" s="106">
        <v>6443</v>
      </c>
      <c r="N1317" s="213" t="str">
        <f t="shared" si="19"/>
        <v/>
      </c>
    </row>
    <row r="1318" spans="13:14">
      <c r="M1318" s="106">
        <v>6446</v>
      </c>
      <c r="N1318" s="213" t="str">
        <f t="shared" si="19"/>
        <v/>
      </c>
    </row>
    <row r="1319" spans="13:14">
      <c r="M1319" s="106">
        <v>6449</v>
      </c>
      <c r="N1319" s="213" t="str">
        <f t="shared" si="19"/>
        <v/>
      </c>
    </row>
    <row r="1320" spans="13:14">
      <c r="M1320" s="106">
        <v>6451</v>
      </c>
      <c r="N1320" s="213" t="str">
        <f t="shared" si="19"/>
        <v/>
      </c>
    </row>
    <row r="1321" spans="13:14">
      <c r="M1321" s="106">
        <v>6452</v>
      </c>
      <c r="N1321" s="213" t="str">
        <f t="shared" si="19"/>
        <v/>
      </c>
    </row>
    <row r="1322" spans="13:14">
      <c r="M1322" s="106">
        <v>6456</v>
      </c>
      <c r="N1322" s="213" t="str">
        <f t="shared" si="19"/>
        <v/>
      </c>
    </row>
    <row r="1323" spans="13:14">
      <c r="M1323" s="106">
        <v>6457</v>
      </c>
      <c r="N1323" s="213" t="str">
        <f t="shared" si="19"/>
        <v/>
      </c>
    </row>
    <row r="1324" spans="13:14">
      <c r="M1324" s="106">
        <v>6462</v>
      </c>
      <c r="N1324" s="213" t="str">
        <f t="shared" si="19"/>
        <v/>
      </c>
    </row>
    <row r="1325" spans="13:14">
      <c r="M1325" s="106">
        <v>6464</v>
      </c>
      <c r="N1325" s="213" t="str">
        <f t="shared" si="19"/>
        <v/>
      </c>
    </row>
    <row r="1326" spans="13:14">
      <c r="M1326" s="106">
        <v>6465</v>
      </c>
      <c r="N1326" s="213" t="str">
        <f t="shared" si="19"/>
        <v/>
      </c>
    </row>
    <row r="1327" spans="13:14">
      <c r="M1327" s="106">
        <v>6469</v>
      </c>
      <c r="N1327" s="213" t="str">
        <f t="shared" si="19"/>
        <v/>
      </c>
    </row>
    <row r="1328" spans="13:14">
      <c r="M1328" s="106">
        <v>6470</v>
      </c>
      <c r="N1328" s="213" t="str">
        <f t="shared" si="19"/>
        <v/>
      </c>
    </row>
    <row r="1329" spans="13:14">
      <c r="M1329" s="106">
        <v>6477</v>
      </c>
      <c r="N1329" s="213" t="str">
        <f t="shared" si="19"/>
        <v/>
      </c>
    </row>
    <row r="1330" spans="13:14">
      <c r="M1330" s="106">
        <v>6482</v>
      </c>
      <c r="N1330" s="213" t="str">
        <f t="shared" si="19"/>
        <v/>
      </c>
    </row>
    <row r="1331" spans="13:14">
      <c r="M1331" s="106">
        <v>6485</v>
      </c>
      <c r="N1331" s="213" t="str">
        <f t="shared" si="19"/>
        <v/>
      </c>
    </row>
    <row r="1332" spans="13:14">
      <c r="M1332" s="106">
        <v>6488</v>
      </c>
      <c r="N1332" s="213" t="str">
        <f t="shared" si="19"/>
        <v/>
      </c>
    </row>
    <row r="1333" spans="13:14">
      <c r="M1333" s="106">
        <v>6494</v>
      </c>
      <c r="N1333" s="213" t="str">
        <f t="shared" si="19"/>
        <v/>
      </c>
    </row>
    <row r="1334" spans="13:14">
      <c r="M1334" s="106">
        <v>6496</v>
      </c>
      <c r="N1334" s="213" t="str">
        <f t="shared" si="19"/>
        <v/>
      </c>
    </row>
    <row r="1335" spans="13:14">
      <c r="M1335" s="106">
        <v>6499</v>
      </c>
      <c r="N1335" s="213" t="str">
        <f t="shared" si="19"/>
        <v/>
      </c>
    </row>
    <row r="1336" spans="13:14">
      <c r="M1336" s="106">
        <v>6504</v>
      </c>
      <c r="N1336" s="213" t="str">
        <f t="shared" si="19"/>
        <v/>
      </c>
    </row>
    <row r="1337" spans="13:14">
      <c r="M1337" s="106">
        <v>6505</v>
      </c>
      <c r="N1337" s="213" t="str">
        <f t="shared" si="19"/>
        <v/>
      </c>
    </row>
    <row r="1338" spans="13:14">
      <c r="M1338" s="106">
        <v>6506</v>
      </c>
      <c r="N1338" s="213" t="str">
        <f t="shared" si="19"/>
        <v/>
      </c>
    </row>
    <row r="1339" spans="13:14">
      <c r="M1339" s="106">
        <v>6508</v>
      </c>
      <c r="N1339" s="213" t="str">
        <f t="shared" si="19"/>
        <v/>
      </c>
    </row>
    <row r="1340" spans="13:14">
      <c r="M1340" s="106">
        <v>6509</v>
      </c>
      <c r="N1340" s="213" t="str">
        <f t="shared" si="19"/>
        <v/>
      </c>
    </row>
    <row r="1341" spans="13:14">
      <c r="M1341" s="106">
        <v>6510</v>
      </c>
      <c r="N1341" s="213" t="str">
        <f t="shared" si="19"/>
        <v/>
      </c>
    </row>
    <row r="1342" spans="13:14">
      <c r="M1342" s="106">
        <v>6512</v>
      </c>
      <c r="N1342" s="213" t="str">
        <f t="shared" si="19"/>
        <v/>
      </c>
    </row>
    <row r="1343" spans="13:14">
      <c r="M1343" s="106">
        <v>6514</v>
      </c>
      <c r="N1343" s="213" t="str">
        <f t="shared" si="19"/>
        <v/>
      </c>
    </row>
    <row r="1344" spans="13:14">
      <c r="M1344" s="106">
        <v>6523</v>
      </c>
      <c r="N1344" s="213" t="str">
        <f t="shared" ref="N1344:N1407" si="20">MID(O1202,6,4)</f>
        <v/>
      </c>
    </row>
    <row r="1345" spans="13:14">
      <c r="M1345" s="106">
        <v>6525</v>
      </c>
      <c r="N1345" s="213" t="str">
        <f t="shared" si="20"/>
        <v/>
      </c>
    </row>
    <row r="1346" spans="13:14">
      <c r="M1346" s="106">
        <v>6531</v>
      </c>
      <c r="N1346" s="213" t="str">
        <f t="shared" si="20"/>
        <v/>
      </c>
    </row>
    <row r="1347" spans="13:14">
      <c r="M1347" s="106">
        <v>6603</v>
      </c>
      <c r="N1347" s="213" t="str">
        <f t="shared" si="20"/>
        <v/>
      </c>
    </row>
    <row r="1348" spans="13:14">
      <c r="M1348" s="106">
        <v>6605</v>
      </c>
      <c r="N1348" s="213" t="str">
        <f t="shared" si="20"/>
        <v/>
      </c>
    </row>
    <row r="1349" spans="13:14">
      <c r="M1349" s="106">
        <v>6609</v>
      </c>
      <c r="N1349" s="213" t="str">
        <f t="shared" si="20"/>
        <v/>
      </c>
    </row>
    <row r="1350" spans="13:14">
      <c r="M1350" s="106">
        <v>6702</v>
      </c>
      <c r="N1350" s="213" t="str">
        <f t="shared" si="20"/>
        <v/>
      </c>
    </row>
    <row r="1351" spans="13:14">
      <c r="M1351" s="106">
        <v>6803</v>
      </c>
      <c r="N1351" s="213" t="str">
        <f t="shared" si="20"/>
        <v/>
      </c>
    </row>
    <row r="1352" spans="13:14">
      <c r="M1352" s="106">
        <v>7402</v>
      </c>
      <c r="N1352" s="213" t="str">
        <f t="shared" si="20"/>
        <v/>
      </c>
    </row>
    <row r="1353" spans="13:14">
      <c r="M1353" s="106">
        <v>8011</v>
      </c>
      <c r="N1353" s="213" t="str">
        <f t="shared" si="20"/>
        <v/>
      </c>
    </row>
    <row r="1354" spans="13:14">
      <c r="M1354" s="106">
        <v>8016</v>
      </c>
      <c r="N1354" s="213" t="str">
        <f t="shared" si="20"/>
        <v/>
      </c>
    </row>
    <row r="1355" spans="13:14">
      <c r="M1355" s="106">
        <v>8021</v>
      </c>
      <c r="N1355" s="213" t="str">
        <f t="shared" si="20"/>
        <v/>
      </c>
    </row>
    <row r="1356" spans="13:14">
      <c r="M1356" s="106">
        <v>8024</v>
      </c>
      <c r="N1356" s="213" t="str">
        <f t="shared" si="20"/>
        <v/>
      </c>
    </row>
    <row r="1357" spans="13:14">
      <c r="M1357" s="106">
        <v>8027</v>
      </c>
      <c r="N1357" s="213" t="str">
        <f t="shared" si="20"/>
        <v/>
      </c>
    </row>
    <row r="1358" spans="13:14">
      <c r="M1358" s="106">
        <v>8032</v>
      </c>
      <c r="N1358" s="213" t="str">
        <f t="shared" si="20"/>
        <v/>
      </c>
    </row>
    <row r="1359" spans="13:14">
      <c r="M1359" s="106">
        <v>8033</v>
      </c>
      <c r="N1359" s="213" t="str">
        <f t="shared" si="20"/>
        <v/>
      </c>
    </row>
    <row r="1360" spans="13:14">
      <c r="M1360" s="106">
        <v>8034</v>
      </c>
      <c r="N1360" s="213" t="str">
        <f t="shared" si="20"/>
        <v/>
      </c>
    </row>
    <row r="1361" spans="13:14">
      <c r="M1361" s="106">
        <v>8038</v>
      </c>
      <c r="N1361" s="213" t="str">
        <f t="shared" si="20"/>
        <v/>
      </c>
    </row>
    <row r="1362" spans="13:14">
      <c r="M1362" s="106">
        <v>8039</v>
      </c>
      <c r="N1362" s="213" t="str">
        <f t="shared" si="20"/>
        <v/>
      </c>
    </row>
    <row r="1363" spans="13:14">
      <c r="M1363" s="106">
        <v>8040</v>
      </c>
      <c r="N1363" s="213" t="str">
        <f t="shared" si="20"/>
        <v/>
      </c>
    </row>
    <row r="1364" spans="13:14">
      <c r="M1364" s="106">
        <v>8042</v>
      </c>
      <c r="N1364" s="213" t="str">
        <f t="shared" si="20"/>
        <v/>
      </c>
    </row>
    <row r="1365" spans="13:14">
      <c r="M1365" s="106">
        <v>8043</v>
      </c>
      <c r="N1365" s="213" t="str">
        <f t="shared" si="20"/>
        <v/>
      </c>
    </row>
    <row r="1366" spans="13:14">
      <c r="M1366" s="106">
        <v>8044</v>
      </c>
      <c r="N1366" s="213" t="str">
        <f t="shared" si="20"/>
        <v/>
      </c>
    </row>
    <row r="1367" spans="13:14">
      <c r="M1367" s="106">
        <v>8046</v>
      </c>
      <c r="N1367" s="213" t="str">
        <f t="shared" si="20"/>
        <v/>
      </c>
    </row>
    <row r="1368" spans="13:14">
      <c r="M1368" s="106">
        <v>8047</v>
      </c>
      <c r="N1368" s="213" t="str">
        <f t="shared" si="20"/>
        <v/>
      </c>
    </row>
    <row r="1369" spans="13:14">
      <c r="M1369" s="106">
        <v>8048</v>
      </c>
      <c r="N1369" s="213" t="str">
        <f t="shared" si="20"/>
        <v/>
      </c>
    </row>
    <row r="1370" spans="13:14">
      <c r="M1370" s="106">
        <v>8049</v>
      </c>
      <c r="N1370" s="213" t="str">
        <f t="shared" si="20"/>
        <v/>
      </c>
    </row>
    <row r="1371" spans="13:14">
      <c r="M1371" s="106">
        <v>8050</v>
      </c>
      <c r="N1371" s="213" t="str">
        <f t="shared" si="20"/>
        <v/>
      </c>
    </row>
    <row r="1372" spans="13:14">
      <c r="M1372" s="106">
        <v>8054</v>
      </c>
      <c r="N1372" s="213" t="str">
        <f t="shared" si="20"/>
        <v/>
      </c>
    </row>
    <row r="1373" spans="13:14">
      <c r="M1373" s="106">
        <v>8059</v>
      </c>
      <c r="N1373" s="213" t="str">
        <f t="shared" si="20"/>
        <v/>
      </c>
    </row>
    <row r="1374" spans="13:14">
      <c r="M1374" s="106">
        <v>8064</v>
      </c>
      <c r="N1374" s="213" t="str">
        <f t="shared" si="20"/>
        <v/>
      </c>
    </row>
    <row r="1375" spans="13:14">
      <c r="M1375" s="106">
        <v>8066</v>
      </c>
      <c r="N1375" s="213" t="str">
        <f t="shared" si="20"/>
        <v/>
      </c>
    </row>
    <row r="1376" spans="13:14">
      <c r="M1376" s="106">
        <v>8067</v>
      </c>
      <c r="N1376" s="213" t="str">
        <f t="shared" si="20"/>
        <v/>
      </c>
    </row>
    <row r="1377" spans="13:14">
      <c r="M1377" s="106">
        <v>8068</v>
      </c>
      <c r="N1377" s="213" t="str">
        <f t="shared" si="20"/>
        <v/>
      </c>
    </row>
    <row r="1378" spans="13:14">
      <c r="M1378" s="106">
        <v>8069</v>
      </c>
      <c r="N1378" s="213" t="str">
        <f t="shared" si="20"/>
        <v/>
      </c>
    </row>
    <row r="1379" spans="13:14">
      <c r="M1379" s="106">
        <v>8070</v>
      </c>
      <c r="N1379" s="213" t="str">
        <f t="shared" si="20"/>
        <v/>
      </c>
    </row>
    <row r="1380" spans="13:14">
      <c r="M1380" s="106">
        <v>8071</v>
      </c>
      <c r="N1380" s="213" t="str">
        <f t="shared" si="20"/>
        <v/>
      </c>
    </row>
    <row r="1381" spans="13:14">
      <c r="M1381" s="106">
        <v>8072</v>
      </c>
      <c r="N1381" s="213" t="str">
        <f t="shared" si="20"/>
        <v/>
      </c>
    </row>
    <row r="1382" spans="13:14">
      <c r="M1382" s="106">
        <v>8074</v>
      </c>
      <c r="N1382" s="213" t="str">
        <f t="shared" si="20"/>
        <v/>
      </c>
    </row>
    <row r="1383" spans="13:14">
      <c r="M1383" s="106">
        <v>8076</v>
      </c>
      <c r="N1383" s="213" t="str">
        <f t="shared" si="20"/>
        <v/>
      </c>
    </row>
    <row r="1384" spans="13:14">
      <c r="M1384" s="106">
        <v>8077</v>
      </c>
      <c r="N1384" s="213" t="str">
        <f t="shared" si="20"/>
        <v/>
      </c>
    </row>
    <row r="1385" spans="13:14">
      <c r="M1385" s="106">
        <v>8079</v>
      </c>
      <c r="N1385" s="213" t="str">
        <f t="shared" si="20"/>
        <v/>
      </c>
    </row>
    <row r="1386" spans="13:14">
      <c r="M1386" s="106">
        <v>8080</v>
      </c>
      <c r="N1386" s="213" t="str">
        <f t="shared" si="20"/>
        <v/>
      </c>
    </row>
    <row r="1387" spans="13:14">
      <c r="M1387" s="106">
        <v>8081</v>
      </c>
      <c r="N1387" s="213" t="str">
        <f t="shared" si="20"/>
        <v/>
      </c>
    </row>
    <row r="1388" spans="13:14">
      <c r="M1388" s="106">
        <v>8082</v>
      </c>
      <c r="N1388" s="213" t="str">
        <f t="shared" si="20"/>
        <v/>
      </c>
    </row>
    <row r="1389" spans="13:14">
      <c r="M1389" s="106">
        <v>8083</v>
      </c>
      <c r="N1389" s="213" t="str">
        <f t="shared" si="20"/>
        <v/>
      </c>
    </row>
    <row r="1390" spans="13:14">
      <c r="M1390" s="106">
        <v>8084</v>
      </c>
      <c r="N1390" s="213" t="str">
        <f t="shared" si="20"/>
        <v/>
      </c>
    </row>
    <row r="1391" spans="13:14">
      <c r="M1391" s="106">
        <v>8085</v>
      </c>
      <c r="N1391" s="213" t="str">
        <f t="shared" si="20"/>
        <v/>
      </c>
    </row>
    <row r="1392" spans="13:14">
      <c r="M1392" s="106">
        <v>8086</v>
      </c>
      <c r="N1392" s="213" t="str">
        <f t="shared" si="20"/>
        <v/>
      </c>
    </row>
    <row r="1393" spans="13:14">
      <c r="M1393" s="106">
        <v>8087</v>
      </c>
      <c r="N1393" s="213" t="str">
        <f t="shared" si="20"/>
        <v/>
      </c>
    </row>
    <row r="1394" spans="13:14">
      <c r="M1394" s="106">
        <v>8088</v>
      </c>
      <c r="N1394" s="213" t="str">
        <f t="shared" si="20"/>
        <v/>
      </c>
    </row>
    <row r="1395" spans="13:14">
      <c r="M1395" s="106">
        <v>8091</v>
      </c>
      <c r="N1395" s="213" t="str">
        <f t="shared" si="20"/>
        <v/>
      </c>
    </row>
    <row r="1396" spans="13:14">
      <c r="M1396" s="106">
        <v>8092</v>
      </c>
      <c r="N1396" s="213" t="str">
        <f t="shared" si="20"/>
        <v/>
      </c>
    </row>
    <row r="1397" spans="13:14">
      <c r="M1397" s="106">
        <v>8093</v>
      </c>
      <c r="N1397" s="213" t="str">
        <f t="shared" si="20"/>
        <v/>
      </c>
    </row>
    <row r="1398" spans="13:14">
      <c r="M1398" s="106">
        <v>8096</v>
      </c>
      <c r="N1398" s="213" t="str">
        <f t="shared" si="20"/>
        <v/>
      </c>
    </row>
    <row r="1399" spans="13:14">
      <c r="M1399" s="106">
        <v>8097</v>
      </c>
      <c r="N1399" s="213" t="str">
        <f t="shared" si="20"/>
        <v/>
      </c>
    </row>
    <row r="1400" spans="13:14">
      <c r="M1400" s="106">
        <v>8099</v>
      </c>
      <c r="N1400" s="213" t="str">
        <f t="shared" si="20"/>
        <v/>
      </c>
    </row>
    <row r="1401" spans="13:14">
      <c r="M1401" s="106">
        <v>8101</v>
      </c>
      <c r="N1401" s="213" t="str">
        <f t="shared" si="20"/>
        <v/>
      </c>
    </row>
    <row r="1402" spans="13:14">
      <c r="M1402" s="106">
        <v>8103</v>
      </c>
      <c r="N1402" s="213" t="str">
        <f t="shared" si="20"/>
        <v/>
      </c>
    </row>
    <row r="1403" spans="13:14">
      <c r="M1403" s="106">
        <v>8105</v>
      </c>
      <c r="N1403" s="213" t="str">
        <f t="shared" si="20"/>
        <v/>
      </c>
    </row>
    <row r="1404" spans="13:14">
      <c r="M1404" s="106">
        <v>8107</v>
      </c>
      <c r="N1404" s="213" t="str">
        <f t="shared" si="20"/>
        <v/>
      </c>
    </row>
    <row r="1405" spans="13:14">
      <c r="M1405" s="106">
        <v>8109</v>
      </c>
      <c r="N1405" s="213" t="str">
        <f t="shared" si="20"/>
        <v/>
      </c>
    </row>
    <row r="1406" spans="13:14">
      <c r="M1406" s="106">
        <v>8110</v>
      </c>
      <c r="N1406" s="213" t="str">
        <f t="shared" si="20"/>
        <v/>
      </c>
    </row>
    <row r="1407" spans="13:14">
      <c r="M1407" s="106">
        <v>8111</v>
      </c>
      <c r="N1407" s="213" t="str">
        <f t="shared" si="20"/>
        <v/>
      </c>
    </row>
    <row r="1408" spans="13:14">
      <c r="M1408" s="106">
        <v>8112</v>
      </c>
      <c r="N1408" s="213" t="str">
        <f t="shared" ref="N1408:N1471" si="21">MID(O1266,6,4)</f>
        <v/>
      </c>
    </row>
    <row r="1409" spans="13:14">
      <c r="M1409" s="106">
        <v>8114</v>
      </c>
      <c r="N1409" s="213" t="str">
        <f t="shared" si="21"/>
        <v/>
      </c>
    </row>
    <row r="1410" spans="13:14">
      <c r="M1410" s="106">
        <v>8121</v>
      </c>
      <c r="N1410" s="213" t="str">
        <f t="shared" si="21"/>
        <v/>
      </c>
    </row>
    <row r="1411" spans="13:14">
      <c r="M1411" s="106">
        <v>8131</v>
      </c>
      <c r="N1411" s="213" t="str">
        <f t="shared" si="21"/>
        <v/>
      </c>
    </row>
    <row r="1412" spans="13:14">
      <c r="M1412" s="106">
        <v>8147</v>
      </c>
      <c r="N1412" s="213" t="str">
        <f t="shared" si="21"/>
        <v/>
      </c>
    </row>
    <row r="1413" spans="13:14">
      <c r="M1413" s="106">
        <v>8150</v>
      </c>
      <c r="N1413" s="213" t="str">
        <f t="shared" si="21"/>
        <v/>
      </c>
    </row>
    <row r="1414" spans="13:14">
      <c r="M1414" s="106">
        <v>8155</v>
      </c>
      <c r="N1414" s="213" t="str">
        <f t="shared" si="21"/>
        <v/>
      </c>
    </row>
    <row r="1415" spans="13:14">
      <c r="M1415" s="106">
        <v>8163</v>
      </c>
      <c r="N1415" s="213" t="str">
        <f t="shared" si="21"/>
        <v/>
      </c>
    </row>
    <row r="1416" spans="13:14">
      <c r="M1416" s="106">
        <v>8171</v>
      </c>
      <c r="N1416" s="213" t="str">
        <f t="shared" si="21"/>
        <v/>
      </c>
    </row>
    <row r="1417" spans="13:14">
      <c r="M1417" s="106">
        <v>8176</v>
      </c>
      <c r="N1417" s="213" t="str">
        <f t="shared" si="21"/>
        <v/>
      </c>
    </row>
    <row r="1418" spans="13:14">
      <c r="M1418" s="106">
        <v>8182</v>
      </c>
      <c r="N1418" s="213" t="str">
        <f t="shared" si="21"/>
        <v/>
      </c>
    </row>
    <row r="1419" spans="13:14">
      <c r="M1419" s="106">
        <v>8183</v>
      </c>
      <c r="N1419" s="213" t="str">
        <f t="shared" si="21"/>
        <v/>
      </c>
    </row>
    <row r="1420" spans="13:14">
      <c r="M1420" s="106">
        <v>8201</v>
      </c>
      <c r="N1420" s="213" t="str">
        <f t="shared" si="21"/>
        <v/>
      </c>
    </row>
    <row r="1421" spans="13:14">
      <c r="M1421" s="106">
        <v>8210</v>
      </c>
      <c r="N1421" s="213" t="str">
        <f t="shared" si="21"/>
        <v/>
      </c>
    </row>
    <row r="1422" spans="13:14">
      <c r="M1422" s="106">
        <v>8213</v>
      </c>
      <c r="N1422" s="213" t="str">
        <f t="shared" si="21"/>
        <v/>
      </c>
    </row>
    <row r="1423" spans="13:14">
      <c r="M1423" s="106">
        <v>8215</v>
      </c>
      <c r="N1423" s="213" t="str">
        <f t="shared" si="21"/>
        <v/>
      </c>
    </row>
    <row r="1424" spans="13:14">
      <c r="M1424" s="106">
        <v>8222</v>
      </c>
      <c r="N1424" s="213" t="str">
        <f t="shared" si="21"/>
        <v/>
      </c>
    </row>
    <row r="1425" spans="13:14">
      <c r="M1425" s="106">
        <v>8234</v>
      </c>
      <c r="N1425" s="213" t="str">
        <f t="shared" si="21"/>
        <v/>
      </c>
    </row>
    <row r="1426" spans="13:14">
      <c r="M1426" s="106">
        <v>8240</v>
      </c>
      <c r="N1426" s="213" t="str">
        <f t="shared" si="21"/>
        <v/>
      </c>
    </row>
    <row r="1427" spans="13:14">
      <c r="M1427" s="106">
        <v>8249</v>
      </c>
      <c r="N1427" s="213" t="str">
        <f t="shared" si="21"/>
        <v/>
      </c>
    </row>
    <row r="1428" spans="13:14">
      <c r="M1428" s="106">
        <v>8255</v>
      </c>
      <c r="N1428" s="213" t="str">
        <f t="shared" si="21"/>
        <v/>
      </c>
    </row>
    <row r="1429" spans="13:14">
      <c r="M1429" s="106">
        <v>8261</v>
      </c>
      <c r="N1429" s="213" t="str">
        <f t="shared" si="21"/>
        <v/>
      </c>
    </row>
    <row r="1430" spans="13:14">
      <c r="M1430" s="106">
        <v>8266</v>
      </c>
      <c r="N1430" s="213" t="str">
        <f t="shared" si="21"/>
        <v/>
      </c>
    </row>
    <row r="1431" spans="13:14">
      <c r="M1431" s="106">
        <v>8271</v>
      </c>
      <c r="N1431" s="213" t="str">
        <f t="shared" si="21"/>
        <v/>
      </c>
    </row>
    <row r="1432" spans="13:14">
      <c r="M1432" s="106">
        <v>8277</v>
      </c>
      <c r="N1432" s="213" t="str">
        <f t="shared" si="21"/>
        <v/>
      </c>
    </row>
    <row r="1433" spans="13:14">
      <c r="M1433" s="106">
        <v>8287</v>
      </c>
      <c r="N1433" s="213" t="str">
        <f t="shared" si="21"/>
        <v/>
      </c>
    </row>
    <row r="1434" spans="13:14">
      <c r="M1434" s="106">
        <v>8289</v>
      </c>
      <c r="N1434" s="213" t="str">
        <f t="shared" si="21"/>
        <v/>
      </c>
    </row>
    <row r="1435" spans="13:14">
      <c r="M1435" s="106">
        <v>8291</v>
      </c>
      <c r="N1435" s="213" t="str">
        <f t="shared" si="21"/>
        <v/>
      </c>
    </row>
    <row r="1436" spans="13:14">
      <c r="M1436" s="106">
        <v>8299</v>
      </c>
      <c r="N1436" s="213" t="str">
        <f t="shared" si="21"/>
        <v/>
      </c>
    </row>
    <row r="1437" spans="13:14">
      <c r="M1437" s="106">
        <v>8341</v>
      </c>
      <c r="N1437" s="213" t="str">
        <f t="shared" si="21"/>
        <v/>
      </c>
    </row>
    <row r="1438" spans="13:14">
      <c r="M1438" s="106">
        <v>8349</v>
      </c>
      <c r="N1438" s="213" t="str">
        <f t="shared" si="21"/>
        <v/>
      </c>
    </row>
    <row r="1439" spans="13:14">
      <c r="M1439" s="106">
        <v>8354</v>
      </c>
      <c r="N1439" s="213" t="str">
        <f t="shared" si="21"/>
        <v/>
      </c>
    </row>
    <row r="1440" spans="13:14">
      <c r="M1440" s="106">
        <v>8358</v>
      </c>
      <c r="N1440" s="213" t="str">
        <f t="shared" si="21"/>
        <v/>
      </c>
    </row>
    <row r="1441" spans="13:14">
      <c r="M1441" s="106">
        <v>8374</v>
      </c>
      <c r="N1441" s="213" t="str">
        <f t="shared" si="21"/>
        <v/>
      </c>
    </row>
    <row r="1442" spans="13:14">
      <c r="M1442" s="106">
        <v>8383</v>
      </c>
      <c r="N1442" s="213" t="str">
        <f t="shared" si="21"/>
        <v/>
      </c>
    </row>
    <row r="1443" spans="13:14">
      <c r="M1443" s="106">
        <v>8390</v>
      </c>
      <c r="N1443" s="213" t="str">
        <f t="shared" si="21"/>
        <v/>
      </c>
    </row>
    <row r="1444" spans="13:14">
      <c r="M1444" s="106">
        <v>8401</v>
      </c>
      <c r="N1444" s="213" t="str">
        <f t="shared" si="21"/>
        <v/>
      </c>
    </row>
    <row r="1445" spans="13:14">
      <c r="M1445" s="106">
        <v>8403</v>
      </c>
      <c r="N1445" s="213" t="str">
        <f t="shared" si="21"/>
        <v/>
      </c>
    </row>
    <row r="1446" spans="13:14">
      <c r="M1446" s="106">
        <v>8404</v>
      </c>
      <c r="N1446" s="213" t="str">
        <f t="shared" si="21"/>
        <v/>
      </c>
    </row>
    <row r="1447" spans="13:14">
      <c r="M1447" s="106">
        <v>8406</v>
      </c>
      <c r="N1447" s="213" t="str">
        <f t="shared" si="21"/>
        <v/>
      </c>
    </row>
    <row r="1448" spans="13:14">
      <c r="M1448" s="106">
        <v>8409</v>
      </c>
      <c r="N1448" s="213" t="str">
        <f t="shared" si="21"/>
        <v/>
      </c>
    </row>
    <row r="1449" spans="13:14">
      <c r="M1449" s="106">
        <v>8410</v>
      </c>
      <c r="N1449" s="213" t="str">
        <f t="shared" si="21"/>
        <v/>
      </c>
    </row>
    <row r="1450" spans="13:14">
      <c r="M1450" s="106">
        <v>8411</v>
      </c>
      <c r="N1450" s="213" t="str">
        <f t="shared" si="21"/>
        <v/>
      </c>
    </row>
    <row r="1451" spans="13:14">
      <c r="M1451" s="106">
        <v>8416</v>
      </c>
      <c r="N1451" s="213" t="str">
        <f t="shared" si="21"/>
        <v/>
      </c>
    </row>
    <row r="1452" spans="13:14">
      <c r="M1452" s="106">
        <v>8418</v>
      </c>
      <c r="N1452" s="213" t="str">
        <f t="shared" si="21"/>
        <v/>
      </c>
    </row>
    <row r="1453" spans="13:14">
      <c r="M1453" s="106">
        <v>8420</v>
      </c>
      <c r="N1453" s="213" t="str">
        <f t="shared" si="21"/>
        <v/>
      </c>
    </row>
    <row r="1454" spans="13:14">
      <c r="M1454" s="106">
        <v>8421</v>
      </c>
      <c r="N1454" s="213" t="str">
        <f t="shared" si="21"/>
        <v/>
      </c>
    </row>
    <row r="1455" spans="13:14">
      <c r="M1455" s="106">
        <v>8422</v>
      </c>
      <c r="N1455" s="213" t="str">
        <f t="shared" si="21"/>
        <v/>
      </c>
    </row>
    <row r="1456" spans="13:14">
      <c r="M1456" s="106">
        <v>8423</v>
      </c>
      <c r="N1456" s="213" t="str">
        <f t="shared" si="21"/>
        <v/>
      </c>
    </row>
    <row r="1457" spans="13:14">
      <c r="M1457" s="106">
        <v>8424</v>
      </c>
      <c r="N1457" s="213" t="str">
        <f t="shared" si="21"/>
        <v/>
      </c>
    </row>
    <row r="1458" spans="13:14">
      <c r="M1458" s="106">
        <v>8426</v>
      </c>
      <c r="N1458" s="213" t="str">
        <f t="shared" si="21"/>
        <v/>
      </c>
    </row>
    <row r="1459" spans="13:14">
      <c r="M1459" s="106">
        <v>8427</v>
      </c>
      <c r="N1459" s="213" t="str">
        <f t="shared" si="21"/>
        <v/>
      </c>
    </row>
    <row r="1460" spans="13:14">
      <c r="M1460" s="106">
        <v>8429</v>
      </c>
      <c r="N1460" s="213" t="str">
        <f t="shared" si="21"/>
        <v/>
      </c>
    </row>
    <row r="1461" spans="13:14">
      <c r="M1461" s="106">
        <v>8431</v>
      </c>
      <c r="N1461" s="213" t="str">
        <f t="shared" si="21"/>
        <v/>
      </c>
    </row>
    <row r="1462" spans="13:14">
      <c r="M1462" s="106">
        <v>8432</v>
      </c>
      <c r="N1462" s="213" t="str">
        <f t="shared" si="21"/>
        <v/>
      </c>
    </row>
    <row r="1463" spans="13:14">
      <c r="M1463" s="106">
        <v>8433</v>
      </c>
      <c r="N1463" s="213" t="str">
        <f t="shared" si="21"/>
        <v/>
      </c>
    </row>
    <row r="1464" spans="13:14">
      <c r="M1464" s="106">
        <v>8435</v>
      </c>
      <c r="N1464" s="213" t="str">
        <f t="shared" si="21"/>
        <v/>
      </c>
    </row>
    <row r="1465" spans="13:14">
      <c r="M1465" s="106">
        <v>8436</v>
      </c>
      <c r="N1465" s="213" t="str">
        <f t="shared" si="21"/>
        <v/>
      </c>
    </row>
    <row r="1466" spans="13:14">
      <c r="M1466" s="106">
        <v>8437</v>
      </c>
      <c r="N1466" s="213" t="str">
        <f t="shared" si="21"/>
        <v/>
      </c>
    </row>
    <row r="1467" spans="13:14">
      <c r="M1467" s="106">
        <v>8443</v>
      </c>
      <c r="N1467" s="213" t="str">
        <f t="shared" si="21"/>
        <v/>
      </c>
    </row>
    <row r="1468" spans="13:14">
      <c r="M1468" s="106">
        <v>8444</v>
      </c>
      <c r="N1468" s="213" t="str">
        <f t="shared" si="21"/>
        <v/>
      </c>
    </row>
    <row r="1469" spans="13:14">
      <c r="M1469" s="106">
        <v>8446</v>
      </c>
      <c r="N1469" s="213" t="str">
        <f t="shared" si="21"/>
        <v/>
      </c>
    </row>
    <row r="1470" spans="13:14">
      <c r="M1470" s="106">
        <v>8450</v>
      </c>
      <c r="N1470" s="213" t="str">
        <f t="shared" si="21"/>
        <v/>
      </c>
    </row>
    <row r="1471" spans="13:14">
      <c r="M1471" s="106">
        <v>8454</v>
      </c>
      <c r="N1471" s="213" t="str">
        <f t="shared" si="21"/>
        <v/>
      </c>
    </row>
    <row r="1472" spans="13:14">
      <c r="M1472" s="106">
        <v>8455</v>
      </c>
      <c r="N1472" s="213" t="str">
        <f t="shared" ref="N1472:N1535" si="22">MID(O1330,6,4)</f>
        <v/>
      </c>
    </row>
    <row r="1473" spans="13:14">
      <c r="M1473" s="106">
        <v>8462</v>
      </c>
      <c r="N1473" s="213" t="str">
        <f t="shared" si="22"/>
        <v/>
      </c>
    </row>
    <row r="1474" spans="13:14">
      <c r="M1474" s="106">
        <v>8463</v>
      </c>
      <c r="N1474" s="213" t="str">
        <f t="shared" si="22"/>
        <v/>
      </c>
    </row>
    <row r="1475" spans="13:14">
      <c r="M1475" s="106">
        <v>8464</v>
      </c>
      <c r="N1475" s="213" t="str">
        <f t="shared" si="22"/>
        <v/>
      </c>
    </row>
    <row r="1476" spans="13:14">
      <c r="M1476" s="106">
        <v>8467</v>
      </c>
      <c r="N1476" s="213" t="str">
        <f t="shared" si="22"/>
        <v/>
      </c>
    </row>
    <row r="1477" spans="13:14">
      <c r="M1477" s="106">
        <v>8472</v>
      </c>
      <c r="N1477" s="213" t="str">
        <f t="shared" si="22"/>
        <v/>
      </c>
    </row>
    <row r="1478" spans="13:14">
      <c r="M1478" s="106">
        <v>8905</v>
      </c>
      <c r="N1478" s="213" t="str">
        <f t="shared" si="22"/>
        <v/>
      </c>
    </row>
    <row r="1479" spans="13:14">
      <c r="M1479" s="106">
        <v>8906</v>
      </c>
      <c r="N1479" s="213" t="str">
        <f t="shared" si="22"/>
        <v/>
      </c>
    </row>
    <row r="1480" spans="13:14">
      <c r="M1480" s="106">
        <v>8908</v>
      </c>
      <c r="N1480" s="213" t="str">
        <f t="shared" si="22"/>
        <v/>
      </c>
    </row>
    <row r="1481" spans="13:14">
      <c r="M1481" s="106">
        <v>8913</v>
      </c>
      <c r="N1481" s="213" t="str">
        <f t="shared" si="22"/>
        <v/>
      </c>
    </row>
    <row r="1482" spans="13:14">
      <c r="M1482" s="106">
        <v>8916</v>
      </c>
      <c r="N1482" s="213" t="str">
        <f t="shared" si="22"/>
        <v/>
      </c>
    </row>
    <row r="1483" spans="13:14">
      <c r="M1483" s="106">
        <v>8917</v>
      </c>
      <c r="N1483" s="213" t="str">
        <f t="shared" si="22"/>
        <v/>
      </c>
    </row>
    <row r="1484" spans="13:14">
      <c r="M1484" s="106">
        <v>8921</v>
      </c>
      <c r="N1484" s="213" t="str">
        <f t="shared" si="22"/>
        <v/>
      </c>
    </row>
    <row r="1485" spans="13:14">
      <c r="M1485" s="106">
        <v>8923</v>
      </c>
      <c r="N1485" s="213" t="str">
        <f t="shared" si="22"/>
        <v/>
      </c>
    </row>
    <row r="1486" spans="13:14">
      <c r="M1486" s="106">
        <v>8924</v>
      </c>
      <c r="N1486" s="213" t="str">
        <f t="shared" si="22"/>
        <v/>
      </c>
    </row>
    <row r="1487" spans="13:14">
      <c r="M1487" s="106">
        <v>8926</v>
      </c>
      <c r="N1487" s="213" t="str">
        <f t="shared" si="22"/>
        <v/>
      </c>
    </row>
    <row r="1488" spans="13:14">
      <c r="M1488" s="106">
        <v>8927</v>
      </c>
      <c r="N1488" s="213" t="str">
        <f t="shared" si="22"/>
        <v/>
      </c>
    </row>
    <row r="1489" spans="13:14">
      <c r="M1489" s="106">
        <v>8928</v>
      </c>
      <c r="N1489" s="213" t="str">
        <f t="shared" si="22"/>
        <v/>
      </c>
    </row>
    <row r="1490" spans="13:14">
      <c r="M1490" s="106">
        <v>8929</v>
      </c>
      <c r="N1490" s="213" t="str">
        <f t="shared" si="22"/>
        <v/>
      </c>
    </row>
    <row r="1491" spans="13:14">
      <c r="M1491" s="106">
        <v>8930</v>
      </c>
      <c r="N1491" s="213" t="str">
        <f t="shared" si="22"/>
        <v/>
      </c>
    </row>
    <row r="1492" spans="13:14">
      <c r="M1492" s="106">
        <v>8931</v>
      </c>
      <c r="N1492" s="213" t="str">
        <f t="shared" si="22"/>
        <v/>
      </c>
    </row>
    <row r="1493" spans="13:14">
      <c r="M1493" s="106">
        <v>8932</v>
      </c>
      <c r="N1493" s="213" t="str">
        <f t="shared" si="22"/>
        <v/>
      </c>
    </row>
    <row r="1494" spans="13:14">
      <c r="M1494" s="106">
        <v>8933</v>
      </c>
      <c r="N1494" s="213" t="str">
        <f t="shared" si="22"/>
        <v/>
      </c>
    </row>
    <row r="1495" spans="13:14">
      <c r="M1495" s="106">
        <v>8934</v>
      </c>
      <c r="N1495" s="213" t="str">
        <f t="shared" si="22"/>
        <v/>
      </c>
    </row>
    <row r="1496" spans="13:14">
      <c r="M1496" s="106">
        <v>8935</v>
      </c>
      <c r="N1496" s="213" t="str">
        <f t="shared" si="22"/>
        <v/>
      </c>
    </row>
    <row r="1497" spans="13:14">
      <c r="M1497" s="106">
        <v>8936</v>
      </c>
      <c r="N1497" s="213" t="str">
        <f t="shared" si="22"/>
        <v/>
      </c>
    </row>
    <row r="1498" spans="13:14">
      <c r="M1498" s="106">
        <v>8937</v>
      </c>
      <c r="N1498" s="213" t="str">
        <f t="shared" si="22"/>
        <v/>
      </c>
    </row>
    <row r="1499" spans="13:14">
      <c r="M1499" s="106">
        <v>8938</v>
      </c>
      <c r="N1499" s="213" t="str">
        <f t="shared" si="22"/>
        <v/>
      </c>
    </row>
    <row r="1500" spans="13:14">
      <c r="M1500" s="106">
        <v>8940</v>
      </c>
      <c r="N1500" s="213" t="str">
        <f t="shared" si="22"/>
        <v/>
      </c>
    </row>
    <row r="1501" spans="13:14">
      <c r="M1501" s="106">
        <v>8941</v>
      </c>
      <c r="N1501" s="213" t="str">
        <f t="shared" si="22"/>
        <v/>
      </c>
    </row>
    <row r="1502" spans="13:14">
      <c r="M1502" s="106">
        <v>8942</v>
      </c>
      <c r="N1502" s="213" t="str">
        <f t="shared" si="22"/>
        <v/>
      </c>
    </row>
    <row r="1503" spans="13:14">
      <c r="M1503" s="106">
        <v>8996</v>
      </c>
      <c r="N1503" s="213" t="str">
        <f t="shared" si="22"/>
        <v/>
      </c>
    </row>
    <row r="1504" spans="13:14">
      <c r="M1504" s="106">
        <v>9802</v>
      </c>
      <c r="N1504" s="213" t="str">
        <f t="shared" si="22"/>
        <v/>
      </c>
    </row>
    <row r="1505" spans="13:14">
      <c r="M1505" s="106">
        <v>9902</v>
      </c>
      <c r="N1505" s="213" t="str">
        <f t="shared" si="22"/>
        <v/>
      </c>
    </row>
    <row r="1506" spans="13:14">
      <c r="M1506" s="106">
        <v>9904</v>
      </c>
      <c r="N1506" s="213" t="str">
        <f t="shared" si="22"/>
        <v/>
      </c>
    </row>
    <row r="1507" spans="13:14">
      <c r="M1507" s="106">
        <v>9905</v>
      </c>
      <c r="N1507" s="213" t="str">
        <f t="shared" si="22"/>
        <v/>
      </c>
    </row>
    <row r="1508" spans="13:14">
      <c r="M1508" s="106">
        <v>9906</v>
      </c>
      <c r="N1508" s="213" t="str">
        <f t="shared" si="22"/>
        <v/>
      </c>
    </row>
    <row r="1509" spans="13:14">
      <c r="M1509" s="106">
        <v>9907</v>
      </c>
      <c r="N1509" s="213" t="str">
        <f t="shared" si="22"/>
        <v/>
      </c>
    </row>
    <row r="1510" spans="13:14">
      <c r="M1510" s="106">
        <v>9908</v>
      </c>
      <c r="N1510" s="213" t="str">
        <f t="shared" si="22"/>
        <v/>
      </c>
    </row>
    <row r="1511" spans="13:14">
      <c r="M1511" s="106">
        <v>9910</v>
      </c>
      <c r="N1511" s="213" t="str">
        <f t="shared" si="22"/>
        <v/>
      </c>
    </row>
    <row r="1512" spans="13:14">
      <c r="M1512" s="106">
        <v>9911</v>
      </c>
      <c r="N1512" s="213" t="str">
        <f t="shared" si="22"/>
        <v/>
      </c>
    </row>
    <row r="1513" spans="13:14">
      <c r="M1513" s="106">
        <v>9912</v>
      </c>
      <c r="N1513" s="213" t="str">
        <f t="shared" si="22"/>
        <v/>
      </c>
    </row>
    <row r="1514" spans="13:14">
      <c r="M1514" s="106">
        <v>9914</v>
      </c>
      <c r="N1514" s="213" t="str">
        <f t="shared" si="22"/>
        <v/>
      </c>
    </row>
    <row r="1515" spans="13:14">
      <c r="M1515" s="106">
        <v>9917</v>
      </c>
      <c r="N1515" s="213" t="str">
        <f t="shared" si="22"/>
        <v/>
      </c>
    </row>
    <row r="1516" spans="13:14">
      <c r="M1516" s="106">
        <v>9918</v>
      </c>
      <c r="N1516" s="213" t="str">
        <f t="shared" si="22"/>
        <v/>
      </c>
    </row>
    <row r="1517" spans="13:14">
      <c r="M1517" s="106">
        <v>9919</v>
      </c>
      <c r="N1517" s="213" t="str">
        <f t="shared" si="22"/>
        <v/>
      </c>
    </row>
    <row r="1518" spans="13:14">
      <c r="M1518" s="106">
        <v>9921</v>
      </c>
      <c r="N1518" s="213" t="str">
        <f t="shared" si="22"/>
        <v/>
      </c>
    </row>
    <row r="1519" spans="13:14">
      <c r="M1519" s="106">
        <v>9924</v>
      </c>
      <c r="N1519" s="213" t="str">
        <f t="shared" si="22"/>
        <v/>
      </c>
    </row>
    <row r="1520" spans="13:14">
      <c r="M1520" s="106">
        <v>9925</v>
      </c>
      <c r="N1520" s="213" t="str">
        <f t="shared" si="22"/>
        <v/>
      </c>
    </row>
    <row r="1521" spans="13:14">
      <c r="M1521" s="106">
        <v>9926</v>
      </c>
      <c r="N1521" s="213" t="str">
        <f t="shared" si="22"/>
        <v/>
      </c>
    </row>
    <row r="1522" spans="13:14">
      <c r="M1522" s="106">
        <v>9927</v>
      </c>
      <c r="N1522" s="213" t="str">
        <f t="shared" si="22"/>
        <v/>
      </c>
    </row>
    <row r="1523" spans="13:14">
      <c r="M1523" s="106">
        <v>9928</v>
      </c>
      <c r="N1523" s="213" t="str">
        <f t="shared" si="22"/>
        <v/>
      </c>
    </row>
    <row r="1524" spans="13:14">
      <c r="M1524" s="106">
        <v>9929</v>
      </c>
      <c r="N1524" s="213" t="str">
        <f t="shared" si="22"/>
        <v/>
      </c>
    </row>
    <row r="1525" spans="13:14">
      <c r="M1525" s="106">
        <v>9930</v>
      </c>
      <c r="N1525" s="213" t="str">
        <f t="shared" si="22"/>
        <v/>
      </c>
    </row>
    <row r="1526" spans="13:14">
      <c r="M1526" s="106">
        <v>9931</v>
      </c>
      <c r="N1526" s="213" t="str">
        <f t="shared" si="22"/>
        <v/>
      </c>
    </row>
    <row r="1527" spans="13:14">
      <c r="M1527" s="106">
        <v>9933</v>
      </c>
      <c r="N1527" s="213" t="str">
        <f t="shared" si="22"/>
        <v/>
      </c>
    </row>
    <row r="1528" spans="13:14">
      <c r="M1528" s="106">
        <v>9934</v>
      </c>
      <c r="N1528" s="213" t="str">
        <f t="shared" si="22"/>
        <v/>
      </c>
    </row>
    <row r="1529" spans="13:14">
      <c r="M1529" s="106">
        <v>9935</v>
      </c>
      <c r="N1529" s="213" t="str">
        <f t="shared" si="22"/>
        <v/>
      </c>
    </row>
    <row r="1530" spans="13:14">
      <c r="M1530" s="106">
        <v>9937</v>
      </c>
      <c r="N1530" s="213" t="str">
        <f t="shared" si="22"/>
        <v/>
      </c>
    </row>
    <row r="1531" spans="13:14">
      <c r="M1531" s="106">
        <v>9938</v>
      </c>
      <c r="N1531" s="213" t="str">
        <f t="shared" si="22"/>
        <v/>
      </c>
    </row>
    <row r="1532" spans="13:14">
      <c r="M1532" s="106">
        <v>9939</v>
      </c>
      <c r="N1532" s="213" t="str">
        <f t="shared" si="22"/>
        <v/>
      </c>
    </row>
    <row r="1533" spans="13:14">
      <c r="M1533" s="106">
        <v>9940</v>
      </c>
      <c r="N1533" s="213" t="str">
        <f t="shared" si="22"/>
        <v/>
      </c>
    </row>
    <row r="1534" spans="13:14">
      <c r="M1534" s="106">
        <v>9941</v>
      </c>
      <c r="N1534" s="213" t="str">
        <f t="shared" si="22"/>
        <v/>
      </c>
    </row>
    <row r="1535" spans="13:14">
      <c r="M1535" s="106">
        <v>9942</v>
      </c>
      <c r="N1535" s="213" t="str">
        <f t="shared" si="22"/>
        <v/>
      </c>
    </row>
    <row r="1536" spans="13:14">
      <c r="M1536" s="106">
        <v>9943</v>
      </c>
      <c r="N1536" s="213" t="str">
        <f t="shared" ref="N1536:N1543" si="23">MID(O1394,6,4)</f>
        <v/>
      </c>
    </row>
    <row r="1537" spans="13:14">
      <c r="M1537" s="106">
        <v>9944</v>
      </c>
      <c r="N1537" s="213" t="str">
        <f t="shared" si="23"/>
        <v/>
      </c>
    </row>
    <row r="1538" spans="13:14">
      <c r="M1538" s="106">
        <v>9945</v>
      </c>
      <c r="N1538" s="213" t="str">
        <f t="shared" si="23"/>
        <v/>
      </c>
    </row>
    <row r="1539" spans="13:14">
      <c r="M1539" s="106">
        <v>9946</v>
      </c>
      <c r="N1539" s="213" t="str">
        <f t="shared" si="23"/>
        <v/>
      </c>
    </row>
    <row r="1540" spans="13:14">
      <c r="M1540" s="106">
        <v>9949</v>
      </c>
      <c r="N1540" s="213" t="str">
        <f t="shared" si="23"/>
        <v/>
      </c>
    </row>
    <row r="1541" spans="13:14">
      <c r="M1541" s="106">
        <v>9950</v>
      </c>
      <c r="N1541" s="213" t="str">
        <f t="shared" si="23"/>
        <v/>
      </c>
    </row>
    <row r="1542" spans="13:14">
      <c r="M1542" s="106">
        <v>9951</v>
      </c>
      <c r="N1542" s="213" t="str">
        <f t="shared" si="23"/>
        <v/>
      </c>
    </row>
    <row r="1543" spans="13:14">
      <c r="M1543" s="106">
        <v>9955</v>
      </c>
      <c r="N1543" s="213" t="str">
        <f t="shared" si="23"/>
        <v/>
      </c>
    </row>
    <row r="1544" spans="13:14">
      <c r="M1544" s="106">
        <v>9958</v>
      </c>
    </row>
    <row r="1545" spans="13:14">
      <c r="M1545" s="106">
        <v>9960</v>
      </c>
    </row>
    <row r="1546" spans="13:14">
      <c r="M1546" s="106">
        <v>9962</v>
      </c>
    </row>
  </sheetData>
  <sortState ref="O2:Q23">
    <sortCondition descending="1" ref="P2:P23"/>
  </sortState>
  <mergeCells count="25">
    <mergeCell ref="H11:K11"/>
    <mergeCell ref="H9:K9"/>
    <mergeCell ref="B14:C14"/>
    <mergeCell ref="A1:C1"/>
    <mergeCell ref="H1:K1"/>
    <mergeCell ref="H5:K5"/>
    <mergeCell ref="H7:K7"/>
    <mergeCell ref="H4:K4"/>
    <mergeCell ref="H6:K6"/>
    <mergeCell ref="H14:K14"/>
    <mergeCell ref="E12:E14"/>
    <mergeCell ref="A9:C9"/>
    <mergeCell ref="H2:K2"/>
    <mergeCell ref="H3:K3"/>
    <mergeCell ref="B10:C10"/>
    <mergeCell ref="B11:C11"/>
    <mergeCell ref="B12:C12"/>
    <mergeCell ref="B13:C13"/>
    <mergeCell ref="E2:E4"/>
    <mergeCell ref="E5:E7"/>
    <mergeCell ref="E8:E11"/>
    <mergeCell ref="H13:K13"/>
    <mergeCell ref="H12:K12"/>
    <mergeCell ref="H8:K8"/>
    <mergeCell ref="H10:K10"/>
  </mergeCells>
  <phoneticPr fontId="2" type="noConversion"/>
  <pageMargins left="0.7" right="0.7" top="0.75" bottom="0.75" header="0.3" footer="0.3"/>
  <pageSetup paperSize="9" orientation="portrait" r:id="rId1"/>
  <legacyDrawing r:id="rId2"/>
  <controls>
    <control shapeId="32815" r:id="rId3" name="CommandButton32"/>
    <control shapeId="32814" r:id="rId4" name="CommandButton31"/>
    <control shapeId="32812" r:id="rId5" name="CommandButton30"/>
    <control shapeId="32811" r:id="rId6" name="CommandButton29"/>
    <control shapeId="32809" r:id="rId7" name="CommandButton28"/>
    <control shapeId="32807" r:id="rId8" name="CommandButton26"/>
    <control shapeId="32806" r:id="rId9" name="CommandButton2"/>
    <control shapeId="32805" r:id="rId10" name="CommandButton25"/>
    <control shapeId="32804" r:id="rId11" name="CommandButton24"/>
    <control shapeId="32803" r:id="rId12" name="CommandButton23"/>
    <control shapeId="32769" r:id="rId13" name="CommandButton1"/>
    <control shapeId="32772" r:id="rId14" name="CommandButton3"/>
    <control shapeId="32774" r:id="rId15" name="CommandButton4"/>
    <control shapeId="32780" r:id="rId16" name="CommandButton7"/>
    <control shapeId="32790" r:id="rId17" name="CommandButton13"/>
    <control shapeId="32792" r:id="rId18" name="CommandButton15"/>
    <control shapeId="32795" r:id="rId19" name="CommandButton17"/>
    <control shapeId="32818" r:id="rId20" name="CommandButton5"/>
  </controls>
</worksheet>
</file>

<file path=xl/worksheets/sheet2.xml><?xml version="1.0" encoding="utf-8"?>
<worksheet xmlns="http://schemas.openxmlformats.org/spreadsheetml/2006/main" xmlns:r="http://schemas.openxmlformats.org/officeDocument/2006/relationships">
  <sheetPr codeName="工作表4"/>
  <dimension ref="A1:AV1564"/>
  <sheetViews>
    <sheetView zoomScale="90" zoomScaleNormal="90" workbookViewId="0">
      <pane xSplit="11" ySplit="1" topLeftCell="L1543" activePane="bottomRight" state="frozen"/>
      <selection activeCell="G32" sqref="G32"/>
      <selection pane="topRight" activeCell="G32" sqref="G32"/>
      <selection pane="bottomLeft" activeCell="G32" sqref="G32"/>
      <selection pane="bottomRight" activeCell="L2" sqref="L2:P1558"/>
    </sheetView>
  </sheetViews>
  <sheetFormatPr defaultRowHeight="16.5"/>
  <cols>
    <col min="1" max="1" width="7.75" customWidth="1"/>
    <col min="2" max="2" width="6.875" style="106" bestFit="1" customWidth="1"/>
    <col min="3" max="4" width="9.75" style="107" bestFit="1" customWidth="1"/>
    <col min="5" max="5" width="8.25" style="167" bestFit="1" customWidth="1"/>
    <col min="6" max="6" width="11.875" style="104" bestFit="1" customWidth="1"/>
    <col min="7" max="7" width="8.375" style="167" bestFit="1" customWidth="1"/>
    <col min="8" max="8" width="7.5" style="365" bestFit="1" customWidth="1"/>
    <col min="9" max="9" width="6.375" bestFit="1" customWidth="1"/>
    <col min="10" max="10" width="9.125" customWidth="1"/>
    <col min="11" max="11" width="8.875" customWidth="1"/>
    <col min="12" max="12" width="6.25" customWidth="1"/>
    <col min="13" max="16" width="6.875" customWidth="1"/>
    <col min="17" max="17" width="9.375" style="190" bestFit="1" customWidth="1"/>
    <col min="18" max="18" width="11.375" style="107" bestFit="1" customWidth="1"/>
    <col min="19" max="19" width="18.875" style="167" bestFit="1" customWidth="1"/>
    <col min="20" max="20" width="15.875" style="167" bestFit="1" customWidth="1"/>
    <col min="21" max="21" width="18.625" style="167" bestFit="1" customWidth="1"/>
    <col min="22" max="22" width="14.625" style="167" customWidth="1"/>
    <col min="23" max="24" width="16.875" style="167" customWidth="1"/>
    <col min="25" max="25" width="18.625" style="167" customWidth="1"/>
    <col min="26" max="26" width="16.875" style="167" customWidth="1"/>
    <col min="27" max="27" width="9.25" style="145" bestFit="1" customWidth="1"/>
    <col min="28" max="28" width="9" style="145" bestFit="1" customWidth="1"/>
    <col min="29" max="31" width="8.125" customWidth="1"/>
    <col min="32" max="32" width="16.875" style="167" bestFit="1" customWidth="1"/>
    <col min="33" max="33" width="11" customWidth="1"/>
    <col min="34" max="34" width="9.125" style="104" customWidth="1"/>
    <col min="35" max="35" width="9.125" customWidth="1"/>
    <col min="36" max="36" width="8.875" customWidth="1"/>
    <col min="40" max="40" width="58" customWidth="1"/>
    <col min="41" max="41" width="7.625" customWidth="1"/>
    <col min="42" max="42" width="11" customWidth="1"/>
    <col min="43" max="43" width="7.625" customWidth="1"/>
    <col min="44" max="44" width="11" customWidth="1"/>
    <col min="45" max="45" width="7.625" customWidth="1"/>
    <col min="46" max="46" width="10.5" customWidth="1"/>
    <col min="47" max="48" width="7.625" customWidth="1"/>
  </cols>
  <sheetData>
    <row r="1" spans="1:48" s="165" customFormat="1" ht="65.25" customHeight="1" thickBot="1">
      <c r="A1" s="363" t="s">
        <v>3045</v>
      </c>
      <c r="B1" s="159" t="s">
        <v>1895</v>
      </c>
      <c r="C1" s="161" t="s">
        <v>1878</v>
      </c>
      <c r="D1" s="162" t="s">
        <v>1879</v>
      </c>
      <c r="E1" s="188" t="s">
        <v>497</v>
      </c>
      <c r="F1" s="180" t="s">
        <v>3046</v>
      </c>
      <c r="G1" s="175" t="s">
        <v>1896</v>
      </c>
      <c r="H1" s="364" t="s">
        <v>1898</v>
      </c>
      <c r="I1" s="164" t="s">
        <v>1897</v>
      </c>
      <c r="J1" s="181" t="s">
        <v>1899</v>
      </c>
      <c r="K1" s="182" t="s">
        <v>1900</v>
      </c>
      <c r="L1" s="159" t="s">
        <v>1745</v>
      </c>
      <c r="M1" s="159" t="s">
        <v>1746</v>
      </c>
      <c r="N1" s="159" t="s">
        <v>1881</v>
      </c>
      <c r="O1" s="159" t="s">
        <v>1747</v>
      </c>
      <c r="P1" s="159" t="s">
        <v>1748</v>
      </c>
      <c r="Q1" s="189" t="s">
        <v>1805</v>
      </c>
      <c r="R1" s="160" t="s">
        <v>1871</v>
      </c>
      <c r="S1" s="166" t="s">
        <v>1885</v>
      </c>
      <c r="T1" s="168" t="s">
        <v>1814</v>
      </c>
      <c r="U1" s="168" t="s">
        <v>1872</v>
      </c>
      <c r="V1" s="170" t="s">
        <v>1902</v>
      </c>
      <c r="W1" s="172" t="s">
        <v>1882</v>
      </c>
      <c r="X1" s="172" t="s">
        <v>1883</v>
      </c>
      <c r="Y1" s="169" t="s">
        <v>1847</v>
      </c>
      <c r="Z1" s="169" t="s">
        <v>1877</v>
      </c>
      <c r="AA1" s="171" t="s">
        <v>1873</v>
      </c>
      <c r="AB1" s="171" t="s">
        <v>1874</v>
      </c>
      <c r="AC1" s="163" t="s">
        <v>1875</v>
      </c>
      <c r="AD1" s="163" t="s">
        <v>1876</v>
      </c>
      <c r="AE1" s="174" t="s">
        <v>1901</v>
      </c>
      <c r="AF1" s="173" t="s">
        <v>1884</v>
      </c>
      <c r="AG1" s="164" t="s">
        <v>1880</v>
      </c>
      <c r="AH1" s="181" t="s">
        <v>1894</v>
      </c>
      <c r="AI1" s="181" t="s">
        <v>1901</v>
      </c>
    </row>
    <row r="2" spans="1:48">
      <c r="A2" s="213">
        <v>1101</v>
      </c>
      <c r="C2" s="107">
        <f>VLOOKUP(1101,收盤價!$A:$C,3,0)</f>
        <v>37</v>
      </c>
      <c r="D2" s="107">
        <f t="shared" ref="D2:D65" si="0">IF(AND(ISNUMBER(C2),R2&gt;0),C2/(R2*4),0)</f>
        <v>15.753263207519373</v>
      </c>
      <c r="E2" s="167">
        <f t="shared" ref="E2:E65" si="1">SUM(L2:P2)</f>
        <v>4</v>
      </c>
      <c r="F2" s="104">
        <f t="shared" ref="F2:F65" si="2">IF(AND(ISNUMBER(U2),ISNUMBER(S2)),U2/S2,0)</f>
        <v>1.5606462446376397</v>
      </c>
      <c r="G2" s="167">
        <f>RANK(1.89,AE:AE,0)</f>
        <v>498</v>
      </c>
      <c r="H2" s="365">
        <f t="shared" ref="H2:H65" si="3">AH2-AG2</f>
        <v>-0.1449772400676218</v>
      </c>
      <c r="I2" s="213">
        <f t="shared" ref="I2:I65" si="4">RANK(AG2,AG:AG)</f>
        <v>461</v>
      </c>
      <c r="J2" s="213">
        <f t="shared" ref="J2:J65" si="5">RANK(AH2,AH:AH)</f>
        <v>535</v>
      </c>
      <c r="K2" s="213">
        <f>RANK(1.56,AI:AI,0)</f>
        <v>525</v>
      </c>
      <c r="L2" s="357">
        <v>0</v>
      </c>
      <c r="M2" s="357">
        <v>1</v>
      </c>
      <c r="N2" s="357">
        <v>2</v>
      </c>
      <c r="O2" s="357">
        <v>1</v>
      </c>
      <c r="P2" s="357">
        <v>0</v>
      </c>
      <c r="Q2" s="358">
        <v>0.2205997733414698</v>
      </c>
      <c r="R2" s="359">
        <v>0.58717993079584774</v>
      </c>
      <c r="S2" s="196">
        <v>87535148000</v>
      </c>
      <c r="T2" s="196">
        <v>3692200000</v>
      </c>
      <c r="U2" s="200">
        <f t="shared" ref="U2:U65" si="6">C2*T2</f>
        <v>136611400000</v>
      </c>
      <c r="V2" s="196">
        <v>4237000000</v>
      </c>
      <c r="W2" s="196">
        <v>11007000000</v>
      </c>
      <c r="X2" s="196">
        <v>107999000000</v>
      </c>
      <c r="Y2" s="196">
        <v>146773000000</v>
      </c>
      <c r="Z2" s="196">
        <v>36071000000</v>
      </c>
      <c r="AA2" s="198">
        <v>0.04</v>
      </c>
      <c r="AB2" s="198">
        <v>0.02</v>
      </c>
      <c r="AC2" s="213">
        <f t="shared" ref="AC2:AC65" si="7">RANK(AA2,AA:AA)</f>
        <v>337</v>
      </c>
      <c r="AD2" s="213">
        <f t="shared" ref="AD2:AD65" si="8">RANK(AB2,AB:AB)</f>
        <v>487</v>
      </c>
      <c r="AE2" s="213">
        <v>1.89</v>
      </c>
      <c r="AF2" s="196">
        <v>4163000000</v>
      </c>
      <c r="AG2" s="104">
        <f t="shared" ref="AG2:AG65" si="9">AF2/T2</f>
        <v>1.1275120524348627</v>
      </c>
      <c r="AH2" s="104">
        <f t="shared" ref="AH2:AH65" si="10">IF(AND(AF2&gt;0,V2&gt;0),AF2/V2,0)</f>
        <v>0.98253481236724094</v>
      </c>
      <c r="AI2" s="195">
        <v>1.56</v>
      </c>
    </row>
    <row r="3" spans="1:48">
      <c r="A3">
        <v>1102</v>
      </c>
      <c r="C3" s="107">
        <f>VLOOKUP(1102,收盤價!$A:$C,3,0)</f>
        <v>27.05</v>
      </c>
      <c r="D3" s="107">
        <f t="shared" si="0"/>
        <v>16.424088507458332</v>
      </c>
      <c r="E3" s="167">
        <f t="shared" si="1"/>
        <v>4</v>
      </c>
      <c r="F3" s="104">
        <f t="shared" si="2"/>
        <v>1.4596305841572723</v>
      </c>
      <c r="G3" s="167">
        <f>RANK(1.36,AE:AE,0)</f>
        <v>694</v>
      </c>
      <c r="H3" s="365">
        <f t="shared" si="3"/>
        <v>0.54857691870811398</v>
      </c>
      <c r="I3" s="213">
        <f t="shared" si="4"/>
        <v>495</v>
      </c>
      <c r="J3" s="213">
        <f t="shared" si="5"/>
        <v>350</v>
      </c>
      <c r="K3">
        <f>RANK(1.84,AI:AI,0)</f>
        <v>398</v>
      </c>
      <c r="L3" s="357">
        <v>0</v>
      </c>
      <c r="M3" s="357">
        <v>1</v>
      </c>
      <c r="N3" s="357">
        <v>2</v>
      </c>
      <c r="O3" s="357">
        <v>1</v>
      </c>
      <c r="P3" s="357">
        <v>0</v>
      </c>
      <c r="Q3" s="358">
        <v>0.14300293404771017</v>
      </c>
      <c r="R3" s="359">
        <v>0.41174278846153844</v>
      </c>
      <c r="S3" s="196">
        <v>62293755000</v>
      </c>
      <c r="T3" s="196">
        <v>3361400000</v>
      </c>
      <c r="U3" s="200">
        <f t="shared" si="6"/>
        <v>90925870000</v>
      </c>
      <c r="V3" s="196">
        <v>2200000000</v>
      </c>
      <c r="W3" s="196">
        <v>0</v>
      </c>
      <c r="X3" s="196">
        <v>63493000000</v>
      </c>
      <c r="Y3" s="196">
        <v>140638000000</v>
      </c>
      <c r="Z3" s="196">
        <v>48356000000</v>
      </c>
      <c r="AA3" s="198">
        <v>0.03</v>
      </c>
      <c r="AB3" s="198">
        <v>0.01</v>
      </c>
      <c r="AC3" s="213">
        <f t="shared" si="7"/>
        <v>469</v>
      </c>
      <c r="AD3" s="213">
        <f t="shared" si="8"/>
        <v>680</v>
      </c>
      <c r="AE3" s="213">
        <v>1.36</v>
      </c>
      <c r="AF3" s="196">
        <v>3493000000</v>
      </c>
      <c r="AG3" s="104">
        <f t="shared" si="9"/>
        <v>1.0391503540191587</v>
      </c>
      <c r="AH3" s="104">
        <f t="shared" si="10"/>
        <v>1.5877272727272727</v>
      </c>
      <c r="AI3" s="195">
        <v>1.84</v>
      </c>
      <c r="AN3" t="s">
        <v>1913</v>
      </c>
    </row>
    <row r="4" spans="1:48">
      <c r="A4">
        <v>1103</v>
      </c>
      <c r="C4" s="107">
        <f>VLOOKUP(1103,收盤價!$A:$C,3,0)</f>
        <v>9.01</v>
      </c>
      <c r="D4" s="107">
        <f t="shared" si="0"/>
        <v>0</v>
      </c>
      <c r="E4" s="167">
        <f t="shared" si="1"/>
        <v>4</v>
      </c>
      <c r="F4" s="104">
        <f t="shared" si="2"/>
        <v>2.4299468025302824</v>
      </c>
      <c r="G4" s="167">
        <f>RANK(0.84,AE:AE,0)</f>
        <v>946</v>
      </c>
      <c r="H4" s="365">
        <f t="shared" si="3"/>
        <v>-0.16520392359318534</v>
      </c>
      <c r="I4" s="213">
        <f t="shared" si="4"/>
        <v>955</v>
      </c>
      <c r="J4" s="213">
        <f t="shared" si="5"/>
        <v>768</v>
      </c>
      <c r="K4">
        <f>RANK(0.9,AI:AI,0)</f>
        <v>988</v>
      </c>
      <c r="L4" s="357">
        <v>0</v>
      </c>
      <c r="M4" s="357">
        <v>1</v>
      </c>
      <c r="N4" s="357">
        <v>2</v>
      </c>
      <c r="O4" s="357">
        <v>1</v>
      </c>
      <c r="P4" s="357">
        <v>0</v>
      </c>
      <c r="Q4" s="358">
        <v>3.2926829268292684E-2</v>
      </c>
      <c r="R4" s="359">
        <v>0</v>
      </c>
      <c r="S4" s="196">
        <v>2872881000</v>
      </c>
      <c r="T4" s="196">
        <v>774800000</v>
      </c>
      <c r="U4" s="200">
        <f t="shared" si="6"/>
        <v>6980948000</v>
      </c>
      <c r="V4" s="196">
        <v>-10000000</v>
      </c>
      <c r="W4" s="196">
        <v>7014000000</v>
      </c>
      <c r="X4" s="196">
        <v>2201000000</v>
      </c>
      <c r="Y4" s="196">
        <v>13343000000</v>
      </c>
      <c r="Z4" s="196">
        <v>2114000000</v>
      </c>
      <c r="AA4" s="198">
        <v>0</v>
      </c>
      <c r="AB4" s="198">
        <v>0</v>
      </c>
      <c r="AC4" s="213">
        <f t="shared" si="7"/>
        <v>945</v>
      </c>
      <c r="AD4" s="213">
        <f t="shared" si="8"/>
        <v>911</v>
      </c>
      <c r="AE4" s="213">
        <v>0.84</v>
      </c>
      <c r="AF4" s="196">
        <v>128000000</v>
      </c>
      <c r="AG4" s="104">
        <f t="shared" si="9"/>
        <v>0.16520392359318534</v>
      </c>
      <c r="AH4" s="104">
        <f t="shared" si="10"/>
        <v>0</v>
      </c>
      <c r="AI4" s="195">
        <v>0.9</v>
      </c>
      <c r="AN4" t="s">
        <v>43</v>
      </c>
    </row>
    <row r="5" spans="1:48">
      <c r="A5">
        <v>1104</v>
      </c>
      <c r="C5" s="107">
        <f>VLOOKUP(1104,收盤價!$A:$C,3,0)</f>
        <v>24.55</v>
      </c>
      <c r="D5" s="107">
        <f t="shared" si="0"/>
        <v>54.191084544460068</v>
      </c>
      <c r="E5" s="167">
        <f t="shared" si="1"/>
        <v>4</v>
      </c>
      <c r="F5" s="104">
        <f t="shared" si="2"/>
        <v>3.1653847945526232</v>
      </c>
      <c r="G5" s="167">
        <f>RANK(0.93,AE:AE,0)</f>
        <v>920</v>
      </c>
      <c r="H5" s="365">
        <f t="shared" si="3"/>
        <v>1.5481147346886488</v>
      </c>
      <c r="I5" s="213">
        <f t="shared" si="4"/>
        <v>906</v>
      </c>
      <c r="J5" s="213">
        <f t="shared" si="5"/>
        <v>310</v>
      </c>
      <c r="K5">
        <f>RANK(1.28,AI:AI,0)</f>
        <v>685</v>
      </c>
      <c r="L5" s="357">
        <v>1</v>
      </c>
      <c r="M5" s="357">
        <v>1</v>
      </c>
      <c r="N5" s="357">
        <v>2</v>
      </c>
      <c r="O5" s="357">
        <v>0</v>
      </c>
      <c r="P5" s="357">
        <v>0</v>
      </c>
      <c r="Q5" s="358">
        <v>0.14672131147540984</v>
      </c>
      <c r="R5" s="359">
        <v>0.11325663716814161</v>
      </c>
      <c r="S5" s="196">
        <v>4872951000</v>
      </c>
      <c r="T5" s="196">
        <v>628300000</v>
      </c>
      <c r="U5" s="200">
        <f t="shared" si="6"/>
        <v>15424765000</v>
      </c>
      <c r="V5" s="196">
        <v>82000000</v>
      </c>
      <c r="W5" s="196">
        <v>198000000</v>
      </c>
      <c r="X5" s="196">
        <v>5701000000</v>
      </c>
      <c r="Y5" s="196">
        <v>16173000000</v>
      </c>
      <c r="Z5" s="196">
        <v>1656000000</v>
      </c>
      <c r="AA5" s="198">
        <v>0.01</v>
      </c>
      <c r="AB5" s="198">
        <v>0</v>
      </c>
      <c r="AC5" s="213">
        <f t="shared" si="7"/>
        <v>769</v>
      </c>
      <c r="AD5" s="213">
        <f t="shared" si="8"/>
        <v>911</v>
      </c>
      <c r="AE5" s="213">
        <v>0.93</v>
      </c>
      <c r="AF5" s="196">
        <v>146000000</v>
      </c>
      <c r="AG5" s="104">
        <f t="shared" si="9"/>
        <v>0.23237307018939996</v>
      </c>
      <c r="AH5" s="104">
        <f t="shared" si="10"/>
        <v>1.7804878048780488</v>
      </c>
      <c r="AI5" s="195">
        <v>1.28</v>
      </c>
      <c r="AN5" t="s">
        <v>44</v>
      </c>
      <c r="AO5" s="33" t="s">
        <v>2909</v>
      </c>
      <c r="AP5" s="87" t="s">
        <v>1907</v>
      </c>
      <c r="AQ5" s="33" t="s">
        <v>1840</v>
      </c>
      <c r="AR5" s="33" t="s">
        <v>1751</v>
      </c>
      <c r="AS5" s="33" t="s">
        <v>215</v>
      </c>
      <c r="AT5" s="33" t="s">
        <v>45</v>
      </c>
      <c r="AU5" s="33" t="s">
        <v>46</v>
      </c>
      <c r="AV5" s="33" t="s">
        <v>47</v>
      </c>
    </row>
    <row r="6" spans="1:48">
      <c r="A6">
        <v>1108</v>
      </c>
      <c r="C6" s="107">
        <f>VLOOKUP(1108,收盤價!$A:$C,3,0)</f>
        <v>9.15</v>
      </c>
      <c r="D6" s="107">
        <f t="shared" si="0"/>
        <v>9.5717554756456362</v>
      </c>
      <c r="E6" s="167">
        <f t="shared" si="1"/>
        <v>1</v>
      </c>
      <c r="F6" s="104">
        <f t="shared" si="2"/>
        <v>0.8491292252319681</v>
      </c>
      <c r="G6" s="167">
        <f>RANK(1.63,AE:AE,0)</f>
        <v>551</v>
      </c>
      <c r="H6" s="365">
        <f t="shared" si="3"/>
        <v>6.0076021639354597E-2</v>
      </c>
      <c r="I6" s="213">
        <f t="shared" si="4"/>
        <v>1048</v>
      </c>
      <c r="J6" s="213">
        <f t="shared" si="5"/>
        <v>756</v>
      </c>
      <c r="K6">
        <f>RANK(0.86,AI:AI,0)</f>
        <v>1045</v>
      </c>
      <c r="L6" s="357">
        <v>0</v>
      </c>
      <c r="M6" s="357">
        <v>0</v>
      </c>
      <c r="N6" s="357">
        <v>1</v>
      </c>
      <c r="O6" s="357">
        <v>0</v>
      </c>
      <c r="P6" s="357">
        <v>0</v>
      </c>
      <c r="Q6" s="358">
        <v>0.17403065825067629</v>
      </c>
      <c r="R6" s="359">
        <v>0.238984375</v>
      </c>
      <c r="S6" s="196">
        <v>4360944000</v>
      </c>
      <c r="T6" s="196">
        <v>404700000</v>
      </c>
      <c r="U6" s="200">
        <f t="shared" si="6"/>
        <v>3703005000</v>
      </c>
      <c r="V6" s="196">
        <v>141000000</v>
      </c>
      <c r="W6" s="196">
        <v>2663000000</v>
      </c>
      <c r="X6" s="196">
        <v>2021000000</v>
      </c>
      <c r="Y6" s="196">
        <v>4696000000</v>
      </c>
      <c r="Z6" s="196">
        <v>1111000000</v>
      </c>
      <c r="AA6" s="198">
        <v>0.03</v>
      </c>
      <c r="AB6" s="198">
        <v>0.02</v>
      </c>
      <c r="AC6" s="213">
        <f t="shared" si="7"/>
        <v>469</v>
      </c>
      <c r="AD6" s="213">
        <f t="shared" si="8"/>
        <v>487</v>
      </c>
      <c r="AE6" s="213">
        <v>1.63</v>
      </c>
      <c r="AF6" s="196">
        <v>13000000</v>
      </c>
      <c r="AG6" s="104">
        <f t="shared" si="9"/>
        <v>3.2122559920929085E-2</v>
      </c>
      <c r="AH6" s="104">
        <f t="shared" si="10"/>
        <v>9.2198581560283682E-2</v>
      </c>
      <c r="AI6" s="195">
        <v>0.86</v>
      </c>
      <c r="AN6" t="s">
        <v>106</v>
      </c>
      <c r="AO6" s="33">
        <v>19</v>
      </c>
      <c r="AP6" s="33">
        <v>10</v>
      </c>
      <c r="AQ6" s="33">
        <v>-11</v>
      </c>
      <c r="AR6" s="33">
        <v>-21</v>
      </c>
      <c r="AS6" s="33">
        <v>2</v>
      </c>
      <c r="AT6" s="33">
        <v>-36</v>
      </c>
      <c r="AU6" s="33">
        <v>-56</v>
      </c>
      <c r="AV6" s="33">
        <v>38</v>
      </c>
    </row>
    <row r="7" spans="1:48">
      <c r="A7">
        <v>1109</v>
      </c>
      <c r="C7" s="107">
        <f>VLOOKUP(1109,收盤價!$A:$C,3,0)</f>
        <v>10.050000000000001</v>
      </c>
      <c r="D7" s="107">
        <f t="shared" si="0"/>
        <v>10.863499245852188</v>
      </c>
      <c r="E7" s="167">
        <f t="shared" si="1"/>
        <v>4</v>
      </c>
      <c r="F7" s="104">
        <f t="shared" si="2"/>
        <v>0.89027130755343464</v>
      </c>
      <c r="G7" s="167">
        <f>RANK(1.41,AE:AE,0)</f>
        <v>618</v>
      </c>
      <c r="H7" s="365">
        <f t="shared" si="3"/>
        <v>3.2164687252573237E-2</v>
      </c>
      <c r="I7" s="213">
        <f t="shared" si="4"/>
        <v>1055</v>
      </c>
      <c r="J7" s="213">
        <f t="shared" si="5"/>
        <v>764</v>
      </c>
      <c r="K7">
        <f>RANK(0.86,AI:AI,0)</f>
        <v>1045</v>
      </c>
      <c r="L7" s="357">
        <v>1</v>
      </c>
      <c r="M7" s="357">
        <v>1</v>
      </c>
      <c r="N7" s="357">
        <v>1</v>
      </c>
      <c r="O7" s="357">
        <v>1</v>
      </c>
      <c r="P7" s="357">
        <v>0</v>
      </c>
      <c r="Q7" s="358">
        <v>0.1830238726790451</v>
      </c>
      <c r="R7" s="359">
        <v>0.23127906976744186</v>
      </c>
      <c r="S7" s="196">
        <v>4277286000</v>
      </c>
      <c r="T7" s="196">
        <v>378900000</v>
      </c>
      <c r="U7" s="200">
        <f t="shared" si="6"/>
        <v>3807945000.0000005</v>
      </c>
      <c r="V7" s="196">
        <v>125000000</v>
      </c>
      <c r="W7" s="196">
        <v>1358000000</v>
      </c>
      <c r="X7" s="196">
        <v>3923000000</v>
      </c>
      <c r="Y7" s="196">
        <v>6281000000</v>
      </c>
      <c r="Z7" s="196">
        <v>345000000</v>
      </c>
      <c r="AA7" s="198">
        <v>0.02</v>
      </c>
      <c r="AB7" s="198">
        <v>0.02</v>
      </c>
      <c r="AC7" s="213">
        <f t="shared" si="7"/>
        <v>616</v>
      </c>
      <c r="AD7" s="213">
        <f t="shared" si="8"/>
        <v>487</v>
      </c>
      <c r="AE7" s="213">
        <v>1.41</v>
      </c>
      <c r="AF7" s="196">
        <v>6000000</v>
      </c>
      <c r="AG7" s="104">
        <f t="shared" si="9"/>
        <v>1.583531274742676E-2</v>
      </c>
      <c r="AH7" s="104">
        <f t="shared" si="10"/>
        <v>4.8000000000000001E-2</v>
      </c>
      <c r="AI7" s="195">
        <v>0.86</v>
      </c>
      <c r="AN7" t="s">
        <v>107</v>
      </c>
      <c r="AO7" s="33">
        <v>0</v>
      </c>
      <c r="AP7" s="33">
        <v>0</v>
      </c>
      <c r="AQ7" s="33">
        <v>0</v>
      </c>
      <c r="AR7" s="33">
        <v>0</v>
      </c>
      <c r="AS7" s="33">
        <v>0</v>
      </c>
      <c r="AT7" s="33">
        <v>0</v>
      </c>
      <c r="AU7" s="33">
        <v>0</v>
      </c>
      <c r="AV7" s="33">
        <v>0</v>
      </c>
    </row>
    <row r="8" spans="1:48">
      <c r="A8">
        <v>1110</v>
      </c>
      <c r="C8" s="107">
        <f>VLOOKUP(1110,收盤價!$A:$C,3,0)</f>
        <v>15.1</v>
      </c>
      <c r="D8" s="107">
        <f t="shared" si="0"/>
        <v>478.16666666666674</v>
      </c>
      <c r="E8" s="167">
        <f t="shared" si="1"/>
        <v>0</v>
      </c>
      <c r="F8" s="104">
        <f t="shared" si="2"/>
        <v>5.2294182323679994</v>
      </c>
      <c r="G8" s="167">
        <f>RANK(0.84,AE:AE,0)</f>
        <v>946</v>
      </c>
      <c r="H8" s="365">
        <f t="shared" si="3"/>
        <v>0.48776223776223776</v>
      </c>
      <c r="I8" s="213">
        <f t="shared" si="4"/>
        <v>1342</v>
      </c>
      <c r="J8" s="213">
        <f t="shared" si="5"/>
        <v>768</v>
      </c>
      <c r="K8">
        <f>RANK(0.74,AI:AI,0)</f>
        <v>1324</v>
      </c>
      <c r="L8" s="357">
        <v>0</v>
      </c>
      <c r="M8" s="357">
        <v>0</v>
      </c>
      <c r="N8" s="357">
        <v>0</v>
      </c>
      <c r="O8" s="357">
        <v>0</v>
      </c>
      <c r="P8" s="357">
        <v>0</v>
      </c>
      <c r="Q8" s="358">
        <v>4.702970297029703E-2</v>
      </c>
      <c r="R8" s="359">
        <v>7.8947368421052617E-3</v>
      </c>
      <c r="S8" s="196">
        <v>1651656000</v>
      </c>
      <c r="T8" s="196">
        <v>572000000</v>
      </c>
      <c r="U8" s="200">
        <f t="shared" si="6"/>
        <v>8637200000</v>
      </c>
      <c r="V8" s="196">
        <v>5000000</v>
      </c>
      <c r="W8" s="196">
        <v>1721000000</v>
      </c>
      <c r="X8" s="196">
        <v>265000000</v>
      </c>
      <c r="Y8" s="196">
        <v>8733000000</v>
      </c>
      <c r="Z8" s="196">
        <v>0</v>
      </c>
      <c r="AA8" s="198">
        <v>0</v>
      </c>
      <c r="AB8" s="198">
        <v>0</v>
      </c>
      <c r="AC8" s="213">
        <f t="shared" si="7"/>
        <v>945</v>
      </c>
      <c r="AD8" s="213">
        <f t="shared" si="8"/>
        <v>911</v>
      </c>
      <c r="AE8" s="213">
        <v>0.84</v>
      </c>
      <c r="AF8" s="196">
        <v>-279000000</v>
      </c>
      <c r="AG8" s="104">
        <f t="shared" si="9"/>
        <v>-0.48776223776223776</v>
      </c>
      <c r="AH8" s="104">
        <f t="shared" si="10"/>
        <v>0</v>
      </c>
      <c r="AI8" s="195">
        <v>0.74</v>
      </c>
      <c r="AN8" t="s">
        <v>108</v>
      </c>
      <c r="AO8" s="33">
        <v>3</v>
      </c>
      <c r="AP8" s="33">
        <v>3</v>
      </c>
      <c r="AQ8" s="33">
        <v>3</v>
      </c>
      <c r="AR8" s="33">
        <v>3</v>
      </c>
      <c r="AS8" s="33">
        <v>3</v>
      </c>
      <c r="AT8" s="33">
        <v>3</v>
      </c>
      <c r="AU8" s="33">
        <v>3</v>
      </c>
      <c r="AV8" s="33">
        <v>3</v>
      </c>
    </row>
    <row r="9" spans="1:48">
      <c r="A9">
        <v>1201</v>
      </c>
      <c r="C9" s="107">
        <f>VLOOKUP(1201,收盤價!$A:$C,3,0)</f>
        <v>18.100000000000001</v>
      </c>
      <c r="D9" s="107">
        <f t="shared" si="0"/>
        <v>0</v>
      </c>
      <c r="E9" s="167">
        <f t="shared" si="1"/>
        <v>1</v>
      </c>
      <c r="F9" s="104">
        <f t="shared" si="2"/>
        <v>0.49944926733090445</v>
      </c>
      <c r="G9" s="167">
        <f>RANK(0.61,AE:AE,0)</f>
        <v>1295</v>
      </c>
      <c r="H9" s="365">
        <f t="shared" si="3"/>
        <v>0.14819205690574985</v>
      </c>
      <c r="I9" s="213">
        <f t="shared" si="4"/>
        <v>1172</v>
      </c>
      <c r="J9" s="213">
        <f t="shared" si="5"/>
        <v>768</v>
      </c>
      <c r="K9">
        <f>RANK(0.8,AI:AI,0)</f>
        <v>1168</v>
      </c>
      <c r="L9" s="357">
        <v>0</v>
      </c>
      <c r="M9" s="357">
        <v>0</v>
      </c>
      <c r="N9" s="357">
        <v>1</v>
      </c>
      <c r="O9" s="357">
        <v>0</v>
      </c>
      <c r="P9" s="357">
        <v>0</v>
      </c>
      <c r="Q9" s="358">
        <v>0.30080393032603842</v>
      </c>
      <c r="R9" s="359">
        <v>0</v>
      </c>
      <c r="S9" s="196">
        <v>18341022000</v>
      </c>
      <c r="T9" s="196">
        <v>506100000</v>
      </c>
      <c r="U9" s="200">
        <f t="shared" si="6"/>
        <v>9160410000</v>
      </c>
      <c r="V9" s="196">
        <v>-162000000</v>
      </c>
      <c r="W9" s="196">
        <v>0</v>
      </c>
      <c r="X9" s="196">
        <v>11932000000</v>
      </c>
      <c r="Y9" s="196">
        <v>7962000000</v>
      </c>
      <c r="Z9" s="196">
        <v>14528000000</v>
      </c>
      <c r="AA9" s="198">
        <v>-0.01</v>
      </c>
      <c r="AB9" s="198">
        <v>-0.01</v>
      </c>
      <c r="AC9" s="213">
        <f t="shared" si="7"/>
        <v>1277</v>
      </c>
      <c r="AD9" s="213">
        <f t="shared" si="8"/>
        <v>1294</v>
      </c>
      <c r="AE9" s="213">
        <v>0.61</v>
      </c>
      <c r="AF9" s="196">
        <v>-75000000</v>
      </c>
      <c r="AG9" s="104">
        <f t="shared" si="9"/>
        <v>-0.14819205690574985</v>
      </c>
      <c r="AH9" s="104">
        <f t="shared" si="10"/>
        <v>0</v>
      </c>
      <c r="AI9" s="195">
        <v>0.8</v>
      </c>
      <c r="AN9" t="s">
        <v>109</v>
      </c>
      <c r="AO9" s="33">
        <v>0</v>
      </c>
      <c r="AP9" s="33">
        <v>0</v>
      </c>
      <c r="AQ9" s="33">
        <v>0</v>
      </c>
      <c r="AR9" s="33">
        <v>0</v>
      </c>
      <c r="AS9" s="33">
        <v>0</v>
      </c>
      <c r="AT9" s="33">
        <v>0</v>
      </c>
      <c r="AU9" s="33">
        <v>0</v>
      </c>
      <c r="AV9" s="33">
        <v>0</v>
      </c>
    </row>
    <row r="10" spans="1:48">
      <c r="A10">
        <v>1203</v>
      </c>
      <c r="C10" s="107">
        <f>VLOOKUP(1203,收盤價!$A:$C,3,0)</f>
        <v>21.85</v>
      </c>
      <c r="D10" s="107">
        <f t="shared" si="0"/>
        <v>15.500244618395307</v>
      </c>
      <c r="E10" s="167">
        <f t="shared" si="1"/>
        <v>3</v>
      </c>
      <c r="F10" s="104">
        <f t="shared" si="2"/>
        <v>0.78069602534314375</v>
      </c>
      <c r="G10" s="167">
        <f>RANK(1.94,AE:AE,0)</f>
        <v>435</v>
      </c>
      <c r="H10" s="365">
        <f t="shared" si="3"/>
        <v>0.89829418344518985</v>
      </c>
      <c r="I10" s="213">
        <f t="shared" si="4"/>
        <v>352</v>
      </c>
      <c r="J10" s="213">
        <f t="shared" si="5"/>
        <v>201</v>
      </c>
      <c r="K10">
        <f>RANK(2.82,AI:AI,0)</f>
        <v>185</v>
      </c>
      <c r="L10" s="357">
        <v>0</v>
      </c>
      <c r="M10" s="357">
        <v>1</v>
      </c>
      <c r="N10" s="357">
        <v>1</v>
      </c>
      <c r="O10" s="357">
        <v>1</v>
      </c>
      <c r="P10" s="357">
        <v>0</v>
      </c>
      <c r="Q10" s="358">
        <v>0.27447216890595011</v>
      </c>
      <c r="R10" s="359">
        <v>0.35241379310344823</v>
      </c>
      <c r="S10" s="196">
        <v>6717083000</v>
      </c>
      <c r="T10" s="196">
        <v>240000000</v>
      </c>
      <c r="U10" s="200">
        <f t="shared" si="6"/>
        <v>5244000000</v>
      </c>
      <c r="V10" s="196">
        <v>149000000</v>
      </c>
      <c r="W10" s="196">
        <v>1790000000</v>
      </c>
      <c r="X10" s="196">
        <v>2848000000</v>
      </c>
      <c r="Y10" s="196">
        <v>5066000000</v>
      </c>
      <c r="Z10" s="196">
        <v>495000000</v>
      </c>
      <c r="AA10" s="198">
        <v>0.03</v>
      </c>
      <c r="AB10" s="198">
        <v>0.03</v>
      </c>
      <c r="AC10" s="213">
        <f t="shared" si="7"/>
        <v>469</v>
      </c>
      <c r="AD10" s="213">
        <f t="shared" si="8"/>
        <v>334</v>
      </c>
      <c r="AE10" s="213">
        <v>1.94</v>
      </c>
      <c r="AF10" s="196">
        <v>353000000</v>
      </c>
      <c r="AG10" s="104">
        <f t="shared" si="9"/>
        <v>1.4708333333333334</v>
      </c>
      <c r="AH10" s="104">
        <f t="shared" si="10"/>
        <v>2.3691275167785233</v>
      </c>
      <c r="AI10" s="195">
        <v>2.82</v>
      </c>
      <c r="AN10" t="s">
        <v>110</v>
      </c>
      <c r="AO10" s="33">
        <v>0</v>
      </c>
      <c r="AP10" s="87">
        <v>0</v>
      </c>
      <c r="AQ10" s="33">
        <v>0</v>
      </c>
      <c r="AR10" s="87">
        <v>0</v>
      </c>
      <c r="AS10" s="33">
        <v>0</v>
      </c>
      <c r="AT10" s="87">
        <v>0</v>
      </c>
      <c r="AU10" s="33">
        <v>0</v>
      </c>
      <c r="AV10" s="33">
        <v>0</v>
      </c>
    </row>
    <row r="11" spans="1:48">
      <c r="A11">
        <v>1210</v>
      </c>
      <c r="C11" s="107">
        <f>VLOOKUP(1210,收盤價!$A:$C,3,0)</f>
        <v>28.75</v>
      </c>
      <c r="D11" s="107">
        <f t="shared" si="0"/>
        <v>12.055579138176311</v>
      </c>
      <c r="E11" s="167">
        <f t="shared" si="1"/>
        <v>5</v>
      </c>
      <c r="F11" s="104">
        <f t="shared" si="2"/>
        <v>0.28053695766173048</v>
      </c>
      <c r="G11" s="167">
        <f>RANK(2.12,AE:AE,0)</f>
        <v>430</v>
      </c>
      <c r="H11" s="365">
        <f t="shared" si="3"/>
        <v>0.31696659088927781</v>
      </c>
      <c r="I11" s="213">
        <f t="shared" si="4"/>
        <v>185</v>
      </c>
      <c r="J11" s="213">
        <f t="shared" si="5"/>
        <v>180</v>
      </c>
      <c r="K11">
        <f>RANK(4.27,AI:AI,0)</f>
        <v>92</v>
      </c>
      <c r="L11" s="357">
        <v>1</v>
      </c>
      <c r="M11" s="357">
        <v>1</v>
      </c>
      <c r="N11" s="357">
        <v>2</v>
      </c>
      <c r="O11" s="357">
        <v>1</v>
      </c>
      <c r="P11" s="357">
        <v>0</v>
      </c>
      <c r="Q11" s="358">
        <v>0.13071789028162137</v>
      </c>
      <c r="R11" s="359">
        <v>0.59619699042407659</v>
      </c>
      <c r="S11" s="196">
        <v>75467775000</v>
      </c>
      <c r="T11" s="196">
        <v>736400000</v>
      </c>
      <c r="U11" s="200">
        <f t="shared" si="6"/>
        <v>21171500000</v>
      </c>
      <c r="V11" s="196">
        <v>648000000</v>
      </c>
      <c r="W11" s="196">
        <v>2038000000</v>
      </c>
      <c r="X11" s="196">
        <v>11925000000</v>
      </c>
      <c r="Y11" s="196">
        <v>19620000000</v>
      </c>
      <c r="Z11" s="196">
        <v>7421000000</v>
      </c>
      <c r="AA11" s="198">
        <v>0.05</v>
      </c>
      <c r="AB11" s="198">
        <v>0.02</v>
      </c>
      <c r="AC11" s="213">
        <f t="shared" si="7"/>
        <v>247</v>
      </c>
      <c r="AD11" s="213">
        <f t="shared" si="8"/>
        <v>487</v>
      </c>
      <c r="AE11" s="213">
        <v>2.12</v>
      </c>
      <c r="AF11" s="196">
        <v>1711000000</v>
      </c>
      <c r="AG11" s="104">
        <f t="shared" si="9"/>
        <v>2.3234655078761541</v>
      </c>
      <c r="AH11" s="104">
        <f t="shared" si="10"/>
        <v>2.6404320987654319</v>
      </c>
      <c r="AI11" s="195">
        <v>4.2699999999999996</v>
      </c>
      <c r="AN11" t="s">
        <v>111</v>
      </c>
      <c r="AO11" s="33">
        <v>0</v>
      </c>
      <c r="AP11" s="87">
        <v>0</v>
      </c>
      <c r="AQ11" s="33">
        <v>0</v>
      </c>
      <c r="AR11" s="87">
        <v>0</v>
      </c>
      <c r="AS11" s="33">
        <v>0</v>
      </c>
      <c r="AT11" s="87">
        <v>0</v>
      </c>
      <c r="AU11" s="33">
        <v>0</v>
      </c>
      <c r="AV11" s="33">
        <v>0</v>
      </c>
    </row>
    <row r="12" spans="1:48">
      <c r="A12">
        <v>1213</v>
      </c>
      <c r="C12" s="107">
        <f>VLOOKUP(1213,收盤價!$A:$C,3,0)</f>
        <v>15.25</v>
      </c>
      <c r="D12" s="107">
        <f t="shared" si="0"/>
        <v>37.706043956043956</v>
      </c>
      <c r="E12" s="167">
        <f t="shared" si="1"/>
        <v>2</v>
      </c>
      <c r="F12" s="104">
        <f t="shared" si="2"/>
        <v>1.1517957968527726</v>
      </c>
      <c r="G12" s="167">
        <f>RANK(1.08,AE:AE,0)</f>
        <v>769</v>
      </c>
      <c r="H12" s="365">
        <f t="shared" si="3"/>
        <v>1.7281553398058254</v>
      </c>
      <c r="I12" s="213">
        <f t="shared" si="4"/>
        <v>878</v>
      </c>
      <c r="J12" s="213">
        <f t="shared" si="5"/>
        <v>261</v>
      </c>
      <c r="K12">
        <f>RANK(1.37,AI:AI,0)</f>
        <v>643</v>
      </c>
      <c r="L12" s="357">
        <v>0</v>
      </c>
      <c r="M12" s="357">
        <v>1</v>
      </c>
      <c r="N12" s="357">
        <v>0</v>
      </c>
      <c r="O12" s="357">
        <v>1</v>
      </c>
      <c r="P12" s="357">
        <v>0</v>
      </c>
      <c r="Q12" s="358">
        <v>0.14374999999999999</v>
      </c>
      <c r="R12" s="359">
        <v>0.10111111111111111</v>
      </c>
      <c r="S12" s="196">
        <v>681870000</v>
      </c>
      <c r="T12" s="196">
        <v>51500000</v>
      </c>
      <c r="U12" s="200">
        <f t="shared" si="6"/>
        <v>785375000</v>
      </c>
      <c r="V12" s="196">
        <v>7000000</v>
      </c>
      <c r="W12" s="196">
        <v>308000000</v>
      </c>
      <c r="X12" s="196">
        <v>305000000</v>
      </c>
      <c r="Y12" s="196">
        <v>691000000</v>
      </c>
      <c r="Z12" s="196">
        <v>5000000</v>
      </c>
      <c r="AA12" s="198">
        <v>0.01</v>
      </c>
      <c r="AB12" s="198">
        <v>0.01</v>
      </c>
      <c r="AC12" s="213">
        <f t="shared" si="7"/>
        <v>769</v>
      </c>
      <c r="AD12" s="213">
        <f t="shared" si="8"/>
        <v>680</v>
      </c>
      <c r="AE12" s="213">
        <v>1.08</v>
      </c>
      <c r="AF12" s="196">
        <v>14000000</v>
      </c>
      <c r="AG12" s="104">
        <f t="shared" si="9"/>
        <v>0.27184466019417475</v>
      </c>
      <c r="AH12" s="104">
        <f t="shared" si="10"/>
        <v>2</v>
      </c>
      <c r="AI12" s="195">
        <v>1.37</v>
      </c>
      <c r="AN12" t="s">
        <v>112</v>
      </c>
      <c r="AO12" s="33">
        <v>0</v>
      </c>
      <c r="AP12" s="87">
        <v>0</v>
      </c>
      <c r="AQ12" s="33">
        <v>0</v>
      </c>
      <c r="AR12" s="87">
        <v>0</v>
      </c>
      <c r="AS12" s="33">
        <v>0</v>
      </c>
      <c r="AT12" s="87">
        <v>0</v>
      </c>
      <c r="AU12" s="33">
        <v>0</v>
      </c>
      <c r="AV12" s="33">
        <v>0</v>
      </c>
    </row>
    <row r="13" spans="1:48">
      <c r="A13">
        <v>1215</v>
      </c>
      <c r="C13" s="107">
        <f>VLOOKUP(1215,收盤價!$A:$C,3,0)</f>
        <v>46.05</v>
      </c>
      <c r="D13" s="107">
        <f t="shared" si="0"/>
        <v>11.522358702633268</v>
      </c>
      <c r="E13" s="167">
        <f t="shared" si="1"/>
        <v>5</v>
      </c>
      <c r="F13" s="104">
        <f t="shared" si="2"/>
        <v>0.7119001140929907</v>
      </c>
      <c r="G13" s="167">
        <f>RANK(5.25,AE:AE,0)</f>
        <v>164</v>
      </c>
      <c r="H13" s="365">
        <f t="shared" si="3"/>
        <v>-0.41599720942032059</v>
      </c>
      <c r="I13" s="213">
        <f t="shared" si="4"/>
        <v>279</v>
      </c>
      <c r="J13" s="213">
        <f t="shared" si="5"/>
        <v>426</v>
      </c>
      <c r="K13">
        <f>RANK(2.21,AI:AI,0)</f>
        <v>291</v>
      </c>
      <c r="L13" s="357">
        <v>1</v>
      </c>
      <c r="M13" s="357">
        <v>1</v>
      </c>
      <c r="N13" s="357">
        <v>2</v>
      </c>
      <c r="O13" s="357">
        <v>1</v>
      </c>
      <c r="P13" s="357">
        <v>0</v>
      </c>
      <c r="Q13" s="358">
        <v>0.15076071922544951</v>
      </c>
      <c r="R13" s="359">
        <v>0.99914438502673808</v>
      </c>
      <c r="S13" s="196">
        <v>17335859000</v>
      </c>
      <c r="T13" s="196">
        <v>268000000</v>
      </c>
      <c r="U13" s="200">
        <f t="shared" si="6"/>
        <v>12341400000</v>
      </c>
      <c r="V13" s="196">
        <v>353000000</v>
      </c>
      <c r="W13" s="196">
        <v>0</v>
      </c>
      <c r="X13" s="196">
        <v>3802000000</v>
      </c>
      <c r="Y13" s="196">
        <v>5793000000</v>
      </c>
      <c r="Z13" s="196">
        <v>2190000000</v>
      </c>
      <c r="AA13" s="198">
        <v>0.09</v>
      </c>
      <c r="AB13" s="198">
        <v>0.04</v>
      </c>
      <c r="AC13" s="213">
        <f t="shared" si="7"/>
        <v>69</v>
      </c>
      <c r="AD13" s="213">
        <f t="shared" si="8"/>
        <v>228</v>
      </c>
      <c r="AE13" s="213">
        <v>5.25</v>
      </c>
      <c r="AF13" s="196">
        <v>463000000</v>
      </c>
      <c r="AG13" s="104">
        <f t="shared" si="9"/>
        <v>1.7276119402985075</v>
      </c>
      <c r="AH13" s="104">
        <f t="shared" si="10"/>
        <v>1.3116147308781869</v>
      </c>
      <c r="AI13" s="195">
        <v>2.21</v>
      </c>
      <c r="AN13" t="s">
        <v>113</v>
      </c>
      <c r="AO13" s="33">
        <v>0</v>
      </c>
      <c r="AP13" s="87" t="s">
        <v>92</v>
      </c>
      <c r="AQ13" s="33" t="s">
        <v>92</v>
      </c>
      <c r="AR13" s="87" t="s">
        <v>92</v>
      </c>
      <c r="AS13" s="33" t="s">
        <v>92</v>
      </c>
      <c r="AT13" s="87" t="s">
        <v>92</v>
      </c>
      <c r="AU13" s="33" t="s">
        <v>92</v>
      </c>
      <c r="AV13" s="33" t="s">
        <v>92</v>
      </c>
    </row>
    <row r="14" spans="1:48">
      <c r="A14">
        <v>1216</v>
      </c>
      <c r="C14" s="107">
        <f>VLOOKUP(1216,收盤價!$A:$C,3,0)</f>
        <v>61</v>
      </c>
      <c r="D14" s="107">
        <f t="shared" si="0"/>
        <v>24.190311430814965</v>
      </c>
      <c r="E14" s="167">
        <f t="shared" si="1"/>
        <v>5</v>
      </c>
      <c r="F14" s="104">
        <f t="shared" si="2"/>
        <v>0.8328822994923849</v>
      </c>
      <c r="G14" s="167">
        <f>RANK(3.28,AE:AE,0)</f>
        <v>256</v>
      </c>
      <c r="H14" s="365">
        <f t="shared" si="3"/>
        <v>-0.44732414841700274</v>
      </c>
      <c r="I14" s="213">
        <f t="shared" si="4"/>
        <v>241</v>
      </c>
      <c r="J14" s="213">
        <f t="shared" si="5"/>
        <v>380</v>
      </c>
      <c r="K14">
        <f>RANK(2.51,AI:AI,0)</f>
        <v>235</v>
      </c>
      <c r="L14" s="357">
        <v>1</v>
      </c>
      <c r="M14" s="357">
        <v>1</v>
      </c>
      <c r="N14" s="357">
        <v>2</v>
      </c>
      <c r="O14" s="357">
        <v>1</v>
      </c>
      <c r="P14" s="357">
        <v>0</v>
      </c>
      <c r="Q14" s="358">
        <v>0.34624004577750228</v>
      </c>
      <c r="R14" s="359">
        <v>0.63041767955801098</v>
      </c>
      <c r="S14" s="196">
        <v>416147636000</v>
      </c>
      <c r="T14" s="196">
        <v>5682000000</v>
      </c>
      <c r="U14" s="200">
        <f t="shared" si="6"/>
        <v>346602000000</v>
      </c>
      <c r="V14" s="196">
        <v>7377000000</v>
      </c>
      <c r="W14" s="196">
        <v>0</v>
      </c>
      <c r="X14" s="196">
        <v>155783000000</v>
      </c>
      <c r="Y14" s="196">
        <v>148388000000</v>
      </c>
      <c r="Z14" s="196">
        <v>57033000000</v>
      </c>
      <c r="AA14" s="198">
        <v>0.05</v>
      </c>
      <c r="AB14" s="198">
        <v>0.04</v>
      </c>
      <c r="AC14" s="213">
        <f t="shared" si="7"/>
        <v>247</v>
      </c>
      <c r="AD14" s="213">
        <f t="shared" si="8"/>
        <v>228</v>
      </c>
      <c r="AE14" s="213">
        <v>3.28</v>
      </c>
      <c r="AF14" s="196">
        <v>11062000000</v>
      </c>
      <c r="AG14" s="104">
        <f t="shared" si="9"/>
        <v>1.9468497008095742</v>
      </c>
      <c r="AH14" s="104">
        <f t="shared" si="10"/>
        <v>1.4995255523925715</v>
      </c>
      <c r="AI14" s="195">
        <v>2.5099999999999998</v>
      </c>
      <c r="AN14" t="s">
        <v>114</v>
      </c>
      <c r="AO14" s="33">
        <v>0</v>
      </c>
      <c r="AP14" s="87">
        <v>0</v>
      </c>
      <c r="AQ14" s="33">
        <v>0</v>
      </c>
      <c r="AR14" s="87">
        <v>0</v>
      </c>
      <c r="AS14" s="33">
        <v>0</v>
      </c>
      <c r="AT14" s="87">
        <v>0</v>
      </c>
      <c r="AU14" s="33">
        <v>0</v>
      </c>
      <c r="AV14" s="33">
        <v>-1</v>
      </c>
    </row>
    <row r="15" spans="1:48">
      <c r="A15">
        <v>1217</v>
      </c>
      <c r="C15" s="107">
        <f>VLOOKUP(1217,收盤價!$A:$C,3,0)</f>
        <v>7.57</v>
      </c>
      <c r="D15" s="107">
        <f t="shared" si="0"/>
        <v>0</v>
      </c>
      <c r="E15" s="167">
        <f t="shared" si="1"/>
        <v>1</v>
      </c>
      <c r="F15" s="104">
        <f t="shared" si="2"/>
        <v>0.88274917872892966</v>
      </c>
      <c r="G15" s="167">
        <f>RANK(0.93,AE:AE,0)</f>
        <v>920</v>
      </c>
      <c r="H15" s="365">
        <f t="shared" si="3"/>
        <v>0.43103448275862066</v>
      </c>
      <c r="I15" s="213">
        <f t="shared" si="4"/>
        <v>1325</v>
      </c>
      <c r="J15" s="213">
        <f t="shared" si="5"/>
        <v>768</v>
      </c>
      <c r="K15">
        <f>RANK(0.74,AI:AI,0)</f>
        <v>1324</v>
      </c>
      <c r="L15" s="357">
        <v>0</v>
      </c>
      <c r="M15" s="357">
        <v>1</v>
      </c>
      <c r="N15" s="357">
        <v>0</v>
      </c>
      <c r="O15" s="357">
        <v>0</v>
      </c>
      <c r="P15" s="357">
        <v>0</v>
      </c>
      <c r="Q15" s="358">
        <v>0.3543307086614173</v>
      </c>
      <c r="R15" s="359">
        <v>0</v>
      </c>
      <c r="S15" s="196">
        <v>4177975000</v>
      </c>
      <c r="T15" s="196">
        <v>487200000</v>
      </c>
      <c r="U15" s="200">
        <f t="shared" si="6"/>
        <v>3688104000</v>
      </c>
      <c r="V15" s="196">
        <v>19000000</v>
      </c>
      <c r="W15" s="196">
        <v>0</v>
      </c>
      <c r="X15" s="196">
        <v>3283000000</v>
      </c>
      <c r="Y15" s="196">
        <v>5934000000</v>
      </c>
      <c r="Z15" s="196">
        <v>1313000000</v>
      </c>
      <c r="AA15" s="198">
        <v>0.01</v>
      </c>
      <c r="AB15" s="198">
        <v>0</v>
      </c>
      <c r="AC15" s="213">
        <f t="shared" si="7"/>
        <v>769</v>
      </c>
      <c r="AD15" s="213">
        <f t="shared" si="8"/>
        <v>911</v>
      </c>
      <c r="AE15" s="213">
        <v>0.93</v>
      </c>
      <c r="AF15" s="196">
        <v>-210000000</v>
      </c>
      <c r="AG15" s="104">
        <f t="shared" si="9"/>
        <v>-0.43103448275862066</v>
      </c>
      <c r="AH15" s="104">
        <f t="shared" si="10"/>
        <v>0</v>
      </c>
      <c r="AI15" s="195">
        <v>0.74</v>
      </c>
      <c r="AN15" t="s">
        <v>115</v>
      </c>
      <c r="AO15" s="33">
        <v>0</v>
      </c>
      <c r="AP15" s="87">
        <v>-3</v>
      </c>
      <c r="AQ15" s="33">
        <v>0</v>
      </c>
      <c r="AR15" s="87">
        <v>0</v>
      </c>
      <c r="AS15" s="33">
        <v>0</v>
      </c>
      <c r="AT15" s="87">
        <v>0</v>
      </c>
      <c r="AU15" s="33">
        <v>0</v>
      </c>
      <c r="AV15" s="33">
        <v>0</v>
      </c>
    </row>
    <row r="16" spans="1:48">
      <c r="A16">
        <v>1218</v>
      </c>
      <c r="C16" s="107">
        <f>VLOOKUP(1218,收盤價!$A:$C,3,0)</f>
        <v>17.05</v>
      </c>
      <c r="D16" s="107">
        <f t="shared" si="0"/>
        <v>0</v>
      </c>
      <c r="E16" s="167">
        <f t="shared" si="1"/>
        <v>2</v>
      </c>
      <c r="F16" s="104">
        <f t="shared" si="2"/>
        <v>0.75961583931430143</v>
      </c>
      <c r="G16" s="167">
        <f>RANK(1.2,AE:AE,0)</f>
        <v>710</v>
      </c>
      <c r="H16" s="365">
        <f t="shared" si="3"/>
        <v>0.57458250778375319</v>
      </c>
      <c r="I16" s="213">
        <f t="shared" si="4"/>
        <v>1372</v>
      </c>
      <c r="J16" s="213">
        <f t="shared" si="5"/>
        <v>768</v>
      </c>
      <c r="K16">
        <f>RANK(0.73,AI:AI,0)</f>
        <v>1352</v>
      </c>
      <c r="L16" s="357">
        <v>0</v>
      </c>
      <c r="M16" s="357">
        <v>1</v>
      </c>
      <c r="N16" s="357">
        <v>1</v>
      </c>
      <c r="O16" s="357">
        <v>0</v>
      </c>
      <c r="P16" s="357">
        <v>0</v>
      </c>
      <c r="Q16" s="358">
        <v>0.18204242723236311</v>
      </c>
      <c r="R16" s="359">
        <v>0</v>
      </c>
      <c r="S16" s="196">
        <v>7930015000</v>
      </c>
      <c r="T16" s="196">
        <v>353300000</v>
      </c>
      <c r="U16" s="200">
        <f t="shared" si="6"/>
        <v>6023765000</v>
      </c>
      <c r="V16" s="196">
        <v>40000000</v>
      </c>
      <c r="W16" s="196">
        <v>724000000</v>
      </c>
      <c r="X16" s="196">
        <v>1932000000</v>
      </c>
      <c r="Y16" s="196">
        <v>3539000000</v>
      </c>
      <c r="Z16" s="196">
        <v>1451000000</v>
      </c>
      <c r="AA16" s="198">
        <v>0.02</v>
      </c>
      <c r="AB16" s="198">
        <v>0.01</v>
      </c>
      <c r="AC16" s="213">
        <f t="shared" si="7"/>
        <v>616</v>
      </c>
      <c r="AD16" s="213">
        <f t="shared" si="8"/>
        <v>680</v>
      </c>
      <c r="AE16" s="213">
        <v>1.2</v>
      </c>
      <c r="AF16" s="196">
        <v>-203000000</v>
      </c>
      <c r="AG16" s="104">
        <f t="shared" si="9"/>
        <v>-0.57458250778375319</v>
      </c>
      <c r="AH16" s="104">
        <f t="shared" si="10"/>
        <v>0</v>
      </c>
      <c r="AI16" s="195">
        <v>0.73</v>
      </c>
      <c r="AN16" t="s">
        <v>116</v>
      </c>
      <c r="AO16" s="33">
        <v>0</v>
      </c>
      <c r="AP16" s="33">
        <v>-1</v>
      </c>
      <c r="AQ16" s="33">
        <v>0</v>
      </c>
      <c r="AR16" s="33">
        <v>0</v>
      </c>
      <c r="AS16" s="33">
        <v>0</v>
      </c>
      <c r="AT16" s="33">
        <v>0</v>
      </c>
      <c r="AU16" s="33">
        <v>0</v>
      </c>
      <c r="AV16" s="33">
        <v>0</v>
      </c>
    </row>
    <row r="17" spans="1:48">
      <c r="A17">
        <v>1219</v>
      </c>
      <c r="C17" s="107">
        <f>VLOOKUP(1219,收盤價!$A:$C,3,0)</f>
        <v>15.3</v>
      </c>
      <c r="D17" s="107">
        <f t="shared" si="0"/>
        <v>22.65679442508711</v>
      </c>
      <c r="E17" s="167">
        <f t="shared" si="1"/>
        <v>1</v>
      </c>
      <c r="F17" s="104">
        <f t="shared" si="2"/>
        <v>0.46232638614078642</v>
      </c>
      <c r="G17" s="167">
        <f>RANK(1.08,AE:AE,0)</f>
        <v>769</v>
      </c>
      <c r="H17" s="365">
        <f t="shared" si="3"/>
        <v>0.59284818067754075</v>
      </c>
      <c r="I17" s="213">
        <f t="shared" si="4"/>
        <v>1374</v>
      </c>
      <c r="J17" s="213">
        <f t="shared" si="5"/>
        <v>768</v>
      </c>
      <c r="K17">
        <f>RANK(0.73,AI:AI,0)</f>
        <v>1352</v>
      </c>
      <c r="L17" s="357">
        <v>0</v>
      </c>
      <c r="M17" s="357">
        <v>1</v>
      </c>
      <c r="N17" s="357">
        <v>0</v>
      </c>
      <c r="O17" s="357">
        <v>0</v>
      </c>
      <c r="P17" s="357">
        <v>0</v>
      </c>
      <c r="Q17" s="358">
        <v>9.7388059701492544E-2</v>
      </c>
      <c r="R17" s="359">
        <v>0.16882352941176471</v>
      </c>
      <c r="S17" s="196">
        <v>10550209000</v>
      </c>
      <c r="T17" s="196">
        <v>318800000</v>
      </c>
      <c r="U17" s="200">
        <f t="shared" si="6"/>
        <v>4877640000</v>
      </c>
      <c r="V17" s="196">
        <v>54000000</v>
      </c>
      <c r="W17" s="196">
        <v>2387000000</v>
      </c>
      <c r="X17" s="196">
        <v>3531000000</v>
      </c>
      <c r="Y17" s="196">
        <v>3889000000</v>
      </c>
      <c r="Z17" s="196">
        <v>1071000000</v>
      </c>
      <c r="AA17" s="198">
        <v>0.01</v>
      </c>
      <c r="AB17" s="198">
        <v>0.01</v>
      </c>
      <c r="AC17" s="213">
        <f t="shared" si="7"/>
        <v>769</v>
      </c>
      <c r="AD17" s="213">
        <f t="shared" si="8"/>
        <v>680</v>
      </c>
      <c r="AE17" s="213">
        <v>1.08</v>
      </c>
      <c r="AF17" s="196">
        <v>-189000000</v>
      </c>
      <c r="AG17" s="104">
        <f t="shared" si="9"/>
        <v>-0.59284818067754075</v>
      </c>
      <c r="AH17" s="104">
        <f t="shared" si="10"/>
        <v>0</v>
      </c>
      <c r="AI17" s="195">
        <v>0.73</v>
      </c>
      <c r="AN17" t="s">
        <v>117</v>
      </c>
      <c r="AO17" s="33">
        <v>-76</v>
      </c>
      <c r="AP17" s="87">
        <v>12</v>
      </c>
      <c r="AQ17" s="33">
        <v>31</v>
      </c>
      <c r="AR17" s="87">
        <v>-35</v>
      </c>
      <c r="AS17" s="33">
        <v>14</v>
      </c>
      <c r="AT17" s="87">
        <v>39</v>
      </c>
      <c r="AU17" s="33">
        <v>18</v>
      </c>
      <c r="AV17" s="33">
        <v>21</v>
      </c>
    </row>
    <row r="18" spans="1:48">
      <c r="A18">
        <v>1220</v>
      </c>
      <c r="C18" s="107">
        <f>VLOOKUP(1220,收盤價!$A:$C,3,0)</f>
        <v>10.3</v>
      </c>
      <c r="D18" s="107">
        <f t="shared" si="0"/>
        <v>9.0975422427035344</v>
      </c>
      <c r="E18" s="167">
        <f t="shared" si="1"/>
        <v>2</v>
      </c>
      <c r="F18" s="104">
        <f t="shared" si="2"/>
        <v>0.60111646790154794</v>
      </c>
      <c r="G18" s="167">
        <f>RANK(1.94,AE:AE,0)</f>
        <v>435</v>
      </c>
      <c r="H18" s="365">
        <f t="shared" si="3"/>
        <v>0.92511835990096847</v>
      </c>
      <c r="I18" s="213">
        <f t="shared" si="4"/>
        <v>724</v>
      </c>
      <c r="J18" s="213">
        <f t="shared" si="5"/>
        <v>391</v>
      </c>
      <c r="K18">
        <f>RANK(1.4,AI:AI,0)</f>
        <v>622</v>
      </c>
      <c r="L18" s="357">
        <v>0</v>
      </c>
      <c r="M18" s="357">
        <v>1</v>
      </c>
      <c r="N18" s="357">
        <v>0</v>
      </c>
      <c r="O18" s="357">
        <v>1</v>
      </c>
      <c r="P18" s="357">
        <v>0</v>
      </c>
      <c r="Q18" s="358">
        <v>0.15708812260536398</v>
      </c>
      <c r="R18" s="359">
        <v>0.28304347826086956</v>
      </c>
      <c r="S18" s="196">
        <v>3034570000</v>
      </c>
      <c r="T18" s="196">
        <v>177100000</v>
      </c>
      <c r="U18" s="200">
        <f t="shared" si="6"/>
        <v>1824130000.0000002</v>
      </c>
      <c r="V18" s="196">
        <v>65000000</v>
      </c>
      <c r="W18" s="196">
        <v>1406000000</v>
      </c>
      <c r="X18" s="196">
        <v>897000000</v>
      </c>
      <c r="Y18" s="196">
        <v>2306000000</v>
      </c>
      <c r="Z18" s="196">
        <v>158000000</v>
      </c>
      <c r="AA18" s="198">
        <v>0.03</v>
      </c>
      <c r="AB18" s="198">
        <v>0.03</v>
      </c>
      <c r="AC18" s="213">
        <f t="shared" si="7"/>
        <v>469</v>
      </c>
      <c r="AD18" s="213">
        <f t="shared" si="8"/>
        <v>334</v>
      </c>
      <c r="AE18" s="213">
        <v>1.94</v>
      </c>
      <c r="AF18" s="196">
        <v>95000000</v>
      </c>
      <c r="AG18" s="104">
        <f t="shared" si="9"/>
        <v>0.53642010163749299</v>
      </c>
      <c r="AH18" s="104">
        <f t="shared" si="10"/>
        <v>1.4615384615384615</v>
      </c>
      <c r="AI18" s="195">
        <v>1.4</v>
      </c>
      <c r="AN18" t="s">
        <v>118</v>
      </c>
      <c r="AO18" s="33">
        <v>5</v>
      </c>
      <c r="AP18" s="87">
        <v>-28</v>
      </c>
      <c r="AQ18" s="33">
        <v>19</v>
      </c>
      <c r="AR18" s="87">
        <v>85</v>
      </c>
      <c r="AS18" s="33">
        <v>18</v>
      </c>
      <c r="AT18" s="87">
        <v>75</v>
      </c>
      <c r="AU18" s="33">
        <v>156</v>
      </c>
      <c r="AV18" s="33">
        <v>-190</v>
      </c>
    </row>
    <row r="19" spans="1:48">
      <c r="A19">
        <v>1225</v>
      </c>
      <c r="C19" s="107">
        <f>VLOOKUP(1225,收盤價!$A:$C,3,0)</f>
        <v>51.5</v>
      </c>
      <c r="D19" s="107">
        <f t="shared" si="0"/>
        <v>30.449349625541981</v>
      </c>
      <c r="E19" s="167">
        <f t="shared" si="1"/>
        <v>4</v>
      </c>
      <c r="F19" s="104">
        <f t="shared" si="2"/>
        <v>1.0561517070844744</v>
      </c>
      <c r="G19" s="167">
        <f>RANK(3.28,AE:AE,0)</f>
        <v>256</v>
      </c>
      <c r="H19" s="365">
        <f t="shared" si="3"/>
        <v>9.9118871958378096E-2</v>
      </c>
      <c r="I19" s="213">
        <f t="shared" si="4"/>
        <v>720</v>
      </c>
      <c r="J19" s="213">
        <f t="shared" si="5"/>
        <v>644</v>
      </c>
      <c r="K19">
        <f>RANK(1.14,AI:AI,0)</f>
        <v>767</v>
      </c>
      <c r="L19" s="357">
        <v>0</v>
      </c>
      <c r="M19" s="357">
        <v>1</v>
      </c>
      <c r="N19" s="357">
        <v>2</v>
      </c>
      <c r="O19" s="357">
        <v>1</v>
      </c>
      <c r="P19" s="357">
        <v>0</v>
      </c>
      <c r="Q19" s="358">
        <v>0.11867559523809523</v>
      </c>
      <c r="R19" s="359">
        <v>0.42283333333333328</v>
      </c>
      <c r="S19" s="196">
        <v>10664235000</v>
      </c>
      <c r="T19" s="196">
        <v>218700000</v>
      </c>
      <c r="U19" s="200">
        <f t="shared" si="6"/>
        <v>11263050000</v>
      </c>
      <c r="V19" s="196">
        <v>185000000</v>
      </c>
      <c r="W19" s="196">
        <v>1885000000</v>
      </c>
      <c r="X19" s="196">
        <v>2190000000</v>
      </c>
      <c r="Y19" s="196">
        <v>3455000000</v>
      </c>
      <c r="Z19" s="196">
        <v>1507000000</v>
      </c>
      <c r="AA19" s="198">
        <v>0.05</v>
      </c>
      <c r="AB19" s="198">
        <v>0.04</v>
      </c>
      <c r="AC19" s="213">
        <f t="shared" si="7"/>
        <v>247</v>
      </c>
      <c r="AD19" s="213">
        <f t="shared" si="8"/>
        <v>228</v>
      </c>
      <c r="AE19" s="213">
        <v>3.28</v>
      </c>
      <c r="AF19" s="196">
        <v>119000000</v>
      </c>
      <c r="AG19" s="104">
        <f t="shared" si="9"/>
        <v>0.54412437128486513</v>
      </c>
      <c r="AH19" s="104">
        <f t="shared" si="10"/>
        <v>0.64324324324324322</v>
      </c>
      <c r="AI19" s="195">
        <v>1.1399999999999999</v>
      </c>
      <c r="AN19" t="s">
        <v>119</v>
      </c>
      <c r="AO19" s="33">
        <v>-10</v>
      </c>
      <c r="AP19" s="87">
        <v>40</v>
      </c>
      <c r="AQ19" s="33">
        <v>1</v>
      </c>
      <c r="AR19" s="87">
        <v>-65</v>
      </c>
      <c r="AS19" s="33">
        <v>45</v>
      </c>
      <c r="AT19" s="87">
        <v>-58</v>
      </c>
      <c r="AU19" s="33">
        <v>40</v>
      </c>
      <c r="AV19" s="33">
        <v>-169</v>
      </c>
    </row>
    <row r="20" spans="1:48">
      <c r="A20">
        <v>1227</v>
      </c>
      <c r="C20" s="107">
        <f>VLOOKUP(1227,收盤價!$A:$C,3,0)</f>
        <v>78.7</v>
      </c>
      <c r="D20" s="107">
        <f t="shared" si="0"/>
        <v>42.132555518450495</v>
      </c>
      <c r="E20" s="167">
        <f t="shared" si="1"/>
        <v>3</v>
      </c>
      <c r="F20" s="104">
        <f t="shared" si="2"/>
        <v>2.4211988156342121</v>
      </c>
      <c r="G20" s="167">
        <f>RANK(2.32,AE:AE,0)</f>
        <v>360</v>
      </c>
      <c r="H20" s="365">
        <f t="shared" si="3"/>
        <v>0.57298830085398822</v>
      </c>
      <c r="I20" s="213">
        <f t="shared" si="4"/>
        <v>612</v>
      </c>
      <c r="J20" s="213">
        <f t="shared" si="5"/>
        <v>411</v>
      </c>
      <c r="K20">
        <f>RANK(1.52,AI:AI,0)</f>
        <v>548</v>
      </c>
      <c r="L20" s="357">
        <v>0</v>
      </c>
      <c r="M20" s="357">
        <v>1</v>
      </c>
      <c r="N20" s="357">
        <v>0</v>
      </c>
      <c r="O20" s="357">
        <v>1</v>
      </c>
      <c r="P20" s="357">
        <v>1</v>
      </c>
      <c r="Q20" s="358">
        <v>0.29786014520443255</v>
      </c>
      <c r="R20" s="359">
        <v>0.46697855750487327</v>
      </c>
      <c r="S20" s="196">
        <v>25766364000</v>
      </c>
      <c r="T20" s="196">
        <v>792700000</v>
      </c>
      <c r="U20" s="200">
        <f t="shared" si="6"/>
        <v>62385490000</v>
      </c>
      <c r="V20" s="196">
        <v>460000000</v>
      </c>
      <c r="W20" s="196">
        <v>5959000000</v>
      </c>
      <c r="X20" s="196">
        <v>4411000000</v>
      </c>
      <c r="Y20" s="196">
        <v>13247000000</v>
      </c>
      <c r="Z20" s="196">
        <v>1262000000</v>
      </c>
      <c r="AA20" s="198">
        <v>0.04</v>
      </c>
      <c r="AB20" s="198">
        <v>0.03</v>
      </c>
      <c r="AC20" s="213">
        <f t="shared" si="7"/>
        <v>337</v>
      </c>
      <c r="AD20" s="213">
        <f t="shared" si="8"/>
        <v>334</v>
      </c>
      <c r="AE20" s="213">
        <v>2.3199999999999998</v>
      </c>
      <c r="AF20" s="196">
        <v>628000000</v>
      </c>
      <c r="AG20" s="104">
        <f t="shared" si="9"/>
        <v>0.7922290904503595</v>
      </c>
      <c r="AH20" s="104">
        <f t="shared" si="10"/>
        <v>1.3652173913043477</v>
      </c>
      <c r="AI20" s="195">
        <v>1.52</v>
      </c>
      <c r="AN20" t="s">
        <v>120</v>
      </c>
      <c r="AO20" s="33">
        <v>13</v>
      </c>
      <c r="AP20" s="87">
        <v>2</v>
      </c>
      <c r="AQ20" s="33">
        <v>17</v>
      </c>
      <c r="AR20" s="87">
        <v>-34</v>
      </c>
      <c r="AS20" s="33">
        <v>1</v>
      </c>
      <c r="AT20" s="87">
        <v>-13</v>
      </c>
      <c r="AU20" s="33">
        <v>15</v>
      </c>
      <c r="AV20" s="33">
        <v>-10</v>
      </c>
    </row>
    <row r="21" spans="1:48">
      <c r="A21">
        <v>1229</v>
      </c>
      <c r="C21" s="107">
        <f>VLOOKUP(1229,收盤價!$A:$C,3,0)</f>
        <v>21.9</v>
      </c>
      <c r="D21" s="107">
        <f t="shared" si="0"/>
        <v>33.23749237339841</v>
      </c>
      <c r="E21" s="167">
        <f t="shared" si="1"/>
        <v>3</v>
      </c>
      <c r="F21" s="104">
        <f t="shared" si="2"/>
        <v>3.6233923054066794</v>
      </c>
      <c r="G21" s="167">
        <f>RANK(2.16,AE:AE,0)</f>
        <v>429</v>
      </c>
      <c r="H21" s="365">
        <f t="shared" si="3"/>
        <v>2.0711421746741436</v>
      </c>
      <c r="I21" s="213">
        <f t="shared" si="4"/>
        <v>774</v>
      </c>
      <c r="J21" s="213">
        <f t="shared" si="5"/>
        <v>190</v>
      </c>
      <c r="K21">
        <f>RANK(1.62,AI:AI,0)</f>
        <v>493</v>
      </c>
      <c r="L21" s="357">
        <v>0</v>
      </c>
      <c r="M21" s="357">
        <v>1</v>
      </c>
      <c r="N21" s="357">
        <v>2</v>
      </c>
      <c r="O21" s="357">
        <v>0</v>
      </c>
      <c r="P21" s="357">
        <v>0</v>
      </c>
      <c r="Q21" s="358">
        <v>0.21412471825694968</v>
      </c>
      <c r="R21" s="359">
        <v>0.16472361809045227</v>
      </c>
      <c r="S21" s="196">
        <v>5371356000</v>
      </c>
      <c r="T21" s="196">
        <v>888700000</v>
      </c>
      <c r="U21" s="200">
        <f t="shared" si="6"/>
        <v>19462530000</v>
      </c>
      <c r="V21" s="196">
        <v>158000000</v>
      </c>
      <c r="W21" s="196">
        <v>0</v>
      </c>
      <c r="X21" s="196">
        <v>1436000000</v>
      </c>
      <c r="Y21" s="196">
        <v>20319000000</v>
      </c>
      <c r="Z21" s="196">
        <v>3110000000</v>
      </c>
      <c r="AA21" s="198">
        <v>0.11</v>
      </c>
      <c r="AB21" s="198">
        <v>0.01</v>
      </c>
      <c r="AC21" s="213">
        <f t="shared" si="7"/>
        <v>40</v>
      </c>
      <c r="AD21" s="213">
        <f t="shared" si="8"/>
        <v>680</v>
      </c>
      <c r="AE21" s="213">
        <v>2.16</v>
      </c>
      <c r="AF21" s="196">
        <v>398000000</v>
      </c>
      <c r="AG21" s="104">
        <f t="shared" si="9"/>
        <v>0.44784516709800831</v>
      </c>
      <c r="AH21" s="104">
        <f t="shared" si="10"/>
        <v>2.518987341772152</v>
      </c>
      <c r="AI21" s="195">
        <v>1.62</v>
      </c>
      <c r="AN21" t="s">
        <v>17</v>
      </c>
      <c r="AO21" s="33">
        <v>-46</v>
      </c>
      <c r="AP21" s="87">
        <v>35</v>
      </c>
      <c r="AQ21" s="33">
        <v>60</v>
      </c>
      <c r="AR21" s="87">
        <v>-66</v>
      </c>
      <c r="AS21" s="33">
        <v>82</v>
      </c>
      <c r="AT21" s="87">
        <v>12</v>
      </c>
      <c r="AU21" s="33">
        <v>247</v>
      </c>
      <c r="AV21" s="33">
        <v>-306</v>
      </c>
    </row>
    <row r="22" spans="1:48">
      <c r="A22">
        <v>1231</v>
      </c>
      <c r="C22" s="107">
        <f>VLOOKUP(1231,收盤價!$A:$C,3,0)</f>
        <v>29.55</v>
      </c>
      <c r="D22" s="107">
        <f t="shared" si="0"/>
        <v>14.48529411764706</v>
      </c>
      <c r="E22" s="167">
        <f t="shared" si="1"/>
        <v>2</v>
      </c>
      <c r="F22" s="104">
        <f t="shared" si="2"/>
        <v>0.6733103488913974</v>
      </c>
      <c r="G22" s="167">
        <f>RANK(0.84,AE:AE,0)</f>
        <v>946</v>
      </c>
      <c r="H22" s="365">
        <f t="shared" si="3"/>
        <v>-2.2957461174881835</v>
      </c>
      <c r="I22" s="213">
        <f t="shared" si="4"/>
        <v>187</v>
      </c>
      <c r="J22" s="213">
        <f t="shared" si="5"/>
        <v>768</v>
      </c>
      <c r="K22">
        <f>RANK(1.63,AI:AI,0)</f>
        <v>489</v>
      </c>
      <c r="L22" s="357">
        <v>0</v>
      </c>
      <c r="M22" s="357">
        <v>1</v>
      </c>
      <c r="N22" s="357">
        <v>0</v>
      </c>
      <c r="O22" s="357">
        <v>1</v>
      </c>
      <c r="P22" s="357">
        <v>0</v>
      </c>
      <c r="Q22" s="358">
        <v>0.19589675711449372</v>
      </c>
      <c r="R22" s="359">
        <v>0.51</v>
      </c>
      <c r="S22" s="196">
        <v>6499759000</v>
      </c>
      <c r="T22" s="196">
        <v>148100000</v>
      </c>
      <c r="U22" s="200">
        <f t="shared" si="6"/>
        <v>4376355000</v>
      </c>
      <c r="V22" s="196">
        <v>0</v>
      </c>
      <c r="W22" s="196">
        <v>1129000000</v>
      </c>
      <c r="X22" s="196">
        <v>2764000000</v>
      </c>
      <c r="Y22" s="196">
        <v>2811000000</v>
      </c>
      <c r="Z22" s="196">
        <v>630000000</v>
      </c>
      <c r="AA22" s="198">
        <v>0</v>
      </c>
      <c r="AB22" s="198">
        <v>0</v>
      </c>
      <c r="AC22" s="213">
        <f t="shared" si="7"/>
        <v>945</v>
      </c>
      <c r="AD22" s="213">
        <f t="shared" si="8"/>
        <v>911</v>
      </c>
      <c r="AE22" s="213">
        <v>0.84</v>
      </c>
      <c r="AF22" s="196">
        <v>340000000</v>
      </c>
      <c r="AG22" s="104">
        <f t="shared" si="9"/>
        <v>2.2957461174881835</v>
      </c>
      <c r="AH22" s="104">
        <f t="shared" si="10"/>
        <v>0</v>
      </c>
      <c r="AI22" s="195">
        <v>1.63</v>
      </c>
      <c r="AN22" t="s">
        <v>121</v>
      </c>
      <c r="AO22" s="33">
        <v>-5</v>
      </c>
      <c r="AP22" s="87">
        <v>28</v>
      </c>
      <c r="AQ22" s="33">
        <v>-13</v>
      </c>
      <c r="AR22" s="87">
        <v>0</v>
      </c>
      <c r="AS22" s="33">
        <v>0</v>
      </c>
      <c r="AT22" s="87">
        <v>0</v>
      </c>
      <c r="AU22" s="33">
        <v>-22</v>
      </c>
      <c r="AV22" s="33">
        <v>0</v>
      </c>
    </row>
    <row r="23" spans="1:48">
      <c r="A23">
        <v>1232</v>
      </c>
      <c r="C23" s="107">
        <f>VLOOKUP(1232,收盤價!$A:$C,3,0)</f>
        <v>85</v>
      </c>
      <c r="D23" s="107">
        <f t="shared" si="0"/>
        <v>12.57396449704142</v>
      </c>
      <c r="E23" s="167">
        <f t="shared" si="1"/>
        <v>3</v>
      </c>
      <c r="F23" s="104">
        <f t="shared" si="2"/>
        <v>0.7988450580096611</v>
      </c>
      <c r="G23" s="167">
        <f>RANK(18.55,AE:AE,0)</f>
        <v>42</v>
      </c>
      <c r="H23" s="365">
        <f t="shared" si="3"/>
        <v>-0.53148148148148155</v>
      </c>
      <c r="I23" s="213">
        <f t="shared" si="4"/>
        <v>490</v>
      </c>
      <c r="J23" s="213">
        <f t="shared" si="5"/>
        <v>669</v>
      </c>
      <c r="K23">
        <f>RANK(1.34,AI:AI,0)</f>
        <v>655</v>
      </c>
      <c r="L23" s="357">
        <v>0</v>
      </c>
      <c r="M23" s="357">
        <v>1</v>
      </c>
      <c r="N23" s="357">
        <v>2</v>
      </c>
      <c r="O23" s="357">
        <v>0</v>
      </c>
      <c r="P23" s="357">
        <v>0</v>
      </c>
      <c r="Q23" s="358">
        <v>0.11310084825636192</v>
      </c>
      <c r="R23" s="359">
        <v>1.69</v>
      </c>
      <c r="S23" s="196">
        <v>17024578000</v>
      </c>
      <c r="T23" s="196">
        <v>160000000</v>
      </c>
      <c r="U23" s="200">
        <f t="shared" si="6"/>
        <v>13600000000</v>
      </c>
      <c r="V23" s="196">
        <v>324000000</v>
      </c>
      <c r="W23" s="196">
        <v>2588000000</v>
      </c>
      <c r="X23" s="196">
        <v>558000000</v>
      </c>
      <c r="Y23" s="196">
        <v>3349000000</v>
      </c>
      <c r="Z23" s="196">
        <v>191000000</v>
      </c>
      <c r="AA23" s="198">
        <v>0.1</v>
      </c>
      <c r="AB23" s="198">
        <v>0.09</v>
      </c>
      <c r="AC23" s="213">
        <f t="shared" si="7"/>
        <v>52</v>
      </c>
      <c r="AD23" s="213">
        <f t="shared" si="8"/>
        <v>32</v>
      </c>
      <c r="AE23" s="213">
        <v>18.55</v>
      </c>
      <c r="AF23" s="196">
        <v>168000000</v>
      </c>
      <c r="AG23" s="104">
        <f t="shared" si="9"/>
        <v>1.05</v>
      </c>
      <c r="AH23" s="104">
        <f t="shared" si="10"/>
        <v>0.51851851851851849</v>
      </c>
      <c r="AI23" s="195">
        <v>1.34</v>
      </c>
      <c r="AN23" t="s">
        <v>122</v>
      </c>
      <c r="AO23" s="33">
        <v>0</v>
      </c>
      <c r="AP23" s="87">
        <v>0</v>
      </c>
      <c r="AQ23" s="33">
        <v>0</v>
      </c>
      <c r="AR23" s="87">
        <v>0</v>
      </c>
      <c r="AS23" s="33">
        <v>0</v>
      </c>
      <c r="AT23" s="87">
        <v>0</v>
      </c>
      <c r="AU23" s="33">
        <v>0</v>
      </c>
      <c r="AV23" s="33">
        <v>0</v>
      </c>
    </row>
    <row r="24" spans="1:48">
      <c r="A24">
        <v>1233</v>
      </c>
      <c r="C24" s="107">
        <f>VLOOKUP(1233,收盤價!$A:$C,3,0)</f>
        <v>37.1</v>
      </c>
      <c r="D24" s="107">
        <f t="shared" si="0"/>
        <v>22.308048103607774</v>
      </c>
      <c r="E24" s="167">
        <f t="shared" si="1"/>
        <v>2</v>
      </c>
      <c r="F24" s="104">
        <f t="shared" si="2"/>
        <v>1.5619078243623903</v>
      </c>
      <c r="G24" s="167">
        <f>RANK(2.32,AE:AE,0)</f>
        <v>360</v>
      </c>
      <c r="H24" s="365">
        <f t="shared" si="3"/>
        <v>0.66349937613974463</v>
      </c>
      <c r="I24" s="213">
        <f t="shared" si="4"/>
        <v>657</v>
      </c>
      <c r="J24" s="213">
        <f t="shared" si="5"/>
        <v>419</v>
      </c>
      <c r="K24">
        <f>RANK(1.45,AI:AI,0)</f>
        <v>582</v>
      </c>
      <c r="L24" s="357">
        <v>0</v>
      </c>
      <c r="M24" s="357">
        <v>1</v>
      </c>
      <c r="N24" s="357">
        <v>0</v>
      </c>
      <c r="O24" s="357">
        <v>1</v>
      </c>
      <c r="P24" s="357">
        <v>0</v>
      </c>
      <c r="Q24" s="358">
        <v>0.56395348837209303</v>
      </c>
      <c r="R24" s="359">
        <v>0.41576923076923072</v>
      </c>
      <c r="S24" s="196">
        <v>2152022000</v>
      </c>
      <c r="T24" s="196">
        <v>90600000</v>
      </c>
      <c r="U24" s="200">
        <f t="shared" si="6"/>
        <v>3361260000</v>
      </c>
      <c r="V24" s="196">
        <v>46000000</v>
      </c>
      <c r="W24" s="196">
        <v>265000000</v>
      </c>
      <c r="X24" s="196">
        <v>978000000</v>
      </c>
      <c r="Y24" s="196">
        <v>1338000000</v>
      </c>
      <c r="Z24" s="196">
        <v>0</v>
      </c>
      <c r="AA24" s="198">
        <v>0.04</v>
      </c>
      <c r="AB24" s="198">
        <v>0.03</v>
      </c>
      <c r="AC24" s="213">
        <f t="shared" si="7"/>
        <v>337</v>
      </c>
      <c r="AD24" s="213">
        <f t="shared" si="8"/>
        <v>334</v>
      </c>
      <c r="AE24" s="213">
        <v>2.3199999999999998</v>
      </c>
      <c r="AF24" s="196">
        <v>62000000</v>
      </c>
      <c r="AG24" s="104">
        <f t="shared" si="9"/>
        <v>0.6843267108167771</v>
      </c>
      <c r="AH24" s="104">
        <f t="shared" si="10"/>
        <v>1.3478260869565217</v>
      </c>
      <c r="AI24" s="195">
        <v>1.45</v>
      </c>
      <c r="AN24" t="s">
        <v>19</v>
      </c>
      <c r="AO24" s="33">
        <v>0</v>
      </c>
      <c r="AP24" s="87">
        <v>0</v>
      </c>
      <c r="AQ24" s="33">
        <v>0</v>
      </c>
      <c r="AR24" s="87">
        <v>0</v>
      </c>
      <c r="AS24" s="33">
        <v>0</v>
      </c>
      <c r="AT24" s="87">
        <v>0</v>
      </c>
      <c r="AU24" s="33">
        <v>0</v>
      </c>
      <c r="AV24" s="33">
        <v>0</v>
      </c>
    </row>
    <row r="25" spans="1:48">
      <c r="A25">
        <v>1234</v>
      </c>
      <c r="C25" s="107">
        <f>VLOOKUP(1234,收盤價!$A:$C,3,0)</f>
        <v>32.5</v>
      </c>
      <c r="D25" s="107">
        <f t="shared" si="0"/>
        <v>4.8363095238095237</v>
      </c>
      <c r="E25" s="167">
        <f t="shared" si="1"/>
        <v>2</v>
      </c>
      <c r="F25" s="104">
        <f t="shared" si="2"/>
        <v>1.7162898364710555</v>
      </c>
      <c r="G25" s="167">
        <f>RANK(0.84,AE:AE,0)</f>
        <v>946</v>
      </c>
      <c r="H25" s="365">
        <f t="shared" si="3"/>
        <v>1.1171933316745459</v>
      </c>
      <c r="I25" s="213">
        <f t="shared" si="4"/>
        <v>1451</v>
      </c>
      <c r="J25" s="213">
        <f t="shared" si="5"/>
        <v>768</v>
      </c>
      <c r="K25">
        <f>RANK(0.7,AI:AI,0)</f>
        <v>1442</v>
      </c>
      <c r="L25" s="357">
        <v>1</v>
      </c>
      <c r="M25" s="357">
        <v>1</v>
      </c>
      <c r="N25" s="357">
        <v>0</v>
      </c>
      <c r="O25" s="357">
        <v>0</v>
      </c>
      <c r="P25" s="357">
        <v>0</v>
      </c>
      <c r="Q25" s="358">
        <v>0.29338842975206614</v>
      </c>
      <c r="R25" s="359">
        <v>1.68</v>
      </c>
      <c r="S25" s="196">
        <v>7610457000</v>
      </c>
      <c r="T25" s="196">
        <v>401900000</v>
      </c>
      <c r="U25" s="200">
        <f t="shared" si="6"/>
        <v>13061750000</v>
      </c>
      <c r="V25" s="196">
        <v>0</v>
      </c>
      <c r="W25" s="196">
        <v>5084000000</v>
      </c>
      <c r="X25" s="196">
        <v>5620000000</v>
      </c>
      <c r="Y25" s="196">
        <v>17547000000</v>
      </c>
      <c r="Z25" s="196">
        <v>350000000</v>
      </c>
      <c r="AA25" s="198">
        <v>0</v>
      </c>
      <c r="AB25" s="198">
        <v>0</v>
      </c>
      <c r="AC25" s="213">
        <f t="shared" si="7"/>
        <v>945</v>
      </c>
      <c r="AD25" s="213">
        <f t="shared" si="8"/>
        <v>911</v>
      </c>
      <c r="AE25" s="213">
        <v>0.84</v>
      </c>
      <c r="AF25" s="196">
        <v>-449000000</v>
      </c>
      <c r="AG25" s="104">
        <f t="shared" si="9"/>
        <v>-1.1171933316745459</v>
      </c>
      <c r="AH25" s="104">
        <f t="shared" si="10"/>
        <v>0</v>
      </c>
      <c r="AI25" s="195">
        <v>0.7</v>
      </c>
      <c r="AN25" t="s">
        <v>123</v>
      </c>
      <c r="AO25" s="33">
        <v>0</v>
      </c>
      <c r="AP25" s="87">
        <v>0</v>
      </c>
      <c r="AQ25" s="33">
        <v>0</v>
      </c>
      <c r="AR25" s="87">
        <v>0</v>
      </c>
      <c r="AS25" s="33">
        <v>0</v>
      </c>
      <c r="AT25" s="87">
        <v>36</v>
      </c>
      <c r="AU25" s="33">
        <v>0</v>
      </c>
      <c r="AV25" s="33">
        <v>1</v>
      </c>
    </row>
    <row r="26" spans="1:48">
      <c r="A26">
        <v>1235</v>
      </c>
      <c r="C26" s="107">
        <f>VLOOKUP(1235,收盤價!$A:$C,3,0)</f>
        <v>30</v>
      </c>
      <c r="D26" s="107">
        <f t="shared" si="0"/>
        <v>0</v>
      </c>
      <c r="E26" s="167">
        <f t="shared" si="1"/>
        <v>2</v>
      </c>
      <c r="F26" s="104">
        <f t="shared" si="2"/>
        <v>15.982797208934919</v>
      </c>
      <c r="G26" s="167">
        <f>RANK(0.61,AE:AE,0)</f>
        <v>1295</v>
      </c>
      <c r="H26" s="365">
        <f t="shared" si="3"/>
        <v>-0.32948929159802304</v>
      </c>
      <c r="I26" s="213">
        <f t="shared" si="4"/>
        <v>839</v>
      </c>
      <c r="J26" s="213">
        <f t="shared" si="5"/>
        <v>768</v>
      </c>
      <c r="K26">
        <f>RANK(0.97,AI:AI,0)</f>
        <v>912</v>
      </c>
      <c r="L26" s="357">
        <v>0</v>
      </c>
      <c r="M26" s="357">
        <v>1</v>
      </c>
      <c r="N26" s="357">
        <v>0</v>
      </c>
      <c r="O26" s="357">
        <v>1</v>
      </c>
      <c r="P26" s="357">
        <v>0</v>
      </c>
      <c r="Q26" s="358">
        <v>0.15</v>
      </c>
      <c r="R26" s="359">
        <v>0</v>
      </c>
      <c r="S26" s="196">
        <v>113935000</v>
      </c>
      <c r="T26" s="196">
        <v>60700000</v>
      </c>
      <c r="U26" s="200">
        <f t="shared" si="6"/>
        <v>1821000000</v>
      </c>
      <c r="V26" s="196">
        <v>-20000000</v>
      </c>
      <c r="W26" s="196">
        <v>1567000000</v>
      </c>
      <c r="X26" s="196">
        <v>186000000</v>
      </c>
      <c r="Y26" s="196">
        <v>2226000000</v>
      </c>
      <c r="Z26" s="196">
        <v>1007000000</v>
      </c>
      <c r="AA26" s="198">
        <v>-0.01</v>
      </c>
      <c r="AB26" s="198">
        <v>-0.01</v>
      </c>
      <c r="AC26" s="213">
        <f t="shared" si="7"/>
        <v>1277</v>
      </c>
      <c r="AD26" s="213">
        <f t="shared" si="8"/>
        <v>1294</v>
      </c>
      <c r="AE26" s="213">
        <v>0.61</v>
      </c>
      <c r="AF26" s="196">
        <v>20000000</v>
      </c>
      <c r="AG26" s="104">
        <f t="shared" si="9"/>
        <v>0.32948929159802304</v>
      </c>
      <c r="AH26" s="104">
        <f t="shared" si="10"/>
        <v>0</v>
      </c>
      <c r="AI26" s="195">
        <v>0.97</v>
      </c>
      <c r="AN26" t="s">
        <v>18</v>
      </c>
      <c r="AO26" s="33">
        <v>-1</v>
      </c>
      <c r="AP26" s="87">
        <v>-7</v>
      </c>
      <c r="AQ26" s="33">
        <v>-3</v>
      </c>
      <c r="AR26" s="87">
        <v>-1</v>
      </c>
      <c r="AS26" s="33">
        <v>0</v>
      </c>
      <c r="AT26" s="87">
        <v>-1</v>
      </c>
      <c r="AU26" s="33">
        <v>-3</v>
      </c>
      <c r="AV26" s="33">
        <v>-1</v>
      </c>
    </row>
    <row r="27" spans="1:48">
      <c r="A27">
        <v>1236</v>
      </c>
      <c r="C27" s="107">
        <f>VLOOKUP(1236,收盤價!$A:$C,3,0)</f>
        <v>19</v>
      </c>
      <c r="D27" s="107">
        <f t="shared" si="0"/>
        <v>0</v>
      </c>
      <c r="E27" s="167">
        <f t="shared" si="1"/>
        <v>1</v>
      </c>
      <c r="F27" s="104">
        <f t="shared" si="2"/>
        <v>0.9669615593189117</v>
      </c>
      <c r="G27" s="167">
        <f>RANK(0.57,AE:AE,0)</f>
        <v>1389</v>
      </c>
      <c r="H27" s="365">
        <f t="shared" si="3"/>
        <v>-1.8467220683287164</v>
      </c>
      <c r="I27" s="213">
        <f t="shared" si="4"/>
        <v>257</v>
      </c>
      <c r="J27" s="213">
        <f t="shared" si="5"/>
        <v>768</v>
      </c>
      <c r="K27">
        <f>RANK(1.52,AI:AI,0)</f>
        <v>548</v>
      </c>
      <c r="L27" s="357">
        <v>0</v>
      </c>
      <c r="M27" s="357">
        <v>0</v>
      </c>
      <c r="N27" s="357">
        <v>0</v>
      </c>
      <c r="O27" s="357">
        <v>1</v>
      </c>
      <c r="P27" s="357">
        <v>0</v>
      </c>
      <c r="Q27" s="358">
        <v>0.1930835734870317</v>
      </c>
      <c r="R27" s="359">
        <v>0</v>
      </c>
      <c r="S27" s="196">
        <v>2128006000</v>
      </c>
      <c r="T27" s="196">
        <v>108300000</v>
      </c>
      <c r="U27" s="200">
        <f t="shared" si="6"/>
        <v>2057700000</v>
      </c>
      <c r="V27" s="196">
        <v>-44000000</v>
      </c>
      <c r="W27" s="196">
        <v>0</v>
      </c>
      <c r="X27" s="196">
        <v>1834000000</v>
      </c>
      <c r="Y27" s="196">
        <v>1877000000</v>
      </c>
      <c r="Z27" s="196">
        <v>242000000</v>
      </c>
      <c r="AA27" s="198">
        <v>-0.02</v>
      </c>
      <c r="AB27" s="198">
        <v>-0.02</v>
      </c>
      <c r="AC27" s="213">
        <f t="shared" si="7"/>
        <v>1353</v>
      </c>
      <c r="AD27" s="213">
        <f t="shared" si="8"/>
        <v>1388</v>
      </c>
      <c r="AE27" s="213">
        <v>0.56999999999999995</v>
      </c>
      <c r="AF27" s="196">
        <v>200000000</v>
      </c>
      <c r="AG27" s="104">
        <f t="shared" si="9"/>
        <v>1.8467220683287164</v>
      </c>
      <c r="AH27" s="104">
        <f t="shared" si="10"/>
        <v>0</v>
      </c>
      <c r="AI27" s="195">
        <v>1.52</v>
      </c>
      <c r="AN27" t="s">
        <v>124</v>
      </c>
      <c r="AO27" s="33">
        <v>0</v>
      </c>
      <c r="AP27" s="87">
        <v>0</v>
      </c>
      <c r="AQ27" s="33">
        <v>0</v>
      </c>
      <c r="AR27" s="87">
        <v>0</v>
      </c>
      <c r="AS27" s="33">
        <v>0</v>
      </c>
      <c r="AT27" s="87">
        <v>0</v>
      </c>
      <c r="AU27" s="33">
        <v>0</v>
      </c>
      <c r="AV27" s="33">
        <v>0</v>
      </c>
    </row>
    <row r="28" spans="1:48">
      <c r="A28">
        <v>1256</v>
      </c>
      <c r="C28" s="107">
        <f>VLOOKUP(1256,收盤價!$A:$C,3,0)</f>
        <v>134.5</v>
      </c>
      <c r="D28" s="107">
        <f t="shared" si="0"/>
        <v>10.700757575757576</v>
      </c>
      <c r="E28" s="167">
        <f t="shared" si="1"/>
        <v>2</v>
      </c>
      <c r="F28" s="104">
        <f t="shared" si="2"/>
        <v>1.4262145278646703</v>
      </c>
      <c r="G28" s="167">
        <f>RANK(51.93,AE:AE,0)</f>
        <v>7</v>
      </c>
      <c r="H28" s="365">
        <f t="shared" si="3"/>
        <v>-1.8788671023965142</v>
      </c>
      <c r="I28" s="213">
        <f t="shared" si="4"/>
        <v>181</v>
      </c>
      <c r="J28" s="213">
        <f t="shared" si="5"/>
        <v>687</v>
      </c>
      <c r="K28">
        <f>RANK(1.79,AI:AI,0)</f>
        <v>420</v>
      </c>
      <c r="L28" s="357">
        <v>0</v>
      </c>
      <c r="M28" s="357">
        <v>1</v>
      </c>
      <c r="N28" s="357">
        <v>0</v>
      </c>
      <c r="O28" s="357">
        <v>1</v>
      </c>
      <c r="P28" s="357">
        <v>0</v>
      </c>
      <c r="Q28" s="358">
        <v>0.30598958333333331</v>
      </c>
      <c r="R28" s="359">
        <v>3.1423008849557523</v>
      </c>
      <c r="S28" s="196">
        <v>2565112000</v>
      </c>
      <c r="T28" s="196">
        <v>27200000</v>
      </c>
      <c r="U28" s="200">
        <f t="shared" si="6"/>
        <v>3658400000</v>
      </c>
      <c r="V28" s="196">
        <v>135000000</v>
      </c>
      <c r="W28" s="196">
        <v>256000000</v>
      </c>
      <c r="X28" s="196">
        <v>459000000</v>
      </c>
      <c r="Y28" s="196">
        <v>852000000</v>
      </c>
      <c r="Z28" s="196">
        <v>459000000</v>
      </c>
      <c r="AA28" s="198">
        <v>0.19</v>
      </c>
      <c r="AB28" s="198">
        <v>0.1</v>
      </c>
      <c r="AC28" s="213">
        <f t="shared" si="7"/>
        <v>13</v>
      </c>
      <c r="AD28" s="213">
        <f t="shared" si="8"/>
        <v>17</v>
      </c>
      <c r="AE28" s="213">
        <v>51.93</v>
      </c>
      <c r="AF28" s="196">
        <v>64000000</v>
      </c>
      <c r="AG28" s="104">
        <f t="shared" si="9"/>
        <v>2.3529411764705883</v>
      </c>
      <c r="AH28" s="104">
        <f t="shared" si="10"/>
        <v>0.47407407407407409</v>
      </c>
      <c r="AI28" s="195">
        <v>1.79</v>
      </c>
      <c r="AN28" t="s">
        <v>125</v>
      </c>
      <c r="AO28" s="33">
        <v>-6</v>
      </c>
      <c r="AP28" s="87">
        <v>21</v>
      </c>
      <c r="AQ28" s="33">
        <v>-16</v>
      </c>
      <c r="AR28" s="87">
        <v>-1</v>
      </c>
      <c r="AS28" s="33">
        <v>0</v>
      </c>
      <c r="AT28" s="87">
        <v>34</v>
      </c>
      <c r="AU28" s="33">
        <v>-25</v>
      </c>
      <c r="AV28" s="33">
        <v>0</v>
      </c>
    </row>
    <row r="29" spans="1:48">
      <c r="A29">
        <v>1258</v>
      </c>
      <c r="C29" s="107">
        <f>VLOOKUP(1258,收盤價!$A:$C,3,0)</f>
        <v>37.299999999999997</v>
      </c>
      <c r="D29" s="107">
        <f t="shared" si="0"/>
        <v>9.6112938596491233</v>
      </c>
      <c r="E29" s="167">
        <f t="shared" si="1"/>
        <v>1</v>
      </c>
      <c r="F29" s="104">
        <f t="shared" si="2"/>
        <v>0.56692706393305192</v>
      </c>
      <c r="G29" s="167">
        <f>RANK(4.56,AE:AE,0)</f>
        <v>194</v>
      </c>
      <c r="H29" s="365">
        <f t="shared" si="3"/>
        <v>-0.63352665009665832</v>
      </c>
      <c r="I29" s="213">
        <f t="shared" si="4"/>
        <v>211</v>
      </c>
      <c r="J29" s="213">
        <f t="shared" si="5"/>
        <v>393</v>
      </c>
      <c r="K29">
        <f>RANK(2.58,AI:AI,0)</f>
        <v>220</v>
      </c>
      <c r="L29" s="357">
        <v>0</v>
      </c>
      <c r="M29" s="357">
        <v>0</v>
      </c>
      <c r="N29" s="357">
        <v>0</v>
      </c>
      <c r="O29" s="357">
        <v>1</v>
      </c>
      <c r="P29" s="357">
        <v>0</v>
      </c>
      <c r="Q29" s="358">
        <v>0.21839080459770116</v>
      </c>
      <c r="R29" s="359">
        <v>0.97021276595744665</v>
      </c>
      <c r="S29" s="196">
        <v>2335662000</v>
      </c>
      <c r="T29" s="196">
        <v>35500000</v>
      </c>
      <c r="U29" s="200">
        <f t="shared" si="6"/>
        <v>1324150000</v>
      </c>
      <c r="V29" s="196">
        <v>51000000</v>
      </c>
      <c r="W29" s="196">
        <v>475000000</v>
      </c>
      <c r="X29" s="196">
        <v>621000000</v>
      </c>
      <c r="Y29" s="196">
        <v>858000000</v>
      </c>
      <c r="Z29" s="196">
        <v>36000000</v>
      </c>
      <c r="AA29" s="198">
        <v>0.05</v>
      </c>
      <c r="AB29" s="198">
        <v>0.06</v>
      </c>
      <c r="AC29" s="213">
        <f t="shared" si="7"/>
        <v>247</v>
      </c>
      <c r="AD29" s="213">
        <f t="shared" si="8"/>
        <v>95</v>
      </c>
      <c r="AE29" s="213">
        <v>4.5599999999999996</v>
      </c>
      <c r="AF29" s="196">
        <v>74000000</v>
      </c>
      <c r="AG29" s="104">
        <f t="shared" si="9"/>
        <v>2.084507042253521</v>
      </c>
      <c r="AH29" s="104">
        <f t="shared" si="10"/>
        <v>1.4509803921568627</v>
      </c>
      <c r="AI29" s="195">
        <v>2.58</v>
      </c>
      <c r="AN29" t="s">
        <v>126</v>
      </c>
      <c r="AO29" s="33">
        <v>0</v>
      </c>
      <c r="AP29" s="87">
        <v>0</v>
      </c>
      <c r="AQ29" s="33">
        <v>0</v>
      </c>
      <c r="AR29" s="87">
        <v>0</v>
      </c>
      <c r="AS29" s="33">
        <v>0</v>
      </c>
      <c r="AT29" s="87">
        <v>0</v>
      </c>
      <c r="AU29" s="33">
        <v>0</v>
      </c>
      <c r="AV29" s="33">
        <v>0</v>
      </c>
    </row>
    <row r="30" spans="1:48">
      <c r="A30">
        <v>1259</v>
      </c>
      <c r="C30" s="107">
        <f>VLOOKUP(1259,收盤價!$A:$C,3,0)</f>
        <v>80</v>
      </c>
      <c r="D30" s="107">
        <f t="shared" si="0"/>
        <v>10.492093985517954</v>
      </c>
      <c r="E30" s="167">
        <f t="shared" si="1"/>
        <v>5</v>
      </c>
      <c r="F30" s="104">
        <f t="shared" si="2"/>
        <v>0.56694736248081468</v>
      </c>
      <c r="G30" s="167">
        <f>RANK(2.76,AE:AE,0)</f>
        <v>305</v>
      </c>
      <c r="H30" s="365">
        <f t="shared" si="3"/>
        <v>-2.5183342546526628</v>
      </c>
      <c r="I30" s="213">
        <f t="shared" si="4"/>
        <v>41</v>
      </c>
      <c r="J30" s="213">
        <f t="shared" si="5"/>
        <v>203</v>
      </c>
      <c r="K30">
        <f>RANK(6.39,AI:AI,0)</f>
        <v>43</v>
      </c>
      <c r="L30" s="357">
        <v>1</v>
      </c>
      <c r="M30" s="357">
        <v>1</v>
      </c>
      <c r="N30" s="357">
        <v>1</v>
      </c>
      <c r="O30" s="357">
        <v>1</v>
      </c>
      <c r="P30" s="357">
        <v>1</v>
      </c>
      <c r="Q30" s="358">
        <v>0.28067226890756303</v>
      </c>
      <c r="R30" s="359">
        <v>1.9061971830985915</v>
      </c>
      <c r="S30" s="196">
        <v>4571853000</v>
      </c>
      <c r="T30" s="196">
        <v>32400000</v>
      </c>
      <c r="U30" s="200">
        <f t="shared" si="6"/>
        <v>2592000000</v>
      </c>
      <c r="V30" s="196">
        <v>67000000</v>
      </c>
      <c r="W30" s="196">
        <v>1181000000</v>
      </c>
      <c r="X30" s="196">
        <v>316000000</v>
      </c>
      <c r="Y30" s="196">
        <v>1651000000</v>
      </c>
      <c r="Z30" s="196">
        <v>0</v>
      </c>
      <c r="AA30" s="198">
        <v>0.04</v>
      </c>
      <c r="AB30" s="198">
        <v>0.04</v>
      </c>
      <c r="AC30" s="213">
        <f t="shared" si="7"/>
        <v>337</v>
      </c>
      <c r="AD30" s="213">
        <f t="shared" si="8"/>
        <v>228</v>
      </c>
      <c r="AE30" s="213">
        <v>2.76</v>
      </c>
      <c r="AF30" s="196">
        <v>158000000</v>
      </c>
      <c r="AG30" s="104">
        <f t="shared" si="9"/>
        <v>4.8765432098765435</v>
      </c>
      <c r="AH30" s="104">
        <f t="shared" si="10"/>
        <v>2.3582089552238807</v>
      </c>
      <c r="AI30" s="195">
        <v>6.39</v>
      </c>
      <c r="AN30" t="s">
        <v>127</v>
      </c>
      <c r="AO30" s="33">
        <v>0</v>
      </c>
      <c r="AP30" s="87">
        <v>0</v>
      </c>
      <c r="AQ30" s="33">
        <v>0</v>
      </c>
      <c r="AR30" s="87">
        <v>-18</v>
      </c>
      <c r="AS30" s="33">
        <v>0</v>
      </c>
      <c r="AT30" s="87">
        <v>0</v>
      </c>
      <c r="AU30" s="33">
        <v>0</v>
      </c>
      <c r="AV30" s="33">
        <v>-63</v>
      </c>
    </row>
    <row r="31" spans="1:48">
      <c r="A31">
        <v>1262</v>
      </c>
      <c r="C31" s="107">
        <f>VLOOKUP(1262,收盤價!$A:$C,3,0)</f>
        <v>170</v>
      </c>
      <c r="D31" s="107">
        <f t="shared" si="0"/>
        <v>13.736820762368206</v>
      </c>
      <c r="E31" s="167">
        <f t="shared" si="1"/>
        <v>5</v>
      </c>
      <c r="F31" s="104">
        <f t="shared" si="2"/>
        <v>3.8790301886734468</v>
      </c>
      <c r="G31" s="167">
        <f>RANK(5.79,AE:AE,0)</f>
        <v>129</v>
      </c>
      <c r="H31" s="365">
        <f t="shared" si="3"/>
        <v>-1.729204614450516</v>
      </c>
      <c r="I31" s="213">
        <f t="shared" si="4"/>
        <v>180</v>
      </c>
      <c r="J31" s="213">
        <f t="shared" si="5"/>
        <v>646</v>
      </c>
      <c r="K31">
        <f>RANK(1.89,AI:AI,0)</f>
        <v>384</v>
      </c>
      <c r="L31" s="357">
        <v>1</v>
      </c>
      <c r="M31" s="357">
        <v>1</v>
      </c>
      <c r="N31" s="357">
        <v>2</v>
      </c>
      <c r="O31" s="357">
        <v>1</v>
      </c>
      <c r="P31" s="357">
        <v>0</v>
      </c>
      <c r="Q31" s="358">
        <v>0.37679494543365882</v>
      </c>
      <c r="R31" s="359">
        <v>3.0938745387453879</v>
      </c>
      <c r="S31" s="196">
        <v>6508070000</v>
      </c>
      <c r="T31" s="196">
        <v>148500000</v>
      </c>
      <c r="U31" s="200">
        <f t="shared" si="6"/>
        <v>25245000000</v>
      </c>
      <c r="V31" s="196">
        <v>549000000</v>
      </c>
      <c r="W31" s="196">
        <v>2201000000</v>
      </c>
      <c r="X31" s="196">
        <v>6760000000</v>
      </c>
      <c r="Y31" s="196">
        <v>9812000000</v>
      </c>
      <c r="Z31" s="196">
        <v>97000000</v>
      </c>
      <c r="AA31" s="198">
        <v>0.06</v>
      </c>
      <c r="AB31" s="198">
        <v>0.06</v>
      </c>
      <c r="AC31" s="213">
        <f t="shared" si="7"/>
        <v>174</v>
      </c>
      <c r="AD31" s="213">
        <f t="shared" si="8"/>
        <v>95</v>
      </c>
      <c r="AE31" s="213">
        <v>5.79</v>
      </c>
      <c r="AF31" s="196">
        <v>352000000</v>
      </c>
      <c r="AG31" s="104">
        <f t="shared" si="9"/>
        <v>2.3703703703703702</v>
      </c>
      <c r="AH31" s="104">
        <f t="shared" si="10"/>
        <v>0.64116575591985425</v>
      </c>
      <c r="AI31" s="195">
        <v>1.89</v>
      </c>
      <c r="AN31" t="s">
        <v>128</v>
      </c>
      <c r="AO31" s="33">
        <v>0</v>
      </c>
      <c r="AP31" s="87">
        <v>0</v>
      </c>
      <c r="AQ31" s="33">
        <v>0</v>
      </c>
      <c r="AR31" s="87">
        <v>0</v>
      </c>
      <c r="AS31" s="33">
        <v>0</v>
      </c>
      <c r="AT31" s="87">
        <v>0</v>
      </c>
      <c r="AU31" s="33">
        <v>0</v>
      </c>
      <c r="AV31" s="33">
        <v>0</v>
      </c>
    </row>
    <row r="32" spans="1:48">
      <c r="A32">
        <v>1264</v>
      </c>
      <c r="C32" s="107">
        <f>VLOOKUP(1264,收盤價!$A:$C,3,0)</f>
        <v>192</v>
      </c>
      <c r="D32" s="107">
        <f t="shared" si="0"/>
        <v>13.721139430284857</v>
      </c>
      <c r="E32" s="167">
        <f t="shared" si="1"/>
        <v>3</v>
      </c>
      <c r="F32" s="104">
        <f t="shared" si="2"/>
        <v>1.5193062993078923</v>
      </c>
      <c r="G32" s="167">
        <f>RANK(7.87,AE:AE,0)</f>
        <v>100</v>
      </c>
      <c r="H32" s="365">
        <f t="shared" si="3"/>
        <v>-4.4249699879951976</v>
      </c>
      <c r="I32" s="213">
        <f t="shared" si="4"/>
        <v>28</v>
      </c>
      <c r="J32" s="213">
        <f t="shared" si="5"/>
        <v>481</v>
      </c>
      <c r="K32">
        <f>RANK(3.06,AI:AI,0)</f>
        <v>159</v>
      </c>
      <c r="L32" s="357">
        <v>0</v>
      </c>
      <c r="M32" s="357">
        <v>1</v>
      </c>
      <c r="N32" s="357">
        <v>1</v>
      </c>
      <c r="O32" s="357">
        <v>1</v>
      </c>
      <c r="P32" s="357">
        <v>0</v>
      </c>
      <c r="Q32" s="358">
        <v>0.36824696802646084</v>
      </c>
      <c r="R32" s="359">
        <v>3.4982517482517483</v>
      </c>
      <c r="S32" s="196">
        <v>3867028000</v>
      </c>
      <c r="T32" s="196">
        <v>30600000</v>
      </c>
      <c r="U32" s="200">
        <f t="shared" si="6"/>
        <v>5875200000</v>
      </c>
      <c r="V32" s="196">
        <v>147000000</v>
      </c>
      <c r="W32" s="196">
        <v>1327000000</v>
      </c>
      <c r="X32" s="196">
        <v>668000000</v>
      </c>
      <c r="Y32" s="196">
        <v>2170000000</v>
      </c>
      <c r="Z32" s="196">
        <v>31000000</v>
      </c>
      <c r="AA32" s="198">
        <v>7.0000000000000007E-2</v>
      </c>
      <c r="AB32" s="198">
        <v>7.0000000000000007E-2</v>
      </c>
      <c r="AC32" s="213">
        <f t="shared" si="7"/>
        <v>134</v>
      </c>
      <c r="AD32" s="213">
        <f t="shared" si="8"/>
        <v>64</v>
      </c>
      <c r="AE32" s="213">
        <v>7.87</v>
      </c>
      <c r="AF32" s="196">
        <v>171000000</v>
      </c>
      <c r="AG32" s="104">
        <f t="shared" si="9"/>
        <v>5.5882352941176467</v>
      </c>
      <c r="AH32" s="104">
        <f t="shared" si="10"/>
        <v>1.1632653061224489</v>
      </c>
      <c r="AI32" s="195">
        <v>3.06</v>
      </c>
      <c r="AN32" t="s">
        <v>129</v>
      </c>
      <c r="AO32" s="33">
        <v>30</v>
      </c>
      <c r="AP32" s="33">
        <v>-8</v>
      </c>
      <c r="AQ32" s="33">
        <v>-56</v>
      </c>
      <c r="AR32" s="33">
        <v>56</v>
      </c>
      <c r="AS32" s="33">
        <v>-63</v>
      </c>
      <c r="AT32" s="33">
        <v>-18</v>
      </c>
      <c r="AU32" s="33">
        <v>-207</v>
      </c>
      <c r="AV32" s="33">
        <v>291</v>
      </c>
    </row>
    <row r="33" spans="1:48">
      <c r="A33">
        <v>1301</v>
      </c>
      <c r="C33" s="107">
        <f>VLOOKUP(1301,收盤價!$A:$C,3,0)</f>
        <v>84.1</v>
      </c>
      <c r="D33" s="107">
        <f t="shared" si="0"/>
        <v>51.346038591461934</v>
      </c>
      <c r="E33" s="167">
        <f t="shared" si="1"/>
        <v>2</v>
      </c>
      <c r="F33" s="104">
        <f t="shared" si="2"/>
        <v>2.9849056949037469</v>
      </c>
      <c r="G33" s="167">
        <f>RANK(1.2,AE:AE,0)</f>
        <v>710</v>
      </c>
      <c r="H33" s="365">
        <f t="shared" si="3"/>
        <v>0.71984005802341233</v>
      </c>
      <c r="I33" s="213">
        <f t="shared" si="4"/>
        <v>621</v>
      </c>
      <c r="J33" s="213">
        <f t="shared" si="5"/>
        <v>382</v>
      </c>
      <c r="K33">
        <f>RANK(1.55,AI:AI,0)</f>
        <v>529</v>
      </c>
      <c r="L33" s="357">
        <v>0</v>
      </c>
      <c r="M33" s="357">
        <v>1</v>
      </c>
      <c r="N33" s="357">
        <v>0</v>
      </c>
      <c r="O33" s="357">
        <v>1</v>
      </c>
      <c r="P33" s="357">
        <v>0</v>
      </c>
      <c r="Q33" s="358">
        <v>0.1252036875823121</v>
      </c>
      <c r="R33" s="359">
        <v>0.40947657456667236</v>
      </c>
      <c r="S33" s="196">
        <v>179354199000</v>
      </c>
      <c r="T33" s="196">
        <v>6365700000</v>
      </c>
      <c r="U33" s="200">
        <f t="shared" si="6"/>
        <v>535355369999.99994</v>
      </c>
      <c r="V33" s="196">
        <v>3295000000</v>
      </c>
      <c r="W33" s="196">
        <v>62216000000</v>
      </c>
      <c r="X33" s="196">
        <v>77341000000</v>
      </c>
      <c r="Y33" s="196">
        <v>275971000000</v>
      </c>
      <c r="Z33" s="196">
        <v>41793000000</v>
      </c>
      <c r="AA33" s="198">
        <v>0.02</v>
      </c>
      <c r="AB33" s="198">
        <v>0.01</v>
      </c>
      <c r="AC33" s="213">
        <f t="shared" si="7"/>
        <v>616</v>
      </c>
      <c r="AD33" s="213">
        <f t="shared" si="8"/>
        <v>680</v>
      </c>
      <c r="AE33" s="213">
        <v>1.2</v>
      </c>
      <c r="AF33" s="196">
        <v>4917000000</v>
      </c>
      <c r="AG33" s="104">
        <f t="shared" si="9"/>
        <v>0.77242094349403834</v>
      </c>
      <c r="AH33" s="104">
        <f t="shared" si="10"/>
        <v>1.4922610015174507</v>
      </c>
      <c r="AI33" s="195">
        <v>1.55</v>
      </c>
      <c r="AN33" t="s">
        <v>130</v>
      </c>
      <c r="AO33" s="33">
        <v>0</v>
      </c>
      <c r="AP33" s="33">
        <v>0</v>
      </c>
      <c r="AQ33" s="33">
        <v>0</v>
      </c>
      <c r="AR33" s="33">
        <v>0</v>
      </c>
      <c r="AS33" s="33">
        <v>0</v>
      </c>
      <c r="AT33" s="33">
        <v>0</v>
      </c>
      <c r="AU33" s="33">
        <v>0</v>
      </c>
      <c r="AV33" s="33">
        <v>0</v>
      </c>
    </row>
    <row r="34" spans="1:48">
      <c r="A34">
        <v>1303</v>
      </c>
      <c r="C34" s="107">
        <f>VLOOKUP(1303,收盤價!$A:$C,3,0)</f>
        <v>64.5</v>
      </c>
      <c r="D34" s="107">
        <f t="shared" si="0"/>
        <v>15.357142857142856</v>
      </c>
      <c r="E34" s="167">
        <f t="shared" si="1"/>
        <v>4</v>
      </c>
      <c r="F34" s="104">
        <f t="shared" si="2"/>
        <v>1.8929841092301352</v>
      </c>
      <c r="G34" s="167">
        <f>RANK(0.84,AE:AE,0)</f>
        <v>946</v>
      </c>
      <c r="H34" s="365">
        <f t="shared" si="3"/>
        <v>-1.2061834871639683</v>
      </c>
      <c r="I34" s="213">
        <f t="shared" si="4"/>
        <v>430</v>
      </c>
      <c r="J34" s="213">
        <f t="shared" si="5"/>
        <v>768</v>
      </c>
      <c r="K34">
        <f>RANK(1.3,AI:AI,0)</f>
        <v>676</v>
      </c>
      <c r="L34" s="357">
        <v>0</v>
      </c>
      <c r="M34" s="357">
        <v>1</v>
      </c>
      <c r="N34" s="357">
        <v>2</v>
      </c>
      <c r="O34" s="357">
        <v>1</v>
      </c>
      <c r="P34" s="357">
        <v>0</v>
      </c>
      <c r="Q34" s="358">
        <v>0.11316745794502081</v>
      </c>
      <c r="R34" s="359">
        <v>1.05</v>
      </c>
      <c r="S34" s="196">
        <v>270227625000</v>
      </c>
      <c r="T34" s="196">
        <v>7930800000</v>
      </c>
      <c r="U34" s="200">
        <f t="shared" si="6"/>
        <v>511536600000</v>
      </c>
      <c r="V34" s="196">
        <v>0</v>
      </c>
      <c r="W34" s="196">
        <v>123089000000</v>
      </c>
      <c r="X34" s="196">
        <v>131948000000</v>
      </c>
      <c r="Y34" s="196">
        <v>320630000000</v>
      </c>
      <c r="Z34" s="196">
        <v>28946000000</v>
      </c>
      <c r="AA34" s="198">
        <v>0</v>
      </c>
      <c r="AB34" s="198">
        <v>0</v>
      </c>
      <c r="AC34" s="213">
        <f t="shared" si="7"/>
        <v>945</v>
      </c>
      <c r="AD34" s="213">
        <f t="shared" si="8"/>
        <v>911</v>
      </c>
      <c r="AE34" s="213">
        <v>0.84</v>
      </c>
      <c r="AF34" s="196">
        <v>9566000000</v>
      </c>
      <c r="AG34" s="104">
        <f t="shared" si="9"/>
        <v>1.2061834871639683</v>
      </c>
      <c r="AH34" s="104">
        <f t="shared" si="10"/>
        <v>0</v>
      </c>
      <c r="AI34" s="195">
        <v>1.3</v>
      </c>
      <c r="AN34" t="s">
        <v>131</v>
      </c>
      <c r="AO34" s="33">
        <v>0</v>
      </c>
      <c r="AP34" s="87">
        <v>0</v>
      </c>
      <c r="AQ34" s="33">
        <v>0</v>
      </c>
      <c r="AR34" s="87">
        <v>0</v>
      </c>
      <c r="AS34" s="33">
        <v>0</v>
      </c>
      <c r="AT34" s="87">
        <v>0</v>
      </c>
      <c r="AU34" s="33">
        <v>0</v>
      </c>
      <c r="AV34" s="33">
        <v>0</v>
      </c>
    </row>
    <row r="35" spans="1:48">
      <c r="A35">
        <v>1304</v>
      </c>
      <c r="C35" s="107">
        <f>VLOOKUP(1304,收盤價!$A:$C,3,0)</f>
        <v>15.8</v>
      </c>
      <c r="D35" s="107">
        <f t="shared" si="0"/>
        <v>9.9012392127354385</v>
      </c>
      <c r="E35" s="167">
        <f t="shared" si="1"/>
        <v>5</v>
      </c>
      <c r="F35" s="104">
        <f t="shared" si="2"/>
        <v>0.35164588066878921</v>
      </c>
      <c r="G35" s="167">
        <f>RANK(1.63,AE:AE,0)</f>
        <v>551</v>
      </c>
      <c r="H35" s="365">
        <f t="shared" si="3"/>
        <v>8.3571562556076506E-3</v>
      </c>
      <c r="I35" s="213">
        <f t="shared" si="4"/>
        <v>1015</v>
      </c>
      <c r="J35" s="213">
        <f t="shared" si="5"/>
        <v>757</v>
      </c>
      <c r="K35">
        <f>RANK(0.88,AI:AI,0)</f>
        <v>1021</v>
      </c>
      <c r="L35" s="357">
        <v>1</v>
      </c>
      <c r="M35" s="357">
        <v>1</v>
      </c>
      <c r="N35" s="357">
        <v>2</v>
      </c>
      <c r="O35" s="357">
        <v>1</v>
      </c>
      <c r="P35" s="357">
        <v>0</v>
      </c>
      <c r="Q35" s="358">
        <v>0.14415770069972161</v>
      </c>
      <c r="R35" s="359">
        <v>0.39893996247654784</v>
      </c>
      <c r="S35" s="196">
        <v>51338807000</v>
      </c>
      <c r="T35" s="196">
        <v>1142600000</v>
      </c>
      <c r="U35" s="200">
        <f t="shared" si="6"/>
        <v>18053080000</v>
      </c>
      <c r="V35" s="196">
        <v>1033000000</v>
      </c>
      <c r="W35" s="196">
        <v>15940000000</v>
      </c>
      <c r="X35" s="196">
        <v>22868000000</v>
      </c>
      <c r="Y35" s="196">
        <v>31243000000</v>
      </c>
      <c r="Z35" s="196">
        <v>10916000000</v>
      </c>
      <c r="AA35" s="198">
        <v>0.03</v>
      </c>
      <c r="AB35" s="198">
        <v>0.02</v>
      </c>
      <c r="AC35" s="213">
        <f t="shared" si="7"/>
        <v>469</v>
      </c>
      <c r="AD35" s="213">
        <f t="shared" si="8"/>
        <v>487</v>
      </c>
      <c r="AE35" s="213">
        <v>1.63</v>
      </c>
      <c r="AF35" s="196">
        <v>90000000</v>
      </c>
      <c r="AG35" s="104">
        <f t="shared" si="9"/>
        <v>7.8767722737615967E-2</v>
      </c>
      <c r="AH35" s="104">
        <f t="shared" si="10"/>
        <v>8.7124878993223617E-2</v>
      </c>
      <c r="AI35" s="195">
        <v>0.88</v>
      </c>
      <c r="AN35" t="s">
        <v>132</v>
      </c>
      <c r="AO35" s="33">
        <v>0</v>
      </c>
      <c r="AP35" s="87">
        <v>0</v>
      </c>
      <c r="AQ35" s="33">
        <v>0</v>
      </c>
      <c r="AR35" s="87">
        <v>0</v>
      </c>
      <c r="AS35" s="33">
        <v>0</v>
      </c>
      <c r="AT35" s="87">
        <v>0</v>
      </c>
      <c r="AU35" s="33">
        <v>0</v>
      </c>
      <c r="AV35" s="33">
        <v>0</v>
      </c>
    </row>
    <row r="36" spans="1:48">
      <c r="A36">
        <v>1305</v>
      </c>
      <c r="C36" s="107">
        <f>VLOOKUP(1305,收盤價!$A:$C,3,0)</f>
        <v>22.7</v>
      </c>
      <c r="D36" s="107">
        <f t="shared" si="0"/>
        <v>6.717379195098176</v>
      </c>
      <c r="E36" s="167">
        <f t="shared" si="1"/>
        <v>3</v>
      </c>
      <c r="F36" s="104">
        <f t="shared" si="2"/>
        <v>0.76401483727147546</v>
      </c>
      <c r="G36" s="167">
        <f>RANK(6.55,AE:AE,0)</f>
        <v>122</v>
      </c>
      <c r="H36" s="365">
        <f t="shared" si="3"/>
        <v>-0.1268016769089102</v>
      </c>
      <c r="I36" s="213">
        <f t="shared" si="4"/>
        <v>282</v>
      </c>
      <c r="J36" s="213">
        <f t="shared" si="5"/>
        <v>351</v>
      </c>
      <c r="K36">
        <f>RANK(2.46,AI:AI,0)</f>
        <v>246</v>
      </c>
      <c r="L36" s="357">
        <v>1</v>
      </c>
      <c r="M36" s="357">
        <v>1</v>
      </c>
      <c r="N36" s="357">
        <v>0</v>
      </c>
      <c r="O36" s="357">
        <v>1</v>
      </c>
      <c r="P36" s="357">
        <v>0</v>
      </c>
      <c r="Q36" s="358">
        <v>0.22052154195011339</v>
      </c>
      <c r="R36" s="359">
        <v>0.84482352941176464</v>
      </c>
      <c r="S36" s="196">
        <v>13913879000</v>
      </c>
      <c r="T36" s="196">
        <v>468300000</v>
      </c>
      <c r="U36" s="200">
        <f t="shared" si="6"/>
        <v>10630410000</v>
      </c>
      <c r="V36" s="196">
        <v>506000000</v>
      </c>
      <c r="W36" s="196">
        <v>3655000000</v>
      </c>
      <c r="X36" s="196">
        <v>5072000000</v>
      </c>
      <c r="Y36" s="196">
        <v>6889000000</v>
      </c>
      <c r="Z36" s="196">
        <v>838000000</v>
      </c>
      <c r="AA36" s="198">
        <v>0.06</v>
      </c>
      <c r="AB36" s="198">
        <v>7.0000000000000007E-2</v>
      </c>
      <c r="AC36" s="213">
        <f t="shared" si="7"/>
        <v>174</v>
      </c>
      <c r="AD36" s="213">
        <f t="shared" si="8"/>
        <v>64</v>
      </c>
      <c r="AE36" s="213">
        <v>6.55</v>
      </c>
      <c r="AF36" s="196">
        <v>797000000</v>
      </c>
      <c r="AG36" s="104">
        <f t="shared" si="9"/>
        <v>1.7019004911381592</v>
      </c>
      <c r="AH36" s="104">
        <f t="shared" si="10"/>
        <v>1.575098814229249</v>
      </c>
      <c r="AI36" s="195">
        <v>2.46</v>
      </c>
      <c r="AN36" t="s">
        <v>133</v>
      </c>
      <c r="AO36" s="33">
        <v>0</v>
      </c>
      <c r="AP36" s="87">
        <v>0</v>
      </c>
      <c r="AQ36" s="33">
        <v>0</v>
      </c>
      <c r="AR36" s="87">
        <v>0</v>
      </c>
      <c r="AS36" s="33">
        <v>0</v>
      </c>
      <c r="AT36" s="87">
        <v>0</v>
      </c>
      <c r="AU36" s="33">
        <v>0</v>
      </c>
      <c r="AV36" s="33">
        <v>0</v>
      </c>
    </row>
    <row r="37" spans="1:48">
      <c r="A37">
        <v>1307</v>
      </c>
      <c r="C37" s="107">
        <f>VLOOKUP(1307,收盤價!$A:$C,3,0)</f>
        <v>35.5</v>
      </c>
      <c r="D37" s="107">
        <f t="shared" si="0"/>
        <v>13.742631923652693</v>
      </c>
      <c r="E37" s="167">
        <f t="shared" si="1"/>
        <v>2</v>
      </c>
      <c r="F37" s="104">
        <f t="shared" si="2"/>
        <v>1.2227021037814128</v>
      </c>
      <c r="G37" s="167">
        <f>RANK(1.94,AE:AE,0)</f>
        <v>435</v>
      </c>
      <c r="H37" s="365">
        <f t="shared" si="3"/>
        <v>0.30198706692856936</v>
      </c>
      <c r="I37" s="213">
        <f t="shared" si="4"/>
        <v>175</v>
      </c>
      <c r="J37" s="213">
        <f t="shared" si="5"/>
        <v>173</v>
      </c>
      <c r="K37">
        <f>RANK(4.48,AI:AI,0)</f>
        <v>85</v>
      </c>
      <c r="L37" s="357">
        <v>0</v>
      </c>
      <c r="M37" s="357">
        <v>1</v>
      </c>
      <c r="N37" s="357">
        <v>0</v>
      </c>
      <c r="O37" s="357">
        <v>1</v>
      </c>
      <c r="P37" s="357">
        <v>0</v>
      </c>
      <c r="Q37" s="358">
        <v>0.29952267303102625</v>
      </c>
      <c r="R37" s="359">
        <v>0.64580060422960728</v>
      </c>
      <c r="S37" s="196">
        <v>11212952000</v>
      </c>
      <c r="T37" s="196">
        <v>386200000</v>
      </c>
      <c r="U37" s="200">
        <f t="shared" si="6"/>
        <v>13710100000</v>
      </c>
      <c r="V37" s="196">
        <v>343000000</v>
      </c>
      <c r="W37" s="196">
        <v>4134000000</v>
      </c>
      <c r="X37" s="196">
        <v>5873000000</v>
      </c>
      <c r="Y37" s="196">
        <v>8307000000</v>
      </c>
      <c r="Z37" s="196">
        <v>1671000000</v>
      </c>
      <c r="AA37" s="198">
        <v>0.03</v>
      </c>
      <c r="AB37" s="198">
        <v>0.03</v>
      </c>
      <c r="AC37" s="213">
        <f t="shared" si="7"/>
        <v>469</v>
      </c>
      <c r="AD37" s="213">
        <f t="shared" si="8"/>
        <v>334</v>
      </c>
      <c r="AE37" s="213">
        <v>1.94</v>
      </c>
      <c r="AF37" s="196">
        <v>926000000</v>
      </c>
      <c r="AG37" s="104">
        <f t="shared" si="9"/>
        <v>2.3977213878819263</v>
      </c>
      <c r="AH37" s="104">
        <f t="shared" si="10"/>
        <v>2.6997084548104957</v>
      </c>
      <c r="AI37" s="195">
        <v>4.4800000000000004</v>
      </c>
      <c r="AN37" t="s">
        <v>134</v>
      </c>
      <c r="AO37" s="33">
        <v>0</v>
      </c>
      <c r="AP37" s="87">
        <v>0</v>
      </c>
      <c r="AQ37" s="33">
        <v>-1</v>
      </c>
      <c r="AR37" s="87">
        <v>1</v>
      </c>
      <c r="AS37" s="33">
        <v>0</v>
      </c>
      <c r="AT37" s="87">
        <v>0</v>
      </c>
      <c r="AU37" s="33">
        <v>0</v>
      </c>
      <c r="AV37" s="33">
        <v>0</v>
      </c>
    </row>
    <row r="38" spans="1:48">
      <c r="A38">
        <v>1308</v>
      </c>
      <c r="C38" s="107">
        <f>VLOOKUP(1308,收盤價!$A:$C,3,0)</f>
        <v>18.75</v>
      </c>
      <c r="D38" s="107">
        <f t="shared" si="0"/>
        <v>18.59756097560976</v>
      </c>
      <c r="E38" s="167">
        <f t="shared" si="1"/>
        <v>2</v>
      </c>
      <c r="F38" s="104">
        <f t="shared" si="2"/>
        <v>1.7605999157348988</v>
      </c>
      <c r="G38" s="167">
        <f>RANK(1.2,AE:AE,0)</f>
        <v>710</v>
      </c>
      <c r="H38" s="365">
        <f t="shared" si="3"/>
        <v>2.0235198702351989</v>
      </c>
      <c r="I38" s="213">
        <f t="shared" si="4"/>
        <v>1513</v>
      </c>
      <c r="J38" s="213">
        <f t="shared" si="5"/>
        <v>768</v>
      </c>
      <c r="K38">
        <f>RANK(0.68,AI:AI,0)</f>
        <v>1507</v>
      </c>
      <c r="L38" s="357">
        <v>1</v>
      </c>
      <c r="M38" s="357">
        <v>1</v>
      </c>
      <c r="N38" s="357">
        <v>0</v>
      </c>
      <c r="O38" s="357">
        <v>0</v>
      </c>
      <c r="P38" s="357">
        <v>0</v>
      </c>
      <c r="Q38" s="358">
        <v>0.15719844357976653</v>
      </c>
      <c r="R38" s="359">
        <v>0.25204918032786883</v>
      </c>
      <c r="S38" s="196">
        <v>5252471000</v>
      </c>
      <c r="T38" s="196">
        <v>493200000</v>
      </c>
      <c r="U38" s="200">
        <f t="shared" si="6"/>
        <v>9247500000</v>
      </c>
      <c r="V38" s="196">
        <v>151000000</v>
      </c>
      <c r="W38" s="196">
        <v>2843000000</v>
      </c>
      <c r="X38" s="196">
        <v>3828000000</v>
      </c>
      <c r="Y38" s="196">
        <v>8745000000</v>
      </c>
      <c r="Z38" s="196">
        <v>2200000000</v>
      </c>
      <c r="AA38" s="198">
        <v>0.02</v>
      </c>
      <c r="AB38" s="198">
        <v>0.01</v>
      </c>
      <c r="AC38" s="213">
        <f t="shared" si="7"/>
        <v>616</v>
      </c>
      <c r="AD38" s="213">
        <f t="shared" si="8"/>
        <v>680</v>
      </c>
      <c r="AE38" s="213">
        <v>1.2</v>
      </c>
      <c r="AF38" s="196">
        <v>-998000000</v>
      </c>
      <c r="AG38" s="104">
        <f t="shared" si="9"/>
        <v>-2.0235198702351989</v>
      </c>
      <c r="AH38" s="104">
        <f t="shared" si="10"/>
        <v>0</v>
      </c>
      <c r="AI38" s="195">
        <v>0.68</v>
      </c>
      <c r="AN38" t="s">
        <v>135</v>
      </c>
      <c r="AO38" s="33">
        <v>30</v>
      </c>
      <c r="AP38" s="87">
        <v>-8</v>
      </c>
      <c r="AQ38" s="33">
        <v>-57</v>
      </c>
      <c r="AR38" s="87">
        <v>39</v>
      </c>
      <c r="AS38" s="33">
        <v>-63</v>
      </c>
      <c r="AT38" s="87">
        <v>-18</v>
      </c>
      <c r="AU38" s="33">
        <v>-207</v>
      </c>
      <c r="AV38" s="33">
        <v>228</v>
      </c>
    </row>
    <row r="39" spans="1:48">
      <c r="A39">
        <v>1309</v>
      </c>
      <c r="C39" s="107">
        <f>VLOOKUP(1309,收盤價!$A:$C,3,0)</f>
        <v>8.33</v>
      </c>
      <c r="D39" s="107">
        <f t="shared" si="0"/>
        <v>0</v>
      </c>
      <c r="E39" s="167">
        <f t="shared" si="1"/>
        <v>3</v>
      </c>
      <c r="F39" s="104">
        <f t="shared" si="2"/>
        <v>0.17573169905801447</v>
      </c>
      <c r="G39" s="167">
        <f>RANK(1.08,AE:AE,0)</f>
        <v>769</v>
      </c>
      <c r="H39" s="365">
        <f t="shared" si="3"/>
        <v>3.7748868928367676</v>
      </c>
      <c r="I39" s="213">
        <f t="shared" si="4"/>
        <v>686</v>
      </c>
      <c r="J39" s="213">
        <f t="shared" si="5"/>
        <v>98</v>
      </c>
      <c r="K39">
        <f>RANK(1.99,AI:AI,0)</f>
        <v>342</v>
      </c>
      <c r="L39" s="357">
        <v>0</v>
      </c>
      <c r="M39" s="357">
        <v>0</v>
      </c>
      <c r="N39" s="357">
        <v>2</v>
      </c>
      <c r="O39" s="357">
        <v>1</v>
      </c>
      <c r="P39" s="357">
        <v>0</v>
      </c>
      <c r="Q39" s="358">
        <v>4.9723756906077346E-2</v>
      </c>
      <c r="R39" s="359">
        <v>0</v>
      </c>
      <c r="S39" s="196">
        <v>15533572000</v>
      </c>
      <c r="T39" s="196">
        <v>327700000</v>
      </c>
      <c r="U39" s="200">
        <f t="shared" si="6"/>
        <v>2729741000</v>
      </c>
      <c r="V39" s="196">
        <v>46000000</v>
      </c>
      <c r="W39" s="196">
        <v>1559000000</v>
      </c>
      <c r="X39" s="196">
        <v>2478000000</v>
      </c>
      <c r="Y39" s="196">
        <v>3365000000</v>
      </c>
      <c r="Z39" s="196">
        <v>2259000000</v>
      </c>
      <c r="AA39" s="198">
        <v>0.01</v>
      </c>
      <c r="AB39" s="198">
        <v>0.01</v>
      </c>
      <c r="AC39" s="213">
        <f t="shared" si="7"/>
        <v>769</v>
      </c>
      <c r="AD39" s="213">
        <f t="shared" si="8"/>
        <v>680</v>
      </c>
      <c r="AE39" s="213">
        <v>1.08</v>
      </c>
      <c r="AF39" s="196">
        <v>202000000</v>
      </c>
      <c r="AG39" s="104">
        <f t="shared" si="9"/>
        <v>0.61641745498931955</v>
      </c>
      <c r="AH39" s="104">
        <f t="shared" si="10"/>
        <v>4.3913043478260869</v>
      </c>
      <c r="AI39" s="195">
        <v>1.99</v>
      </c>
      <c r="AN39" t="s">
        <v>136</v>
      </c>
      <c r="AO39" s="33">
        <v>0</v>
      </c>
      <c r="AP39" s="87">
        <v>0</v>
      </c>
      <c r="AQ39" s="33">
        <v>0</v>
      </c>
      <c r="AR39" s="87">
        <v>0</v>
      </c>
      <c r="AS39" s="33">
        <v>0</v>
      </c>
      <c r="AT39" s="87">
        <v>0</v>
      </c>
      <c r="AU39" s="33">
        <v>0</v>
      </c>
      <c r="AV39" s="33">
        <v>0</v>
      </c>
    </row>
    <row r="40" spans="1:48">
      <c r="A40">
        <v>1310</v>
      </c>
      <c r="C40" s="107">
        <f>VLOOKUP(1310,收盤價!$A:$C,3,0)</f>
        <v>16.899999999999999</v>
      </c>
      <c r="D40" s="107">
        <f t="shared" si="0"/>
        <v>8.5704495614035086</v>
      </c>
      <c r="E40" s="167">
        <f t="shared" si="1"/>
        <v>2</v>
      </c>
      <c r="F40" s="104">
        <f t="shared" si="2"/>
        <v>0.66853079254699344</v>
      </c>
      <c r="G40" s="167">
        <f>RANK(3.88,AE:AE,0)</f>
        <v>240</v>
      </c>
      <c r="H40" s="365">
        <f t="shared" si="3"/>
        <v>0.66416543616962165</v>
      </c>
      <c r="I40" s="213">
        <f t="shared" si="4"/>
        <v>515</v>
      </c>
      <c r="J40" s="213">
        <f t="shared" si="5"/>
        <v>332</v>
      </c>
      <c r="K40">
        <f>RANK(1.84,AI:AI,0)</f>
        <v>398</v>
      </c>
      <c r="L40" s="357">
        <v>0</v>
      </c>
      <c r="M40" s="357">
        <v>0</v>
      </c>
      <c r="N40" s="357">
        <v>1</v>
      </c>
      <c r="O40" s="357">
        <v>1</v>
      </c>
      <c r="P40" s="357">
        <v>0</v>
      </c>
      <c r="Q40" s="358">
        <v>0.1289530242554498</v>
      </c>
      <c r="R40" s="359">
        <v>0.49297297297297299</v>
      </c>
      <c r="S40" s="196">
        <v>13344950000</v>
      </c>
      <c r="T40" s="196">
        <v>527900000</v>
      </c>
      <c r="U40" s="200">
        <f t="shared" si="6"/>
        <v>8921510000</v>
      </c>
      <c r="V40" s="196">
        <v>317000000</v>
      </c>
      <c r="W40" s="196">
        <v>983000000</v>
      </c>
      <c r="X40" s="196">
        <v>4605000000</v>
      </c>
      <c r="Y40" s="196">
        <v>6589000000</v>
      </c>
      <c r="Z40" s="196">
        <v>1301000000</v>
      </c>
      <c r="AA40" s="198">
        <v>0.06</v>
      </c>
      <c r="AB40" s="198">
        <v>0.04</v>
      </c>
      <c r="AC40" s="213">
        <f t="shared" si="7"/>
        <v>174</v>
      </c>
      <c r="AD40" s="213">
        <f t="shared" si="8"/>
        <v>228</v>
      </c>
      <c r="AE40" s="213">
        <v>3.88</v>
      </c>
      <c r="AF40" s="196">
        <v>527000000</v>
      </c>
      <c r="AG40" s="104">
        <f t="shared" si="9"/>
        <v>0.9982951316537223</v>
      </c>
      <c r="AH40" s="104">
        <f t="shared" si="10"/>
        <v>1.6624605678233439</v>
      </c>
      <c r="AI40" s="195">
        <v>1.84</v>
      </c>
      <c r="AN40" t="s">
        <v>137</v>
      </c>
      <c r="AO40" s="33">
        <v>-22</v>
      </c>
      <c r="AP40" s="87">
        <v>48</v>
      </c>
      <c r="AQ40" s="33">
        <v>-13</v>
      </c>
      <c r="AR40" s="87">
        <v>-29</v>
      </c>
      <c r="AS40" s="33">
        <v>20</v>
      </c>
      <c r="AT40" s="87">
        <v>28</v>
      </c>
      <c r="AU40" s="33">
        <v>15</v>
      </c>
      <c r="AV40" s="33">
        <v>-78</v>
      </c>
    </row>
    <row r="41" spans="1:48">
      <c r="A41">
        <v>1312</v>
      </c>
      <c r="C41" s="107">
        <f>VLOOKUP(1312,收盤價!$A:$C,3,0)</f>
        <v>17.100000000000001</v>
      </c>
      <c r="D41" s="107">
        <f t="shared" si="0"/>
        <v>17.323145604395606</v>
      </c>
      <c r="E41" s="167">
        <f t="shared" si="1"/>
        <v>1</v>
      </c>
      <c r="F41" s="104">
        <f t="shared" si="2"/>
        <v>0.86432861889097223</v>
      </c>
      <c r="G41" s="167">
        <f>RANK(1.63,AE:AE,0)</f>
        <v>551</v>
      </c>
      <c r="H41" s="365">
        <f t="shared" si="3"/>
        <v>1.6694378212741268</v>
      </c>
      <c r="I41" s="213">
        <f t="shared" si="4"/>
        <v>462</v>
      </c>
      <c r="J41" s="213">
        <f t="shared" si="5"/>
        <v>166</v>
      </c>
      <c r="K41">
        <f>RANK(2.48,AI:AI,0)</f>
        <v>241</v>
      </c>
      <c r="L41" s="357">
        <v>0</v>
      </c>
      <c r="M41" s="357">
        <v>0</v>
      </c>
      <c r="N41" s="357">
        <v>0</v>
      </c>
      <c r="O41" s="357">
        <v>1</v>
      </c>
      <c r="P41" s="357">
        <v>0</v>
      </c>
      <c r="Q41" s="358">
        <v>0.1448382126348228</v>
      </c>
      <c r="R41" s="359">
        <v>0.24677966101694915</v>
      </c>
      <c r="S41" s="196">
        <v>17936303000</v>
      </c>
      <c r="T41" s="196">
        <v>906600000</v>
      </c>
      <c r="U41" s="200">
        <f t="shared" si="6"/>
        <v>15502860000.000002</v>
      </c>
      <c r="V41" s="196">
        <v>365000000</v>
      </c>
      <c r="W41" s="196">
        <v>3545000000</v>
      </c>
      <c r="X41" s="196">
        <v>8469000000</v>
      </c>
      <c r="Y41" s="196">
        <v>18841000000</v>
      </c>
      <c r="Z41" s="196">
        <v>166000000</v>
      </c>
      <c r="AA41" s="198">
        <v>0.03</v>
      </c>
      <c r="AB41" s="198">
        <v>0.02</v>
      </c>
      <c r="AC41" s="213">
        <f t="shared" si="7"/>
        <v>469</v>
      </c>
      <c r="AD41" s="213">
        <f t="shared" si="8"/>
        <v>487</v>
      </c>
      <c r="AE41" s="213">
        <v>1.63</v>
      </c>
      <c r="AF41" s="196">
        <v>1020000000</v>
      </c>
      <c r="AG41" s="104">
        <f t="shared" si="9"/>
        <v>1.1250827266710788</v>
      </c>
      <c r="AH41" s="104">
        <f t="shared" si="10"/>
        <v>2.7945205479452055</v>
      </c>
      <c r="AI41" s="195">
        <v>2.48</v>
      </c>
      <c r="AN41" t="s">
        <v>138</v>
      </c>
      <c r="AO41" s="33">
        <v>113</v>
      </c>
      <c r="AP41" s="87">
        <v>65</v>
      </c>
      <c r="AQ41" s="33">
        <v>78</v>
      </c>
      <c r="AR41" s="87">
        <v>107</v>
      </c>
      <c r="AS41" s="33">
        <v>87</v>
      </c>
      <c r="AT41" s="87">
        <v>60</v>
      </c>
      <c r="AU41" s="33">
        <v>44</v>
      </c>
      <c r="AV41" s="33">
        <v>122</v>
      </c>
    </row>
    <row r="42" spans="1:48">
      <c r="A42">
        <v>1313</v>
      </c>
      <c r="C42" s="107">
        <f>VLOOKUP(1313,收盤價!$A:$C,3,0)</f>
        <v>11.4</v>
      </c>
      <c r="D42" s="107">
        <f t="shared" si="0"/>
        <v>0</v>
      </c>
      <c r="E42" s="167">
        <f t="shared" si="1"/>
        <v>2</v>
      </c>
      <c r="F42" s="104">
        <f t="shared" si="2"/>
        <v>0.33069500817890374</v>
      </c>
      <c r="G42" s="167">
        <f>RANK(1.08,AE:AE,0)</f>
        <v>769</v>
      </c>
      <c r="H42" s="365">
        <f t="shared" si="3"/>
        <v>0.40481356477017033</v>
      </c>
      <c r="I42" s="213">
        <f t="shared" si="4"/>
        <v>1006</v>
      </c>
      <c r="J42" s="213">
        <f t="shared" si="5"/>
        <v>683</v>
      </c>
      <c r="K42">
        <f>RANK(0.92,AI:AI,0)</f>
        <v>958</v>
      </c>
      <c r="L42" s="357">
        <v>0</v>
      </c>
      <c r="M42" s="357">
        <v>1</v>
      </c>
      <c r="N42" s="357">
        <v>1</v>
      </c>
      <c r="O42" s="357">
        <v>0</v>
      </c>
      <c r="P42" s="357">
        <v>0</v>
      </c>
      <c r="Q42" s="358">
        <v>5.2837573385518588E-2</v>
      </c>
      <c r="R42" s="359">
        <v>0</v>
      </c>
      <c r="S42" s="196">
        <v>40374604000</v>
      </c>
      <c r="T42" s="196">
        <v>1171200000</v>
      </c>
      <c r="U42" s="200">
        <f t="shared" si="6"/>
        <v>13351680000</v>
      </c>
      <c r="V42" s="196">
        <v>204000000</v>
      </c>
      <c r="W42" s="196">
        <v>7066000000</v>
      </c>
      <c r="X42" s="196">
        <v>12682000000</v>
      </c>
      <c r="Y42" s="196">
        <v>17445000000</v>
      </c>
      <c r="Z42" s="196">
        <v>3644000000</v>
      </c>
      <c r="AA42" s="198">
        <v>0.01</v>
      </c>
      <c r="AB42" s="198">
        <v>0.01</v>
      </c>
      <c r="AC42" s="213">
        <f t="shared" si="7"/>
        <v>769</v>
      </c>
      <c r="AD42" s="213">
        <f t="shared" si="8"/>
        <v>680</v>
      </c>
      <c r="AE42" s="213">
        <v>1.08</v>
      </c>
      <c r="AF42" s="196">
        <v>100000000</v>
      </c>
      <c r="AG42" s="104">
        <f t="shared" si="9"/>
        <v>8.5382513661202183E-2</v>
      </c>
      <c r="AH42" s="104">
        <f t="shared" si="10"/>
        <v>0.49019607843137253</v>
      </c>
      <c r="AI42" s="195">
        <v>0.92</v>
      </c>
      <c r="AN42" t="s">
        <v>139</v>
      </c>
      <c r="AO42" s="33">
        <v>91</v>
      </c>
      <c r="AP42" s="87">
        <v>113</v>
      </c>
      <c r="AQ42" s="33">
        <v>65</v>
      </c>
      <c r="AR42" s="87">
        <v>78</v>
      </c>
      <c r="AS42" s="33">
        <v>107</v>
      </c>
      <c r="AT42" s="87">
        <v>87</v>
      </c>
      <c r="AU42" s="33">
        <v>60</v>
      </c>
      <c r="AV42" s="33">
        <v>44</v>
      </c>
    </row>
    <row r="43" spans="1:48">
      <c r="A43">
        <v>1314</v>
      </c>
      <c r="C43" s="107">
        <f>VLOOKUP(1314,收盤價!$A:$C,3,0)</f>
        <v>9.33</v>
      </c>
      <c r="D43" s="107">
        <f t="shared" si="0"/>
        <v>0</v>
      </c>
      <c r="E43" s="167">
        <f t="shared" si="1"/>
        <v>4</v>
      </c>
      <c r="F43" s="104">
        <f t="shared" si="2"/>
        <v>0.96098525762059717</v>
      </c>
      <c r="G43" s="167">
        <f>RANK(0.59,AE:AE,0)</f>
        <v>1348</v>
      </c>
      <c r="H43" s="365">
        <f t="shared" si="3"/>
        <v>-6.0344827586206896E-3</v>
      </c>
      <c r="I43" s="213">
        <f t="shared" si="4"/>
        <v>1063</v>
      </c>
      <c r="J43" s="213">
        <f t="shared" si="5"/>
        <v>768</v>
      </c>
      <c r="K43">
        <f>RANK(0.85,AI:AI,0)</f>
        <v>1059</v>
      </c>
      <c r="L43" s="357">
        <v>0</v>
      </c>
      <c r="M43" s="357">
        <v>1</v>
      </c>
      <c r="N43" s="357">
        <v>2</v>
      </c>
      <c r="O43" s="357">
        <v>1</v>
      </c>
      <c r="P43" s="357">
        <v>0</v>
      </c>
      <c r="Q43" s="358">
        <v>-4.8290390536379839E-2</v>
      </c>
      <c r="R43" s="359">
        <v>0</v>
      </c>
      <c r="S43" s="196">
        <v>22524383000</v>
      </c>
      <c r="T43" s="196">
        <v>2320000000</v>
      </c>
      <c r="U43" s="200">
        <f t="shared" si="6"/>
        <v>21645600000</v>
      </c>
      <c r="V43" s="196">
        <v>-535000000</v>
      </c>
      <c r="W43" s="196">
        <v>8604000000</v>
      </c>
      <c r="X43" s="196">
        <v>15754000000</v>
      </c>
      <c r="Y43" s="196">
        <v>51505000000</v>
      </c>
      <c r="Z43" s="196">
        <v>3202000000</v>
      </c>
      <c r="AA43" s="198">
        <v>-0.02</v>
      </c>
      <c r="AB43" s="198">
        <v>-0.01</v>
      </c>
      <c r="AC43" s="213">
        <f t="shared" si="7"/>
        <v>1353</v>
      </c>
      <c r="AD43" s="213">
        <f t="shared" si="8"/>
        <v>1294</v>
      </c>
      <c r="AE43" s="213">
        <v>0.59</v>
      </c>
      <c r="AF43" s="196">
        <v>14000000</v>
      </c>
      <c r="AG43" s="104">
        <f t="shared" si="9"/>
        <v>6.0344827586206896E-3</v>
      </c>
      <c r="AH43" s="104">
        <f t="shared" si="10"/>
        <v>0</v>
      </c>
      <c r="AI43" s="195">
        <v>0.85</v>
      </c>
      <c r="AN43" t="s">
        <v>140</v>
      </c>
      <c r="AO43" s="33">
        <v>0</v>
      </c>
      <c r="AP43" s="87">
        <v>0</v>
      </c>
      <c r="AQ43" s="33">
        <v>0</v>
      </c>
      <c r="AR43" s="87">
        <v>0</v>
      </c>
      <c r="AS43" s="33">
        <v>1</v>
      </c>
      <c r="AT43" s="87">
        <v>1</v>
      </c>
      <c r="AU43" s="33">
        <v>1</v>
      </c>
      <c r="AV43" s="33">
        <v>1</v>
      </c>
    </row>
    <row r="44" spans="1:48">
      <c r="A44">
        <v>1315</v>
      </c>
      <c r="C44" s="107">
        <f>VLOOKUP(1315,收盤價!$A:$C,3,0)</f>
        <v>25.1</v>
      </c>
      <c r="D44" s="107">
        <f t="shared" si="0"/>
        <v>0</v>
      </c>
      <c r="E44" s="167">
        <f t="shared" si="1"/>
        <v>0</v>
      </c>
      <c r="F44" s="104">
        <f t="shared" si="2"/>
        <v>1.7513127445373229</v>
      </c>
      <c r="G44" s="167">
        <f>RANK(0.84,AE:AE,0)</f>
        <v>946</v>
      </c>
      <c r="H44" s="365">
        <f t="shared" si="3"/>
        <v>0.34343434343434343</v>
      </c>
      <c r="I44" s="213">
        <f t="shared" si="4"/>
        <v>1287</v>
      </c>
      <c r="J44" s="213">
        <f t="shared" si="5"/>
        <v>768</v>
      </c>
      <c r="K44">
        <f>RANK(0.76,AI:AI,0)</f>
        <v>1269</v>
      </c>
      <c r="L44" s="357">
        <v>0</v>
      </c>
      <c r="M44" s="357">
        <v>0</v>
      </c>
      <c r="N44" s="357">
        <v>0</v>
      </c>
      <c r="O44" s="357">
        <v>0</v>
      </c>
      <c r="P44" s="357">
        <v>0</v>
      </c>
      <c r="Q44" s="358">
        <v>0.18307692307692308</v>
      </c>
      <c r="R44" s="359">
        <v>0</v>
      </c>
      <c r="S44" s="196">
        <v>2837757000</v>
      </c>
      <c r="T44" s="196">
        <v>198000000</v>
      </c>
      <c r="U44" s="200">
        <f t="shared" si="6"/>
        <v>4969800000</v>
      </c>
      <c r="V44" s="196">
        <v>11000000</v>
      </c>
      <c r="W44" s="196">
        <v>2552000000</v>
      </c>
      <c r="X44" s="196">
        <v>1781000000</v>
      </c>
      <c r="Y44" s="196">
        <v>6754000000</v>
      </c>
      <c r="Z44" s="196">
        <v>852000000</v>
      </c>
      <c r="AA44" s="198">
        <v>0</v>
      </c>
      <c r="AB44" s="198">
        <v>0</v>
      </c>
      <c r="AC44" s="213">
        <f t="shared" si="7"/>
        <v>945</v>
      </c>
      <c r="AD44" s="213">
        <f t="shared" si="8"/>
        <v>911</v>
      </c>
      <c r="AE44" s="213">
        <v>0.84</v>
      </c>
      <c r="AF44" s="196">
        <v>-68000000</v>
      </c>
      <c r="AG44" s="104">
        <f t="shared" si="9"/>
        <v>-0.34343434343434343</v>
      </c>
      <c r="AH44" s="104">
        <f t="shared" si="10"/>
        <v>0</v>
      </c>
      <c r="AI44" s="195">
        <v>0.76</v>
      </c>
      <c r="AN44" t="s">
        <v>141</v>
      </c>
      <c r="AO44" s="33">
        <v>0</v>
      </c>
      <c r="AP44" s="87" t="s">
        <v>92</v>
      </c>
      <c r="AQ44" s="33" t="s">
        <v>92</v>
      </c>
      <c r="AR44" s="87" t="s">
        <v>92</v>
      </c>
      <c r="AS44" s="33" t="s">
        <v>92</v>
      </c>
      <c r="AT44" s="87" t="s">
        <v>92</v>
      </c>
      <c r="AU44" s="33" t="s">
        <v>92</v>
      </c>
      <c r="AV44" s="33" t="s">
        <v>92</v>
      </c>
    </row>
    <row r="45" spans="1:48">
      <c r="A45">
        <v>1316</v>
      </c>
      <c r="C45" s="107">
        <f>VLOOKUP(1316,收盤價!$A:$C,3,0)</f>
        <v>10.85</v>
      </c>
      <c r="D45" s="107">
        <f t="shared" si="0"/>
        <v>0</v>
      </c>
      <c r="E45" s="167">
        <f t="shared" si="1"/>
        <v>1</v>
      </c>
      <c r="F45" s="104">
        <f t="shared" si="2"/>
        <v>3.1958402751652604</v>
      </c>
      <c r="G45" s="167">
        <f>RANK(0.84,AE:AE,0)</f>
        <v>946</v>
      </c>
      <c r="H45" s="365">
        <f t="shared" si="3"/>
        <v>0.40023543260741612</v>
      </c>
      <c r="I45" s="213">
        <f t="shared" si="4"/>
        <v>1312</v>
      </c>
      <c r="J45" s="213">
        <f t="shared" si="5"/>
        <v>768</v>
      </c>
      <c r="K45">
        <f>RANK(0.75,AI:AI,0)</f>
        <v>1296</v>
      </c>
      <c r="L45" s="357">
        <v>0</v>
      </c>
      <c r="M45" s="357">
        <v>1</v>
      </c>
      <c r="N45" s="357">
        <v>0</v>
      </c>
      <c r="O45" s="357">
        <v>0</v>
      </c>
      <c r="P45" s="357">
        <v>0</v>
      </c>
      <c r="Q45" s="358">
        <v>0.21476510067114093</v>
      </c>
      <c r="R45" s="359">
        <v>-0.2</v>
      </c>
      <c r="S45" s="196">
        <v>576817000</v>
      </c>
      <c r="T45" s="196">
        <v>169900000</v>
      </c>
      <c r="U45" s="200">
        <f t="shared" si="6"/>
        <v>1843415000</v>
      </c>
      <c r="V45" s="196">
        <v>0</v>
      </c>
      <c r="W45" s="196">
        <v>1590000000</v>
      </c>
      <c r="X45" s="196">
        <v>252000000</v>
      </c>
      <c r="Y45" s="196">
        <v>1791000000</v>
      </c>
      <c r="Z45" s="196">
        <v>439000000</v>
      </c>
      <c r="AA45" s="198">
        <v>0</v>
      </c>
      <c r="AB45" s="198">
        <v>0</v>
      </c>
      <c r="AC45" s="213">
        <f t="shared" si="7"/>
        <v>945</v>
      </c>
      <c r="AD45" s="213">
        <f t="shared" si="8"/>
        <v>911</v>
      </c>
      <c r="AE45" s="213">
        <v>0.84</v>
      </c>
      <c r="AF45" s="196">
        <v>-68000000</v>
      </c>
      <c r="AG45" s="104">
        <f t="shared" si="9"/>
        <v>-0.40023543260741612</v>
      </c>
      <c r="AH45" s="104">
        <f t="shared" si="10"/>
        <v>0</v>
      </c>
      <c r="AI45" s="195">
        <v>0.75</v>
      </c>
      <c r="AN45" t="s">
        <v>142</v>
      </c>
      <c r="AO45" s="33"/>
      <c r="AP45" s="87"/>
      <c r="AQ45" s="33"/>
      <c r="AR45" s="87"/>
      <c r="AS45" s="33"/>
      <c r="AT45" s="87"/>
      <c r="AU45" s="33"/>
      <c r="AV45" s="33"/>
    </row>
    <row r="46" spans="1:48">
      <c r="A46">
        <v>1319</v>
      </c>
      <c r="C46" s="107">
        <f>VLOOKUP(1319,收盤價!$A:$C,3,0)</f>
        <v>72.2</v>
      </c>
      <c r="D46" s="107">
        <f t="shared" si="0"/>
        <v>23.592824799721356</v>
      </c>
      <c r="E46" s="167">
        <f t="shared" si="1"/>
        <v>4</v>
      </c>
      <c r="F46" s="104">
        <f t="shared" si="2"/>
        <v>1.8329885577010281</v>
      </c>
      <c r="G46" s="167">
        <f>RANK(1.94,AE:AE,0)</f>
        <v>435</v>
      </c>
      <c r="H46" s="365">
        <f t="shared" si="3"/>
        <v>-0.25117173063175624</v>
      </c>
      <c r="I46" s="213">
        <f t="shared" si="4"/>
        <v>177</v>
      </c>
      <c r="J46" s="213">
        <f t="shared" si="5"/>
        <v>244</v>
      </c>
      <c r="K46">
        <f>RANK(3.7,AI:AI,0)</f>
        <v>114</v>
      </c>
      <c r="L46" s="357">
        <v>0</v>
      </c>
      <c r="M46" s="357">
        <v>1</v>
      </c>
      <c r="N46" s="357">
        <v>2</v>
      </c>
      <c r="O46" s="357">
        <v>1</v>
      </c>
      <c r="P46" s="357">
        <v>0</v>
      </c>
      <c r="Q46" s="358">
        <v>0.2435348518581949</v>
      </c>
      <c r="R46" s="359">
        <v>0.76506311360448798</v>
      </c>
      <c r="S46" s="196">
        <v>23298727000</v>
      </c>
      <c r="T46" s="196">
        <v>591500000</v>
      </c>
      <c r="U46" s="200">
        <f t="shared" si="6"/>
        <v>42706300000</v>
      </c>
      <c r="V46" s="196">
        <v>661000000</v>
      </c>
      <c r="W46" s="196">
        <v>1130000000</v>
      </c>
      <c r="X46" s="196">
        <v>18265000000</v>
      </c>
      <c r="Y46" s="196">
        <v>19156000000</v>
      </c>
      <c r="Z46" s="196">
        <v>3223000000</v>
      </c>
      <c r="AA46" s="198">
        <v>0.03</v>
      </c>
      <c r="AB46" s="198">
        <v>0.03</v>
      </c>
      <c r="AC46" s="213">
        <f t="shared" si="7"/>
        <v>469</v>
      </c>
      <c r="AD46" s="213">
        <f t="shared" si="8"/>
        <v>334</v>
      </c>
      <c r="AE46" s="213">
        <v>1.94</v>
      </c>
      <c r="AF46" s="196">
        <v>1413000000</v>
      </c>
      <c r="AG46" s="104">
        <f t="shared" si="9"/>
        <v>2.3888419273034658</v>
      </c>
      <c r="AH46" s="104">
        <f t="shared" si="10"/>
        <v>2.1376701966717095</v>
      </c>
      <c r="AI46" s="195">
        <v>3.7</v>
      </c>
      <c r="AN46" t="s">
        <v>143</v>
      </c>
      <c r="AO46" s="33"/>
      <c r="AP46" s="87"/>
      <c r="AQ46" s="33"/>
      <c r="AR46" s="87"/>
      <c r="AS46" s="33"/>
      <c r="AT46" s="87"/>
      <c r="AU46" s="33"/>
      <c r="AV46" s="33"/>
    </row>
    <row r="47" spans="1:48">
      <c r="A47">
        <v>1321</v>
      </c>
      <c r="C47" s="107">
        <f>VLOOKUP(1321,收盤價!$A:$C,3,0)</f>
        <v>26.2</v>
      </c>
      <c r="D47" s="107">
        <f t="shared" si="0"/>
        <v>0</v>
      </c>
      <c r="E47" s="167">
        <f t="shared" si="1"/>
        <v>3</v>
      </c>
      <c r="F47" s="104">
        <f t="shared" si="2"/>
        <v>1.4166459420384705</v>
      </c>
      <c r="G47" s="167">
        <f>RANK(1.08,AE:AE,0)</f>
        <v>769</v>
      </c>
      <c r="H47" s="365">
        <f t="shared" si="3"/>
        <v>0.17165492957746478</v>
      </c>
      <c r="I47" s="213">
        <f t="shared" si="4"/>
        <v>1191</v>
      </c>
      <c r="J47" s="213">
        <f t="shared" si="5"/>
        <v>768</v>
      </c>
      <c r="K47">
        <f>RANK(0.8,AI:AI,0)</f>
        <v>1168</v>
      </c>
      <c r="L47" s="357">
        <v>0</v>
      </c>
      <c r="M47" s="357">
        <v>1</v>
      </c>
      <c r="N47" s="357">
        <v>2</v>
      </c>
      <c r="O47" s="357">
        <v>0</v>
      </c>
      <c r="P47" s="357">
        <v>0</v>
      </c>
      <c r="Q47" s="358">
        <v>9.9115044247787609E-2</v>
      </c>
      <c r="R47" s="359">
        <v>0</v>
      </c>
      <c r="S47" s="196">
        <v>4201925000</v>
      </c>
      <c r="T47" s="196">
        <v>227200000</v>
      </c>
      <c r="U47" s="200">
        <f t="shared" si="6"/>
        <v>5952640000</v>
      </c>
      <c r="V47" s="196">
        <v>33000000</v>
      </c>
      <c r="W47" s="196">
        <v>219000000</v>
      </c>
      <c r="X47" s="196">
        <v>4318000000</v>
      </c>
      <c r="Y47" s="196">
        <v>4965000000</v>
      </c>
      <c r="Z47" s="196">
        <v>487000000</v>
      </c>
      <c r="AA47" s="198">
        <v>0.01</v>
      </c>
      <c r="AB47" s="198">
        <v>0.01</v>
      </c>
      <c r="AC47" s="213">
        <f t="shared" si="7"/>
        <v>769</v>
      </c>
      <c r="AD47" s="213">
        <f t="shared" si="8"/>
        <v>680</v>
      </c>
      <c r="AE47" s="213">
        <v>1.08</v>
      </c>
      <c r="AF47" s="196">
        <v>-39000000</v>
      </c>
      <c r="AG47" s="104">
        <f t="shared" si="9"/>
        <v>-0.17165492957746478</v>
      </c>
      <c r="AH47" s="104">
        <f t="shared" si="10"/>
        <v>0</v>
      </c>
      <c r="AI47" s="195">
        <v>0.8</v>
      </c>
      <c r="AN47" t="s">
        <v>104</v>
      </c>
      <c r="AO47" s="33"/>
      <c r="AP47" s="87"/>
      <c r="AQ47" s="33"/>
      <c r="AR47" s="33"/>
      <c r="AS47" s="33"/>
      <c r="AT47" s="33"/>
      <c r="AU47" s="33"/>
      <c r="AV47" s="33"/>
    </row>
    <row r="48" spans="1:48">
      <c r="A48">
        <v>1323</v>
      </c>
      <c r="C48" s="107">
        <f>VLOOKUP(1323,收盤價!$A:$C,3,0)</f>
        <v>35.700000000000003</v>
      </c>
      <c r="D48" s="107">
        <f t="shared" si="0"/>
        <v>13.215802888700086</v>
      </c>
      <c r="E48" s="167">
        <f t="shared" si="1"/>
        <v>2</v>
      </c>
      <c r="F48" s="104">
        <f t="shared" si="2"/>
        <v>1.0291325652172953</v>
      </c>
      <c r="G48" s="167">
        <f>RANK(3.61,AE:AE,0)</f>
        <v>249</v>
      </c>
      <c r="H48" s="365">
        <f t="shared" si="3"/>
        <v>-0.40630506214581641</v>
      </c>
      <c r="I48" s="213">
        <f t="shared" si="4"/>
        <v>236</v>
      </c>
      <c r="J48" s="213">
        <f t="shared" si="5"/>
        <v>357</v>
      </c>
      <c r="K48">
        <f>RANK(2.63,AI:AI,0)</f>
        <v>209</v>
      </c>
      <c r="L48" s="357">
        <v>0</v>
      </c>
      <c r="M48" s="357">
        <v>1</v>
      </c>
      <c r="N48" s="357">
        <v>0</v>
      </c>
      <c r="O48" s="357">
        <v>1</v>
      </c>
      <c r="P48" s="357">
        <v>0</v>
      </c>
      <c r="Q48" s="358">
        <v>0.25524044389642414</v>
      </c>
      <c r="R48" s="359">
        <v>0.67532786885245899</v>
      </c>
      <c r="S48" s="196">
        <v>3167143000</v>
      </c>
      <c r="T48" s="196">
        <v>91300000</v>
      </c>
      <c r="U48" s="200">
        <f t="shared" si="6"/>
        <v>3259410000.0000005</v>
      </c>
      <c r="V48" s="196">
        <v>115000000</v>
      </c>
      <c r="W48" s="196">
        <v>1441000000</v>
      </c>
      <c r="X48" s="196">
        <v>1459000000</v>
      </c>
      <c r="Y48" s="196">
        <v>1893000000</v>
      </c>
      <c r="Z48" s="196">
        <v>41000000</v>
      </c>
      <c r="AA48" s="198">
        <v>0.04</v>
      </c>
      <c r="AB48" s="198">
        <v>0.06</v>
      </c>
      <c r="AC48" s="213">
        <f t="shared" si="7"/>
        <v>337</v>
      </c>
      <c r="AD48" s="213">
        <f t="shared" si="8"/>
        <v>95</v>
      </c>
      <c r="AE48" s="213">
        <v>3.61</v>
      </c>
      <c r="AF48" s="196">
        <v>180000000</v>
      </c>
      <c r="AG48" s="104">
        <f t="shared" si="9"/>
        <v>1.9715224534501643</v>
      </c>
      <c r="AH48" s="104">
        <f t="shared" si="10"/>
        <v>1.5652173913043479</v>
      </c>
      <c r="AI48" s="195">
        <v>2.63</v>
      </c>
      <c r="AN48" t="s">
        <v>105</v>
      </c>
      <c r="AO48" s="33"/>
      <c r="AP48" s="87"/>
      <c r="AQ48" s="33"/>
      <c r="AR48" s="33"/>
      <c r="AS48" s="33"/>
      <c r="AT48" s="33"/>
      <c r="AU48" s="33"/>
      <c r="AV48" s="33"/>
    </row>
    <row r="49" spans="1:48">
      <c r="A49">
        <v>1324</v>
      </c>
      <c r="C49" s="107">
        <f>VLOOKUP(1324,收盤價!$A:$C,3,0)</f>
        <v>13.2</v>
      </c>
      <c r="D49" s="107">
        <f t="shared" si="0"/>
        <v>10.278086763070078</v>
      </c>
      <c r="E49" s="167">
        <f t="shared" si="1"/>
        <v>3</v>
      </c>
      <c r="F49" s="104">
        <f t="shared" si="2"/>
        <v>0.79774161515074948</v>
      </c>
      <c r="G49" s="167">
        <f>RANK(1.94,AE:AE,0)</f>
        <v>435</v>
      </c>
      <c r="H49" s="365">
        <f t="shared" si="3"/>
        <v>0.34096473519178733</v>
      </c>
      <c r="I49" s="213">
        <f t="shared" si="4"/>
        <v>897</v>
      </c>
      <c r="J49" s="213">
        <f t="shared" si="5"/>
        <v>656</v>
      </c>
      <c r="K49">
        <f>RANK(1,AI:AI,0)</f>
        <v>884</v>
      </c>
      <c r="L49" s="357">
        <v>1</v>
      </c>
      <c r="M49" s="357">
        <v>1</v>
      </c>
      <c r="N49" s="357">
        <v>0</v>
      </c>
      <c r="O49" s="357">
        <v>1</v>
      </c>
      <c r="P49" s="357">
        <v>0</v>
      </c>
      <c r="Q49" s="358">
        <v>0.24848484848484848</v>
      </c>
      <c r="R49" s="359">
        <v>0.32107142857142856</v>
      </c>
      <c r="S49" s="196">
        <v>1242658000</v>
      </c>
      <c r="T49" s="196">
        <v>75100000</v>
      </c>
      <c r="U49" s="200">
        <f t="shared" si="6"/>
        <v>991320000</v>
      </c>
      <c r="V49" s="196">
        <v>31000000</v>
      </c>
      <c r="W49" s="196">
        <v>622000000</v>
      </c>
      <c r="X49" s="196">
        <v>347000000</v>
      </c>
      <c r="Y49" s="196">
        <v>989000000</v>
      </c>
      <c r="Z49" s="196">
        <v>0</v>
      </c>
      <c r="AA49" s="198">
        <v>0.03</v>
      </c>
      <c r="AB49" s="198">
        <v>0.03</v>
      </c>
      <c r="AC49" s="213">
        <f t="shared" si="7"/>
        <v>469</v>
      </c>
      <c r="AD49" s="213">
        <f t="shared" si="8"/>
        <v>334</v>
      </c>
      <c r="AE49" s="213">
        <v>1.94</v>
      </c>
      <c r="AF49" s="196">
        <v>18000000</v>
      </c>
      <c r="AG49" s="104">
        <f t="shared" si="9"/>
        <v>0.23968042609853529</v>
      </c>
      <c r="AH49" s="104">
        <f t="shared" si="10"/>
        <v>0.58064516129032262</v>
      </c>
      <c r="AI49" s="195">
        <v>1</v>
      </c>
      <c r="AO49" s="33"/>
      <c r="AP49" s="87"/>
      <c r="AQ49" s="33"/>
      <c r="AR49" s="33"/>
      <c r="AS49" s="33"/>
      <c r="AT49" s="33"/>
      <c r="AU49" s="33"/>
      <c r="AV49" s="33"/>
    </row>
    <row r="50" spans="1:48">
      <c r="A50">
        <v>1325</v>
      </c>
      <c r="C50" s="107">
        <f>VLOOKUP(1325,收盤價!$A:$C,3,0)</f>
        <v>19.399999999999999</v>
      </c>
      <c r="D50" s="107">
        <f t="shared" si="0"/>
        <v>17.383512544802866</v>
      </c>
      <c r="E50" s="167">
        <f t="shared" si="1"/>
        <v>3</v>
      </c>
      <c r="F50" s="104">
        <f t="shared" si="2"/>
        <v>1.852540862491812</v>
      </c>
      <c r="G50" s="167">
        <f>RANK(1.41,AE:AE,0)</f>
        <v>618</v>
      </c>
      <c r="H50" s="365">
        <f t="shared" si="3"/>
        <v>0.67669214578486758</v>
      </c>
      <c r="I50" s="213">
        <f t="shared" si="4"/>
        <v>813</v>
      </c>
      <c r="J50" s="213">
        <f t="shared" si="5"/>
        <v>516</v>
      </c>
      <c r="K50">
        <f>RANK(1.17,AI:AI,0)</f>
        <v>743</v>
      </c>
      <c r="L50" s="357">
        <v>0</v>
      </c>
      <c r="M50" s="357">
        <v>1</v>
      </c>
      <c r="N50" s="357">
        <v>1</v>
      </c>
      <c r="O50" s="357">
        <v>1</v>
      </c>
      <c r="P50" s="357">
        <v>0</v>
      </c>
      <c r="Q50" s="358">
        <v>0.21686746987951808</v>
      </c>
      <c r="R50" s="359">
        <v>0.27900000000000003</v>
      </c>
      <c r="S50" s="196">
        <v>1050352000</v>
      </c>
      <c r="T50" s="196">
        <v>100300000</v>
      </c>
      <c r="U50" s="200">
        <f t="shared" si="6"/>
        <v>1945819999.9999998</v>
      </c>
      <c r="V50" s="196">
        <v>36000000</v>
      </c>
      <c r="W50" s="196">
        <v>1056000000</v>
      </c>
      <c r="X50" s="196">
        <v>864000000</v>
      </c>
      <c r="Y50" s="196">
        <v>1933000000</v>
      </c>
      <c r="Z50" s="196">
        <v>0</v>
      </c>
      <c r="AA50" s="198">
        <v>0.02</v>
      </c>
      <c r="AB50" s="198">
        <v>0.02</v>
      </c>
      <c r="AC50" s="213">
        <f t="shared" si="7"/>
        <v>616</v>
      </c>
      <c r="AD50" s="213">
        <f t="shared" si="8"/>
        <v>487</v>
      </c>
      <c r="AE50" s="213">
        <v>1.41</v>
      </c>
      <c r="AF50" s="196">
        <v>38000000</v>
      </c>
      <c r="AG50" s="104">
        <f t="shared" si="9"/>
        <v>0.37886340977068794</v>
      </c>
      <c r="AH50" s="104">
        <f t="shared" si="10"/>
        <v>1.0555555555555556</v>
      </c>
      <c r="AI50" s="195">
        <v>1.17</v>
      </c>
      <c r="AN50" t="s">
        <v>180</v>
      </c>
      <c r="AO50" s="33">
        <v>943</v>
      </c>
      <c r="AP50" s="87">
        <v>923</v>
      </c>
      <c r="AQ50" s="33">
        <v>913</v>
      </c>
      <c r="AR50" s="33">
        <v>929</v>
      </c>
      <c r="AS50" s="33">
        <v>950</v>
      </c>
      <c r="AT50" s="33">
        <v>968</v>
      </c>
      <c r="AU50" s="33">
        <v>999</v>
      </c>
      <c r="AV50" s="33">
        <v>1056</v>
      </c>
    </row>
    <row r="51" spans="1:48">
      <c r="A51">
        <v>1326</v>
      </c>
      <c r="C51" s="107">
        <f>VLOOKUP(1326,收盤價!$A:$C,3,0)</f>
        <v>92.5</v>
      </c>
      <c r="D51" s="107">
        <f t="shared" si="0"/>
        <v>14.915052880792194</v>
      </c>
      <c r="E51" s="167">
        <f t="shared" si="1"/>
        <v>4</v>
      </c>
      <c r="F51" s="104">
        <f t="shared" si="2"/>
        <v>1.720166104994042</v>
      </c>
      <c r="G51" s="167">
        <f>RANK(2.32,AE:AE,0)</f>
        <v>360</v>
      </c>
      <c r="H51" s="365">
        <f t="shared" si="3"/>
        <v>-1.2991419163896563</v>
      </c>
      <c r="I51" s="213">
        <f t="shared" si="4"/>
        <v>153</v>
      </c>
      <c r="J51" s="213">
        <f t="shared" si="5"/>
        <v>424</v>
      </c>
      <c r="K51">
        <f>RANK(2.7,AI:AI,0)</f>
        <v>201</v>
      </c>
      <c r="L51" s="357">
        <v>1</v>
      </c>
      <c r="M51" s="357">
        <v>1</v>
      </c>
      <c r="N51" s="357">
        <v>1</v>
      </c>
      <c r="O51" s="357">
        <v>1</v>
      </c>
      <c r="P51" s="357">
        <v>0</v>
      </c>
      <c r="Q51" s="358">
        <v>0.1803998769609351</v>
      </c>
      <c r="R51" s="359">
        <v>1.5504470674576478</v>
      </c>
      <c r="S51" s="196">
        <v>315179446000</v>
      </c>
      <c r="T51" s="196">
        <v>5861200000</v>
      </c>
      <c r="U51" s="200">
        <f t="shared" si="6"/>
        <v>542161000000</v>
      </c>
      <c r="V51" s="196">
        <v>11660000000</v>
      </c>
      <c r="W51" s="196">
        <v>122675000000</v>
      </c>
      <c r="X51" s="196">
        <v>138543000000</v>
      </c>
      <c r="Y51" s="196">
        <v>331571000000</v>
      </c>
      <c r="Z51" s="196">
        <v>40173000000</v>
      </c>
      <c r="AA51" s="198">
        <v>0.04</v>
      </c>
      <c r="AB51" s="198">
        <v>0.03</v>
      </c>
      <c r="AC51" s="213">
        <f t="shared" si="7"/>
        <v>337</v>
      </c>
      <c r="AD51" s="213">
        <f t="shared" si="8"/>
        <v>334</v>
      </c>
      <c r="AE51" s="213">
        <v>2.3199999999999998</v>
      </c>
      <c r="AF51" s="196">
        <v>15311000000</v>
      </c>
      <c r="AG51" s="104">
        <f t="shared" si="9"/>
        <v>2.6122637002661571</v>
      </c>
      <c r="AH51" s="104">
        <f t="shared" si="10"/>
        <v>1.3131217838765008</v>
      </c>
      <c r="AI51" s="195">
        <v>2.7</v>
      </c>
      <c r="AN51" t="s">
        <v>188</v>
      </c>
      <c r="AO51" s="33">
        <v>902</v>
      </c>
      <c r="AP51" s="87">
        <v>902</v>
      </c>
      <c r="AQ51" s="33">
        <v>902</v>
      </c>
      <c r="AR51" s="33">
        <v>902</v>
      </c>
      <c r="AS51" s="33">
        <v>902</v>
      </c>
      <c r="AT51" s="33">
        <v>902</v>
      </c>
      <c r="AU51" s="33">
        <v>902</v>
      </c>
      <c r="AV51" s="33">
        <v>902</v>
      </c>
    </row>
    <row r="52" spans="1:48">
      <c r="A52">
        <v>1333</v>
      </c>
      <c r="C52" s="107">
        <f>VLOOKUP(1333,收盤價!$A:$C,3,0)</f>
        <v>4.2</v>
      </c>
      <c r="D52" s="107">
        <f t="shared" si="0"/>
        <v>0</v>
      </c>
      <c r="E52" s="167">
        <f t="shared" si="1"/>
        <v>2</v>
      </c>
      <c r="F52" s="104">
        <f t="shared" si="2"/>
        <v>0.63343476136945509</v>
      </c>
      <c r="G52" s="167">
        <f>RANK(0.55,AE:AE,0)</f>
        <v>1436</v>
      </c>
      <c r="H52" s="365">
        <f t="shared" si="3"/>
        <v>0.36097560975609755</v>
      </c>
      <c r="I52" s="213">
        <f t="shared" si="4"/>
        <v>1295</v>
      </c>
      <c r="J52" s="213">
        <f t="shared" si="5"/>
        <v>768</v>
      </c>
      <c r="K52">
        <f>RANK(0.76,AI:AI,0)</f>
        <v>1269</v>
      </c>
      <c r="L52" s="357">
        <v>0</v>
      </c>
      <c r="M52" s="357">
        <v>1</v>
      </c>
      <c r="N52" s="357">
        <v>1</v>
      </c>
      <c r="O52" s="357">
        <v>0</v>
      </c>
      <c r="P52" s="357">
        <v>0</v>
      </c>
      <c r="Q52" s="358">
        <v>0.14838709677419354</v>
      </c>
      <c r="R52" s="359">
        <v>0</v>
      </c>
      <c r="S52" s="196">
        <v>679628000</v>
      </c>
      <c r="T52" s="196">
        <v>102500000</v>
      </c>
      <c r="U52" s="200">
        <f t="shared" si="6"/>
        <v>430500000</v>
      </c>
      <c r="V52" s="196">
        <v>-11000000</v>
      </c>
      <c r="W52" s="196">
        <v>0</v>
      </c>
      <c r="X52" s="196">
        <v>89000000</v>
      </c>
      <c r="Y52" s="196">
        <v>426000000</v>
      </c>
      <c r="Z52" s="196">
        <v>321000000</v>
      </c>
      <c r="AA52" s="198">
        <v>-0.12</v>
      </c>
      <c r="AB52" s="198">
        <v>-0.01</v>
      </c>
      <c r="AC52" s="213">
        <f t="shared" si="7"/>
        <v>1527</v>
      </c>
      <c r="AD52" s="213">
        <f t="shared" si="8"/>
        <v>1294</v>
      </c>
      <c r="AE52" s="213">
        <v>0.55000000000000004</v>
      </c>
      <c r="AF52" s="196">
        <v>-37000000</v>
      </c>
      <c r="AG52" s="104">
        <f t="shared" si="9"/>
        <v>-0.36097560975609755</v>
      </c>
      <c r="AH52" s="104">
        <f t="shared" si="10"/>
        <v>0</v>
      </c>
      <c r="AI52" s="195">
        <v>0.76</v>
      </c>
      <c r="AN52" t="s">
        <v>189</v>
      </c>
      <c r="AO52" s="33">
        <v>0</v>
      </c>
      <c r="AP52" s="87">
        <v>0</v>
      </c>
      <c r="AQ52" s="33">
        <v>0</v>
      </c>
      <c r="AR52" s="33">
        <v>0</v>
      </c>
      <c r="AS52" s="33">
        <v>0</v>
      </c>
      <c r="AT52" s="33">
        <v>0</v>
      </c>
      <c r="AU52" s="33">
        <v>0</v>
      </c>
      <c r="AV52" s="33">
        <v>0</v>
      </c>
    </row>
    <row r="53" spans="1:48">
      <c r="A53">
        <v>1336</v>
      </c>
      <c r="C53" s="107">
        <f>VLOOKUP(1336,收盤價!$A:$C,3,0)</f>
        <v>7.98</v>
      </c>
      <c r="D53" s="107">
        <f t="shared" si="0"/>
        <v>0</v>
      </c>
      <c r="E53" s="167">
        <f t="shared" si="1"/>
        <v>1</v>
      </c>
      <c r="F53" s="104">
        <f t="shared" si="2"/>
        <v>0.27261288832774211</v>
      </c>
      <c r="G53" s="167">
        <f>RANK(0.54,AE:AE,0)</f>
        <v>1453</v>
      </c>
      <c r="H53" s="365">
        <f t="shared" si="3"/>
        <v>-0.2070063694267516</v>
      </c>
      <c r="I53" s="213">
        <f t="shared" si="4"/>
        <v>929</v>
      </c>
      <c r="J53" s="213">
        <f t="shared" si="5"/>
        <v>768</v>
      </c>
      <c r="K53">
        <f>RANK(0.92,AI:AI,0)</f>
        <v>958</v>
      </c>
      <c r="L53" s="357">
        <v>0</v>
      </c>
      <c r="M53" s="357">
        <v>0</v>
      </c>
      <c r="N53" s="357">
        <v>0</v>
      </c>
      <c r="O53" s="357">
        <v>1</v>
      </c>
      <c r="P53" s="357">
        <v>0</v>
      </c>
      <c r="Q53" s="358">
        <v>-2.5423728813559324E-2</v>
      </c>
      <c r="R53" s="359">
        <v>0</v>
      </c>
      <c r="S53" s="196">
        <v>1838299000</v>
      </c>
      <c r="T53" s="196">
        <v>62800000</v>
      </c>
      <c r="U53" s="200">
        <f t="shared" si="6"/>
        <v>501144000</v>
      </c>
      <c r="V53" s="196">
        <v>-66000000</v>
      </c>
      <c r="W53" s="196">
        <v>0</v>
      </c>
      <c r="X53" s="196">
        <v>1240000000</v>
      </c>
      <c r="Y53" s="196">
        <v>1269000000</v>
      </c>
      <c r="Z53" s="196">
        <v>656000000</v>
      </c>
      <c r="AA53" s="198">
        <v>-0.05</v>
      </c>
      <c r="AB53" s="198">
        <v>-0.03</v>
      </c>
      <c r="AC53" s="213">
        <f t="shared" si="7"/>
        <v>1468</v>
      </c>
      <c r="AD53" s="213">
        <f t="shared" si="8"/>
        <v>1444</v>
      </c>
      <c r="AE53" s="213">
        <v>0.54</v>
      </c>
      <c r="AF53" s="196">
        <v>13000000</v>
      </c>
      <c r="AG53" s="104">
        <f t="shared" si="9"/>
        <v>0.2070063694267516</v>
      </c>
      <c r="AH53" s="104">
        <f t="shared" si="10"/>
        <v>0</v>
      </c>
      <c r="AI53" s="195">
        <v>0.92</v>
      </c>
      <c r="AN53" t="s">
        <v>190</v>
      </c>
      <c r="AO53" s="33">
        <v>8</v>
      </c>
      <c r="AP53" s="87">
        <v>8</v>
      </c>
      <c r="AQ53" s="33">
        <v>8</v>
      </c>
      <c r="AR53" s="33">
        <v>8</v>
      </c>
      <c r="AS53" s="33">
        <v>8</v>
      </c>
      <c r="AT53" s="33">
        <v>8</v>
      </c>
      <c r="AU53" s="33">
        <v>8</v>
      </c>
      <c r="AV53" s="33">
        <v>8</v>
      </c>
    </row>
    <row r="54" spans="1:48">
      <c r="A54">
        <v>1337</v>
      </c>
      <c r="C54" s="107">
        <f>VLOOKUP(1337,收盤價!$A:$C,3,0)</f>
        <v>18.350000000000001</v>
      </c>
      <c r="D54" s="107">
        <f t="shared" si="0"/>
        <v>8.1835334476843915</v>
      </c>
      <c r="E54" s="167">
        <f t="shared" si="1"/>
        <v>4</v>
      </c>
      <c r="F54" s="104">
        <f t="shared" si="2"/>
        <v>0.81642901299472759</v>
      </c>
      <c r="G54" s="167">
        <f>RANK(1.41,AE:AE,0)</f>
        <v>618</v>
      </c>
      <c r="H54" s="365">
        <f t="shared" si="3"/>
        <v>3.7081244529322849E-2</v>
      </c>
      <c r="I54" s="213">
        <f t="shared" si="4"/>
        <v>950</v>
      </c>
      <c r="J54" s="213">
        <f t="shared" si="5"/>
        <v>736</v>
      </c>
      <c r="K54">
        <f>RANK(0.92,AI:AI,0)</f>
        <v>958</v>
      </c>
      <c r="L54" s="357">
        <v>0</v>
      </c>
      <c r="M54" s="357">
        <v>1</v>
      </c>
      <c r="N54" s="357">
        <v>2</v>
      </c>
      <c r="O54" s="357">
        <v>1</v>
      </c>
      <c r="P54" s="357">
        <v>0</v>
      </c>
      <c r="Q54" s="358">
        <v>0.22823218997361477</v>
      </c>
      <c r="R54" s="359">
        <v>0.56057692307692308</v>
      </c>
      <c r="S54" s="196">
        <v>5834751000</v>
      </c>
      <c r="T54" s="196">
        <v>259600000</v>
      </c>
      <c r="U54" s="200">
        <f t="shared" si="6"/>
        <v>4763660000</v>
      </c>
      <c r="V54" s="196">
        <v>213000000</v>
      </c>
      <c r="W54" s="196">
        <v>2945000000</v>
      </c>
      <c r="X54" s="196">
        <v>5794000000</v>
      </c>
      <c r="Y54" s="196">
        <v>10182000000</v>
      </c>
      <c r="Z54" s="196">
        <v>146000000</v>
      </c>
      <c r="AA54" s="198">
        <v>0.02</v>
      </c>
      <c r="AB54" s="198">
        <v>0.02</v>
      </c>
      <c r="AC54" s="213">
        <f t="shared" si="7"/>
        <v>616</v>
      </c>
      <c r="AD54" s="213">
        <f t="shared" si="8"/>
        <v>487</v>
      </c>
      <c r="AE54" s="213">
        <v>1.41</v>
      </c>
      <c r="AF54" s="196">
        <v>44000000</v>
      </c>
      <c r="AG54" s="104">
        <f t="shared" si="9"/>
        <v>0.16949152542372881</v>
      </c>
      <c r="AH54" s="104">
        <f t="shared" si="10"/>
        <v>0.20657276995305165</v>
      </c>
      <c r="AI54" s="195">
        <v>0.92</v>
      </c>
      <c r="AN54" t="s">
        <v>191</v>
      </c>
      <c r="AO54" s="33">
        <v>0</v>
      </c>
      <c r="AP54" s="87">
        <v>54</v>
      </c>
      <c r="AQ54" s="33">
        <v>54</v>
      </c>
      <c r="AR54" s="33">
        <v>54</v>
      </c>
      <c r="AS54" s="33">
        <v>54</v>
      </c>
      <c r="AT54" s="33">
        <v>52</v>
      </c>
      <c r="AU54" s="33">
        <v>52</v>
      </c>
      <c r="AV54" s="33">
        <v>52</v>
      </c>
    </row>
    <row r="55" spans="1:48">
      <c r="A55">
        <v>1338</v>
      </c>
      <c r="C55" s="107">
        <f>VLOOKUP(1338,收盤價!$A:$C,3,0)</f>
        <v>109</v>
      </c>
      <c r="D55" s="107">
        <f t="shared" si="0"/>
        <v>14.155623989050641</v>
      </c>
      <c r="E55" s="167">
        <f t="shared" si="1"/>
        <v>2</v>
      </c>
      <c r="F55" s="104">
        <f t="shared" si="2"/>
        <v>1.1536409178658236</v>
      </c>
      <c r="G55" s="167">
        <f>RANK(1.94,AE:AE,0)</f>
        <v>435</v>
      </c>
      <c r="H55" s="365">
        <f t="shared" si="3"/>
        <v>-2.1707851416681967</v>
      </c>
      <c r="I55" s="213">
        <f t="shared" si="4"/>
        <v>78</v>
      </c>
      <c r="J55" s="213">
        <f t="shared" si="5"/>
        <v>339</v>
      </c>
      <c r="K55">
        <f>RANK(3.74,AI:AI,0)</f>
        <v>112</v>
      </c>
      <c r="L55" s="357">
        <v>0</v>
      </c>
      <c r="M55" s="357">
        <v>0</v>
      </c>
      <c r="N55" s="357">
        <v>1</v>
      </c>
      <c r="O55" s="357">
        <v>1</v>
      </c>
      <c r="P55" s="357">
        <v>0</v>
      </c>
      <c r="Q55" s="358">
        <v>0.26292384658143414</v>
      </c>
      <c r="R55" s="359">
        <v>1.9250299401197604</v>
      </c>
      <c r="S55" s="196">
        <v>7917715000</v>
      </c>
      <c r="T55" s="196">
        <v>83800000</v>
      </c>
      <c r="U55" s="200">
        <f t="shared" si="6"/>
        <v>9134200000</v>
      </c>
      <c r="V55" s="196">
        <v>195000000</v>
      </c>
      <c r="W55" s="196">
        <v>3097000000</v>
      </c>
      <c r="X55" s="196">
        <v>2554000000</v>
      </c>
      <c r="Y55" s="196">
        <v>6306000000</v>
      </c>
      <c r="Z55" s="196">
        <v>450000000</v>
      </c>
      <c r="AA55" s="198">
        <v>0.03</v>
      </c>
      <c r="AB55" s="198">
        <v>0.03</v>
      </c>
      <c r="AC55" s="213">
        <f t="shared" si="7"/>
        <v>469</v>
      </c>
      <c r="AD55" s="213">
        <f t="shared" si="8"/>
        <v>334</v>
      </c>
      <c r="AE55" s="213">
        <v>1.94</v>
      </c>
      <c r="AF55" s="196">
        <v>319000000</v>
      </c>
      <c r="AG55" s="104">
        <f t="shared" si="9"/>
        <v>3.8066825775656326</v>
      </c>
      <c r="AH55" s="104">
        <f t="shared" si="10"/>
        <v>1.6358974358974359</v>
      </c>
      <c r="AI55" s="195">
        <v>3.74</v>
      </c>
      <c r="AN55" t="s">
        <v>192</v>
      </c>
      <c r="AO55" s="33">
        <v>11</v>
      </c>
      <c r="AP55" s="87">
        <v>11</v>
      </c>
      <c r="AQ55" s="33">
        <v>11</v>
      </c>
      <c r="AR55" s="137">
        <v>11</v>
      </c>
      <c r="AS55" s="33">
        <v>11</v>
      </c>
      <c r="AT55" s="33">
        <v>11</v>
      </c>
      <c r="AU55" s="33">
        <v>11</v>
      </c>
      <c r="AV55" s="33">
        <v>11</v>
      </c>
    </row>
    <row r="56" spans="1:48">
      <c r="A56">
        <v>1339</v>
      </c>
      <c r="C56" s="107">
        <f>VLOOKUP(1339,收盤價!$A:$C,3,0)</f>
        <v>39.950000000000003</v>
      </c>
      <c r="D56" s="107">
        <f t="shared" si="0"/>
        <v>13.177951388888891</v>
      </c>
      <c r="E56" s="167">
        <f t="shared" si="1"/>
        <v>1</v>
      </c>
      <c r="F56" s="104">
        <f t="shared" si="2"/>
        <v>1.2389261087702206</v>
      </c>
      <c r="G56" s="167">
        <f>RANK(1.41,AE:AE,0)</f>
        <v>618</v>
      </c>
      <c r="H56" s="365">
        <f t="shared" si="3"/>
        <v>-0.15134646055698697</v>
      </c>
      <c r="I56" s="213">
        <f t="shared" si="4"/>
        <v>533</v>
      </c>
      <c r="J56" s="213">
        <f t="shared" si="5"/>
        <v>594</v>
      </c>
      <c r="K56">
        <f>RANK(1.38,AI:AI,0)</f>
        <v>637</v>
      </c>
      <c r="L56" s="357">
        <v>0</v>
      </c>
      <c r="M56" s="357">
        <v>1</v>
      </c>
      <c r="N56" s="357">
        <v>0</v>
      </c>
      <c r="O56" s="357">
        <v>0</v>
      </c>
      <c r="P56" s="357">
        <v>0</v>
      </c>
      <c r="Q56" s="358">
        <v>0.28007181328545783</v>
      </c>
      <c r="R56" s="359">
        <v>0.75789473684210518</v>
      </c>
      <c r="S56" s="196">
        <v>2389404000</v>
      </c>
      <c r="T56" s="196">
        <v>74100000</v>
      </c>
      <c r="U56" s="200">
        <f t="shared" si="6"/>
        <v>2960295000</v>
      </c>
      <c r="V56" s="196">
        <v>88000000</v>
      </c>
      <c r="W56" s="196">
        <v>331000000</v>
      </c>
      <c r="X56" s="196">
        <v>3211000000</v>
      </c>
      <c r="Y56" s="196">
        <v>3124000000</v>
      </c>
      <c r="Z56" s="196">
        <v>507000000</v>
      </c>
      <c r="AA56" s="198">
        <v>0.02</v>
      </c>
      <c r="AB56" s="198">
        <v>0.02</v>
      </c>
      <c r="AC56" s="213">
        <f t="shared" si="7"/>
        <v>616</v>
      </c>
      <c r="AD56" s="213">
        <f t="shared" si="8"/>
        <v>487</v>
      </c>
      <c r="AE56" s="213">
        <v>1.41</v>
      </c>
      <c r="AF56" s="196">
        <v>71000000</v>
      </c>
      <c r="AG56" s="104">
        <f t="shared" si="9"/>
        <v>0.95816464237516874</v>
      </c>
      <c r="AH56" s="104">
        <f t="shared" si="10"/>
        <v>0.80681818181818177</v>
      </c>
      <c r="AI56" s="195">
        <v>1.38</v>
      </c>
      <c r="AN56" t="s">
        <v>193</v>
      </c>
      <c r="AO56" s="33">
        <v>21</v>
      </c>
      <c r="AP56" s="87">
        <v>-52</v>
      </c>
      <c r="AQ56" s="33">
        <v>-62</v>
      </c>
      <c r="AR56" s="33">
        <v>-48</v>
      </c>
      <c r="AS56" s="33">
        <v>-27</v>
      </c>
      <c r="AT56" s="33">
        <v>-9</v>
      </c>
      <c r="AU56" s="33">
        <v>27</v>
      </c>
      <c r="AV56" s="33">
        <v>83</v>
      </c>
    </row>
    <row r="57" spans="1:48">
      <c r="A57">
        <v>1340</v>
      </c>
      <c r="C57" s="107">
        <f>VLOOKUP(1340,收盤價!$A:$C,3,0)</f>
        <v>58.4</v>
      </c>
      <c r="D57" s="107">
        <f t="shared" si="0"/>
        <v>6.6531645569620244</v>
      </c>
      <c r="E57" s="167">
        <f t="shared" si="1"/>
        <v>4</v>
      </c>
      <c r="F57" s="104">
        <f t="shared" si="2"/>
        <v>1.9923295656142213</v>
      </c>
      <c r="G57" s="167">
        <f>RANK(4.81,AE:AE,0)</f>
        <v>170</v>
      </c>
      <c r="H57" s="365">
        <f t="shared" si="3"/>
        <v>-1.041758050478677</v>
      </c>
      <c r="I57" s="213">
        <f t="shared" si="4"/>
        <v>286</v>
      </c>
      <c r="J57" s="213">
        <f t="shared" si="5"/>
        <v>642</v>
      </c>
      <c r="K57">
        <f>RANK(1.68,AI:AI,0)</f>
        <v>465</v>
      </c>
      <c r="L57" s="357">
        <v>0</v>
      </c>
      <c r="M57" s="357">
        <v>1</v>
      </c>
      <c r="N57" s="357">
        <v>2</v>
      </c>
      <c r="O57" s="357">
        <v>1</v>
      </c>
      <c r="P57" s="357">
        <v>0</v>
      </c>
      <c r="Q57" s="358">
        <v>0.35371179039301309</v>
      </c>
      <c r="R57" s="359">
        <v>2.1944444444444446</v>
      </c>
      <c r="S57" s="196">
        <v>3367997000</v>
      </c>
      <c r="T57" s="196">
        <v>114900000</v>
      </c>
      <c r="U57" s="200">
        <f t="shared" si="6"/>
        <v>6710160000</v>
      </c>
      <c r="V57" s="196">
        <v>300000000</v>
      </c>
      <c r="W57" s="196">
        <v>4983000000</v>
      </c>
      <c r="X57" s="196">
        <v>223000000</v>
      </c>
      <c r="Y57" s="196">
        <v>5796000000</v>
      </c>
      <c r="Z57" s="196">
        <v>0</v>
      </c>
      <c r="AA57" s="198">
        <v>0.06</v>
      </c>
      <c r="AB57" s="198">
        <v>0.05</v>
      </c>
      <c r="AC57" s="213">
        <f t="shared" si="7"/>
        <v>174</v>
      </c>
      <c r="AD57" s="213">
        <f t="shared" si="8"/>
        <v>150</v>
      </c>
      <c r="AE57" s="213">
        <v>4.8099999999999996</v>
      </c>
      <c r="AF57" s="196">
        <v>194000000</v>
      </c>
      <c r="AG57" s="104">
        <f t="shared" si="9"/>
        <v>1.6884247171453437</v>
      </c>
      <c r="AH57" s="104">
        <f t="shared" si="10"/>
        <v>0.64666666666666661</v>
      </c>
      <c r="AI57" s="195">
        <v>1.68</v>
      </c>
      <c r="AN57" t="s">
        <v>194</v>
      </c>
      <c r="AO57" s="33">
        <v>0</v>
      </c>
      <c r="AP57" s="87">
        <v>0</v>
      </c>
      <c r="AQ57" s="213">
        <v>0</v>
      </c>
      <c r="AR57" s="213">
        <v>0</v>
      </c>
      <c r="AS57" s="33">
        <v>0</v>
      </c>
      <c r="AT57" s="213">
        <v>0</v>
      </c>
      <c r="AU57" s="213">
        <v>0</v>
      </c>
      <c r="AV57" s="213">
        <v>0</v>
      </c>
    </row>
    <row r="58" spans="1:48">
      <c r="A58">
        <v>1402</v>
      </c>
      <c r="C58" s="107">
        <f>VLOOKUP(1402,收盤價!$A:$C,3,0)</f>
        <v>24.3</v>
      </c>
      <c r="D58" s="107">
        <f t="shared" si="0"/>
        <v>17.704223457675752</v>
      </c>
      <c r="E58" s="167">
        <f t="shared" si="1"/>
        <v>4</v>
      </c>
      <c r="F58" s="104">
        <f t="shared" si="2"/>
        <v>0.60264556997664576</v>
      </c>
      <c r="G58" s="167">
        <f>RANK(1.63,AE:AE,0)</f>
        <v>551</v>
      </c>
      <c r="H58" s="365">
        <f t="shared" si="3"/>
        <v>0.13120275958799166</v>
      </c>
      <c r="I58" s="213">
        <f t="shared" si="4"/>
        <v>401</v>
      </c>
      <c r="J58" s="213">
        <f t="shared" si="5"/>
        <v>396</v>
      </c>
      <c r="K58">
        <f>RANK(1.95,AI:AI,0)</f>
        <v>358</v>
      </c>
      <c r="L58" s="357">
        <v>0</v>
      </c>
      <c r="M58" s="357">
        <v>1</v>
      </c>
      <c r="N58" s="357">
        <v>2</v>
      </c>
      <c r="O58" s="357">
        <v>1</v>
      </c>
      <c r="P58" s="357">
        <v>0</v>
      </c>
      <c r="Q58" s="358">
        <v>0.24197274827630119</v>
      </c>
      <c r="R58" s="359">
        <v>0.34313846153846156</v>
      </c>
      <c r="S58" s="196">
        <v>215840747000</v>
      </c>
      <c r="T58" s="196">
        <v>5352900000</v>
      </c>
      <c r="U58" s="200">
        <f t="shared" si="6"/>
        <v>130075470000</v>
      </c>
      <c r="V58" s="196">
        <v>4865000000</v>
      </c>
      <c r="W58" s="196">
        <v>6579000000</v>
      </c>
      <c r="X58" s="196">
        <v>151280000000</v>
      </c>
      <c r="Y58" s="196">
        <v>249210000000</v>
      </c>
      <c r="Z58" s="196">
        <v>51170000000</v>
      </c>
      <c r="AA58" s="198">
        <v>0.03</v>
      </c>
      <c r="AB58" s="198">
        <v>0.02</v>
      </c>
      <c r="AC58" s="213">
        <f t="shared" si="7"/>
        <v>469</v>
      </c>
      <c r="AD58" s="213">
        <f t="shared" si="8"/>
        <v>487</v>
      </c>
      <c r="AE58" s="213">
        <v>1.63</v>
      </c>
      <c r="AF58" s="196">
        <v>7003000000</v>
      </c>
      <c r="AG58" s="104">
        <f t="shared" si="9"/>
        <v>1.3082628108128305</v>
      </c>
      <c r="AH58" s="104">
        <f t="shared" si="10"/>
        <v>1.4394655704008221</v>
      </c>
      <c r="AI58" s="195">
        <v>1.95</v>
      </c>
      <c r="AN58" t="s">
        <v>181</v>
      </c>
      <c r="AO58" s="33">
        <v>0</v>
      </c>
      <c r="AP58" s="33">
        <v>0</v>
      </c>
      <c r="AQ58" s="33">
        <v>0</v>
      </c>
      <c r="AR58" s="33">
        <v>0</v>
      </c>
      <c r="AS58" s="33">
        <v>0</v>
      </c>
      <c r="AT58" s="33">
        <v>0</v>
      </c>
      <c r="AU58" s="33">
        <v>0</v>
      </c>
      <c r="AV58" s="33">
        <v>0</v>
      </c>
    </row>
    <row r="59" spans="1:48">
      <c r="A59">
        <v>1410</v>
      </c>
      <c r="C59" s="107">
        <f>VLOOKUP(1410,收盤價!$A:$C,3,0)</f>
        <v>24.1</v>
      </c>
      <c r="D59" s="107">
        <f t="shared" si="0"/>
        <v>13.402426693629929</v>
      </c>
      <c r="E59" s="167">
        <f t="shared" si="1"/>
        <v>4</v>
      </c>
      <c r="F59" s="104">
        <f t="shared" si="2"/>
        <v>2.8133116725196259</v>
      </c>
      <c r="G59" s="167">
        <f>RANK(3.28,AE:AE,0)</f>
        <v>256</v>
      </c>
      <c r="H59" s="365">
        <f t="shared" si="3"/>
        <v>0.26227390180878557</v>
      </c>
      <c r="I59" s="213">
        <f t="shared" si="4"/>
        <v>809</v>
      </c>
      <c r="J59" s="213">
        <f t="shared" si="5"/>
        <v>640</v>
      </c>
      <c r="K59">
        <f>RANK(1.08,AI:AI,0)</f>
        <v>817</v>
      </c>
      <c r="L59" s="357">
        <v>0</v>
      </c>
      <c r="M59" s="357">
        <v>1</v>
      </c>
      <c r="N59" s="357">
        <v>2</v>
      </c>
      <c r="O59" s="357">
        <v>1</v>
      </c>
      <c r="P59" s="357">
        <v>0</v>
      </c>
      <c r="Q59" s="358">
        <v>0.38650306748466257</v>
      </c>
      <c r="R59" s="359">
        <v>0.44954545454545458</v>
      </c>
      <c r="S59" s="196">
        <v>616782000</v>
      </c>
      <c r="T59" s="196">
        <v>72000000</v>
      </c>
      <c r="U59" s="200">
        <f t="shared" si="6"/>
        <v>1735200000</v>
      </c>
      <c r="V59" s="196">
        <v>43000000</v>
      </c>
      <c r="W59" s="196">
        <v>562000000</v>
      </c>
      <c r="X59" s="196">
        <v>300000000</v>
      </c>
      <c r="Y59" s="196">
        <v>1208000000</v>
      </c>
      <c r="Z59" s="196">
        <v>0</v>
      </c>
      <c r="AA59" s="198">
        <v>0.05</v>
      </c>
      <c r="AB59" s="198">
        <v>0.04</v>
      </c>
      <c r="AC59" s="213">
        <f t="shared" si="7"/>
        <v>247</v>
      </c>
      <c r="AD59" s="213">
        <f t="shared" si="8"/>
        <v>228</v>
      </c>
      <c r="AE59" s="213">
        <v>3.28</v>
      </c>
      <c r="AF59" s="196">
        <v>28000000</v>
      </c>
      <c r="AG59" s="104">
        <f t="shared" si="9"/>
        <v>0.3888888888888889</v>
      </c>
      <c r="AH59" s="104">
        <f t="shared" si="10"/>
        <v>0.65116279069767447</v>
      </c>
      <c r="AI59" s="195">
        <v>1.08</v>
      </c>
      <c r="AN59" t="s">
        <v>182</v>
      </c>
      <c r="AO59" s="33">
        <v>1185</v>
      </c>
      <c r="AP59" s="33">
        <v>1137</v>
      </c>
      <c r="AQ59" s="33">
        <v>1100</v>
      </c>
      <c r="AR59" s="33">
        <v>1165</v>
      </c>
      <c r="AS59" s="33">
        <v>1213</v>
      </c>
      <c r="AT59" s="33">
        <v>1241</v>
      </c>
      <c r="AU59" s="33">
        <v>1352</v>
      </c>
      <c r="AV59" s="33">
        <v>1576</v>
      </c>
    </row>
    <row r="60" spans="1:48">
      <c r="A60">
        <v>1413</v>
      </c>
      <c r="C60" s="107">
        <f>VLOOKUP(1413,收盤價!$A:$C,3,0)</f>
        <v>5.86</v>
      </c>
      <c r="D60" s="107">
        <f t="shared" si="0"/>
        <v>0</v>
      </c>
      <c r="E60" s="167">
        <f t="shared" si="1"/>
        <v>0</v>
      </c>
      <c r="F60" s="104">
        <f t="shared" si="2"/>
        <v>0.34378140628198917</v>
      </c>
      <c r="G60" s="167">
        <f>RANK(0.84,AE:AE,0)</f>
        <v>946</v>
      </c>
      <c r="H60" s="365">
        <f t="shared" si="3"/>
        <v>0.3557910673732021</v>
      </c>
      <c r="I60" s="213">
        <f t="shared" si="4"/>
        <v>1293</v>
      </c>
      <c r="J60" s="213">
        <f t="shared" si="5"/>
        <v>768</v>
      </c>
      <c r="K60">
        <f>RANK(0.76,AI:AI,0)</f>
        <v>1269</v>
      </c>
      <c r="L60" s="357">
        <v>0</v>
      </c>
      <c r="M60" s="357">
        <v>0</v>
      </c>
      <c r="N60" s="357">
        <v>0</v>
      </c>
      <c r="O60" s="357">
        <v>0</v>
      </c>
      <c r="P60" s="357">
        <v>0</v>
      </c>
      <c r="Q60" s="358">
        <v>1.9011406844106464E-3</v>
      </c>
      <c r="R60" s="359">
        <v>-0.11</v>
      </c>
      <c r="S60" s="196">
        <v>2251739000</v>
      </c>
      <c r="T60" s="196">
        <v>132100000</v>
      </c>
      <c r="U60" s="200">
        <f t="shared" si="6"/>
        <v>774106000</v>
      </c>
      <c r="V60" s="196">
        <v>0</v>
      </c>
      <c r="W60" s="196">
        <v>59000000</v>
      </c>
      <c r="X60" s="196">
        <v>1213000000</v>
      </c>
      <c r="Y60" s="196">
        <v>823000000</v>
      </c>
      <c r="Z60" s="196">
        <v>387000000</v>
      </c>
      <c r="AA60" s="198">
        <v>0</v>
      </c>
      <c r="AB60" s="198">
        <v>0</v>
      </c>
      <c r="AC60" s="213">
        <f t="shared" si="7"/>
        <v>945</v>
      </c>
      <c r="AD60" s="213">
        <f t="shared" si="8"/>
        <v>911</v>
      </c>
      <c r="AE60" s="213">
        <v>0.84</v>
      </c>
      <c r="AF60" s="196">
        <v>-47000000</v>
      </c>
      <c r="AG60" s="104">
        <f t="shared" si="9"/>
        <v>-0.3557910673732021</v>
      </c>
      <c r="AH60" s="104">
        <f t="shared" si="10"/>
        <v>0</v>
      </c>
      <c r="AI60" s="195">
        <v>0.76</v>
      </c>
      <c r="AN60" t="s">
        <v>104</v>
      </c>
    </row>
    <row r="61" spans="1:48">
      <c r="A61">
        <v>1414</v>
      </c>
      <c r="C61" s="107">
        <f>VLOOKUP(1414,收盤價!$A:$C,3,0)</f>
        <v>6.1</v>
      </c>
      <c r="D61" s="107">
        <f t="shared" si="0"/>
        <v>0</v>
      </c>
      <c r="E61" s="167">
        <f t="shared" si="1"/>
        <v>2</v>
      </c>
      <c r="F61" s="104">
        <f t="shared" si="2"/>
        <v>1.3604062972011313</v>
      </c>
      <c r="G61" s="167">
        <f>RANK(0.84,AE:AE,0)</f>
        <v>946</v>
      </c>
      <c r="H61" s="365">
        <f t="shared" si="3"/>
        <v>8.918181818181818</v>
      </c>
      <c r="I61" s="213">
        <f t="shared" si="4"/>
        <v>1012</v>
      </c>
      <c r="J61" s="213">
        <f t="shared" si="5"/>
        <v>46</v>
      </c>
      <c r="K61">
        <f>RANK(1.47,AI:AI,0)</f>
        <v>572</v>
      </c>
      <c r="L61" s="357">
        <v>0</v>
      </c>
      <c r="M61" s="357">
        <v>1</v>
      </c>
      <c r="N61" s="357">
        <v>1</v>
      </c>
      <c r="O61" s="357">
        <v>0</v>
      </c>
      <c r="P61" s="357">
        <v>0</v>
      </c>
      <c r="Q61" s="358">
        <v>6.569343065693431E-2</v>
      </c>
      <c r="R61" s="359">
        <v>0</v>
      </c>
      <c r="S61" s="196">
        <v>986470000</v>
      </c>
      <c r="T61" s="196">
        <v>220000000</v>
      </c>
      <c r="U61" s="200">
        <f t="shared" si="6"/>
        <v>1342000000</v>
      </c>
      <c r="V61" s="196">
        <v>2000000</v>
      </c>
      <c r="W61" s="196">
        <v>0</v>
      </c>
      <c r="X61" s="196">
        <v>1727000000</v>
      </c>
      <c r="Y61" s="196">
        <v>3045000000</v>
      </c>
      <c r="Z61" s="196">
        <v>774000000</v>
      </c>
      <c r="AA61" s="198">
        <v>0</v>
      </c>
      <c r="AB61" s="198">
        <v>0</v>
      </c>
      <c r="AC61" s="213">
        <f t="shared" si="7"/>
        <v>945</v>
      </c>
      <c r="AD61" s="213">
        <f t="shared" si="8"/>
        <v>911</v>
      </c>
      <c r="AE61" s="213">
        <v>0.84</v>
      </c>
      <c r="AF61" s="196">
        <v>18000000</v>
      </c>
      <c r="AG61" s="104">
        <f t="shared" si="9"/>
        <v>8.1818181818181818E-2</v>
      </c>
      <c r="AH61" s="104">
        <f t="shared" si="10"/>
        <v>9</v>
      </c>
      <c r="AI61" s="195">
        <v>1.47</v>
      </c>
      <c r="AN61" t="s">
        <v>105</v>
      </c>
      <c r="AO61" s="33"/>
      <c r="AP61" s="33"/>
      <c r="AQ61" s="33"/>
      <c r="AR61" s="33"/>
      <c r="AS61" s="33"/>
      <c r="AT61" s="33"/>
      <c r="AU61" s="33"/>
      <c r="AV61" s="33"/>
    </row>
    <row r="62" spans="1:48">
      <c r="A62">
        <v>1416</v>
      </c>
      <c r="C62" s="107">
        <f>VLOOKUP(1416,收盤價!$A:$C,3,0)</f>
        <v>24.9</v>
      </c>
      <c r="D62" s="107">
        <f t="shared" si="0"/>
        <v>15.100290095317032</v>
      </c>
      <c r="E62" s="167">
        <f t="shared" si="1"/>
        <v>3</v>
      </c>
      <c r="F62" s="104">
        <f t="shared" si="2"/>
        <v>1.7884641126403733</v>
      </c>
      <c r="G62" s="167">
        <f>RANK(1.63,AE:AE,0)</f>
        <v>551</v>
      </c>
      <c r="H62" s="365">
        <f t="shared" si="3"/>
        <v>4.541007905138339</v>
      </c>
      <c r="I62" s="213">
        <f t="shared" si="4"/>
        <v>40</v>
      </c>
      <c r="J62" s="213">
        <f t="shared" si="5"/>
        <v>43</v>
      </c>
      <c r="K62">
        <f>RANK(18.77,AI:AI,0)</f>
        <v>6</v>
      </c>
      <c r="L62" s="357">
        <v>1</v>
      </c>
      <c r="M62" s="357">
        <v>1</v>
      </c>
      <c r="N62" s="357">
        <v>0</v>
      </c>
      <c r="O62" s="357">
        <v>1</v>
      </c>
      <c r="P62" s="357">
        <v>0</v>
      </c>
      <c r="Q62" s="358">
        <v>0.29041916167664672</v>
      </c>
      <c r="R62" s="359">
        <v>0.41224373576309797</v>
      </c>
      <c r="S62" s="196">
        <v>3675556000</v>
      </c>
      <c r="T62" s="196">
        <v>264000000</v>
      </c>
      <c r="U62" s="200">
        <f t="shared" si="6"/>
        <v>6573600000</v>
      </c>
      <c r="V62" s="196">
        <v>138000000</v>
      </c>
      <c r="W62" s="196">
        <v>837000000</v>
      </c>
      <c r="X62" s="196">
        <v>4118000000</v>
      </c>
      <c r="Y62" s="196">
        <v>5698000000</v>
      </c>
      <c r="Z62" s="196">
        <v>1697000000</v>
      </c>
      <c r="AA62" s="198">
        <v>0.03</v>
      </c>
      <c r="AB62" s="198">
        <v>0.02</v>
      </c>
      <c r="AC62" s="213">
        <f t="shared" si="7"/>
        <v>469</v>
      </c>
      <c r="AD62" s="213">
        <f t="shared" si="8"/>
        <v>487</v>
      </c>
      <c r="AE62" s="213">
        <v>1.63</v>
      </c>
      <c r="AF62" s="196">
        <v>1313000000</v>
      </c>
      <c r="AG62" s="104">
        <f t="shared" si="9"/>
        <v>4.9734848484848486</v>
      </c>
      <c r="AH62" s="104">
        <f t="shared" si="10"/>
        <v>9.5144927536231876</v>
      </c>
      <c r="AI62" s="195">
        <v>18.77</v>
      </c>
      <c r="AO62" s="33"/>
      <c r="AP62" s="33"/>
      <c r="AQ62" s="33"/>
      <c r="AR62" s="33"/>
      <c r="AS62" s="33"/>
      <c r="AT62" s="33"/>
      <c r="AU62" s="33"/>
      <c r="AV62" s="33"/>
    </row>
    <row r="63" spans="1:48">
      <c r="A63">
        <v>1417</v>
      </c>
      <c r="C63" s="107">
        <f>VLOOKUP(1417,收盤價!$A:$C,3,0)</f>
        <v>5.51</v>
      </c>
      <c r="D63" s="107">
        <f t="shared" si="0"/>
        <v>0</v>
      </c>
      <c r="E63" s="167">
        <f t="shared" si="1"/>
        <v>3</v>
      </c>
      <c r="F63" s="104">
        <f t="shared" si="2"/>
        <v>0.63011387358944881</v>
      </c>
      <c r="G63" s="167">
        <f>RANK(0.56,AE:AE,0)</f>
        <v>1414</v>
      </c>
      <c r="H63" s="365">
        <f t="shared" si="3"/>
        <v>-0.2842853382469071</v>
      </c>
      <c r="I63" s="213">
        <f t="shared" si="4"/>
        <v>872</v>
      </c>
      <c r="J63" s="213">
        <f t="shared" si="5"/>
        <v>768</v>
      </c>
      <c r="K63">
        <f>RANK(0.95,AI:AI,0)</f>
        <v>930</v>
      </c>
      <c r="L63" s="357">
        <v>1</v>
      </c>
      <c r="M63" s="357">
        <v>1</v>
      </c>
      <c r="N63" s="357">
        <v>0</v>
      </c>
      <c r="O63" s="357">
        <v>1</v>
      </c>
      <c r="P63" s="357">
        <v>0</v>
      </c>
      <c r="Q63" s="358">
        <v>0.24269005847953215</v>
      </c>
      <c r="R63" s="359">
        <v>0</v>
      </c>
      <c r="S63" s="196">
        <v>3322017000</v>
      </c>
      <c r="T63" s="196">
        <v>379900000</v>
      </c>
      <c r="U63" s="200">
        <f t="shared" si="6"/>
        <v>2093249000</v>
      </c>
      <c r="V63" s="196">
        <v>-82000000</v>
      </c>
      <c r="W63" s="196">
        <v>1905000000</v>
      </c>
      <c r="X63" s="196">
        <v>1032000000</v>
      </c>
      <c r="Y63" s="196">
        <v>4082000000</v>
      </c>
      <c r="Z63" s="196">
        <v>790000000</v>
      </c>
      <c r="AA63" s="198">
        <v>-0.03</v>
      </c>
      <c r="AB63" s="198">
        <v>-0.02</v>
      </c>
      <c r="AC63" s="213">
        <f t="shared" si="7"/>
        <v>1405</v>
      </c>
      <c r="AD63" s="213">
        <f t="shared" si="8"/>
        <v>1388</v>
      </c>
      <c r="AE63" s="213">
        <v>0.56000000000000005</v>
      </c>
      <c r="AF63" s="196">
        <v>108000000</v>
      </c>
      <c r="AG63" s="104">
        <f t="shared" si="9"/>
        <v>0.2842853382469071</v>
      </c>
      <c r="AH63" s="104">
        <f t="shared" si="10"/>
        <v>0</v>
      </c>
      <c r="AI63" s="195">
        <v>0.95</v>
      </c>
      <c r="AN63" t="s">
        <v>103</v>
      </c>
      <c r="AO63" s="33">
        <v>19</v>
      </c>
      <c r="AP63" s="33">
        <v>7</v>
      </c>
      <c r="AQ63" s="33">
        <v>-11</v>
      </c>
      <c r="AR63" s="33">
        <v>-21</v>
      </c>
      <c r="AS63" s="33">
        <v>2</v>
      </c>
      <c r="AT63" s="33">
        <v>-36</v>
      </c>
      <c r="AU63" s="33">
        <v>15</v>
      </c>
      <c r="AV63" s="33">
        <v>37</v>
      </c>
    </row>
    <row r="64" spans="1:48">
      <c r="A64">
        <v>1418</v>
      </c>
      <c r="C64" s="107">
        <f>VLOOKUP(1418,收盤價!$A:$C,3,0)</f>
        <v>4.8</v>
      </c>
      <c r="D64" s="107">
        <f t="shared" si="0"/>
        <v>0</v>
      </c>
      <c r="E64" s="167">
        <f t="shared" si="1"/>
        <v>0</v>
      </c>
      <c r="F64" s="104">
        <f t="shared" si="2"/>
        <v>0.36689613128335413</v>
      </c>
      <c r="G64" s="167">
        <f>RANK(0.58,AE:AE,0)</f>
        <v>1374</v>
      </c>
      <c r="H64" s="365">
        <f t="shared" si="3"/>
        <v>0.16679302501895377</v>
      </c>
      <c r="I64" s="213">
        <f t="shared" si="4"/>
        <v>1186</v>
      </c>
      <c r="J64" s="213">
        <f t="shared" si="5"/>
        <v>768</v>
      </c>
      <c r="K64">
        <f>RANK(0.8,AI:AI,0)</f>
        <v>1168</v>
      </c>
      <c r="L64" s="357">
        <v>0</v>
      </c>
      <c r="M64" s="357">
        <v>0</v>
      </c>
      <c r="N64" s="357">
        <v>0</v>
      </c>
      <c r="O64" s="357">
        <v>0</v>
      </c>
      <c r="P64" s="357">
        <v>0</v>
      </c>
      <c r="Q64" s="358">
        <v>4.3478260869565216E-2</v>
      </c>
      <c r="R64" s="359">
        <v>0</v>
      </c>
      <c r="S64" s="196">
        <v>1725611000</v>
      </c>
      <c r="T64" s="196">
        <v>131900000</v>
      </c>
      <c r="U64" s="200">
        <f t="shared" si="6"/>
        <v>633120000</v>
      </c>
      <c r="V64" s="196">
        <v>-19000000</v>
      </c>
      <c r="W64" s="196">
        <v>0</v>
      </c>
      <c r="X64" s="196">
        <v>1276000000</v>
      </c>
      <c r="Y64" s="196">
        <v>449000000</v>
      </c>
      <c r="Z64" s="196">
        <v>795000000</v>
      </c>
      <c r="AA64" s="198">
        <v>-0.01</v>
      </c>
      <c r="AB64" s="198">
        <v>-0.02</v>
      </c>
      <c r="AC64" s="213">
        <f t="shared" si="7"/>
        <v>1277</v>
      </c>
      <c r="AD64" s="213">
        <f t="shared" si="8"/>
        <v>1388</v>
      </c>
      <c r="AE64" s="213">
        <v>0.57999999999999996</v>
      </c>
      <c r="AF64" s="196">
        <v>-22000000</v>
      </c>
      <c r="AG64" s="104">
        <f t="shared" si="9"/>
        <v>-0.16679302501895377</v>
      </c>
      <c r="AH64" s="104">
        <f t="shared" si="10"/>
        <v>0</v>
      </c>
      <c r="AI64" s="195">
        <v>0.8</v>
      </c>
      <c r="AN64" t="s">
        <v>104</v>
      </c>
      <c r="AO64" s="213"/>
      <c r="AP64" s="213"/>
      <c r="AQ64" s="213"/>
      <c r="AR64" s="213"/>
      <c r="AS64" s="213"/>
      <c r="AT64" s="213"/>
      <c r="AU64" s="213"/>
      <c r="AV64" s="213"/>
    </row>
    <row r="65" spans="1:48">
      <c r="A65">
        <v>1419</v>
      </c>
      <c r="C65" s="107">
        <f>VLOOKUP(1419,收盤價!$A:$C,3,0)</f>
        <v>38.75</v>
      </c>
      <c r="D65" s="107">
        <f t="shared" si="0"/>
        <v>0</v>
      </c>
      <c r="E65" s="167">
        <f t="shared" si="1"/>
        <v>3</v>
      </c>
      <c r="F65" s="104">
        <f t="shared" si="2"/>
        <v>9.4572937089675477</v>
      </c>
      <c r="G65" s="167">
        <f>RANK(0.71,AE:AE,0)</f>
        <v>1276</v>
      </c>
      <c r="H65" s="365">
        <f t="shared" si="3"/>
        <v>6.6666666666666666E-2</v>
      </c>
      <c r="I65" s="213">
        <f t="shared" si="4"/>
        <v>1112</v>
      </c>
      <c r="J65" s="213">
        <f t="shared" si="5"/>
        <v>768</v>
      </c>
      <c r="K65">
        <f>RANK(0.83,AI:AI,0)</f>
        <v>1098</v>
      </c>
      <c r="L65" s="357">
        <v>0</v>
      </c>
      <c r="M65" s="357">
        <v>1</v>
      </c>
      <c r="N65" s="357">
        <v>2</v>
      </c>
      <c r="O65" s="357">
        <v>0</v>
      </c>
      <c r="P65" s="357">
        <v>0</v>
      </c>
      <c r="Q65" s="358">
        <v>0.21612903225806451</v>
      </c>
      <c r="R65" s="359">
        <v>0</v>
      </c>
      <c r="S65" s="196">
        <v>1229210000</v>
      </c>
      <c r="T65" s="196">
        <v>300000000</v>
      </c>
      <c r="U65" s="200">
        <f t="shared" si="6"/>
        <v>11625000000</v>
      </c>
      <c r="V65" s="196">
        <v>-7000000</v>
      </c>
      <c r="W65" s="196">
        <v>0</v>
      </c>
      <c r="X65" s="196">
        <v>479000000</v>
      </c>
      <c r="Y65" s="196">
        <v>7123000000</v>
      </c>
      <c r="Z65" s="196">
        <v>3390000000</v>
      </c>
      <c r="AA65" s="198">
        <v>-0.01</v>
      </c>
      <c r="AB65" s="198">
        <v>0</v>
      </c>
      <c r="AC65" s="213">
        <f t="shared" si="7"/>
        <v>1277</v>
      </c>
      <c r="AD65" s="213">
        <f t="shared" si="8"/>
        <v>911</v>
      </c>
      <c r="AE65" s="213">
        <v>0.71</v>
      </c>
      <c r="AF65" s="196">
        <v>-20000000</v>
      </c>
      <c r="AG65" s="104">
        <f t="shared" si="9"/>
        <v>-6.6666666666666666E-2</v>
      </c>
      <c r="AH65" s="104">
        <f t="shared" si="10"/>
        <v>0</v>
      </c>
      <c r="AI65" s="195">
        <v>0.83</v>
      </c>
      <c r="AN65" t="s">
        <v>105</v>
      </c>
      <c r="AO65" s="213"/>
      <c r="AP65" s="213"/>
      <c r="AQ65" s="213"/>
      <c r="AR65" s="213"/>
      <c r="AS65" s="213"/>
      <c r="AT65" s="213"/>
      <c r="AU65" s="213"/>
      <c r="AV65" s="213"/>
    </row>
    <row r="66" spans="1:48">
      <c r="A66">
        <v>1423</v>
      </c>
      <c r="C66" s="107">
        <f>VLOOKUP(1423,收盤價!$A:$C,3,0)</f>
        <v>6.55</v>
      </c>
      <c r="D66" s="107">
        <f t="shared" ref="D66:D129" si="11">IF(AND(ISNUMBER(C66),R66&gt;0),C66/(R66*4),0)</f>
        <v>0</v>
      </c>
      <c r="E66" s="167">
        <f t="shared" ref="E66:E129" si="12">SUM(L66:P66)</f>
        <v>1</v>
      </c>
      <c r="F66" s="104">
        <f t="shared" ref="F66:F129" si="13">IF(AND(ISNUMBER(U66),ISNUMBER(S66)),U66/S66,0)</f>
        <v>1.7695376855387162</v>
      </c>
      <c r="G66" s="167">
        <f>RANK(0.84,AE:AE,0)</f>
        <v>946</v>
      </c>
      <c r="H66" s="365">
        <f t="shared" ref="H66:H129" si="14">AH66-AG66</f>
        <v>4.9421965317919074</v>
      </c>
      <c r="I66" s="213">
        <f t="shared" ref="I66:I129" si="15">RANK(AG66,AG:AG)</f>
        <v>1030</v>
      </c>
      <c r="J66" s="213">
        <f t="shared" ref="J66:J129" si="16">RANK(AH66,AH:AH)</f>
        <v>81</v>
      </c>
      <c r="K66">
        <f>RANK(1.4,AI:AI,0)</f>
        <v>622</v>
      </c>
      <c r="L66" s="357">
        <v>0</v>
      </c>
      <c r="M66" s="357">
        <v>0</v>
      </c>
      <c r="N66" s="357">
        <v>0</v>
      </c>
      <c r="O66" s="357">
        <v>1</v>
      </c>
      <c r="P66" s="357">
        <v>0</v>
      </c>
      <c r="Q66" s="358">
        <v>7.1428571428571425E-2</v>
      </c>
      <c r="R66" s="359">
        <v>0</v>
      </c>
      <c r="S66" s="196">
        <v>640365000</v>
      </c>
      <c r="T66" s="196">
        <v>173000000</v>
      </c>
      <c r="U66" s="200">
        <f t="shared" ref="U66:U129" si="17">C66*T66</f>
        <v>1133150000</v>
      </c>
      <c r="V66" s="196">
        <v>2000000</v>
      </c>
      <c r="W66" s="196">
        <v>1349000000</v>
      </c>
      <c r="X66" s="196">
        <v>370000000</v>
      </c>
      <c r="Y66" s="196">
        <v>2572000000</v>
      </c>
      <c r="Z66" s="196">
        <v>0</v>
      </c>
      <c r="AA66" s="198">
        <v>0</v>
      </c>
      <c r="AB66" s="198">
        <v>0</v>
      </c>
      <c r="AC66" s="213">
        <f t="shared" ref="AC66:AC129" si="18">RANK(AA66,AA:AA)</f>
        <v>945</v>
      </c>
      <c r="AD66" s="213">
        <f t="shared" ref="AD66:AD129" si="19">RANK(AB66,AB:AB)</f>
        <v>911</v>
      </c>
      <c r="AE66" s="213">
        <v>0.84</v>
      </c>
      <c r="AF66" s="196">
        <v>10000000</v>
      </c>
      <c r="AG66" s="104">
        <f t="shared" ref="AG66:AG129" si="20">AF66/T66</f>
        <v>5.7803468208092484E-2</v>
      </c>
      <c r="AH66" s="104">
        <f t="shared" ref="AH66:AH129" si="21">IF(AND(AF66&gt;0,V66&gt;0),AF66/V66,0)</f>
        <v>5</v>
      </c>
      <c r="AI66" s="195">
        <v>1.4</v>
      </c>
    </row>
    <row r="67" spans="1:48">
      <c r="A67">
        <v>1432</v>
      </c>
      <c r="C67" s="107">
        <f>VLOOKUP(1432,收盤價!$A:$C,3,0)</f>
        <v>16.600000000000001</v>
      </c>
      <c r="D67" s="107">
        <f t="shared" si="11"/>
        <v>0</v>
      </c>
      <c r="E67" s="167">
        <f t="shared" si="12"/>
        <v>3</v>
      </c>
      <c r="F67" s="104">
        <f t="shared" si="13"/>
        <v>3.9499611978548459</v>
      </c>
      <c r="G67" s="167">
        <f>RANK(0.58,AE:AE,0)</f>
        <v>1374</v>
      </c>
      <c r="H67" s="365">
        <f t="shared" si="14"/>
        <v>-1.4294049008168028</v>
      </c>
      <c r="I67" s="213">
        <f t="shared" si="15"/>
        <v>367</v>
      </c>
      <c r="J67" s="213">
        <f t="shared" si="16"/>
        <v>768</v>
      </c>
      <c r="K67">
        <f>RANK(1.37,AI:AI,0)</f>
        <v>643</v>
      </c>
      <c r="L67" s="357">
        <v>0</v>
      </c>
      <c r="M67" s="357">
        <v>0</v>
      </c>
      <c r="N67" s="357">
        <v>1</v>
      </c>
      <c r="O67" s="357">
        <v>1</v>
      </c>
      <c r="P67" s="357">
        <v>1</v>
      </c>
      <c r="Q67" s="358">
        <v>0.82329317269076308</v>
      </c>
      <c r="R67" s="359">
        <v>0</v>
      </c>
      <c r="S67" s="196">
        <v>720321000</v>
      </c>
      <c r="T67" s="196">
        <v>171400000</v>
      </c>
      <c r="U67" s="200">
        <f t="shared" si="17"/>
        <v>2845240000.0000005</v>
      </c>
      <c r="V67" s="196">
        <v>-69000000</v>
      </c>
      <c r="W67" s="196">
        <v>0</v>
      </c>
      <c r="X67" s="196">
        <v>5419000000</v>
      </c>
      <c r="Y67" s="196">
        <v>2825000000</v>
      </c>
      <c r="Z67" s="196">
        <v>799000000</v>
      </c>
      <c r="AA67" s="198">
        <v>-0.01</v>
      </c>
      <c r="AB67" s="198">
        <v>-0.02</v>
      </c>
      <c r="AC67" s="213">
        <f t="shared" si="18"/>
        <v>1277</v>
      </c>
      <c r="AD67" s="213">
        <f t="shared" si="19"/>
        <v>1388</v>
      </c>
      <c r="AE67" s="213">
        <v>0.57999999999999996</v>
      </c>
      <c r="AF67" s="196">
        <v>245000000</v>
      </c>
      <c r="AG67" s="104">
        <f t="shared" si="20"/>
        <v>1.4294049008168028</v>
      </c>
      <c r="AH67" s="104">
        <f t="shared" si="21"/>
        <v>0</v>
      </c>
      <c r="AI67" s="195">
        <v>1.37</v>
      </c>
      <c r="AO67" s="213"/>
      <c r="AP67" s="213"/>
      <c r="AQ67" s="213"/>
      <c r="AR67" s="213"/>
      <c r="AS67" s="213"/>
      <c r="AT67" s="213"/>
      <c r="AU67" s="213"/>
      <c r="AV67" s="213"/>
    </row>
    <row r="68" spans="1:48">
      <c r="A68">
        <v>1434</v>
      </c>
      <c r="C68" s="107">
        <f>VLOOKUP(1434,收盤價!$A:$C,3,0)</f>
        <v>29.4</v>
      </c>
      <c r="D68" s="107">
        <f t="shared" si="11"/>
        <v>28.269230769230766</v>
      </c>
      <c r="E68" s="167">
        <f t="shared" si="12"/>
        <v>1</v>
      </c>
      <c r="F68" s="104">
        <f t="shared" si="13"/>
        <v>1.2173633279294036</v>
      </c>
      <c r="G68" s="167">
        <f>RANK(0.84,AE:AE,0)</f>
        <v>946</v>
      </c>
      <c r="H68" s="365">
        <f t="shared" si="14"/>
        <v>-1.0809046120971093</v>
      </c>
      <c r="I68" s="213">
        <f t="shared" si="15"/>
        <v>476</v>
      </c>
      <c r="J68" s="213">
        <f t="shared" si="16"/>
        <v>768</v>
      </c>
      <c r="K68">
        <f>RANK(1.25,AI:AI,0)</f>
        <v>709</v>
      </c>
      <c r="L68" s="357">
        <v>0</v>
      </c>
      <c r="M68" s="357">
        <v>0</v>
      </c>
      <c r="N68" s="357">
        <v>0</v>
      </c>
      <c r="O68" s="357">
        <v>1</v>
      </c>
      <c r="P68" s="357">
        <v>0</v>
      </c>
      <c r="Q68" s="358">
        <v>0.14957058766766379</v>
      </c>
      <c r="R68" s="359">
        <v>0.26</v>
      </c>
      <c r="S68" s="196">
        <v>40686440000</v>
      </c>
      <c r="T68" s="196">
        <v>1684700000</v>
      </c>
      <c r="U68" s="200">
        <f t="shared" si="17"/>
        <v>49530180000</v>
      </c>
      <c r="V68" s="196">
        <v>0</v>
      </c>
      <c r="W68" s="196">
        <v>10369000000</v>
      </c>
      <c r="X68" s="196">
        <v>16961000000</v>
      </c>
      <c r="Y68" s="196">
        <v>57844000000</v>
      </c>
      <c r="Z68" s="196">
        <v>5150000000</v>
      </c>
      <c r="AA68" s="198">
        <v>0</v>
      </c>
      <c r="AB68" s="198">
        <v>0</v>
      </c>
      <c r="AC68" s="213">
        <f t="shared" si="18"/>
        <v>945</v>
      </c>
      <c r="AD68" s="213">
        <f t="shared" si="19"/>
        <v>911</v>
      </c>
      <c r="AE68" s="213">
        <v>0.84</v>
      </c>
      <c r="AF68" s="196">
        <v>1821000000</v>
      </c>
      <c r="AG68" s="104">
        <f t="shared" si="20"/>
        <v>1.0809046120971093</v>
      </c>
      <c r="AH68" s="104">
        <f t="shared" si="21"/>
        <v>0</v>
      </c>
      <c r="AI68" s="195">
        <v>1.25</v>
      </c>
      <c r="AO68" s="213"/>
      <c r="AP68" s="213"/>
      <c r="AQ68" s="213"/>
      <c r="AR68" s="213"/>
      <c r="AS68" s="213"/>
      <c r="AT68" s="213"/>
      <c r="AU68" s="213"/>
      <c r="AV68" s="213"/>
    </row>
    <row r="69" spans="1:48">
      <c r="A69">
        <v>1435</v>
      </c>
      <c r="C69" s="107">
        <f>VLOOKUP(1435,收盤價!$A:$C,3,0)</f>
        <v>4.21</v>
      </c>
      <c r="D69" s="107">
        <f t="shared" si="11"/>
        <v>0</v>
      </c>
      <c r="E69" s="167">
        <f t="shared" si="12"/>
        <v>5</v>
      </c>
      <c r="F69" s="104">
        <f t="shared" si="13"/>
        <v>20.675823789784303</v>
      </c>
      <c r="G69" s="167">
        <f>RANK(0.84,AE:AE,0)</f>
        <v>946</v>
      </c>
      <c r="H69" s="365">
        <f t="shared" si="14"/>
        <v>-2.8612303290414878E-2</v>
      </c>
      <c r="I69" s="213">
        <f t="shared" si="15"/>
        <v>1049</v>
      </c>
      <c r="J69" s="213">
        <f t="shared" si="16"/>
        <v>768</v>
      </c>
      <c r="K69">
        <f>RANK(0.86,AI:AI,0)</f>
        <v>1045</v>
      </c>
      <c r="L69" s="357">
        <v>1</v>
      </c>
      <c r="M69" s="357">
        <v>1</v>
      </c>
      <c r="N69" s="357">
        <v>2</v>
      </c>
      <c r="O69" s="357">
        <v>1</v>
      </c>
      <c r="P69" s="357">
        <v>0</v>
      </c>
      <c r="Q69" s="358">
        <v>0.8571428571428571</v>
      </c>
      <c r="R69" s="359">
        <v>0</v>
      </c>
      <c r="S69" s="196">
        <v>28466000</v>
      </c>
      <c r="T69" s="196">
        <v>139800000</v>
      </c>
      <c r="U69" s="200">
        <f t="shared" si="17"/>
        <v>588558000</v>
      </c>
      <c r="V69" s="196">
        <v>-1000000</v>
      </c>
      <c r="W69" s="196">
        <v>394000000</v>
      </c>
      <c r="X69" s="196">
        <v>569000000</v>
      </c>
      <c r="Y69" s="196">
        <v>935000000</v>
      </c>
      <c r="Z69" s="196">
        <v>0</v>
      </c>
      <c r="AA69" s="198">
        <v>0</v>
      </c>
      <c r="AB69" s="198">
        <v>0</v>
      </c>
      <c r="AC69" s="213">
        <f t="shared" si="18"/>
        <v>945</v>
      </c>
      <c r="AD69" s="213">
        <f t="shared" si="19"/>
        <v>911</v>
      </c>
      <c r="AE69" s="213">
        <v>0.84</v>
      </c>
      <c r="AF69" s="196">
        <v>4000000</v>
      </c>
      <c r="AG69" s="104">
        <f t="shared" si="20"/>
        <v>2.8612303290414878E-2</v>
      </c>
      <c r="AH69" s="104">
        <f t="shared" si="21"/>
        <v>0</v>
      </c>
      <c r="AI69" s="195">
        <v>0.86</v>
      </c>
      <c r="AO69" s="213"/>
      <c r="AP69" s="213"/>
      <c r="AQ69" s="213"/>
      <c r="AR69" s="213"/>
      <c r="AS69" s="213"/>
      <c r="AT69" s="213"/>
      <c r="AU69" s="213"/>
      <c r="AV69" s="213"/>
    </row>
    <row r="70" spans="1:48">
      <c r="A70">
        <v>1436</v>
      </c>
      <c r="C70" s="107">
        <f>VLOOKUP(1436,收盤價!$A:$C,3,0)</f>
        <v>40.4</v>
      </c>
      <c r="D70" s="107">
        <f t="shared" si="11"/>
        <v>12.324404761904761</v>
      </c>
      <c r="E70" s="167">
        <f t="shared" si="12"/>
        <v>5</v>
      </c>
      <c r="F70" s="104">
        <f t="shared" si="13"/>
        <v>3.5662381790641504</v>
      </c>
      <c r="G70" s="167">
        <f>RANK(1.36,AE:AE,0)</f>
        <v>694</v>
      </c>
      <c r="H70" s="365">
        <f t="shared" si="14"/>
        <v>-0.47826086956521729</v>
      </c>
      <c r="I70" s="213">
        <f t="shared" si="15"/>
        <v>93</v>
      </c>
      <c r="J70" s="213">
        <f t="shared" si="16"/>
        <v>157</v>
      </c>
      <c r="K70">
        <f>RANK(6.23,AI:AI,0)</f>
        <v>45</v>
      </c>
      <c r="L70" s="357">
        <v>1</v>
      </c>
      <c r="M70" s="357">
        <v>1</v>
      </c>
      <c r="N70" s="357">
        <v>2</v>
      </c>
      <c r="O70" s="357">
        <v>1</v>
      </c>
      <c r="P70" s="357">
        <v>0</v>
      </c>
      <c r="Q70" s="358">
        <v>0.22911694510739858</v>
      </c>
      <c r="R70" s="359">
        <v>0.81951219512195128</v>
      </c>
      <c r="S70" s="196">
        <v>781664000</v>
      </c>
      <c r="T70" s="196">
        <v>69000000</v>
      </c>
      <c r="U70" s="200">
        <f t="shared" si="17"/>
        <v>2787600000</v>
      </c>
      <c r="V70" s="196">
        <v>80000000</v>
      </c>
      <c r="W70" s="196">
        <v>2567000000</v>
      </c>
      <c r="X70" s="196">
        <v>24000000</v>
      </c>
      <c r="Y70" s="196">
        <v>2256000000</v>
      </c>
      <c r="Z70" s="196">
        <v>3288000000</v>
      </c>
      <c r="AA70" s="198">
        <v>0.03</v>
      </c>
      <c r="AB70" s="198">
        <v>0.01</v>
      </c>
      <c r="AC70" s="213">
        <f t="shared" si="18"/>
        <v>469</v>
      </c>
      <c r="AD70" s="213">
        <f t="shared" si="19"/>
        <v>680</v>
      </c>
      <c r="AE70" s="213">
        <v>1.36</v>
      </c>
      <c r="AF70" s="196">
        <v>240000000</v>
      </c>
      <c r="AG70" s="104">
        <f t="shared" si="20"/>
        <v>3.4782608695652173</v>
      </c>
      <c r="AH70" s="104">
        <f t="shared" si="21"/>
        <v>3</v>
      </c>
      <c r="AI70" s="195">
        <v>6.23</v>
      </c>
    </row>
    <row r="71" spans="1:48">
      <c r="A71">
        <v>1437</v>
      </c>
      <c r="C71" s="107">
        <f>VLOOKUP(1437,收盤價!$A:$C,3,0)</f>
        <v>15.25</v>
      </c>
      <c r="D71" s="107">
        <f t="shared" si="11"/>
        <v>15.674810070013404</v>
      </c>
      <c r="E71" s="167">
        <f t="shared" si="12"/>
        <v>3</v>
      </c>
      <c r="F71" s="104">
        <f t="shared" si="13"/>
        <v>4.6863129366455079</v>
      </c>
      <c r="G71" s="167">
        <f>RANK(1.82,AE:AE,0)</f>
        <v>530</v>
      </c>
      <c r="H71" s="365">
        <f t="shared" si="14"/>
        <v>0.272452068617558</v>
      </c>
      <c r="I71" s="213">
        <f t="shared" si="15"/>
        <v>1258</v>
      </c>
      <c r="J71" s="213">
        <f t="shared" si="16"/>
        <v>768</v>
      </c>
      <c r="K71">
        <f>RANK(0.77,AI:AI,0)</f>
        <v>1243</v>
      </c>
      <c r="L71" s="357">
        <v>1</v>
      </c>
      <c r="M71" s="357">
        <v>1</v>
      </c>
      <c r="N71" s="357">
        <v>1</v>
      </c>
      <c r="O71" s="357">
        <v>0</v>
      </c>
      <c r="P71" s="357">
        <v>0</v>
      </c>
      <c r="Q71" s="358">
        <v>0.54609929078014185</v>
      </c>
      <c r="R71" s="359">
        <v>0.24322463768115946</v>
      </c>
      <c r="S71" s="196">
        <v>644974000</v>
      </c>
      <c r="T71" s="196">
        <v>198200000</v>
      </c>
      <c r="U71" s="200">
        <f t="shared" si="17"/>
        <v>3022550000</v>
      </c>
      <c r="V71" s="196">
        <v>68000000</v>
      </c>
      <c r="W71" s="196">
        <v>1088000000</v>
      </c>
      <c r="X71" s="196">
        <v>77000000</v>
      </c>
      <c r="Y71" s="196">
        <v>4965000000</v>
      </c>
      <c r="Z71" s="196">
        <v>434000000</v>
      </c>
      <c r="AA71" s="198">
        <v>0.06</v>
      </c>
      <c r="AB71" s="198">
        <v>0.01</v>
      </c>
      <c r="AC71" s="213">
        <f t="shared" si="18"/>
        <v>174</v>
      </c>
      <c r="AD71" s="213">
        <f t="shared" si="19"/>
        <v>680</v>
      </c>
      <c r="AE71" s="213">
        <v>1.82</v>
      </c>
      <c r="AF71" s="196">
        <v>-54000000</v>
      </c>
      <c r="AG71" s="104">
        <f t="shared" si="20"/>
        <v>-0.272452068617558</v>
      </c>
      <c r="AH71" s="104">
        <f t="shared" si="21"/>
        <v>0</v>
      </c>
      <c r="AI71" s="195">
        <v>0.77</v>
      </c>
    </row>
    <row r="72" spans="1:48">
      <c r="A72">
        <v>1438</v>
      </c>
      <c r="C72" s="107">
        <f>VLOOKUP(1438,收盤價!$A:$C,3,0)</f>
        <v>4.1900000000000004</v>
      </c>
      <c r="D72" s="107">
        <f t="shared" si="11"/>
        <v>0</v>
      </c>
      <c r="E72" s="167">
        <f t="shared" si="12"/>
        <v>0</v>
      </c>
      <c r="F72" s="104">
        <f t="shared" si="13"/>
        <v>2569.1976047904195</v>
      </c>
      <c r="G72" s="167">
        <f>RANK(0.84,AE:AE,0)</f>
        <v>946</v>
      </c>
      <c r="H72" s="365">
        <f t="shared" si="14"/>
        <v>-9.765625E-3</v>
      </c>
      <c r="I72" s="213">
        <f t="shared" si="15"/>
        <v>1060</v>
      </c>
      <c r="J72" s="213">
        <f t="shared" si="16"/>
        <v>768</v>
      </c>
      <c r="K72">
        <f>RANK(0.85,AI:AI,0)</f>
        <v>1059</v>
      </c>
      <c r="L72" s="357">
        <v>0</v>
      </c>
      <c r="M72" s="357">
        <v>0</v>
      </c>
      <c r="N72" s="357">
        <v>0</v>
      </c>
      <c r="O72" s="357">
        <v>0</v>
      </c>
      <c r="P72" s="357">
        <v>0</v>
      </c>
      <c r="Q72" s="358">
        <v>0</v>
      </c>
      <c r="R72" s="359">
        <v>0</v>
      </c>
      <c r="S72" s="196">
        <v>167000</v>
      </c>
      <c r="T72" s="196">
        <v>102400000</v>
      </c>
      <c r="U72" s="200">
        <f t="shared" si="17"/>
        <v>429056000.00000006</v>
      </c>
      <c r="V72" s="196">
        <v>-2000000</v>
      </c>
      <c r="W72" s="196">
        <v>580000000</v>
      </c>
      <c r="X72" s="196">
        <v>35000000</v>
      </c>
      <c r="Y72" s="196">
        <v>547000000</v>
      </c>
      <c r="Z72" s="196">
        <v>0</v>
      </c>
      <c r="AA72" s="198">
        <v>0</v>
      </c>
      <c r="AB72" s="198">
        <v>0</v>
      </c>
      <c r="AC72" s="213">
        <f t="shared" si="18"/>
        <v>945</v>
      </c>
      <c r="AD72" s="213">
        <f t="shared" si="19"/>
        <v>911</v>
      </c>
      <c r="AE72" s="213">
        <v>0.84</v>
      </c>
      <c r="AF72" s="196">
        <v>1000000</v>
      </c>
      <c r="AG72" s="104">
        <f t="shared" si="20"/>
        <v>9.765625E-3</v>
      </c>
      <c r="AH72" s="104">
        <f t="shared" si="21"/>
        <v>0</v>
      </c>
      <c r="AI72" s="195">
        <v>0.85</v>
      </c>
      <c r="AO72" s="213"/>
      <c r="AP72" s="213"/>
      <c r="AQ72" s="213"/>
      <c r="AR72" s="213"/>
      <c r="AS72" s="213"/>
      <c r="AT72" s="213"/>
      <c r="AU72" s="213"/>
      <c r="AV72" s="213"/>
    </row>
    <row r="73" spans="1:48">
      <c r="A73">
        <v>1439</v>
      </c>
      <c r="C73" s="107">
        <f>VLOOKUP(1439,收盤價!$A:$C,3,0)</f>
        <v>17.2</v>
      </c>
      <c r="D73" s="107">
        <f t="shared" si="11"/>
        <v>0</v>
      </c>
      <c r="E73" s="167">
        <f t="shared" si="12"/>
        <v>2</v>
      </c>
      <c r="F73" s="104">
        <f t="shared" si="13"/>
        <v>4.4912185098146065</v>
      </c>
      <c r="G73" s="167">
        <f>RANK(0.84,AE:AE,0)</f>
        <v>946</v>
      </c>
      <c r="H73" s="365">
        <f t="shared" si="14"/>
        <v>-0.64130434782608692</v>
      </c>
      <c r="I73" s="213">
        <f t="shared" si="15"/>
        <v>675</v>
      </c>
      <c r="J73" s="213">
        <f t="shared" si="16"/>
        <v>768</v>
      </c>
      <c r="K73">
        <f>RANK(1.08,AI:AI,0)</f>
        <v>817</v>
      </c>
      <c r="L73" s="357">
        <v>0</v>
      </c>
      <c r="M73" s="357">
        <v>1</v>
      </c>
      <c r="N73" s="357">
        <v>0</v>
      </c>
      <c r="O73" s="357">
        <v>1</v>
      </c>
      <c r="P73" s="357">
        <v>0</v>
      </c>
      <c r="Q73" s="358">
        <v>2.4691358024691357E-2</v>
      </c>
      <c r="R73" s="359">
        <v>0</v>
      </c>
      <c r="S73" s="196">
        <v>352332000</v>
      </c>
      <c r="T73" s="196">
        <v>92000000</v>
      </c>
      <c r="U73" s="200">
        <f t="shared" si="17"/>
        <v>1582400000</v>
      </c>
      <c r="V73" s="196">
        <v>-4000000</v>
      </c>
      <c r="W73" s="196">
        <v>1312000000</v>
      </c>
      <c r="X73" s="196">
        <v>83000000</v>
      </c>
      <c r="Y73" s="196">
        <v>1933000000</v>
      </c>
      <c r="Z73" s="196">
        <v>0</v>
      </c>
      <c r="AA73" s="198">
        <v>0</v>
      </c>
      <c r="AB73" s="198">
        <v>0</v>
      </c>
      <c r="AC73" s="213">
        <f t="shared" si="18"/>
        <v>945</v>
      </c>
      <c r="AD73" s="213">
        <f t="shared" si="19"/>
        <v>911</v>
      </c>
      <c r="AE73" s="213">
        <v>0.84</v>
      </c>
      <c r="AF73" s="196">
        <v>59000000</v>
      </c>
      <c r="AG73" s="104">
        <f t="shared" si="20"/>
        <v>0.64130434782608692</v>
      </c>
      <c r="AH73" s="104">
        <f t="shared" si="21"/>
        <v>0</v>
      </c>
      <c r="AI73" s="195">
        <v>1.08</v>
      </c>
      <c r="AO73" s="213"/>
      <c r="AP73" s="213"/>
      <c r="AQ73" s="213"/>
      <c r="AR73" s="213"/>
      <c r="AS73" s="213"/>
      <c r="AT73" s="213"/>
      <c r="AU73" s="213"/>
      <c r="AV73" s="213"/>
    </row>
    <row r="74" spans="1:48">
      <c r="A74">
        <v>1440</v>
      </c>
      <c r="C74" s="107">
        <f>VLOOKUP(1440,收盤價!$A:$C,3,0)</f>
        <v>12.45</v>
      </c>
      <c r="D74" s="107">
        <f t="shared" si="11"/>
        <v>199.45043103448279</v>
      </c>
      <c r="E74" s="167">
        <f t="shared" si="12"/>
        <v>2</v>
      </c>
      <c r="F74" s="104">
        <f t="shared" si="13"/>
        <v>1.0723137921295263</v>
      </c>
      <c r="G74" s="167">
        <f>RANK(0.84,AE:AE,0)</f>
        <v>946</v>
      </c>
      <c r="H74" s="365">
        <f t="shared" si="14"/>
        <v>10.091267361604228</v>
      </c>
      <c r="I74" s="213">
        <f t="shared" si="15"/>
        <v>849</v>
      </c>
      <c r="J74" s="213">
        <f t="shared" si="16"/>
        <v>38</v>
      </c>
      <c r="K74">
        <f>RANK(1.76,AI:AI,0)</f>
        <v>428</v>
      </c>
      <c r="L74" s="357">
        <v>0</v>
      </c>
      <c r="M74" s="357">
        <v>1</v>
      </c>
      <c r="N74" s="357">
        <v>0</v>
      </c>
      <c r="O74" s="357">
        <v>1</v>
      </c>
      <c r="P74" s="357">
        <v>0</v>
      </c>
      <c r="Q74" s="358">
        <v>0.10960334029227557</v>
      </c>
      <c r="R74" s="359">
        <v>1.560538116591928E-2</v>
      </c>
      <c r="S74" s="196">
        <v>19236123000</v>
      </c>
      <c r="T74" s="196">
        <v>1656800000</v>
      </c>
      <c r="U74" s="200">
        <f t="shared" si="17"/>
        <v>20627160000</v>
      </c>
      <c r="V74" s="196">
        <v>51000000</v>
      </c>
      <c r="W74" s="196">
        <v>0</v>
      </c>
      <c r="X74" s="196">
        <v>19362000000</v>
      </c>
      <c r="Y74" s="196">
        <v>25398000000</v>
      </c>
      <c r="Z74" s="196">
        <v>5112000000</v>
      </c>
      <c r="AA74" s="198">
        <v>0</v>
      </c>
      <c r="AB74" s="198">
        <v>0</v>
      </c>
      <c r="AC74" s="213">
        <f t="shared" si="18"/>
        <v>945</v>
      </c>
      <c r="AD74" s="213">
        <f t="shared" si="19"/>
        <v>911</v>
      </c>
      <c r="AE74" s="213">
        <v>0.84</v>
      </c>
      <c r="AF74" s="196">
        <v>531000000</v>
      </c>
      <c r="AG74" s="104">
        <f t="shared" si="20"/>
        <v>0.32049734427812648</v>
      </c>
      <c r="AH74" s="104">
        <f t="shared" si="21"/>
        <v>10.411764705882353</v>
      </c>
      <c r="AI74" s="195">
        <v>1.76</v>
      </c>
      <c r="AO74" s="213"/>
      <c r="AP74" s="213"/>
      <c r="AQ74" s="213"/>
      <c r="AR74" s="213"/>
      <c r="AS74" s="213"/>
      <c r="AT74" s="213"/>
      <c r="AU74" s="213"/>
      <c r="AV74" s="213"/>
    </row>
    <row r="75" spans="1:48">
      <c r="A75">
        <v>1441</v>
      </c>
      <c r="C75" s="107">
        <f>VLOOKUP(1441,收盤價!$A:$C,3,0)</f>
        <v>7.2</v>
      </c>
      <c r="D75" s="107">
        <f t="shared" si="11"/>
        <v>0</v>
      </c>
      <c r="E75" s="167">
        <f t="shared" si="12"/>
        <v>1</v>
      </c>
      <c r="F75" s="104">
        <f t="shared" si="13"/>
        <v>0.38087787590601052</v>
      </c>
      <c r="G75" s="167">
        <f>RANK(0.53,AE:AE,0)</f>
        <v>1475</v>
      </c>
      <c r="H75" s="365">
        <f t="shared" si="14"/>
        <v>2.2271714922048998E-2</v>
      </c>
      <c r="I75" s="213">
        <f t="shared" si="15"/>
        <v>1085</v>
      </c>
      <c r="J75" s="213">
        <f t="shared" si="16"/>
        <v>768</v>
      </c>
      <c r="K75">
        <f>RANK(0.84,AI:AI,0)</f>
        <v>1076</v>
      </c>
      <c r="L75" s="357">
        <v>0</v>
      </c>
      <c r="M75" s="357">
        <v>0</v>
      </c>
      <c r="N75" s="357">
        <v>1</v>
      </c>
      <c r="O75" s="357">
        <v>0</v>
      </c>
      <c r="P75" s="357">
        <v>0</v>
      </c>
      <c r="Q75" s="358">
        <v>-5.8823529411764705E-2</v>
      </c>
      <c r="R75" s="359">
        <v>0</v>
      </c>
      <c r="S75" s="196">
        <v>1697552000</v>
      </c>
      <c r="T75" s="196">
        <v>89800000</v>
      </c>
      <c r="U75" s="200">
        <f t="shared" si="17"/>
        <v>646560000</v>
      </c>
      <c r="V75" s="196">
        <v>-58000000</v>
      </c>
      <c r="W75" s="196">
        <v>24000000</v>
      </c>
      <c r="X75" s="196">
        <v>1510000000</v>
      </c>
      <c r="Y75" s="196">
        <v>682000000</v>
      </c>
      <c r="Z75" s="196">
        <v>578000000</v>
      </c>
      <c r="AA75" s="198">
        <v>-0.04</v>
      </c>
      <c r="AB75" s="198">
        <v>-0.05</v>
      </c>
      <c r="AC75" s="213">
        <f t="shared" si="18"/>
        <v>1444</v>
      </c>
      <c r="AD75" s="213">
        <f t="shared" si="19"/>
        <v>1500</v>
      </c>
      <c r="AE75" s="213">
        <v>0.53</v>
      </c>
      <c r="AF75" s="196">
        <v>-2000000</v>
      </c>
      <c r="AG75" s="104">
        <f t="shared" si="20"/>
        <v>-2.2271714922048998E-2</v>
      </c>
      <c r="AH75" s="104">
        <f t="shared" si="21"/>
        <v>0</v>
      </c>
      <c r="AI75" s="195">
        <v>0.84</v>
      </c>
    </row>
    <row r="76" spans="1:48">
      <c r="A76">
        <v>1442</v>
      </c>
      <c r="C76" s="107">
        <f>VLOOKUP(1442,收盤價!$A:$C,3,0)</f>
        <v>18.3</v>
      </c>
      <c r="D76" s="107">
        <f t="shared" si="11"/>
        <v>6.2408700322234161</v>
      </c>
      <c r="E76" s="167">
        <f t="shared" si="12"/>
        <v>4</v>
      </c>
      <c r="F76" s="104">
        <f t="shared" si="13"/>
        <v>0.84029565038040255</v>
      </c>
      <c r="G76" s="167">
        <f>RANK(1.41,AE:AE,0)</f>
        <v>618</v>
      </c>
      <c r="H76" s="365">
        <f t="shared" si="14"/>
        <v>0.14344262295081966</v>
      </c>
      <c r="I76" s="213">
        <f t="shared" si="15"/>
        <v>1169</v>
      </c>
      <c r="J76" s="213">
        <f t="shared" si="16"/>
        <v>768</v>
      </c>
      <c r="K76">
        <f>RANK(0.8,AI:AI,0)</f>
        <v>1168</v>
      </c>
      <c r="L76" s="357">
        <v>0</v>
      </c>
      <c r="M76" s="357">
        <v>1</v>
      </c>
      <c r="N76" s="357">
        <v>2</v>
      </c>
      <c r="O76" s="357">
        <v>0</v>
      </c>
      <c r="P76" s="357">
        <v>1</v>
      </c>
      <c r="Q76" s="358">
        <v>0.22751798561151079</v>
      </c>
      <c r="R76" s="359">
        <v>0.73307086614173222</v>
      </c>
      <c r="S76" s="196">
        <v>5313844000</v>
      </c>
      <c r="T76" s="196">
        <v>244000000</v>
      </c>
      <c r="U76" s="200">
        <f t="shared" si="17"/>
        <v>4465200000</v>
      </c>
      <c r="V76" s="196">
        <v>201000000</v>
      </c>
      <c r="W76" s="196">
        <v>8509000000</v>
      </c>
      <c r="X76" s="196">
        <v>26000000</v>
      </c>
      <c r="Y76" s="196">
        <v>4848000000</v>
      </c>
      <c r="Z76" s="196">
        <v>3611000000</v>
      </c>
      <c r="AA76" s="198">
        <v>0.02</v>
      </c>
      <c r="AB76" s="198">
        <v>0.02</v>
      </c>
      <c r="AC76" s="213">
        <f t="shared" si="18"/>
        <v>616</v>
      </c>
      <c r="AD76" s="213">
        <f t="shared" si="19"/>
        <v>487</v>
      </c>
      <c r="AE76" s="213">
        <v>1.41</v>
      </c>
      <c r="AF76" s="196">
        <v>-35000000</v>
      </c>
      <c r="AG76" s="104">
        <f t="shared" si="20"/>
        <v>-0.14344262295081966</v>
      </c>
      <c r="AH76" s="104">
        <f t="shared" si="21"/>
        <v>0</v>
      </c>
      <c r="AI76" s="195">
        <v>0.8</v>
      </c>
    </row>
    <row r="77" spans="1:48">
      <c r="A77">
        <v>1443</v>
      </c>
      <c r="C77" s="107">
        <f>VLOOKUP(1443,收盤價!$A:$C,3,0)</f>
        <v>4.6500000000000004</v>
      </c>
      <c r="D77" s="107">
        <f t="shared" si="11"/>
        <v>0</v>
      </c>
      <c r="E77" s="167">
        <f t="shared" si="12"/>
        <v>3</v>
      </c>
      <c r="F77" s="104">
        <f t="shared" si="13"/>
        <v>0.51407917282561533</v>
      </c>
      <c r="G77" s="167">
        <f>RANK(0.84,AE:AE,0)</f>
        <v>946</v>
      </c>
      <c r="H77" s="365">
        <f t="shared" si="14"/>
        <v>1.6982631189948263</v>
      </c>
      <c r="I77" s="213">
        <f t="shared" si="15"/>
        <v>1034</v>
      </c>
      <c r="J77" s="213">
        <f t="shared" si="16"/>
        <v>315</v>
      </c>
      <c r="K77">
        <f>RANK(1.15,AI:AI,0)</f>
        <v>757</v>
      </c>
      <c r="L77" s="357">
        <v>0</v>
      </c>
      <c r="M77" s="357">
        <v>1</v>
      </c>
      <c r="N77" s="357">
        <v>1</v>
      </c>
      <c r="O77" s="357">
        <v>1</v>
      </c>
      <c r="P77" s="357">
        <v>0</v>
      </c>
      <c r="Q77" s="358">
        <v>3.4364261168384883E-2</v>
      </c>
      <c r="R77" s="359">
        <v>0</v>
      </c>
      <c r="S77" s="196">
        <v>1223829000</v>
      </c>
      <c r="T77" s="196">
        <v>135300000</v>
      </c>
      <c r="U77" s="200">
        <f t="shared" si="17"/>
        <v>629145000</v>
      </c>
      <c r="V77" s="196">
        <v>4000000</v>
      </c>
      <c r="W77" s="196">
        <v>0</v>
      </c>
      <c r="X77" s="196">
        <v>2694000000</v>
      </c>
      <c r="Y77" s="196">
        <v>856000000</v>
      </c>
      <c r="Z77" s="196">
        <v>1870000000</v>
      </c>
      <c r="AA77" s="198">
        <v>0</v>
      </c>
      <c r="AB77" s="198">
        <v>0</v>
      </c>
      <c r="AC77" s="213">
        <f t="shared" si="18"/>
        <v>945</v>
      </c>
      <c r="AD77" s="213">
        <f t="shared" si="19"/>
        <v>911</v>
      </c>
      <c r="AE77" s="213">
        <v>0.84</v>
      </c>
      <c r="AF77" s="196">
        <v>7000000</v>
      </c>
      <c r="AG77" s="104">
        <f t="shared" si="20"/>
        <v>5.1736881005173686E-2</v>
      </c>
      <c r="AH77" s="104">
        <f t="shared" si="21"/>
        <v>1.75</v>
      </c>
      <c r="AI77" s="195">
        <v>1.1499999999999999</v>
      </c>
    </row>
    <row r="78" spans="1:48">
      <c r="A78">
        <v>1444</v>
      </c>
      <c r="C78" s="107">
        <f>VLOOKUP(1444,收盤價!$A:$C,3,0)</f>
        <v>8.26</v>
      </c>
      <c r="D78" s="107">
        <f t="shared" si="11"/>
        <v>34.416666666666664</v>
      </c>
      <c r="E78" s="167">
        <f t="shared" si="12"/>
        <v>1</v>
      </c>
      <c r="F78" s="104">
        <f t="shared" si="13"/>
        <v>0.8088241672094767</v>
      </c>
      <c r="G78" s="167">
        <f>RANK(0.93,AE:AE,0)</f>
        <v>920</v>
      </c>
      <c r="H78" s="365">
        <f t="shared" si="14"/>
        <v>0.13370939099550819</v>
      </c>
      <c r="I78" s="213">
        <f t="shared" si="15"/>
        <v>1162</v>
      </c>
      <c r="J78" s="213">
        <f t="shared" si="16"/>
        <v>768</v>
      </c>
      <c r="K78">
        <f>RANK(0.81,AI:AI,0)</f>
        <v>1144</v>
      </c>
      <c r="L78" s="357">
        <v>0</v>
      </c>
      <c r="M78" s="357">
        <v>1</v>
      </c>
      <c r="N78" s="357">
        <v>0</v>
      </c>
      <c r="O78" s="357">
        <v>0</v>
      </c>
      <c r="P78" s="357">
        <v>0</v>
      </c>
      <c r="Q78" s="358">
        <v>7.8214578214578209E-2</v>
      </c>
      <c r="R78" s="359">
        <v>0.06</v>
      </c>
      <c r="S78" s="196">
        <v>9776288000</v>
      </c>
      <c r="T78" s="196">
        <v>957300000</v>
      </c>
      <c r="U78" s="200">
        <f t="shared" si="17"/>
        <v>7907298000</v>
      </c>
      <c r="V78" s="196">
        <v>66000000</v>
      </c>
      <c r="W78" s="196">
        <v>828000000</v>
      </c>
      <c r="X78" s="196">
        <v>6371000000</v>
      </c>
      <c r="Y78" s="196">
        <v>11541000000</v>
      </c>
      <c r="Z78" s="196">
        <v>5363000000</v>
      </c>
      <c r="AA78" s="198">
        <v>0.01</v>
      </c>
      <c r="AB78" s="198">
        <v>0</v>
      </c>
      <c r="AC78" s="213">
        <f t="shared" si="18"/>
        <v>769</v>
      </c>
      <c r="AD78" s="213">
        <f t="shared" si="19"/>
        <v>911</v>
      </c>
      <c r="AE78" s="213">
        <v>0.93</v>
      </c>
      <c r="AF78" s="196">
        <v>-128000000</v>
      </c>
      <c r="AG78" s="104">
        <f t="shared" si="20"/>
        <v>-0.13370939099550819</v>
      </c>
      <c r="AH78" s="104">
        <f t="shared" si="21"/>
        <v>0</v>
      </c>
      <c r="AI78" s="195">
        <v>0.81</v>
      </c>
      <c r="AO78" s="213"/>
      <c r="AP78" s="213"/>
      <c r="AQ78" s="213"/>
      <c r="AR78" s="213"/>
      <c r="AS78" s="213"/>
      <c r="AT78" s="213"/>
      <c r="AU78" s="213"/>
      <c r="AV78" s="213"/>
    </row>
    <row r="79" spans="1:48">
      <c r="A79">
        <v>1445</v>
      </c>
      <c r="C79" s="107">
        <f>VLOOKUP(1445,收盤價!$A:$C,3,0)</f>
        <v>9.35</v>
      </c>
      <c r="D79" s="107">
        <f t="shared" si="11"/>
        <v>15.747368421052631</v>
      </c>
      <c r="E79" s="167">
        <f t="shared" si="12"/>
        <v>1</v>
      </c>
      <c r="F79" s="104">
        <f t="shared" si="13"/>
        <v>0.74454471132095834</v>
      </c>
      <c r="G79" s="167">
        <f>RANK(1.08,AE:AE,0)</f>
        <v>769</v>
      </c>
      <c r="H79" s="365">
        <f t="shared" si="14"/>
        <v>0.31002162941600575</v>
      </c>
      <c r="I79" s="213">
        <f t="shared" si="15"/>
        <v>1270</v>
      </c>
      <c r="J79" s="213">
        <f t="shared" si="16"/>
        <v>768</v>
      </c>
      <c r="K79">
        <f>RANK(0.76,AI:AI,0)</f>
        <v>1269</v>
      </c>
      <c r="L79" s="357">
        <v>0</v>
      </c>
      <c r="M79" s="357">
        <v>1</v>
      </c>
      <c r="N79" s="357">
        <v>0</v>
      </c>
      <c r="O79" s="357">
        <v>0</v>
      </c>
      <c r="P79" s="357">
        <v>0</v>
      </c>
      <c r="Q79" s="358">
        <v>0.14512471655328799</v>
      </c>
      <c r="R79" s="359">
        <v>0.1484375</v>
      </c>
      <c r="S79" s="196">
        <v>1741796000</v>
      </c>
      <c r="T79" s="196">
        <v>138700000</v>
      </c>
      <c r="U79" s="200">
        <f t="shared" si="17"/>
        <v>1296845000</v>
      </c>
      <c r="V79" s="196">
        <v>25000000</v>
      </c>
      <c r="W79" s="196">
        <v>859000000</v>
      </c>
      <c r="X79" s="196">
        <v>984000000</v>
      </c>
      <c r="Y79" s="196">
        <v>1900000000</v>
      </c>
      <c r="Z79" s="196">
        <v>0</v>
      </c>
      <c r="AA79" s="198">
        <v>0.01</v>
      </c>
      <c r="AB79" s="198">
        <v>0.01</v>
      </c>
      <c r="AC79" s="213">
        <f t="shared" si="18"/>
        <v>769</v>
      </c>
      <c r="AD79" s="213">
        <f t="shared" si="19"/>
        <v>680</v>
      </c>
      <c r="AE79" s="213">
        <v>1.08</v>
      </c>
      <c r="AF79" s="196">
        <v>-43000000</v>
      </c>
      <c r="AG79" s="104">
        <f t="shared" si="20"/>
        <v>-0.31002162941600575</v>
      </c>
      <c r="AH79" s="104">
        <f t="shared" si="21"/>
        <v>0</v>
      </c>
      <c r="AI79" s="195">
        <v>0.76</v>
      </c>
      <c r="AN79" t="s">
        <v>189</v>
      </c>
      <c r="AO79" s="33">
        <v>0</v>
      </c>
      <c r="AP79" s="33">
        <v>0</v>
      </c>
      <c r="AQ79" s="33">
        <v>0</v>
      </c>
      <c r="AR79" s="137">
        <v>0</v>
      </c>
      <c r="AS79" s="33">
        <v>0</v>
      </c>
      <c r="AT79" s="33">
        <v>0</v>
      </c>
      <c r="AU79" s="33">
        <v>0</v>
      </c>
      <c r="AV79" s="33">
        <v>0</v>
      </c>
    </row>
    <row r="80" spans="1:48">
      <c r="A80">
        <v>1446</v>
      </c>
      <c r="C80" s="107">
        <f>VLOOKUP(1446,收盤價!$A:$C,3,0)</f>
        <v>16.899999999999999</v>
      </c>
      <c r="D80" s="107">
        <f t="shared" si="11"/>
        <v>42.249999999999993</v>
      </c>
      <c r="E80" s="167">
        <f t="shared" si="12"/>
        <v>3</v>
      </c>
      <c r="F80" s="104">
        <f t="shared" si="13"/>
        <v>2.4338417934330732</v>
      </c>
      <c r="G80" s="167">
        <f>RANK(0.84,AE:AE,0)</f>
        <v>946</v>
      </c>
      <c r="H80" s="365">
        <f t="shared" si="14"/>
        <v>0.17429193899782136</v>
      </c>
      <c r="I80" s="213">
        <f t="shared" si="15"/>
        <v>1194</v>
      </c>
      <c r="J80" s="213">
        <f t="shared" si="16"/>
        <v>768</v>
      </c>
      <c r="K80">
        <f>RANK(0.79,AI:AI,0)</f>
        <v>1192</v>
      </c>
      <c r="L80" s="357">
        <v>1</v>
      </c>
      <c r="M80" s="357">
        <v>1</v>
      </c>
      <c r="N80" s="357">
        <v>1</v>
      </c>
      <c r="O80" s="357">
        <v>0</v>
      </c>
      <c r="P80" s="357">
        <v>0</v>
      </c>
      <c r="Q80" s="358">
        <v>0.26209677419354838</v>
      </c>
      <c r="R80" s="359">
        <v>0.1</v>
      </c>
      <c r="S80" s="196">
        <v>956155000</v>
      </c>
      <c r="T80" s="196">
        <v>137700000</v>
      </c>
      <c r="U80" s="200">
        <f t="shared" si="17"/>
        <v>2327130000</v>
      </c>
      <c r="V80" s="196">
        <v>0</v>
      </c>
      <c r="W80" s="196">
        <v>993000000</v>
      </c>
      <c r="X80" s="196">
        <v>270000000</v>
      </c>
      <c r="Y80" s="196">
        <v>1751000000</v>
      </c>
      <c r="Z80" s="196">
        <v>1780000000</v>
      </c>
      <c r="AA80" s="198">
        <v>0</v>
      </c>
      <c r="AB80" s="198">
        <v>0</v>
      </c>
      <c r="AC80" s="213">
        <f t="shared" si="18"/>
        <v>945</v>
      </c>
      <c r="AD80" s="213">
        <f t="shared" si="19"/>
        <v>911</v>
      </c>
      <c r="AE80" s="213">
        <v>0.84</v>
      </c>
      <c r="AF80" s="196">
        <v>-24000000</v>
      </c>
      <c r="AG80" s="104">
        <f t="shared" si="20"/>
        <v>-0.17429193899782136</v>
      </c>
      <c r="AH80" s="104">
        <f t="shared" si="21"/>
        <v>0</v>
      </c>
      <c r="AI80" s="195">
        <v>0.79</v>
      </c>
    </row>
    <row r="81" spans="1:48">
      <c r="A81">
        <v>1447</v>
      </c>
      <c r="C81" s="107">
        <f>VLOOKUP(1447,收盤價!$A:$C,3,0)</f>
        <v>7.38</v>
      </c>
      <c r="D81" s="107">
        <f t="shared" si="11"/>
        <v>23.0625</v>
      </c>
      <c r="E81" s="167">
        <f t="shared" si="12"/>
        <v>2</v>
      </c>
      <c r="F81" s="104">
        <f t="shared" si="13"/>
        <v>0.48517710303905603</v>
      </c>
      <c r="G81" s="167">
        <f>RANK(0.84,AE:AE,0)</f>
        <v>946</v>
      </c>
      <c r="H81" s="365">
        <f t="shared" si="14"/>
        <v>2.2657189721159101</v>
      </c>
      <c r="I81" s="213">
        <f t="shared" si="15"/>
        <v>1521</v>
      </c>
      <c r="J81" s="213">
        <f t="shared" si="16"/>
        <v>768</v>
      </c>
      <c r="K81">
        <f>RANK(0.68,AI:AI,0)</f>
        <v>1507</v>
      </c>
      <c r="L81" s="357">
        <v>0</v>
      </c>
      <c r="M81" s="357">
        <v>1</v>
      </c>
      <c r="N81" s="357">
        <v>1</v>
      </c>
      <c r="O81" s="357">
        <v>0</v>
      </c>
      <c r="P81" s="357">
        <v>0</v>
      </c>
      <c r="Q81" s="358">
        <v>7.0233196159122088E-2</v>
      </c>
      <c r="R81" s="359">
        <v>0.08</v>
      </c>
      <c r="S81" s="196">
        <v>13910405000</v>
      </c>
      <c r="T81" s="196">
        <v>914500000</v>
      </c>
      <c r="U81" s="200">
        <f t="shared" si="17"/>
        <v>6749010000</v>
      </c>
      <c r="V81" s="196">
        <v>0</v>
      </c>
      <c r="W81" s="196">
        <v>2442000000</v>
      </c>
      <c r="X81" s="196">
        <v>7016000000</v>
      </c>
      <c r="Y81" s="196">
        <v>10378000000</v>
      </c>
      <c r="Z81" s="196">
        <v>7204000000</v>
      </c>
      <c r="AA81" s="198">
        <v>0</v>
      </c>
      <c r="AB81" s="198">
        <v>0</v>
      </c>
      <c r="AC81" s="213">
        <f t="shared" si="18"/>
        <v>945</v>
      </c>
      <c r="AD81" s="213">
        <f t="shared" si="19"/>
        <v>911</v>
      </c>
      <c r="AE81" s="213">
        <v>0.84</v>
      </c>
      <c r="AF81" s="196">
        <v>-2072000000</v>
      </c>
      <c r="AG81" s="104">
        <f t="shared" si="20"/>
        <v>-2.2657189721159101</v>
      </c>
      <c r="AH81" s="104">
        <f t="shared" si="21"/>
        <v>0</v>
      </c>
      <c r="AI81" s="195">
        <v>0.68</v>
      </c>
    </row>
    <row r="82" spans="1:48">
      <c r="A82">
        <v>1449</v>
      </c>
      <c r="C82" s="107">
        <f>VLOOKUP(1449,收盤價!$A:$C,3,0)</f>
        <v>4.09</v>
      </c>
      <c r="D82" s="107">
        <f t="shared" si="11"/>
        <v>0</v>
      </c>
      <c r="E82" s="167">
        <f t="shared" si="12"/>
        <v>1</v>
      </c>
      <c r="F82" s="104">
        <f t="shared" si="13"/>
        <v>0.15925013562868112</v>
      </c>
      <c r="G82" s="167">
        <f>RANK(0.54,AE:AE,0)</f>
        <v>1453</v>
      </c>
      <c r="H82" s="365">
        <f t="shared" si="14"/>
        <v>0.94166666666666665</v>
      </c>
      <c r="I82" s="213">
        <f t="shared" si="15"/>
        <v>1431</v>
      </c>
      <c r="J82" s="213">
        <f t="shared" si="16"/>
        <v>768</v>
      </c>
      <c r="K82">
        <f>RANK(0.71,AI:AI,0)</f>
        <v>1412</v>
      </c>
      <c r="L82" s="357">
        <v>0</v>
      </c>
      <c r="M82" s="357">
        <v>1</v>
      </c>
      <c r="N82" s="357">
        <v>0</v>
      </c>
      <c r="O82" s="357">
        <v>0</v>
      </c>
      <c r="P82" s="357">
        <v>0</v>
      </c>
      <c r="Q82" s="358">
        <v>6.1277705345501955E-2</v>
      </c>
      <c r="R82" s="359">
        <v>0</v>
      </c>
      <c r="S82" s="196">
        <v>3081944000</v>
      </c>
      <c r="T82" s="196">
        <v>120000000</v>
      </c>
      <c r="U82" s="200">
        <f t="shared" si="17"/>
        <v>490800000</v>
      </c>
      <c r="V82" s="196">
        <v>-25000000</v>
      </c>
      <c r="W82" s="196">
        <v>193000000</v>
      </c>
      <c r="X82" s="196">
        <v>130000000</v>
      </c>
      <c r="Y82" s="196">
        <v>924000000</v>
      </c>
      <c r="Z82" s="196">
        <v>740000000</v>
      </c>
      <c r="AA82" s="198">
        <v>-0.08</v>
      </c>
      <c r="AB82" s="198">
        <v>-0.02</v>
      </c>
      <c r="AC82" s="213">
        <f t="shared" si="18"/>
        <v>1511</v>
      </c>
      <c r="AD82" s="213">
        <f t="shared" si="19"/>
        <v>1388</v>
      </c>
      <c r="AE82" s="213">
        <v>0.54</v>
      </c>
      <c r="AF82" s="196">
        <v>-113000000</v>
      </c>
      <c r="AG82" s="104">
        <f t="shared" si="20"/>
        <v>-0.94166666666666665</v>
      </c>
      <c r="AH82" s="104">
        <f t="shared" si="21"/>
        <v>0</v>
      </c>
      <c r="AI82" s="195">
        <v>0.71</v>
      </c>
    </row>
    <row r="83" spans="1:48">
      <c r="A83">
        <v>1451</v>
      </c>
      <c r="C83" s="107">
        <f>VLOOKUP(1451,收盤價!$A:$C,3,0)</f>
        <v>23.9</v>
      </c>
      <c r="D83" s="107">
        <f t="shared" si="11"/>
        <v>12.012674825174823</v>
      </c>
      <c r="E83" s="167">
        <f t="shared" si="12"/>
        <v>3</v>
      </c>
      <c r="F83" s="104">
        <f t="shared" si="13"/>
        <v>0.72905740655977791</v>
      </c>
      <c r="G83" s="167">
        <f>RANK(1.63,AE:AE,0)</f>
        <v>551</v>
      </c>
      <c r="H83" s="365">
        <f t="shared" si="14"/>
        <v>0.18936991869918701</v>
      </c>
      <c r="I83" s="213">
        <f t="shared" si="15"/>
        <v>858</v>
      </c>
      <c r="J83" s="213">
        <f t="shared" si="16"/>
        <v>680</v>
      </c>
      <c r="K83">
        <f>RANK(1.01,AI:AI,0)</f>
        <v>874</v>
      </c>
      <c r="L83" s="357">
        <v>0</v>
      </c>
      <c r="M83" s="357">
        <v>1</v>
      </c>
      <c r="N83" s="357">
        <v>2</v>
      </c>
      <c r="O83" s="357">
        <v>0</v>
      </c>
      <c r="P83" s="357">
        <v>0</v>
      </c>
      <c r="Q83" s="358">
        <v>0.12950450450450451</v>
      </c>
      <c r="R83" s="359">
        <v>0.49739130434782614</v>
      </c>
      <c r="S83" s="196">
        <v>13112822000</v>
      </c>
      <c r="T83" s="196">
        <v>400000000</v>
      </c>
      <c r="U83" s="200">
        <f t="shared" si="17"/>
        <v>9560000000</v>
      </c>
      <c r="V83" s="196">
        <v>246000000</v>
      </c>
      <c r="W83" s="196">
        <v>5024000000</v>
      </c>
      <c r="X83" s="196">
        <v>2957000000</v>
      </c>
      <c r="Y83" s="196">
        <v>9832000000</v>
      </c>
      <c r="Z83" s="196">
        <v>527000000</v>
      </c>
      <c r="AA83" s="198">
        <v>0.03</v>
      </c>
      <c r="AB83" s="198">
        <v>0.02</v>
      </c>
      <c r="AC83" s="213">
        <f t="shared" si="18"/>
        <v>469</v>
      </c>
      <c r="AD83" s="213">
        <f t="shared" si="19"/>
        <v>487</v>
      </c>
      <c r="AE83" s="213">
        <v>1.63</v>
      </c>
      <c r="AF83" s="196">
        <v>121000000</v>
      </c>
      <c r="AG83" s="104">
        <f t="shared" si="20"/>
        <v>0.30249999999999999</v>
      </c>
      <c r="AH83" s="104">
        <f t="shared" si="21"/>
        <v>0.491869918699187</v>
      </c>
      <c r="AI83" s="195">
        <v>1.01</v>
      </c>
      <c r="AO83" s="213"/>
      <c r="AP83" s="213"/>
      <c r="AQ83" s="213"/>
      <c r="AR83" s="213"/>
      <c r="AS83" s="213"/>
      <c r="AT83" s="213"/>
      <c r="AU83" s="213"/>
      <c r="AV83" s="213"/>
    </row>
    <row r="84" spans="1:48">
      <c r="A84">
        <v>1452</v>
      </c>
      <c r="C84" s="107">
        <f>VLOOKUP(1452,收盤價!$A:$C,3,0)</f>
        <v>19.7</v>
      </c>
      <c r="D84" s="107">
        <f t="shared" si="11"/>
        <v>17.511111111111109</v>
      </c>
      <c r="E84" s="167">
        <f t="shared" si="12"/>
        <v>2</v>
      </c>
      <c r="F84" s="104">
        <f t="shared" si="13"/>
        <v>1.370792920125502</v>
      </c>
      <c r="G84" s="167">
        <f>RANK(1.41,AE:AE,0)</f>
        <v>618</v>
      </c>
      <c r="H84" s="365">
        <f t="shared" si="14"/>
        <v>0.61049904911797492</v>
      </c>
      <c r="I84" s="213">
        <f t="shared" si="15"/>
        <v>846</v>
      </c>
      <c r="J84" s="213">
        <f t="shared" si="16"/>
        <v>550</v>
      </c>
      <c r="K84">
        <f>RANK(1.12,AI:AI,0)</f>
        <v>782</v>
      </c>
      <c r="L84" s="357">
        <v>0</v>
      </c>
      <c r="M84" s="357">
        <v>1</v>
      </c>
      <c r="N84" s="357">
        <v>0</v>
      </c>
      <c r="O84" s="357">
        <v>1</v>
      </c>
      <c r="P84" s="357">
        <v>0</v>
      </c>
      <c r="Q84" s="358">
        <v>0.15417558886509636</v>
      </c>
      <c r="R84" s="359">
        <v>0.28125</v>
      </c>
      <c r="S84" s="196">
        <v>1905627000</v>
      </c>
      <c r="T84" s="196">
        <v>132600000</v>
      </c>
      <c r="U84" s="200">
        <f t="shared" si="17"/>
        <v>2612220000</v>
      </c>
      <c r="V84" s="196">
        <v>46000000</v>
      </c>
      <c r="W84" s="196">
        <v>1192000000</v>
      </c>
      <c r="X84" s="196">
        <v>655000000</v>
      </c>
      <c r="Y84" s="196">
        <v>2297000000</v>
      </c>
      <c r="Z84" s="196">
        <v>0</v>
      </c>
      <c r="AA84" s="198">
        <v>0.02</v>
      </c>
      <c r="AB84" s="198">
        <v>0.02</v>
      </c>
      <c r="AC84" s="213">
        <f t="shared" si="18"/>
        <v>616</v>
      </c>
      <c r="AD84" s="213">
        <f t="shared" si="19"/>
        <v>487</v>
      </c>
      <c r="AE84" s="213">
        <v>1.41</v>
      </c>
      <c r="AF84" s="196">
        <v>43000000</v>
      </c>
      <c r="AG84" s="104">
        <f t="shared" si="20"/>
        <v>0.32428355957767724</v>
      </c>
      <c r="AH84" s="104">
        <f t="shared" si="21"/>
        <v>0.93478260869565222</v>
      </c>
      <c r="AI84" s="195">
        <v>1.1200000000000001</v>
      </c>
    </row>
    <row r="85" spans="1:48">
      <c r="A85">
        <v>1453</v>
      </c>
      <c r="C85" s="107">
        <f>VLOOKUP(1453,收盤價!$A:$C,3,0)</f>
        <v>7.76</v>
      </c>
      <c r="D85" s="107">
        <f t="shared" si="11"/>
        <v>0</v>
      </c>
      <c r="E85" s="167">
        <f t="shared" si="12"/>
        <v>0</v>
      </c>
      <c r="F85" s="104">
        <f t="shared" si="13"/>
        <v>14.661966381496926</v>
      </c>
      <c r="G85" s="167">
        <f>RANK(0.61,AE:AE,0)</f>
        <v>1295</v>
      </c>
      <c r="H85" s="365">
        <f t="shared" si="14"/>
        <v>0.17064846416382254</v>
      </c>
      <c r="I85" s="213">
        <f t="shared" si="15"/>
        <v>1187</v>
      </c>
      <c r="J85" s="213">
        <f t="shared" si="16"/>
        <v>768</v>
      </c>
      <c r="K85">
        <f>RANK(0.8,AI:AI,0)</f>
        <v>1168</v>
      </c>
      <c r="L85" s="357">
        <v>0</v>
      </c>
      <c r="M85" s="357">
        <v>0</v>
      </c>
      <c r="N85" s="357">
        <v>0</v>
      </c>
      <c r="O85" s="357">
        <v>0</v>
      </c>
      <c r="P85" s="357">
        <v>0</v>
      </c>
      <c r="Q85" s="358">
        <v>-6.6666666666666666E-2</v>
      </c>
      <c r="R85" s="359">
        <v>0</v>
      </c>
      <c r="S85" s="196">
        <v>46522000</v>
      </c>
      <c r="T85" s="196">
        <v>87900000</v>
      </c>
      <c r="U85" s="200">
        <f t="shared" si="17"/>
        <v>682104000</v>
      </c>
      <c r="V85" s="196">
        <v>-7000000</v>
      </c>
      <c r="W85" s="196">
        <v>613000000</v>
      </c>
      <c r="X85" s="196">
        <v>313000000</v>
      </c>
      <c r="Y85" s="196">
        <v>1009000000</v>
      </c>
      <c r="Z85" s="196">
        <v>71000000</v>
      </c>
      <c r="AA85" s="198">
        <v>-0.01</v>
      </c>
      <c r="AB85" s="198">
        <v>-0.01</v>
      </c>
      <c r="AC85" s="213">
        <f t="shared" si="18"/>
        <v>1277</v>
      </c>
      <c r="AD85" s="213">
        <f t="shared" si="19"/>
        <v>1294</v>
      </c>
      <c r="AE85" s="213">
        <v>0.61</v>
      </c>
      <c r="AF85" s="196">
        <v>-15000000</v>
      </c>
      <c r="AG85" s="104">
        <f t="shared" si="20"/>
        <v>-0.17064846416382254</v>
      </c>
      <c r="AH85" s="104">
        <f t="shared" si="21"/>
        <v>0</v>
      </c>
      <c r="AI85" s="195">
        <v>0.8</v>
      </c>
    </row>
    <row r="86" spans="1:48">
      <c r="A86">
        <v>1454</v>
      </c>
      <c r="C86" s="107">
        <f>VLOOKUP(1454,收盤價!$A:$C,3,0)</f>
        <v>8.32</v>
      </c>
      <c r="D86" s="107">
        <f t="shared" si="11"/>
        <v>9.9047619047619051</v>
      </c>
      <c r="E86" s="167">
        <f t="shared" si="12"/>
        <v>2</v>
      </c>
      <c r="F86" s="104">
        <f t="shared" si="13"/>
        <v>0.61595970629285757</v>
      </c>
      <c r="G86" s="167">
        <f>RANK(1.41,AE:AE,0)</f>
        <v>618</v>
      </c>
      <c r="H86" s="365">
        <f t="shared" si="14"/>
        <v>0.53514246475322913</v>
      </c>
      <c r="I86" s="213">
        <f t="shared" si="15"/>
        <v>916</v>
      </c>
      <c r="J86" s="213">
        <f t="shared" si="16"/>
        <v>612</v>
      </c>
      <c r="K86">
        <f>RANK(1.02,AI:AI,0)</f>
        <v>862</v>
      </c>
      <c r="L86" s="357">
        <v>0</v>
      </c>
      <c r="M86" s="357">
        <v>1</v>
      </c>
      <c r="N86" s="357">
        <v>1</v>
      </c>
      <c r="O86" s="357">
        <v>0</v>
      </c>
      <c r="P86" s="357">
        <v>0</v>
      </c>
      <c r="Q86" s="358">
        <v>0.15758754863813229</v>
      </c>
      <c r="R86" s="359">
        <v>0.21</v>
      </c>
      <c r="S86" s="196">
        <v>1895085000</v>
      </c>
      <c r="T86" s="196">
        <v>140300000</v>
      </c>
      <c r="U86" s="200">
        <f t="shared" si="17"/>
        <v>1167296000</v>
      </c>
      <c r="V86" s="196">
        <v>41000000</v>
      </c>
      <c r="W86" s="196">
        <v>722000000</v>
      </c>
      <c r="X86" s="196">
        <v>928000000</v>
      </c>
      <c r="Y86" s="196">
        <v>1660000000</v>
      </c>
      <c r="Z86" s="196">
        <v>240000000</v>
      </c>
      <c r="AA86" s="198">
        <v>0.02</v>
      </c>
      <c r="AB86" s="198">
        <v>0.02</v>
      </c>
      <c r="AC86" s="213">
        <f t="shared" si="18"/>
        <v>616</v>
      </c>
      <c r="AD86" s="213">
        <f t="shared" si="19"/>
        <v>487</v>
      </c>
      <c r="AE86" s="213">
        <v>1.41</v>
      </c>
      <c r="AF86" s="196">
        <v>31000000</v>
      </c>
      <c r="AG86" s="104">
        <f t="shared" si="20"/>
        <v>0.2209550962223806</v>
      </c>
      <c r="AH86" s="104">
        <f t="shared" si="21"/>
        <v>0.75609756097560976</v>
      </c>
      <c r="AI86" s="195">
        <v>1.02</v>
      </c>
    </row>
    <row r="87" spans="1:48">
      <c r="A87">
        <v>1455</v>
      </c>
      <c r="C87" s="107">
        <f>VLOOKUP(1455,收盤價!$A:$C,3,0)</f>
        <v>8.27</v>
      </c>
      <c r="D87" s="107">
        <f t="shared" si="11"/>
        <v>19.902658045977009</v>
      </c>
      <c r="E87" s="167">
        <f t="shared" si="12"/>
        <v>3</v>
      </c>
      <c r="F87" s="104">
        <f t="shared" si="13"/>
        <v>0.39028975291402912</v>
      </c>
      <c r="G87" s="167">
        <f>RANK(1.08,AE:AE,0)</f>
        <v>769</v>
      </c>
      <c r="H87" s="365">
        <f t="shared" si="14"/>
        <v>3.3078503712697893</v>
      </c>
      <c r="I87" s="213">
        <f t="shared" si="15"/>
        <v>681</v>
      </c>
      <c r="J87" s="213">
        <f t="shared" si="16"/>
        <v>113</v>
      </c>
      <c r="K87">
        <f>RANK(1.96,AI:AI,0)</f>
        <v>355</v>
      </c>
      <c r="L87" s="357">
        <v>0</v>
      </c>
      <c r="M87" s="357">
        <v>1</v>
      </c>
      <c r="N87" s="357">
        <v>1</v>
      </c>
      <c r="O87" s="357">
        <v>1</v>
      </c>
      <c r="P87" s="357">
        <v>0</v>
      </c>
      <c r="Q87" s="358">
        <v>6.2518968133535663E-2</v>
      </c>
      <c r="R87" s="359">
        <v>0.10388059701492537</v>
      </c>
      <c r="S87" s="196">
        <v>12963666000</v>
      </c>
      <c r="T87" s="196">
        <v>611800000</v>
      </c>
      <c r="U87" s="200">
        <f t="shared" si="17"/>
        <v>5059586000</v>
      </c>
      <c r="V87" s="196">
        <v>98000000</v>
      </c>
      <c r="W87" s="196">
        <v>723000000</v>
      </c>
      <c r="X87" s="196">
        <v>6204000000</v>
      </c>
      <c r="Y87" s="196">
        <v>7418000000</v>
      </c>
      <c r="Z87" s="196">
        <v>2449000000</v>
      </c>
      <c r="AA87" s="198">
        <v>0.01</v>
      </c>
      <c r="AB87" s="198">
        <v>0.01</v>
      </c>
      <c r="AC87" s="213">
        <f t="shared" si="18"/>
        <v>769</v>
      </c>
      <c r="AD87" s="213">
        <f t="shared" si="19"/>
        <v>680</v>
      </c>
      <c r="AE87" s="213">
        <v>1.08</v>
      </c>
      <c r="AF87" s="196">
        <v>386000000</v>
      </c>
      <c r="AG87" s="104">
        <f t="shared" si="20"/>
        <v>0.63092513893429225</v>
      </c>
      <c r="AH87" s="104">
        <f t="shared" si="21"/>
        <v>3.9387755102040818</v>
      </c>
      <c r="AI87" s="195">
        <v>1.96</v>
      </c>
    </row>
    <row r="88" spans="1:48">
      <c r="A88">
        <v>1456</v>
      </c>
      <c r="C88" s="107">
        <f>VLOOKUP(1456,收盤價!$A:$C,3,0)</f>
        <v>9.16</v>
      </c>
      <c r="D88" s="107">
        <f t="shared" si="11"/>
        <v>0</v>
      </c>
      <c r="E88" s="167">
        <f t="shared" si="12"/>
        <v>1</v>
      </c>
      <c r="F88" s="104">
        <f t="shared" si="13"/>
        <v>1.6912257609404588</v>
      </c>
      <c r="G88" s="167">
        <f>RANK(0.84,AE:AE,0)</f>
        <v>946</v>
      </c>
      <c r="H88" s="365">
        <f t="shared" si="14"/>
        <v>1.056563500533618</v>
      </c>
      <c r="I88" s="213">
        <f t="shared" si="15"/>
        <v>1444</v>
      </c>
      <c r="J88" s="213">
        <f t="shared" si="16"/>
        <v>768</v>
      </c>
      <c r="K88">
        <f>RANK(0.7,AI:AI,0)</f>
        <v>1442</v>
      </c>
      <c r="L88" s="357">
        <v>0</v>
      </c>
      <c r="M88" s="357">
        <v>1</v>
      </c>
      <c r="N88" s="357">
        <v>0</v>
      </c>
      <c r="O88" s="357">
        <v>0</v>
      </c>
      <c r="P88" s="357">
        <v>0</v>
      </c>
      <c r="Q88" s="358">
        <v>0.18018018018018017</v>
      </c>
      <c r="R88" s="359">
        <v>-0.04</v>
      </c>
      <c r="S88" s="196">
        <v>507497000</v>
      </c>
      <c r="T88" s="196">
        <v>93700000</v>
      </c>
      <c r="U88" s="200">
        <f t="shared" si="17"/>
        <v>858292000</v>
      </c>
      <c r="V88" s="196">
        <v>0</v>
      </c>
      <c r="W88" s="196">
        <v>1083000000</v>
      </c>
      <c r="X88" s="196">
        <v>118000000</v>
      </c>
      <c r="Y88" s="196">
        <v>1052000000</v>
      </c>
      <c r="Z88" s="196">
        <v>1214000000</v>
      </c>
      <c r="AA88" s="198">
        <v>0</v>
      </c>
      <c r="AB88" s="198">
        <v>0</v>
      </c>
      <c r="AC88" s="213">
        <f t="shared" si="18"/>
        <v>945</v>
      </c>
      <c r="AD88" s="213">
        <f t="shared" si="19"/>
        <v>911</v>
      </c>
      <c r="AE88" s="213">
        <v>0.84</v>
      </c>
      <c r="AF88" s="196">
        <v>-99000000</v>
      </c>
      <c r="AG88" s="104">
        <f t="shared" si="20"/>
        <v>-1.056563500533618</v>
      </c>
      <c r="AH88" s="104">
        <f t="shared" si="21"/>
        <v>0</v>
      </c>
      <c r="AI88" s="195">
        <v>0.7</v>
      </c>
    </row>
    <row r="89" spans="1:48">
      <c r="A89">
        <v>1457</v>
      </c>
      <c r="C89" s="107">
        <f>VLOOKUP(1457,收盤價!$A:$C,3,0)</f>
        <v>10.15</v>
      </c>
      <c r="D89" s="107">
        <f t="shared" si="11"/>
        <v>16.916666666666668</v>
      </c>
      <c r="E89" s="167">
        <f t="shared" si="12"/>
        <v>2</v>
      </c>
      <c r="F89" s="104">
        <f t="shared" si="13"/>
        <v>0.69095393958570139</v>
      </c>
      <c r="G89" s="167">
        <f>RANK(0.84,AE:AE,0)</f>
        <v>946</v>
      </c>
      <c r="H89" s="365">
        <f t="shared" si="14"/>
        <v>0.110381861575179</v>
      </c>
      <c r="I89" s="213">
        <f t="shared" si="15"/>
        <v>1146</v>
      </c>
      <c r="J89" s="213">
        <f t="shared" si="16"/>
        <v>768</v>
      </c>
      <c r="K89">
        <f>RANK(0.81,AI:AI,0)</f>
        <v>1144</v>
      </c>
      <c r="L89" s="357">
        <v>0</v>
      </c>
      <c r="M89" s="357">
        <v>1</v>
      </c>
      <c r="N89" s="357">
        <v>1</v>
      </c>
      <c r="O89" s="357">
        <v>0</v>
      </c>
      <c r="P89" s="357">
        <v>0</v>
      </c>
      <c r="Q89" s="358">
        <v>7.4008810572687225E-2</v>
      </c>
      <c r="R89" s="359">
        <v>0.15</v>
      </c>
      <c r="S89" s="196">
        <v>4924033000</v>
      </c>
      <c r="T89" s="196">
        <v>335200000</v>
      </c>
      <c r="U89" s="200">
        <f t="shared" si="17"/>
        <v>3402280000</v>
      </c>
      <c r="V89" s="196">
        <v>0</v>
      </c>
      <c r="W89" s="196">
        <v>0</v>
      </c>
      <c r="X89" s="196">
        <v>6057000000</v>
      </c>
      <c r="Y89" s="196">
        <v>6458000000</v>
      </c>
      <c r="Z89" s="196">
        <v>1978000000</v>
      </c>
      <c r="AA89" s="198">
        <v>0</v>
      </c>
      <c r="AB89" s="198">
        <v>0</v>
      </c>
      <c r="AC89" s="213">
        <f t="shared" si="18"/>
        <v>945</v>
      </c>
      <c r="AD89" s="213">
        <f t="shared" si="19"/>
        <v>911</v>
      </c>
      <c r="AE89" s="213">
        <v>0.84</v>
      </c>
      <c r="AF89" s="196">
        <v>-37000000</v>
      </c>
      <c r="AG89" s="104">
        <f t="shared" si="20"/>
        <v>-0.110381861575179</v>
      </c>
      <c r="AH89" s="104">
        <f t="shared" si="21"/>
        <v>0</v>
      </c>
      <c r="AI89" s="195">
        <v>0.81</v>
      </c>
    </row>
    <row r="90" spans="1:48">
      <c r="A90">
        <v>1459</v>
      </c>
      <c r="C90" s="107">
        <f>VLOOKUP(1459,收盤價!$A:$C,3,0)</f>
        <v>8.25</v>
      </c>
      <c r="D90" s="107">
        <f t="shared" si="11"/>
        <v>0</v>
      </c>
      <c r="E90" s="167">
        <f t="shared" si="12"/>
        <v>1</v>
      </c>
      <c r="F90" s="104">
        <f t="shared" si="13"/>
        <v>0.88927664831572639</v>
      </c>
      <c r="G90" s="167">
        <f>RANK(0.84,AE:AE,0)</f>
        <v>946</v>
      </c>
      <c r="H90" s="365">
        <f t="shared" si="14"/>
        <v>0.10596765197992192</v>
      </c>
      <c r="I90" s="213">
        <f t="shared" si="15"/>
        <v>1143</v>
      </c>
      <c r="J90" s="213">
        <f t="shared" si="16"/>
        <v>768</v>
      </c>
      <c r="K90">
        <f>RANK(0.82,AI:AI,0)</f>
        <v>1121</v>
      </c>
      <c r="L90" s="357">
        <v>0</v>
      </c>
      <c r="M90" s="357">
        <v>1</v>
      </c>
      <c r="N90" s="357">
        <v>0</v>
      </c>
      <c r="O90" s="357">
        <v>0</v>
      </c>
      <c r="P90" s="357">
        <v>0</v>
      </c>
      <c r="Q90" s="358">
        <v>3.1866464339908952E-2</v>
      </c>
      <c r="R90" s="359">
        <v>0</v>
      </c>
      <c r="S90" s="196">
        <v>3326805000</v>
      </c>
      <c r="T90" s="196">
        <v>358600000</v>
      </c>
      <c r="U90" s="200">
        <f t="shared" si="17"/>
        <v>2958450000</v>
      </c>
      <c r="V90" s="196">
        <v>-4000000</v>
      </c>
      <c r="W90" s="196">
        <v>573000000</v>
      </c>
      <c r="X90" s="196">
        <v>2943000000</v>
      </c>
      <c r="Y90" s="196">
        <v>3347000000</v>
      </c>
      <c r="Z90" s="196">
        <v>2337000000</v>
      </c>
      <c r="AA90" s="198">
        <v>0</v>
      </c>
      <c r="AB90" s="198">
        <v>0</v>
      </c>
      <c r="AC90" s="213">
        <f t="shared" si="18"/>
        <v>945</v>
      </c>
      <c r="AD90" s="213">
        <f t="shared" si="19"/>
        <v>911</v>
      </c>
      <c r="AE90" s="213">
        <v>0.84</v>
      </c>
      <c r="AF90" s="196">
        <v>-38000000</v>
      </c>
      <c r="AG90" s="104">
        <f t="shared" si="20"/>
        <v>-0.10596765197992192</v>
      </c>
      <c r="AH90" s="104">
        <f t="shared" si="21"/>
        <v>0</v>
      </c>
      <c r="AI90" s="195">
        <v>0.82</v>
      </c>
    </row>
    <row r="91" spans="1:48">
      <c r="A91">
        <v>1460</v>
      </c>
      <c r="C91" s="107">
        <f>VLOOKUP(1460,收盤價!$A:$C,3,0)</f>
        <v>16.95</v>
      </c>
      <c r="D91" s="107">
        <f t="shared" si="11"/>
        <v>22.302631578947366</v>
      </c>
      <c r="E91" s="167">
        <f t="shared" si="12"/>
        <v>2</v>
      </c>
      <c r="F91" s="104">
        <f t="shared" si="13"/>
        <v>0.95204593847779029</v>
      </c>
      <c r="G91" s="167">
        <f>RANK(0.84,AE:AE,0)</f>
        <v>946</v>
      </c>
      <c r="H91" s="365">
        <f t="shared" si="14"/>
        <v>-0.43930390492359933</v>
      </c>
      <c r="I91" s="213">
        <f t="shared" si="15"/>
        <v>782</v>
      </c>
      <c r="J91" s="213">
        <f t="shared" si="16"/>
        <v>768</v>
      </c>
      <c r="K91">
        <f>RANK(1.01,AI:AI,0)</f>
        <v>874</v>
      </c>
      <c r="L91" s="357">
        <v>0</v>
      </c>
      <c r="M91" s="357">
        <v>1</v>
      </c>
      <c r="N91" s="357">
        <v>0</v>
      </c>
      <c r="O91" s="357">
        <v>1</v>
      </c>
      <c r="P91" s="357">
        <v>0</v>
      </c>
      <c r="Q91" s="358">
        <v>0.21149083704804358</v>
      </c>
      <c r="R91" s="359">
        <v>0.19</v>
      </c>
      <c r="S91" s="196">
        <v>8389133000</v>
      </c>
      <c r="T91" s="196">
        <v>471200000</v>
      </c>
      <c r="U91" s="200">
        <f t="shared" si="17"/>
        <v>7986840000</v>
      </c>
      <c r="V91" s="196">
        <v>0</v>
      </c>
      <c r="W91" s="196">
        <v>1821000000</v>
      </c>
      <c r="X91" s="196">
        <v>3562000000</v>
      </c>
      <c r="Y91" s="196">
        <v>4633000000</v>
      </c>
      <c r="Z91" s="196">
        <v>1853000000</v>
      </c>
      <c r="AA91" s="198">
        <v>0</v>
      </c>
      <c r="AB91" s="198">
        <v>0</v>
      </c>
      <c r="AC91" s="213">
        <f t="shared" si="18"/>
        <v>945</v>
      </c>
      <c r="AD91" s="213">
        <f t="shared" si="19"/>
        <v>911</v>
      </c>
      <c r="AE91" s="213">
        <v>0.84</v>
      </c>
      <c r="AF91" s="196">
        <v>207000000</v>
      </c>
      <c r="AG91" s="104">
        <f t="shared" si="20"/>
        <v>0.43930390492359933</v>
      </c>
      <c r="AH91" s="104">
        <f t="shared" si="21"/>
        <v>0</v>
      </c>
      <c r="AI91" s="195">
        <v>1.01</v>
      </c>
      <c r="AN91" t="s">
        <v>44</v>
      </c>
      <c r="AO91" t="s">
        <v>1907</v>
      </c>
      <c r="AP91" t="s">
        <v>1840</v>
      </c>
      <c r="AQ91" t="s">
        <v>1751</v>
      </c>
      <c r="AR91" t="s">
        <v>215</v>
      </c>
      <c r="AS91" t="s">
        <v>45</v>
      </c>
      <c r="AT91" t="s">
        <v>46</v>
      </c>
      <c r="AU91" t="s">
        <v>47</v>
      </c>
      <c r="AV91" t="s">
        <v>48</v>
      </c>
    </row>
    <row r="92" spans="1:48">
      <c r="A92">
        <v>1463</v>
      </c>
      <c r="C92" s="107">
        <f>VLOOKUP(1463,收盤價!$A:$C,3,0)</f>
        <v>18.45</v>
      </c>
      <c r="D92" s="107">
        <f t="shared" si="11"/>
        <v>120.80357142857142</v>
      </c>
      <c r="E92" s="167">
        <f t="shared" si="12"/>
        <v>3</v>
      </c>
      <c r="F92" s="104">
        <f t="shared" si="13"/>
        <v>6.2192140264610574</v>
      </c>
      <c r="G92" s="167">
        <f>RANK(0.93,AE:AE,0)</f>
        <v>920</v>
      </c>
      <c r="H92" s="365">
        <f t="shared" si="14"/>
        <v>0.13708680240705629</v>
      </c>
      <c r="I92" s="213">
        <f t="shared" si="15"/>
        <v>1064</v>
      </c>
      <c r="J92" s="213">
        <f t="shared" si="16"/>
        <v>747</v>
      </c>
      <c r="K92">
        <f>RANK(0.86,AI:AI,0)</f>
        <v>1045</v>
      </c>
      <c r="L92" s="357">
        <v>1</v>
      </c>
      <c r="M92" s="357">
        <v>1</v>
      </c>
      <c r="N92" s="357">
        <v>0</v>
      </c>
      <c r="O92" s="357">
        <v>1</v>
      </c>
      <c r="P92" s="357">
        <v>0</v>
      </c>
      <c r="Q92" s="358">
        <v>0.20300751879699247</v>
      </c>
      <c r="R92" s="359">
        <v>3.8181818181818185E-2</v>
      </c>
      <c r="S92" s="196">
        <v>514114000</v>
      </c>
      <c r="T92" s="196">
        <v>173300000</v>
      </c>
      <c r="U92" s="200">
        <f t="shared" si="17"/>
        <v>3197385000</v>
      </c>
      <c r="V92" s="196">
        <v>7000000</v>
      </c>
      <c r="W92" s="196">
        <v>761000000</v>
      </c>
      <c r="X92" s="196">
        <v>393000000</v>
      </c>
      <c r="Y92" s="196">
        <v>1983000000</v>
      </c>
      <c r="Z92" s="196">
        <v>282000000</v>
      </c>
      <c r="AA92" s="198">
        <v>0.01</v>
      </c>
      <c r="AB92" s="198">
        <v>0</v>
      </c>
      <c r="AC92" s="213">
        <f t="shared" si="18"/>
        <v>769</v>
      </c>
      <c r="AD92" s="213">
        <f t="shared" si="19"/>
        <v>911</v>
      </c>
      <c r="AE92" s="213">
        <v>0.93</v>
      </c>
      <c r="AF92" s="196">
        <v>1000000</v>
      </c>
      <c r="AG92" s="104">
        <f t="shared" si="20"/>
        <v>5.7703404500865554E-3</v>
      </c>
      <c r="AH92" s="104">
        <f t="shared" si="21"/>
        <v>0.14285714285714285</v>
      </c>
      <c r="AI92" s="195">
        <v>0.86</v>
      </c>
      <c r="AO92" s="213"/>
      <c r="AP92" s="213"/>
      <c r="AQ92" s="213"/>
      <c r="AR92" s="213"/>
      <c r="AS92" s="213"/>
      <c r="AT92" s="213"/>
      <c r="AU92" s="213"/>
      <c r="AV92" s="213"/>
    </row>
    <row r="93" spans="1:48">
      <c r="A93">
        <v>1464</v>
      </c>
      <c r="C93" s="107">
        <f>VLOOKUP(1464,收盤價!$A:$C,3,0)</f>
        <v>27.6</v>
      </c>
      <c r="D93" s="107">
        <f t="shared" si="11"/>
        <v>19.543828264758496</v>
      </c>
      <c r="E93" s="167">
        <f t="shared" si="12"/>
        <v>0</v>
      </c>
      <c r="F93" s="104">
        <f t="shared" si="13"/>
        <v>0.99957054959756342</v>
      </c>
      <c r="G93" s="167">
        <f>RANK(1.89,AE:AE,0)</f>
        <v>498</v>
      </c>
      <c r="H93" s="365">
        <f t="shared" si="14"/>
        <v>0.17499349466562583</v>
      </c>
      <c r="I93" s="213">
        <f t="shared" si="15"/>
        <v>944</v>
      </c>
      <c r="J93" s="213">
        <f t="shared" si="16"/>
        <v>717</v>
      </c>
      <c r="K93">
        <f>RANK(0.94,AI:AI,0)</f>
        <v>936</v>
      </c>
      <c r="L93" s="357">
        <v>0</v>
      </c>
      <c r="M93" s="357">
        <v>0</v>
      </c>
      <c r="N93" s="357">
        <v>0</v>
      </c>
      <c r="O93" s="357">
        <v>0</v>
      </c>
      <c r="P93" s="357">
        <v>0</v>
      </c>
      <c r="Q93" s="358">
        <v>0.18022235225277941</v>
      </c>
      <c r="R93" s="359">
        <v>0.3530526315789474</v>
      </c>
      <c r="S93" s="196">
        <v>7579455000</v>
      </c>
      <c r="T93" s="196">
        <v>274500000</v>
      </c>
      <c r="U93" s="200">
        <f t="shared" si="17"/>
        <v>7576200000</v>
      </c>
      <c r="V93" s="196">
        <v>140000000</v>
      </c>
      <c r="W93" s="196">
        <v>874000000</v>
      </c>
      <c r="X93" s="196">
        <v>2851000000</v>
      </c>
      <c r="Y93" s="196">
        <v>4710000000</v>
      </c>
      <c r="Z93" s="196">
        <v>2421000000</v>
      </c>
      <c r="AA93" s="198">
        <v>0.04</v>
      </c>
      <c r="AB93" s="198">
        <v>0.02</v>
      </c>
      <c r="AC93" s="213">
        <f t="shared" si="18"/>
        <v>337</v>
      </c>
      <c r="AD93" s="213">
        <f t="shared" si="19"/>
        <v>487</v>
      </c>
      <c r="AE93" s="213">
        <v>1.89</v>
      </c>
      <c r="AF93" s="196">
        <v>50000000</v>
      </c>
      <c r="AG93" s="104">
        <f t="shared" si="20"/>
        <v>0.18214936247723132</v>
      </c>
      <c r="AH93" s="104">
        <f t="shared" si="21"/>
        <v>0.35714285714285715</v>
      </c>
      <c r="AI93" s="195">
        <v>0.94</v>
      </c>
    </row>
    <row r="94" spans="1:48">
      <c r="A94">
        <v>1465</v>
      </c>
      <c r="C94" s="107">
        <f>VLOOKUP(1465,收盤價!$A:$C,3,0)</f>
        <v>12.65</v>
      </c>
      <c r="D94" s="107">
        <f t="shared" si="11"/>
        <v>43.296130952380949</v>
      </c>
      <c r="E94" s="167">
        <f t="shared" si="12"/>
        <v>3</v>
      </c>
      <c r="F94" s="104">
        <f t="shared" si="13"/>
        <v>0.64264933111097711</v>
      </c>
      <c r="G94" s="167">
        <f>RANK(1.08,AE:AE,0)</f>
        <v>769</v>
      </c>
      <c r="H94" s="365">
        <f t="shared" si="14"/>
        <v>6.1575289575289576</v>
      </c>
      <c r="I94" s="213">
        <f t="shared" si="15"/>
        <v>494</v>
      </c>
      <c r="J94" s="213">
        <f t="shared" si="16"/>
        <v>60</v>
      </c>
      <c r="K94">
        <f>RANK(2.81,AI:AI,0)</f>
        <v>186</v>
      </c>
      <c r="L94" s="357">
        <v>0</v>
      </c>
      <c r="M94" s="357">
        <v>1</v>
      </c>
      <c r="N94" s="357">
        <v>1</v>
      </c>
      <c r="O94" s="357">
        <v>1</v>
      </c>
      <c r="P94" s="357">
        <v>0</v>
      </c>
      <c r="Q94" s="358">
        <v>0.14545454545454545</v>
      </c>
      <c r="R94" s="359">
        <v>7.3043478260869571E-2</v>
      </c>
      <c r="S94" s="196">
        <v>2039277000</v>
      </c>
      <c r="T94" s="196">
        <v>103600000</v>
      </c>
      <c r="U94" s="200">
        <f t="shared" si="17"/>
        <v>1310540000</v>
      </c>
      <c r="V94" s="196">
        <v>15000000</v>
      </c>
      <c r="W94" s="196">
        <v>1633000000</v>
      </c>
      <c r="X94" s="196">
        <v>622000000</v>
      </c>
      <c r="Y94" s="196">
        <v>2363000000</v>
      </c>
      <c r="Z94" s="196">
        <v>0</v>
      </c>
      <c r="AA94" s="198">
        <v>0.01</v>
      </c>
      <c r="AB94" s="198">
        <v>0.01</v>
      </c>
      <c r="AC94" s="213">
        <f t="shared" si="18"/>
        <v>769</v>
      </c>
      <c r="AD94" s="213">
        <f t="shared" si="19"/>
        <v>680</v>
      </c>
      <c r="AE94" s="213">
        <v>1.08</v>
      </c>
      <c r="AF94" s="196">
        <v>108000000</v>
      </c>
      <c r="AG94" s="104">
        <f t="shared" si="20"/>
        <v>1.0424710424710424</v>
      </c>
      <c r="AH94" s="104">
        <f t="shared" si="21"/>
        <v>7.2</v>
      </c>
      <c r="AI94" s="195">
        <v>2.81</v>
      </c>
    </row>
    <row r="95" spans="1:48">
      <c r="A95">
        <v>1466</v>
      </c>
      <c r="C95" s="107">
        <f>VLOOKUP(1466,收盤價!$A:$C,3,0)</f>
        <v>13.4</v>
      </c>
      <c r="D95" s="107">
        <f t="shared" si="11"/>
        <v>0</v>
      </c>
      <c r="E95" s="167">
        <f t="shared" si="12"/>
        <v>4</v>
      </c>
      <c r="F95" s="104">
        <f t="shared" si="13"/>
        <v>0.40232330585081683</v>
      </c>
      <c r="G95" s="167">
        <f>RANK(0.61,AE:AE,0)</f>
        <v>1295</v>
      </c>
      <c r="H95" s="365">
        <f t="shared" si="14"/>
        <v>-0.31474820143884891</v>
      </c>
      <c r="I95" s="213">
        <f t="shared" si="15"/>
        <v>854</v>
      </c>
      <c r="J95" s="213">
        <f t="shared" si="16"/>
        <v>768</v>
      </c>
      <c r="K95">
        <f>RANK(0.96,AI:AI,0)</f>
        <v>922</v>
      </c>
      <c r="L95" s="357">
        <v>0</v>
      </c>
      <c r="M95" s="357">
        <v>1</v>
      </c>
      <c r="N95" s="357">
        <v>2</v>
      </c>
      <c r="O95" s="357">
        <v>1</v>
      </c>
      <c r="P95" s="357">
        <v>0</v>
      </c>
      <c r="Q95" s="358">
        <v>5.7939914163090127E-2</v>
      </c>
      <c r="R95" s="359">
        <v>0</v>
      </c>
      <c r="S95" s="196">
        <v>3703688000</v>
      </c>
      <c r="T95" s="196">
        <v>111200000</v>
      </c>
      <c r="U95" s="200">
        <f t="shared" si="17"/>
        <v>1490080000</v>
      </c>
      <c r="V95" s="196">
        <v>-13000000</v>
      </c>
      <c r="W95" s="196">
        <v>531000000</v>
      </c>
      <c r="X95" s="196">
        <v>1866000000</v>
      </c>
      <c r="Y95" s="196">
        <v>1785000000</v>
      </c>
      <c r="Z95" s="196">
        <v>387000000</v>
      </c>
      <c r="AA95" s="198">
        <v>-0.01</v>
      </c>
      <c r="AB95" s="198">
        <v>-0.01</v>
      </c>
      <c r="AC95" s="213">
        <f t="shared" si="18"/>
        <v>1277</v>
      </c>
      <c r="AD95" s="213">
        <f t="shared" si="19"/>
        <v>1294</v>
      </c>
      <c r="AE95" s="213">
        <v>0.61</v>
      </c>
      <c r="AF95" s="196">
        <v>35000000</v>
      </c>
      <c r="AG95" s="104">
        <f t="shared" si="20"/>
        <v>0.31474820143884891</v>
      </c>
      <c r="AH95" s="104">
        <f t="shared" si="21"/>
        <v>0</v>
      </c>
      <c r="AI95" s="195">
        <v>0.96</v>
      </c>
    </row>
    <row r="96" spans="1:48">
      <c r="A96">
        <v>1467</v>
      </c>
      <c r="C96" s="107">
        <f>VLOOKUP(1467,收盤價!$A:$C,3,0)</f>
        <v>12.85</v>
      </c>
      <c r="D96" s="107">
        <f t="shared" si="11"/>
        <v>0</v>
      </c>
      <c r="E96" s="167">
        <f t="shared" si="12"/>
        <v>2</v>
      </c>
      <c r="F96" s="104">
        <f t="shared" si="13"/>
        <v>0.3800324658659095</v>
      </c>
      <c r="G96" s="167">
        <f>RANK(1.08,AE:AE,0)</f>
        <v>769</v>
      </c>
      <c r="H96" s="365">
        <f t="shared" si="14"/>
        <v>0.60865430337612936</v>
      </c>
      <c r="I96" s="213">
        <f t="shared" si="15"/>
        <v>1376</v>
      </c>
      <c r="J96" s="213">
        <f t="shared" si="16"/>
        <v>768</v>
      </c>
      <c r="K96">
        <f>RANK(0.73,AI:AI,0)</f>
        <v>1352</v>
      </c>
      <c r="L96" s="357">
        <v>0</v>
      </c>
      <c r="M96" s="357">
        <v>1</v>
      </c>
      <c r="N96" s="357">
        <v>1</v>
      </c>
      <c r="O96" s="357">
        <v>0</v>
      </c>
      <c r="P96" s="357">
        <v>0</v>
      </c>
      <c r="Q96" s="358">
        <v>0.18127962085308058</v>
      </c>
      <c r="R96" s="359">
        <v>0</v>
      </c>
      <c r="S96" s="196">
        <v>7110853000</v>
      </c>
      <c r="T96" s="196">
        <v>210300000</v>
      </c>
      <c r="U96" s="200">
        <f t="shared" si="17"/>
        <v>2702355000</v>
      </c>
      <c r="V96" s="196">
        <v>33000000</v>
      </c>
      <c r="W96" s="196">
        <v>1001000000</v>
      </c>
      <c r="X96" s="196">
        <v>2210000000</v>
      </c>
      <c r="Y96" s="196">
        <v>2616000000</v>
      </c>
      <c r="Z96" s="196">
        <v>1734000000</v>
      </c>
      <c r="AA96" s="198">
        <v>0.01</v>
      </c>
      <c r="AB96" s="198">
        <v>0.01</v>
      </c>
      <c r="AC96" s="213">
        <f t="shared" si="18"/>
        <v>769</v>
      </c>
      <c r="AD96" s="213">
        <f t="shared" si="19"/>
        <v>680</v>
      </c>
      <c r="AE96" s="213">
        <v>1.08</v>
      </c>
      <c r="AF96" s="196">
        <v>-128000000</v>
      </c>
      <c r="AG96" s="104">
        <f t="shared" si="20"/>
        <v>-0.60865430337612936</v>
      </c>
      <c r="AH96" s="104">
        <f t="shared" si="21"/>
        <v>0</v>
      </c>
      <c r="AI96" s="195">
        <v>0.73</v>
      </c>
    </row>
    <row r="97" spans="1:48">
      <c r="A97">
        <v>1468</v>
      </c>
      <c r="C97" s="107">
        <f>VLOOKUP(1468,收盤價!$A:$C,3,0)</f>
        <v>10.199999999999999</v>
      </c>
      <c r="D97" s="107">
        <f t="shared" si="11"/>
        <v>21.25</v>
      </c>
      <c r="E97" s="167">
        <f t="shared" si="12"/>
        <v>4</v>
      </c>
      <c r="F97" s="104">
        <f t="shared" si="13"/>
        <v>2.9280654594654574</v>
      </c>
      <c r="G97" s="167">
        <f>RANK(1.41,AE:AE,0)</f>
        <v>618</v>
      </c>
      <c r="H97" s="365">
        <f t="shared" si="14"/>
        <v>1.2231115758989621</v>
      </c>
      <c r="I97" s="213">
        <f t="shared" si="15"/>
        <v>866</v>
      </c>
      <c r="J97" s="213">
        <f t="shared" si="16"/>
        <v>371</v>
      </c>
      <c r="K97">
        <f>RANK(1.26,AI:AI,0)</f>
        <v>696</v>
      </c>
      <c r="L97" s="357">
        <v>1</v>
      </c>
      <c r="M97" s="357">
        <v>1</v>
      </c>
      <c r="N97" s="357">
        <v>1</v>
      </c>
      <c r="O97" s="357">
        <v>1</v>
      </c>
      <c r="P97" s="357">
        <v>0</v>
      </c>
      <c r="Q97" s="358">
        <v>0.31843575418994413</v>
      </c>
      <c r="R97" s="359">
        <v>0.12</v>
      </c>
      <c r="S97" s="196">
        <v>558758000</v>
      </c>
      <c r="T97" s="196">
        <v>160400000</v>
      </c>
      <c r="U97" s="200">
        <f t="shared" si="17"/>
        <v>1636080000</v>
      </c>
      <c r="V97" s="196">
        <v>31000000</v>
      </c>
      <c r="W97" s="196">
        <v>488000000</v>
      </c>
      <c r="X97" s="196">
        <v>934000000</v>
      </c>
      <c r="Y97" s="196">
        <v>1181000000</v>
      </c>
      <c r="Z97" s="196">
        <v>551000000</v>
      </c>
      <c r="AA97" s="198">
        <v>0.02</v>
      </c>
      <c r="AB97" s="198">
        <v>0.02</v>
      </c>
      <c r="AC97" s="213">
        <f t="shared" si="18"/>
        <v>616</v>
      </c>
      <c r="AD97" s="213">
        <f t="shared" si="19"/>
        <v>487</v>
      </c>
      <c r="AE97" s="213">
        <v>1.41</v>
      </c>
      <c r="AF97" s="196">
        <v>47000000</v>
      </c>
      <c r="AG97" s="104">
        <f t="shared" si="20"/>
        <v>0.29301745635910226</v>
      </c>
      <c r="AH97" s="104">
        <f t="shared" si="21"/>
        <v>1.5161290322580645</v>
      </c>
      <c r="AI97" s="195">
        <v>1.26</v>
      </c>
    </row>
    <row r="98" spans="1:48">
      <c r="A98">
        <v>1469</v>
      </c>
      <c r="C98" s="107" t="str">
        <f>VLOOKUP(1469,收盤價!$A:$C,3,0)</f>
        <v>--</v>
      </c>
      <c r="D98" s="107">
        <f t="shared" si="11"/>
        <v>0</v>
      </c>
      <c r="E98" s="167">
        <f t="shared" si="12"/>
        <v>1</v>
      </c>
      <c r="F98" s="104">
        <f t="shared" si="13"/>
        <v>0</v>
      </c>
      <c r="G98" s="167">
        <f>RANK(0.84,AE:AE,0)</f>
        <v>946</v>
      </c>
      <c r="H98" s="365">
        <f t="shared" si="14"/>
        <v>-0.2969502407704655</v>
      </c>
      <c r="I98" s="213">
        <f t="shared" si="15"/>
        <v>865</v>
      </c>
      <c r="J98" s="213">
        <f t="shared" si="16"/>
        <v>768</v>
      </c>
      <c r="K98">
        <f>RANK(0.95,AI:AI,0)</f>
        <v>930</v>
      </c>
      <c r="L98" s="357">
        <v>0</v>
      </c>
      <c r="M98" s="357">
        <v>0</v>
      </c>
      <c r="N98" s="357">
        <v>0</v>
      </c>
      <c r="O98" s="357">
        <v>1</v>
      </c>
      <c r="P98" s="357">
        <v>0</v>
      </c>
      <c r="Q98" s="358">
        <v>7.9545454545454544E-2</v>
      </c>
      <c r="R98" s="359">
        <v>-7.0000000000000007E-2</v>
      </c>
      <c r="S98" s="196">
        <v>357991000</v>
      </c>
      <c r="T98" s="196">
        <v>124600000</v>
      </c>
      <c r="U98" s="200" t="e">
        <f t="shared" si="17"/>
        <v>#VALUE!</v>
      </c>
      <c r="V98" s="196">
        <v>0</v>
      </c>
      <c r="W98" s="196">
        <v>595000000</v>
      </c>
      <c r="X98" s="196">
        <v>1239000000</v>
      </c>
      <c r="Y98" s="196">
        <v>1832000000</v>
      </c>
      <c r="Z98" s="196">
        <v>443000000</v>
      </c>
      <c r="AA98" s="198">
        <v>0</v>
      </c>
      <c r="AB98" s="198">
        <v>0</v>
      </c>
      <c r="AC98" s="213">
        <f t="shared" si="18"/>
        <v>945</v>
      </c>
      <c r="AD98" s="213">
        <f t="shared" si="19"/>
        <v>911</v>
      </c>
      <c r="AE98" s="213">
        <v>0.84</v>
      </c>
      <c r="AF98" s="196">
        <v>37000000</v>
      </c>
      <c r="AG98" s="104">
        <f t="shared" si="20"/>
        <v>0.2969502407704655</v>
      </c>
      <c r="AH98" s="104">
        <f t="shared" si="21"/>
        <v>0</v>
      </c>
      <c r="AI98" s="195">
        <v>0.95</v>
      </c>
      <c r="AO98" s="213"/>
      <c r="AP98" s="213"/>
      <c r="AQ98" s="213"/>
      <c r="AR98" s="213"/>
      <c r="AS98" s="213"/>
      <c r="AT98" s="213"/>
      <c r="AU98" s="213"/>
      <c r="AV98" s="213"/>
    </row>
    <row r="99" spans="1:48">
      <c r="A99">
        <v>1470</v>
      </c>
      <c r="C99" s="107">
        <f>VLOOKUP(1470,收盤價!$A:$C,3,0)</f>
        <v>18.899999999999999</v>
      </c>
      <c r="D99" s="107">
        <f t="shared" si="11"/>
        <v>38.942307692307686</v>
      </c>
      <c r="E99" s="167">
        <f t="shared" si="12"/>
        <v>2</v>
      </c>
      <c r="F99" s="104">
        <f t="shared" si="13"/>
        <v>2.2960828595903742</v>
      </c>
      <c r="G99" s="167">
        <f>RANK(1.08,AE:AE,0)</f>
        <v>769</v>
      </c>
      <c r="H99" s="365">
        <f t="shared" si="14"/>
        <v>3.5897435897435899</v>
      </c>
      <c r="I99" s="213">
        <f t="shared" si="15"/>
        <v>676</v>
      </c>
      <c r="J99" s="213">
        <f t="shared" si="16"/>
        <v>103</v>
      </c>
      <c r="K99">
        <f>RANK(2,AI:AI,0)</f>
        <v>338</v>
      </c>
      <c r="L99" s="357">
        <v>0</v>
      </c>
      <c r="M99" s="357">
        <v>1</v>
      </c>
      <c r="N99" s="357">
        <v>0</v>
      </c>
      <c r="O99" s="357">
        <v>1</v>
      </c>
      <c r="P99" s="357">
        <v>0</v>
      </c>
      <c r="Q99" s="358">
        <v>0.21686746987951808</v>
      </c>
      <c r="R99" s="359">
        <v>0.12133333333333335</v>
      </c>
      <c r="S99" s="196">
        <v>706255000</v>
      </c>
      <c r="T99" s="196">
        <v>85800000</v>
      </c>
      <c r="U99" s="200">
        <f t="shared" si="17"/>
        <v>1621619999.9999998</v>
      </c>
      <c r="V99" s="196">
        <v>13000000</v>
      </c>
      <c r="W99" s="196">
        <v>538000000</v>
      </c>
      <c r="X99" s="196">
        <v>358000000</v>
      </c>
      <c r="Y99" s="196">
        <v>934000000</v>
      </c>
      <c r="Z99" s="196">
        <v>0</v>
      </c>
      <c r="AA99" s="198">
        <v>0.01</v>
      </c>
      <c r="AB99" s="198">
        <v>0.01</v>
      </c>
      <c r="AC99" s="213">
        <f t="shared" si="18"/>
        <v>769</v>
      </c>
      <c r="AD99" s="213">
        <f t="shared" si="19"/>
        <v>680</v>
      </c>
      <c r="AE99" s="213">
        <v>1.08</v>
      </c>
      <c r="AF99" s="196">
        <v>55000000</v>
      </c>
      <c r="AG99" s="104">
        <f t="shared" si="20"/>
        <v>0.64102564102564108</v>
      </c>
      <c r="AH99" s="104">
        <f t="shared" si="21"/>
        <v>4.2307692307692308</v>
      </c>
      <c r="AI99" s="195">
        <v>2</v>
      </c>
    </row>
    <row r="100" spans="1:48">
      <c r="A100">
        <v>1471</v>
      </c>
      <c r="C100" s="107">
        <f>VLOOKUP(1471,收盤價!$A:$C,3,0)</f>
        <v>5.26</v>
      </c>
      <c r="D100" s="107">
        <f t="shared" si="11"/>
        <v>0</v>
      </c>
      <c r="E100" s="167">
        <f t="shared" si="12"/>
        <v>1</v>
      </c>
      <c r="F100" s="104">
        <f t="shared" si="13"/>
        <v>0.80218550118713072</v>
      </c>
      <c r="G100" s="167">
        <f>RANK(0.53,AE:AE,0)</f>
        <v>1475</v>
      </c>
      <c r="H100" s="365">
        <f t="shared" si="14"/>
        <v>0.38213399503722084</v>
      </c>
      <c r="I100" s="213">
        <f t="shared" si="15"/>
        <v>1305</v>
      </c>
      <c r="J100" s="213">
        <f t="shared" si="16"/>
        <v>768</v>
      </c>
      <c r="K100">
        <f>RANK(0.75,AI:AI,0)</f>
        <v>1296</v>
      </c>
      <c r="L100" s="357">
        <v>0</v>
      </c>
      <c r="M100" s="357">
        <v>1</v>
      </c>
      <c r="N100" s="357">
        <v>0</v>
      </c>
      <c r="O100" s="357">
        <v>0</v>
      </c>
      <c r="P100" s="357">
        <v>0</v>
      </c>
      <c r="Q100" s="358">
        <v>-7.6124567474048443E-2</v>
      </c>
      <c r="R100" s="359">
        <v>0</v>
      </c>
      <c r="S100" s="196">
        <v>1321253000</v>
      </c>
      <c r="T100" s="196">
        <v>201500000</v>
      </c>
      <c r="U100" s="200">
        <f t="shared" si="17"/>
        <v>1059890000</v>
      </c>
      <c r="V100" s="196">
        <v>-87000000</v>
      </c>
      <c r="W100" s="196">
        <v>601000000</v>
      </c>
      <c r="X100" s="196">
        <v>845000000</v>
      </c>
      <c r="Y100" s="196">
        <v>2029000000</v>
      </c>
      <c r="Z100" s="196">
        <v>50000000</v>
      </c>
      <c r="AA100" s="198">
        <v>-0.06</v>
      </c>
      <c r="AB100" s="198">
        <v>-0.04</v>
      </c>
      <c r="AC100" s="213">
        <f t="shared" si="18"/>
        <v>1484</v>
      </c>
      <c r="AD100" s="213">
        <f t="shared" si="19"/>
        <v>1483</v>
      </c>
      <c r="AE100" s="213">
        <v>0.53</v>
      </c>
      <c r="AF100" s="196">
        <v>-77000000</v>
      </c>
      <c r="AG100" s="104">
        <f t="shared" si="20"/>
        <v>-0.38213399503722084</v>
      </c>
      <c r="AH100" s="104">
        <f t="shared" si="21"/>
        <v>0</v>
      </c>
      <c r="AI100" s="195">
        <v>0.75</v>
      </c>
      <c r="AN100" t="s">
        <v>190</v>
      </c>
      <c r="AO100" s="33">
        <v>8</v>
      </c>
      <c r="AP100" s="33">
        <v>8</v>
      </c>
      <c r="AQ100" s="33">
        <v>8</v>
      </c>
      <c r="AR100" s="33">
        <v>8</v>
      </c>
      <c r="AS100" s="33">
        <v>8</v>
      </c>
      <c r="AT100" s="33">
        <v>8</v>
      </c>
      <c r="AU100" s="33">
        <v>8</v>
      </c>
      <c r="AV100" s="33">
        <v>8</v>
      </c>
    </row>
    <row r="101" spans="1:48">
      <c r="A101">
        <v>1472</v>
      </c>
      <c r="C101" s="107">
        <f>VLOOKUP(1472,收盤價!$A:$C,3,0)</f>
        <v>13.7</v>
      </c>
      <c r="D101" s="107">
        <f t="shared" si="11"/>
        <v>0</v>
      </c>
      <c r="E101" s="167">
        <f t="shared" si="12"/>
        <v>2</v>
      </c>
      <c r="F101" s="104">
        <f t="shared" si="13"/>
        <v>1.4774753824352314</v>
      </c>
      <c r="G101" s="167">
        <f>RANK(0.84,AE:AE,0)</f>
        <v>946</v>
      </c>
      <c r="H101" s="365">
        <f t="shared" si="14"/>
        <v>0.1078167115902965</v>
      </c>
      <c r="I101" s="213">
        <f t="shared" si="15"/>
        <v>1145</v>
      </c>
      <c r="J101" s="213">
        <f t="shared" si="16"/>
        <v>768</v>
      </c>
      <c r="K101">
        <f>RANK(0.81,AI:AI,0)</f>
        <v>1144</v>
      </c>
      <c r="L101" s="357">
        <v>0</v>
      </c>
      <c r="M101" s="357">
        <v>0</v>
      </c>
      <c r="N101" s="357">
        <v>2</v>
      </c>
      <c r="O101" s="357">
        <v>0</v>
      </c>
      <c r="P101" s="357">
        <v>0</v>
      </c>
      <c r="Q101" s="358">
        <v>-3.4482758620689655E-2</v>
      </c>
      <c r="R101" s="359">
        <v>-0.31</v>
      </c>
      <c r="S101" s="196">
        <v>688025000</v>
      </c>
      <c r="T101" s="196">
        <v>74200000</v>
      </c>
      <c r="U101" s="200">
        <f t="shared" si="17"/>
        <v>1016540000</v>
      </c>
      <c r="V101" s="196">
        <v>0</v>
      </c>
      <c r="W101" s="196">
        <v>0</v>
      </c>
      <c r="X101" s="196">
        <v>490000000</v>
      </c>
      <c r="Y101" s="196">
        <v>394000000</v>
      </c>
      <c r="Z101" s="196">
        <v>463000000</v>
      </c>
      <c r="AA101" s="198">
        <v>0</v>
      </c>
      <c r="AB101" s="198">
        <v>0</v>
      </c>
      <c r="AC101" s="213">
        <f t="shared" si="18"/>
        <v>945</v>
      </c>
      <c r="AD101" s="213">
        <f t="shared" si="19"/>
        <v>911</v>
      </c>
      <c r="AE101" s="213">
        <v>0.84</v>
      </c>
      <c r="AF101" s="196">
        <v>-8000000</v>
      </c>
      <c r="AG101" s="104">
        <f t="shared" si="20"/>
        <v>-0.1078167115902965</v>
      </c>
      <c r="AH101" s="104">
        <f t="shared" si="21"/>
        <v>0</v>
      </c>
      <c r="AI101" s="195">
        <v>0.81</v>
      </c>
      <c r="AN101" t="s">
        <v>105</v>
      </c>
      <c r="AO101" s="33"/>
      <c r="AP101" s="33"/>
      <c r="AQ101" s="33"/>
      <c r="AR101" s="33"/>
      <c r="AS101" s="33"/>
      <c r="AT101" s="33"/>
      <c r="AU101" s="33"/>
      <c r="AV101" s="33"/>
    </row>
    <row r="102" spans="1:48">
      <c r="A102">
        <v>1473</v>
      </c>
      <c r="C102" s="107">
        <f>VLOOKUP(1473,收盤價!$A:$C,3,0)</f>
        <v>29.05</v>
      </c>
      <c r="D102" s="107">
        <f t="shared" si="11"/>
        <v>145.25</v>
      </c>
      <c r="E102" s="167">
        <f t="shared" si="12"/>
        <v>1</v>
      </c>
      <c r="F102" s="104">
        <f t="shared" si="13"/>
        <v>0.43124708374792897</v>
      </c>
      <c r="G102" s="167">
        <f>RANK(0.84,AE:AE,0)</f>
        <v>946</v>
      </c>
      <c r="H102" s="365">
        <f t="shared" si="14"/>
        <v>-1.0020449897750512</v>
      </c>
      <c r="I102" s="213">
        <f t="shared" si="15"/>
        <v>511</v>
      </c>
      <c r="J102" s="213">
        <f t="shared" si="16"/>
        <v>768</v>
      </c>
      <c r="K102">
        <f>RANK(1.22,AI:AI,0)</f>
        <v>726</v>
      </c>
      <c r="L102" s="357">
        <v>0</v>
      </c>
      <c r="M102" s="357">
        <v>1</v>
      </c>
      <c r="N102" s="357">
        <v>0</v>
      </c>
      <c r="O102" s="357">
        <v>0</v>
      </c>
      <c r="P102" s="357">
        <v>0</v>
      </c>
      <c r="Q102" s="358">
        <v>0.12602607436021246</v>
      </c>
      <c r="R102" s="359">
        <v>0.05</v>
      </c>
      <c r="S102" s="196">
        <v>9882119000</v>
      </c>
      <c r="T102" s="196">
        <v>146700000</v>
      </c>
      <c r="U102" s="200">
        <f t="shared" si="17"/>
        <v>4261635000</v>
      </c>
      <c r="V102" s="196">
        <v>0</v>
      </c>
      <c r="W102" s="196">
        <v>2252000000</v>
      </c>
      <c r="X102" s="196">
        <v>1239000000</v>
      </c>
      <c r="Y102" s="196">
        <v>4168000000</v>
      </c>
      <c r="Z102" s="196">
        <v>947000000</v>
      </c>
      <c r="AA102" s="198">
        <v>0</v>
      </c>
      <c r="AB102" s="198">
        <v>0</v>
      </c>
      <c r="AC102" s="213">
        <f t="shared" si="18"/>
        <v>945</v>
      </c>
      <c r="AD102" s="213">
        <f t="shared" si="19"/>
        <v>911</v>
      </c>
      <c r="AE102" s="213">
        <v>0.84</v>
      </c>
      <c r="AF102" s="196">
        <v>147000000</v>
      </c>
      <c r="AG102" s="104">
        <f t="shared" si="20"/>
        <v>1.0020449897750512</v>
      </c>
      <c r="AH102" s="104">
        <f t="shared" si="21"/>
        <v>0</v>
      </c>
      <c r="AI102" s="195">
        <v>1.22</v>
      </c>
      <c r="AO102" s="213"/>
      <c r="AP102" s="213"/>
      <c r="AQ102" s="213"/>
      <c r="AR102" s="213"/>
      <c r="AS102" s="213"/>
      <c r="AT102" s="213"/>
      <c r="AU102" s="213"/>
      <c r="AV102" s="213"/>
    </row>
    <row r="103" spans="1:48">
      <c r="A103">
        <v>1474</v>
      </c>
      <c r="C103" s="107">
        <f>VLOOKUP(1474,收盤價!$A:$C,3,0)</f>
        <v>12.6</v>
      </c>
      <c r="D103" s="107">
        <f t="shared" si="11"/>
        <v>12.6</v>
      </c>
      <c r="E103" s="167">
        <f t="shared" si="12"/>
        <v>3</v>
      </c>
      <c r="F103" s="104">
        <f t="shared" si="13"/>
        <v>0.48358404220524537</v>
      </c>
      <c r="G103" s="167">
        <f>RANK(0.84,AE:AE,0)</f>
        <v>946</v>
      </c>
      <c r="H103" s="365">
        <f t="shared" si="14"/>
        <v>-1.1393379522709777</v>
      </c>
      <c r="I103" s="213">
        <f t="shared" si="15"/>
        <v>456</v>
      </c>
      <c r="J103" s="213">
        <f t="shared" si="16"/>
        <v>768</v>
      </c>
      <c r="K103">
        <f>RANK(1.27,AI:AI,0)</f>
        <v>690</v>
      </c>
      <c r="L103" s="357">
        <v>0</v>
      </c>
      <c r="M103" s="357">
        <v>1</v>
      </c>
      <c r="N103" s="357">
        <v>1</v>
      </c>
      <c r="O103" s="357">
        <v>1</v>
      </c>
      <c r="P103" s="357">
        <v>0</v>
      </c>
      <c r="Q103" s="358">
        <v>0.13827160493827159</v>
      </c>
      <c r="R103" s="359">
        <v>0.25</v>
      </c>
      <c r="S103" s="196">
        <v>3384603000</v>
      </c>
      <c r="T103" s="196">
        <v>129900000</v>
      </c>
      <c r="U103" s="200">
        <f t="shared" si="17"/>
        <v>1636740000</v>
      </c>
      <c r="V103" s="196">
        <v>0</v>
      </c>
      <c r="W103" s="196">
        <v>572000000</v>
      </c>
      <c r="X103" s="196">
        <v>989000000</v>
      </c>
      <c r="Y103" s="196">
        <v>1816000000</v>
      </c>
      <c r="Z103" s="196">
        <v>698000000</v>
      </c>
      <c r="AA103" s="198">
        <v>0</v>
      </c>
      <c r="AB103" s="198">
        <v>0</v>
      </c>
      <c r="AC103" s="213">
        <f t="shared" si="18"/>
        <v>945</v>
      </c>
      <c r="AD103" s="213">
        <f t="shared" si="19"/>
        <v>911</v>
      </c>
      <c r="AE103" s="213">
        <v>0.84</v>
      </c>
      <c r="AF103" s="196">
        <v>148000000</v>
      </c>
      <c r="AG103" s="104">
        <f t="shared" si="20"/>
        <v>1.1393379522709777</v>
      </c>
      <c r="AH103" s="104">
        <f t="shared" si="21"/>
        <v>0</v>
      </c>
      <c r="AI103" s="195">
        <v>1.27</v>
      </c>
    </row>
    <row r="104" spans="1:48">
      <c r="A104">
        <v>1475</v>
      </c>
      <c r="C104" s="107">
        <f>VLOOKUP(1475,收盤價!$A:$C,3,0)</f>
        <v>7.92</v>
      </c>
      <c r="D104" s="107">
        <f t="shared" si="11"/>
        <v>0</v>
      </c>
      <c r="E104" s="167">
        <f t="shared" si="12"/>
        <v>0</v>
      </c>
      <c r="F104" s="104">
        <f t="shared" si="13"/>
        <v>1.9166236448115643</v>
      </c>
      <c r="G104" s="167">
        <f>RANK(0.52,AE:AE,0)</f>
        <v>1493</v>
      </c>
      <c r="H104" s="365">
        <f t="shared" si="14"/>
        <v>0.17142857142857143</v>
      </c>
      <c r="I104" s="213">
        <f t="shared" si="15"/>
        <v>1190</v>
      </c>
      <c r="J104" s="213">
        <f t="shared" si="16"/>
        <v>768</v>
      </c>
      <c r="K104">
        <f>RANK(0.8,AI:AI,0)</f>
        <v>1168</v>
      </c>
      <c r="L104" s="357">
        <v>0</v>
      </c>
      <c r="M104" s="357">
        <v>0</v>
      </c>
      <c r="N104" s="357">
        <v>0</v>
      </c>
      <c r="O104" s="357">
        <v>0</v>
      </c>
      <c r="P104" s="357">
        <v>0</v>
      </c>
      <c r="Q104" s="358">
        <v>-9.0909090909090912E-2</v>
      </c>
      <c r="R104" s="359">
        <v>0</v>
      </c>
      <c r="S104" s="196">
        <v>216944000</v>
      </c>
      <c r="T104" s="196">
        <v>52500000</v>
      </c>
      <c r="U104" s="200">
        <f t="shared" si="17"/>
        <v>415800000</v>
      </c>
      <c r="V104" s="196">
        <v>-13000000</v>
      </c>
      <c r="W104" s="196">
        <v>123000000</v>
      </c>
      <c r="X104" s="196">
        <v>27000000</v>
      </c>
      <c r="Y104" s="196">
        <v>170000000</v>
      </c>
      <c r="Z104" s="196">
        <v>93000000</v>
      </c>
      <c r="AA104" s="198">
        <v>-0.09</v>
      </c>
      <c r="AB104" s="198">
        <v>-0.05</v>
      </c>
      <c r="AC104" s="213">
        <f t="shared" si="18"/>
        <v>1514</v>
      </c>
      <c r="AD104" s="213">
        <f t="shared" si="19"/>
        <v>1500</v>
      </c>
      <c r="AE104" s="213">
        <v>0.52</v>
      </c>
      <c r="AF104" s="196">
        <v>-9000000</v>
      </c>
      <c r="AG104" s="104">
        <f t="shared" si="20"/>
        <v>-0.17142857142857143</v>
      </c>
      <c r="AH104" s="104">
        <f t="shared" si="21"/>
        <v>0</v>
      </c>
      <c r="AI104" s="195">
        <v>0.8</v>
      </c>
      <c r="AO104" s="213"/>
      <c r="AP104" s="213"/>
      <c r="AQ104" s="213"/>
      <c r="AR104" s="213"/>
      <c r="AS104" s="213"/>
      <c r="AT104" s="213"/>
      <c r="AU104" s="213"/>
      <c r="AV104" s="213"/>
    </row>
    <row r="105" spans="1:48">
      <c r="A105">
        <v>1476</v>
      </c>
      <c r="C105" s="107">
        <f>VLOOKUP(1476,收盤價!$A:$C,3,0)</f>
        <v>388</v>
      </c>
      <c r="D105" s="107">
        <f t="shared" si="11"/>
        <v>33.564651976348465</v>
      </c>
      <c r="E105" s="167">
        <f t="shared" si="12"/>
        <v>4</v>
      </c>
      <c r="F105" s="104">
        <f t="shared" si="13"/>
        <v>4.1488857372572179</v>
      </c>
      <c r="G105" s="167">
        <f>RANK(9.68,AE:AE,0)</f>
        <v>76</v>
      </c>
      <c r="H105" s="365">
        <f t="shared" si="14"/>
        <v>-1.5263654829055509</v>
      </c>
      <c r="I105" s="213">
        <f t="shared" si="15"/>
        <v>219</v>
      </c>
      <c r="J105" s="213">
        <f t="shared" si="16"/>
        <v>674</v>
      </c>
      <c r="K105">
        <f>RANK(1.74,AI:AI,0)</f>
        <v>441</v>
      </c>
      <c r="L105" s="357">
        <v>0</v>
      </c>
      <c r="M105" s="357">
        <v>1</v>
      </c>
      <c r="N105" s="357">
        <v>2</v>
      </c>
      <c r="O105" s="357">
        <v>1</v>
      </c>
      <c r="P105" s="357">
        <v>0</v>
      </c>
      <c r="Q105" s="358">
        <v>0.2803706245710364</v>
      </c>
      <c r="R105" s="359">
        <v>2.8899450549450547</v>
      </c>
      <c r="S105" s="196">
        <v>25156634000</v>
      </c>
      <c r="T105" s="196">
        <v>269000000</v>
      </c>
      <c r="U105" s="200">
        <f t="shared" si="17"/>
        <v>104372000000</v>
      </c>
      <c r="V105" s="196">
        <v>1067000000</v>
      </c>
      <c r="W105" s="196">
        <v>6287000000</v>
      </c>
      <c r="X105" s="196">
        <v>6399000000</v>
      </c>
      <c r="Y105" s="196">
        <v>12900000000</v>
      </c>
      <c r="Z105" s="196">
        <v>1919000000</v>
      </c>
      <c r="AA105" s="198">
        <v>0.08</v>
      </c>
      <c r="AB105" s="198">
        <v>7.0000000000000007E-2</v>
      </c>
      <c r="AC105" s="213">
        <f t="shared" si="18"/>
        <v>97</v>
      </c>
      <c r="AD105" s="213">
        <f t="shared" si="19"/>
        <v>64</v>
      </c>
      <c r="AE105" s="213">
        <v>9.68</v>
      </c>
      <c r="AF105" s="196">
        <v>549000000</v>
      </c>
      <c r="AG105" s="104">
        <f t="shared" si="20"/>
        <v>2.04089219330855</v>
      </c>
      <c r="AH105" s="104">
        <f t="shared" si="21"/>
        <v>0.51452671040299902</v>
      </c>
      <c r="AI105" s="195">
        <v>1.74</v>
      </c>
      <c r="AO105" s="213"/>
      <c r="AP105" s="213"/>
      <c r="AQ105" s="213"/>
      <c r="AR105" s="213"/>
      <c r="AS105" s="213"/>
      <c r="AT105" s="213"/>
      <c r="AU105" s="213"/>
      <c r="AV105" s="213"/>
    </row>
    <row r="106" spans="1:48">
      <c r="A106">
        <v>1477</v>
      </c>
      <c r="C106" s="107">
        <f>VLOOKUP(1477,收盤價!$A:$C,3,0)</f>
        <v>133</v>
      </c>
      <c r="D106" s="107">
        <f t="shared" si="11"/>
        <v>23.175403225806456</v>
      </c>
      <c r="E106" s="167">
        <f t="shared" si="12"/>
        <v>0</v>
      </c>
      <c r="F106" s="104">
        <f t="shared" si="13"/>
        <v>1.1319567896889522</v>
      </c>
      <c r="G106" s="167">
        <f>RANK(3.92,AE:AE,0)</f>
        <v>209</v>
      </c>
      <c r="H106" s="365">
        <f t="shared" si="14"/>
        <v>-1.1405059433099665</v>
      </c>
      <c r="I106" s="213">
        <f t="shared" si="15"/>
        <v>181</v>
      </c>
      <c r="J106" s="213">
        <f t="shared" si="16"/>
        <v>453</v>
      </c>
      <c r="K106">
        <f>RANK(2.46,AI:AI,0)</f>
        <v>246</v>
      </c>
      <c r="L106" s="357">
        <v>0</v>
      </c>
      <c r="M106" s="357">
        <v>0</v>
      </c>
      <c r="N106" s="357">
        <v>0</v>
      </c>
      <c r="O106" s="357">
        <v>0</v>
      </c>
      <c r="P106" s="357">
        <v>0</v>
      </c>
      <c r="Q106" s="358">
        <v>0.18945993031358885</v>
      </c>
      <c r="R106" s="359">
        <v>1.4347107438016526</v>
      </c>
      <c r="S106" s="196">
        <v>23369885000</v>
      </c>
      <c r="T106" s="196">
        <v>198900000</v>
      </c>
      <c r="U106" s="200">
        <f t="shared" si="17"/>
        <v>26453700000</v>
      </c>
      <c r="V106" s="196">
        <v>386000000</v>
      </c>
      <c r="W106" s="196">
        <v>2637000000</v>
      </c>
      <c r="X106" s="196">
        <v>4617000000</v>
      </c>
      <c r="Y106" s="196">
        <v>8128000000</v>
      </c>
      <c r="Z106" s="196">
        <v>292000000</v>
      </c>
      <c r="AA106" s="198">
        <v>0.05</v>
      </c>
      <c r="AB106" s="198">
        <v>0.05</v>
      </c>
      <c r="AC106" s="213">
        <f t="shared" si="18"/>
        <v>247</v>
      </c>
      <c r="AD106" s="213">
        <f t="shared" si="19"/>
        <v>150</v>
      </c>
      <c r="AE106" s="213">
        <v>3.92</v>
      </c>
      <c r="AF106" s="196">
        <v>468000000</v>
      </c>
      <c r="AG106" s="104">
        <f t="shared" si="20"/>
        <v>2.3529411764705883</v>
      </c>
      <c r="AH106" s="104">
        <f t="shared" si="21"/>
        <v>1.2124352331606219</v>
      </c>
      <c r="AI106" s="195">
        <v>2.46</v>
      </c>
      <c r="AO106" s="213"/>
      <c r="AP106" s="213"/>
      <c r="AQ106" s="213"/>
      <c r="AR106" s="213"/>
      <c r="AS106" s="213"/>
      <c r="AT106" s="213"/>
      <c r="AU106" s="213"/>
      <c r="AV106" s="213"/>
    </row>
    <row r="107" spans="1:48">
      <c r="A107">
        <v>1503</v>
      </c>
      <c r="C107" s="107">
        <f>VLOOKUP(1503,收盤價!$A:$C,3,0)</f>
        <v>40.6</v>
      </c>
      <c r="D107" s="107">
        <f t="shared" si="11"/>
        <v>20.801886792452834</v>
      </c>
      <c r="E107" s="167">
        <f t="shared" si="12"/>
        <v>2</v>
      </c>
      <c r="F107" s="104">
        <f t="shared" si="13"/>
        <v>1.0251392867041627</v>
      </c>
      <c r="G107" s="167">
        <f>RANK(1.89,AE:AE,0)</f>
        <v>498</v>
      </c>
      <c r="H107" s="365">
        <f t="shared" si="14"/>
        <v>0.69481765834932818</v>
      </c>
      <c r="I107" s="213">
        <f t="shared" si="15"/>
        <v>1390</v>
      </c>
      <c r="J107" s="213">
        <f t="shared" si="16"/>
        <v>768</v>
      </c>
      <c r="K107">
        <f>RANK(0.72,AI:AI,0)</f>
        <v>1381</v>
      </c>
      <c r="L107" s="357">
        <v>0</v>
      </c>
      <c r="M107" s="357">
        <v>1</v>
      </c>
      <c r="N107" s="357">
        <v>1</v>
      </c>
      <c r="O107" s="357">
        <v>0</v>
      </c>
      <c r="P107" s="357">
        <v>0</v>
      </c>
      <c r="Q107" s="358">
        <v>0.20716832426346407</v>
      </c>
      <c r="R107" s="359">
        <v>0.48793650793650789</v>
      </c>
      <c r="S107" s="196">
        <v>20633879000</v>
      </c>
      <c r="T107" s="196">
        <v>521000000</v>
      </c>
      <c r="U107" s="200">
        <f t="shared" si="17"/>
        <v>21152600000</v>
      </c>
      <c r="V107" s="196">
        <v>380000000</v>
      </c>
      <c r="W107" s="196">
        <v>2761000000</v>
      </c>
      <c r="X107" s="196">
        <v>5943000000</v>
      </c>
      <c r="Y107" s="196">
        <v>21573000000</v>
      </c>
      <c r="Z107" s="196">
        <v>3640000000</v>
      </c>
      <c r="AA107" s="198">
        <v>0.04</v>
      </c>
      <c r="AB107" s="198">
        <v>0.02</v>
      </c>
      <c r="AC107" s="213">
        <f t="shared" si="18"/>
        <v>337</v>
      </c>
      <c r="AD107" s="213">
        <f t="shared" si="19"/>
        <v>487</v>
      </c>
      <c r="AE107" s="213">
        <v>1.89</v>
      </c>
      <c r="AF107" s="196">
        <v>-362000000</v>
      </c>
      <c r="AG107" s="104">
        <f t="shared" si="20"/>
        <v>-0.69481765834932818</v>
      </c>
      <c r="AH107" s="104">
        <f t="shared" si="21"/>
        <v>0</v>
      </c>
      <c r="AI107" s="195">
        <v>0.72</v>
      </c>
    </row>
    <row r="108" spans="1:48">
      <c r="A108">
        <v>1504</v>
      </c>
      <c r="C108" s="107">
        <f>VLOOKUP(1504,收盤價!$A:$C,3,0)</f>
        <v>27.6</v>
      </c>
      <c r="D108" s="107">
        <f t="shared" si="11"/>
        <v>16.211733039304711</v>
      </c>
      <c r="E108" s="167">
        <f t="shared" si="12"/>
        <v>3</v>
      </c>
      <c r="F108" s="104">
        <f t="shared" si="13"/>
        <v>1.1307803014417446</v>
      </c>
      <c r="G108" s="167">
        <f>RANK(1.63,AE:AE,0)</f>
        <v>551</v>
      </c>
      <c r="H108" s="365">
        <f t="shared" si="14"/>
        <v>0.46017185904460289</v>
      </c>
      <c r="I108" s="213">
        <f t="shared" si="15"/>
        <v>625</v>
      </c>
      <c r="J108" s="213">
        <f t="shared" si="16"/>
        <v>447</v>
      </c>
      <c r="K108">
        <f>RANK(1.45,AI:AI,0)</f>
        <v>582</v>
      </c>
      <c r="L108" s="357">
        <v>1</v>
      </c>
      <c r="M108" s="357">
        <v>1</v>
      </c>
      <c r="N108" s="357">
        <v>1</v>
      </c>
      <c r="O108" s="357">
        <v>0</v>
      </c>
      <c r="P108" s="357">
        <v>0</v>
      </c>
      <c r="Q108" s="358">
        <v>0.26954893085687531</v>
      </c>
      <c r="R108" s="359">
        <v>0.42561766735679779</v>
      </c>
      <c r="S108" s="196">
        <v>48881750000</v>
      </c>
      <c r="T108" s="196">
        <v>2002700000</v>
      </c>
      <c r="U108" s="200">
        <f t="shared" si="17"/>
        <v>55274520000</v>
      </c>
      <c r="V108" s="196">
        <v>1252000000</v>
      </c>
      <c r="W108" s="196">
        <v>19968000000</v>
      </c>
      <c r="X108" s="196">
        <v>18828000000</v>
      </c>
      <c r="Y108" s="196">
        <v>54314000000</v>
      </c>
      <c r="Z108" s="196">
        <v>7259000000</v>
      </c>
      <c r="AA108" s="198">
        <v>0.03</v>
      </c>
      <c r="AB108" s="198">
        <v>0.02</v>
      </c>
      <c r="AC108" s="213">
        <f t="shared" si="18"/>
        <v>469</v>
      </c>
      <c r="AD108" s="213">
        <f t="shared" si="19"/>
        <v>487</v>
      </c>
      <c r="AE108" s="213">
        <v>1.63</v>
      </c>
      <c r="AF108" s="196">
        <v>1537000000</v>
      </c>
      <c r="AG108" s="104">
        <f t="shared" si="20"/>
        <v>0.76746392370300098</v>
      </c>
      <c r="AH108" s="104">
        <f t="shared" si="21"/>
        <v>1.2276357827476039</v>
      </c>
      <c r="AI108" s="195">
        <v>1.45</v>
      </c>
    </row>
    <row r="109" spans="1:48">
      <c r="A109">
        <v>1506</v>
      </c>
      <c r="C109" s="107">
        <f>VLOOKUP(1506,收盤價!$A:$C,3,0)</f>
        <v>14.4</v>
      </c>
      <c r="D109" s="107">
        <f t="shared" si="11"/>
        <v>0</v>
      </c>
      <c r="E109" s="167">
        <f t="shared" si="12"/>
        <v>2</v>
      </c>
      <c r="F109" s="104">
        <f t="shared" si="13"/>
        <v>1.0963167884402174</v>
      </c>
      <c r="G109" s="167">
        <f>RANK(1.08,AE:AE,0)</f>
        <v>769</v>
      </c>
      <c r="H109" s="365">
        <f t="shared" si="14"/>
        <v>3.1118474846150534</v>
      </c>
      <c r="I109" s="213">
        <f t="shared" si="15"/>
        <v>713</v>
      </c>
      <c r="J109" s="213">
        <f t="shared" si="16"/>
        <v>124</v>
      </c>
      <c r="K109">
        <f>RANK(1.86,AI:AI,0)</f>
        <v>395</v>
      </c>
      <c r="L109" s="357">
        <v>0</v>
      </c>
      <c r="M109" s="357">
        <v>1</v>
      </c>
      <c r="N109" s="357">
        <v>0</v>
      </c>
      <c r="O109" s="357">
        <v>1</v>
      </c>
      <c r="P109" s="357">
        <v>0</v>
      </c>
      <c r="Q109" s="358">
        <v>0.18886198547215496</v>
      </c>
      <c r="R109" s="359">
        <v>0</v>
      </c>
      <c r="S109" s="196">
        <v>1606397000</v>
      </c>
      <c r="T109" s="196">
        <v>122300000</v>
      </c>
      <c r="U109" s="200">
        <f t="shared" si="17"/>
        <v>1761120000</v>
      </c>
      <c r="V109" s="196">
        <v>19000000</v>
      </c>
      <c r="W109" s="196">
        <v>1044000000</v>
      </c>
      <c r="X109" s="196">
        <v>1034000000</v>
      </c>
      <c r="Y109" s="196">
        <v>1362000000</v>
      </c>
      <c r="Z109" s="196">
        <v>107000000</v>
      </c>
      <c r="AA109" s="198">
        <v>0.01</v>
      </c>
      <c r="AB109" s="198">
        <v>0.01</v>
      </c>
      <c r="AC109" s="213">
        <f t="shared" si="18"/>
        <v>769</v>
      </c>
      <c r="AD109" s="213">
        <f t="shared" si="19"/>
        <v>680</v>
      </c>
      <c r="AE109" s="213">
        <v>1.08</v>
      </c>
      <c r="AF109" s="196">
        <v>70000000</v>
      </c>
      <c r="AG109" s="104">
        <f t="shared" si="20"/>
        <v>0.57236304170073593</v>
      </c>
      <c r="AH109" s="104">
        <f t="shared" si="21"/>
        <v>3.6842105263157894</v>
      </c>
      <c r="AI109" s="195">
        <v>1.86</v>
      </c>
    </row>
    <row r="110" spans="1:48">
      <c r="A110">
        <v>1507</v>
      </c>
      <c r="C110" s="107">
        <f>VLOOKUP(1507,收盤價!$A:$C,3,0)</f>
        <v>46.25</v>
      </c>
      <c r="D110" s="107">
        <f t="shared" si="11"/>
        <v>12.959320579752474</v>
      </c>
      <c r="E110" s="167">
        <f t="shared" si="12"/>
        <v>2</v>
      </c>
      <c r="F110" s="104">
        <f t="shared" si="13"/>
        <v>0.88737947376545334</v>
      </c>
      <c r="G110" s="167">
        <f>RANK(5.49,AE:AE,0)</f>
        <v>154</v>
      </c>
      <c r="H110" s="365">
        <f t="shared" si="14"/>
        <v>-0.59145593882126124</v>
      </c>
      <c r="I110" s="213">
        <f t="shared" si="15"/>
        <v>254</v>
      </c>
      <c r="J110" s="213">
        <f t="shared" si="16"/>
        <v>435</v>
      </c>
      <c r="K110">
        <f>RANK(2.26,AI:AI,0)</f>
        <v>285</v>
      </c>
      <c r="L110" s="357">
        <v>0</v>
      </c>
      <c r="M110" s="357">
        <v>0</v>
      </c>
      <c r="N110" s="357">
        <v>1</v>
      </c>
      <c r="O110" s="357">
        <v>1</v>
      </c>
      <c r="P110" s="357">
        <v>0</v>
      </c>
      <c r="Q110" s="358">
        <v>0.30321806915850491</v>
      </c>
      <c r="R110" s="359">
        <v>0.89221498371335506</v>
      </c>
      <c r="S110" s="196">
        <v>21410795000</v>
      </c>
      <c r="T110" s="196">
        <v>410800000</v>
      </c>
      <c r="U110" s="200">
        <f t="shared" si="17"/>
        <v>18999500000</v>
      </c>
      <c r="V110" s="196">
        <v>602000000</v>
      </c>
      <c r="W110" s="196">
        <v>3102000000</v>
      </c>
      <c r="X110" s="196">
        <v>6078000000</v>
      </c>
      <c r="Y110" s="196">
        <v>11604000000</v>
      </c>
      <c r="Z110" s="196">
        <v>0</v>
      </c>
      <c r="AA110" s="198">
        <v>7.0000000000000007E-2</v>
      </c>
      <c r="AB110" s="198">
        <v>0.05</v>
      </c>
      <c r="AC110" s="213">
        <f t="shared" si="18"/>
        <v>134</v>
      </c>
      <c r="AD110" s="213">
        <f t="shared" si="19"/>
        <v>150</v>
      </c>
      <c r="AE110" s="213">
        <v>5.49</v>
      </c>
      <c r="AF110" s="196">
        <v>765000000</v>
      </c>
      <c r="AG110" s="104">
        <f t="shared" si="20"/>
        <v>1.8622200584225901</v>
      </c>
      <c r="AH110" s="104">
        <f t="shared" si="21"/>
        <v>1.2707641196013288</v>
      </c>
      <c r="AI110" s="195">
        <v>2.2599999999999998</v>
      </c>
    </row>
    <row r="111" spans="1:48">
      <c r="A111">
        <v>1512</v>
      </c>
      <c r="C111" s="107">
        <f>VLOOKUP(1512,收盤價!$A:$C,3,0)</f>
        <v>4.9000000000000004</v>
      </c>
      <c r="D111" s="107">
        <f t="shared" si="11"/>
        <v>0</v>
      </c>
      <c r="E111" s="167">
        <f t="shared" si="12"/>
        <v>2</v>
      </c>
      <c r="F111" s="104">
        <f t="shared" si="13"/>
        <v>0.2101230919102775</v>
      </c>
      <c r="G111" s="167">
        <f>RANK(1.08,AE:AE,0)</f>
        <v>769</v>
      </c>
      <c r="H111" s="365">
        <f t="shared" si="14"/>
        <v>6.6587301587301591</v>
      </c>
      <c r="I111" s="213">
        <f t="shared" si="15"/>
        <v>717</v>
      </c>
      <c r="J111" s="213">
        <f t="shared" si="16"/>
        <v>59</v>
      </c>
      <c r="K111">
        <f>RANK(2.01,AI:AI,0)</f>
        <v>332</v>
      </c>
      <c r="L111" s="357">
        <v>0</v>
      </c>
      <c r="M111" s="357">
        <v>1</v>
      </c>
      <c r="N111" s="357">
        <v>0</v>
      </c>
      <c r="O111" s="357">
        <v>1</v>
      </c>
      <c r="P111" s="357">
        <v>0</v>
      </c>
      <c r="Q111" s="358">
        <v>0.14049586776859505</v>
      </c>
      <c r="R111" s="359">
        <v>0</v>
      </c>
      <c r="S111" s="196">
        <v>4239515000</v>
      </c>
      <c r="T111" s="196">
        <v>181800000</v>
      </c>
      <c r="U111" s="200">
        <f t="shared" si="17"/>
        <v>890820000.00000012</v>
      </c>
      <c r="V111" s="196">
        <v>14000000</v>
      </c>
      <c r="W111" s="196">
        <v>211000000</v>
      </c>
      <c r="X111" s="196">
        <v>2084000000</v>
      </c>
      <c r="Y111" s="196">
        <v>1424000000</v>
      </c>
      <c r="Z111" s="196">
        <v>837000000</v>
      </c>
      <c r="AA111" s="198">
        <v>0.01</v>
      </c>
      <c r="AB111" s="198">
        <v>0.01</v>
      </c>
      <c r="AC111" s="213">
        <f t="shared" si="18"/>
        <v>769</v>
      </c>
      <c r="AD111" s="213">
        <f t="shared" si="19"/>
        <v>680</v>
      </c>
      <c r="AE111" s="213">
        <v>1.08</v>
      </c>
      <c r="AF111" s="196">
        <v>101000000</v>
      </c>
      <c r="AG111" s="104">
        <f t="shared" si="20"/>
        <v>0.55555555555555558</v>
      </c>
      <c r="AH111" s="104">
        <f t="shared" si="21"/>
        <v>7.2142857142857144</v>
      </c>
      <c r="AI111" s="195">
        <v>2.0099999999999998</v>
      </c>
    </row>
    <row r="112" spans="1:48">
      <c r="A112">
        <v>1513</v>
      </c>
      <c r="C112" s="107">
        <f>VLOOKUP(1513,收盤價!$A:$C,3,0)</f>
        <v>18.05</v>
      </c>
      <c r="D112" s="107">
        <f t="shared" si="11"/>
        <v>15.902637485970818</v>
      </c>
      <c r="E112" s="167">
        <f t="shared" si="12"/>
        <v>1</v>
      </c>
      <c r="F112" s="104">
        <f t="shared" si="13"/>
        <v>0.63387077313923057</v>
      </c>
      <c r="G112" s="167">
        <f>RANK(1.41,AE:AE,0)</f>
        <v>618</v>
      </c>
      <c r="H112" s="365">
        <f t="shared" si="14"/>
        <v>1.1285714285714286</v>
      </c>
      <c r="I112" s="213">
        <f t="shared" si="15"/>
        <v>1454</v>
      </c>
      <c r="J112" s="213">
        <f t="shared" si="16"/>
        <v>768</v>
      </c>
      <c r="K112">
        <f>RANK(0.7,AI:AI,0)</f>
        <v>1442</v>
      </c>
      <c r="L112" s="357">
        <v>0</v>
      </c>
      <c r="M112" s="357">
        <v>1</v>
      </c>
      <c r="N112" s="357">
        <v>0</v>
      </c>
      <c r="O112" s="357">
        <v>0</v>
      </c>
      <c r="P112" s="357">
        <v>0</v>
      </c>
      <c r="Q112" s="358">
        <v>0.19141104294478528</v>
      </c>
      <c r="R112" s="359">
        <v>0.28375796178343954</v>
      </c>
      <c r="S112" s="196">
        <v>11959851000</v>
      </c>
      <c r="T112" s="196">
        <v>420000000</v>
      </c>
      <c r="U112" s="200">
        <f t="shared" si="17"/>
        <v>7581000000</v>
      </c>
      <c r="V112" s="196">
        <v>142000000</v>
      </c>
      <c r="W112" s="196">
        <v>2440000000</v>
      </c>
      <c r="X112" s="196">
        <v>3241000000</v>
      </c>
      <c r="Y112" s="196">
        <v>7428000000</v>
      </c>
      <c r="Z112" s="196">
        <v>1895000000</v>
      </c>
      <c r="AA112" s="198">
        <v>0.02</v>
      </c>
      <c r="AB112" s="198">
        <v>0.02</v>
      </c>
      <c r="AC112" s="213">
        <f t="shared" si="18"/>
        <v>616</v>
      </c>
      <c r="AD112" s="213">
        <f t="shared" si="19"/>
        <v>487</v>
      </c>
      <c r="AE112" s="213">
        <v>1.41</v>
      </c>
      <c r="AF112" s="196">
        <v>-474000000</v>
      </c>
      <c r="AG112" s="104">
        <f t="shared" si="20"/>
        <v>-1.1285714285714286</v>
      </c>
      <c r="AH112" s="104">
        <f t="shared" si="21"/>
        <v>0</v>
      </c>
      <c r="AI112" s="195">
        <v>0.7</v>
      </c>
      <c r="AO112" s="213"/>
      <c r="AP112" s="213"/>
      <c r="AQ112" s="213"/>
      <c r="AR112" s="213"/>
      <c r="AS112" s="213"/>
      <c r="AT112" s="213"/>
      <c r="AU112" s="213"/>
      <c r="AV112" s="213"/>
    </row>
    <row r="113" spans="1:48">
      <c r="A113">
        <v>1514</v>
      </c>
      <c r="C113" s="107">
        <f>VLOOKUP(1514,收盤價!$A:$C,3,0)</f>
        <v>10.15</v>
      </c>
      <c r="D113" s="107">
        <f t="shared" si="11"/>
        <v>0</v>
      </c>
      <c r="E113" s="167">
        <f t="shared" si="12"/>
        <v>0</v>
      </c>
      <c r="F113" s="104">
        <f t="shared" si="13"/>
        <v>0.52511457814789231</v>
      </c>
      <c r="G113" s="167">
        <f>RANK(0.84,AE:AE,0)</f>
        <v>946</v>
      </c>
      <c r="H113" s="365">
        <f t="shared" si="14"/>
        <v>0.42764793635007459</v>
      </c>
      <c r="I113" s="213">
        <f t="shared" si="15"/>
        <v>1323</v>
      </c>
      <c r="J113" s="213">
        <f t="shared" si="16"/>
        <v>768</v>
      </c>
      <c r="K113">
        <f>RANK(0.75,AI:AI,0)</f>
        <v>1296</v>
      </c>
      <c r="L113" s="357">
        <v>0</v>
      </c>
      <c r="M113" s="357">
        <v>0</v>
      </c>
      <c r="N113" s="357">
        <v>0</v>
      </c>
      <c r="O113" s="357">
        <v>0</v>
      </c>
      <c r="P113" s="357">
        <v>0</v>
      </c>
      <c r="Q113" s="358">
        <v>9.2063492063492069E-2</v>
      </c>
      <c r="R113" s="359">
        <v>0</v>
      </c>
      <c r="S113" s="196">
        <v>3887085000</v>
      </c>
      <c r="T113" s="196">
        <v>201100000</v>
      </c>
      <c r="U113" s="200">
        <f t="shared" si="17"/>
        <v>2041165000</v>
      </c>
      <c r="V113" s="196">
        <v>-10000000</v>
      </c>
      <c r="W113" s="196">
        <v>1210000000</v>
      </c>
      <c r="X113" s="196">
        <v>988000000</v>
      </c>
      <c r="Y113" s="196">
        <v>2727000000</v>
      </c>
      <c r="Z113" s="196">
        <v>846000000</v>
      </c>
      <c r="AA113" s="198">
        <v>0</v>
      </c>
      <c r="AB113" s="198">
        <v>0</v>
      </c>
      <c r="AC113" s="213">
        <f t="shared" si="18"/>
        <v>945</v>
      </c>
      <c r="AD113" s="213">
        <f t="shared" si="19"/>
        <v>911</v>
      </c>
      <c r="AE113" s="213">
        <v>0.84</v>
      </c>
      <c r="AF113" s="196">
        <v>-86000000</v>
      </c>
      <c r="AG113" s="104">
        <f t="shared" si="20"/>
        <v>-0.42764793635007459</v>
      </c>
      <c r="AH113" s="104">
        <f t="shared" si="21"/>
        <v>0</v>
      </c>
      <c r="AI113" s="195">
        <v>0.75</v>
      </c>
    </row>
    <row r="114" spans="1:48">
      <c r="A114">
        <v>1515</v>
      </c>
      <c r="C114" s="107">
        <f>VLOOKUP(1515,收盤價!$A:$C,3,0)</f>
        <v>12.75</v>
      </c>
      <c r="D114" s="107">
        <f t="shared" si="11"/>
        <v>31.497035573122531</v>
      </c>
      <c r="E114" s="167">
        <f t="shared" si="12"/>
        <v>3</v>
      </c>
      <c r="F114" s="104">
        <f t="shared" si="13"/>
        <v>0.62208647932856997</v>
      </c>
      <c r="G114" s="167">
        <f>RANK(1.2,AE:AE,0)</f>
        <v>710</v>
      </c>
      <c r="H114" s="365">
        <f t="shared" si="14"/>
        <v>0.20936639118457301</v>
      </c>
      <c r="I114" s="213">
        <f t="shared" si="15"/>
        <v>1214</v>
      </c>
      <c r="J114" s="213">
        <f t="shared" si="16"/>
        <v>768</v>
      </c>
      <c r="K114">
        <f>RANK(0.79,AI:AI,0)</f>
        <v>1192</v>
      </c>
      <c r="L114" s="357">
        <v>0</v>
      </c>
      <c r="M114" s="357">
        <v>1</v>
      </c>
      <c r="N114" s="357">
        <v>2</v>
      </c>
      <c r="O114" s="357">
        <v>0</v>
      </c>
      <c r="P114" s="357">
        <v>0</v>
      </c>
      <c r="Q114" s="358">
        <v>0.22805247225025227</v>
      </c>
      <c r="R114" s="359">
        <v>0.1012</v>
      </c>
      <c r="S114" s="196">
        <v>3719941000</v>
      </c>
      <c r="T114" s="196">
        <v>181500000</v>
      </c>
      <c r="U114" s="200">
        <f t="shared" si="17"/>
        <v>2314125000</v>
      </c>
      <c r="V114" s="196">
        <v>36000000</v>
      </c>
      <c r="W114" s="196">
        <v>100000000</v>
      </c>
      <c r="X114" s="196">
        <v>2255000000</v>
      </c>
      <c r="Y114" s="196">
        <v>2301000000</v>
      </c>
      <c r="Z114" s="196">
        <v>1477000000</v>
      </c>
      <c r="AA114" s="198">
        <v>0.02</v>
      </c>
      <c r="AB114" s="198">
        <v>0.01</v>
      </c>
      <c r="AC114" s="213">
        <f t="shared" si="18"/>
        <v>616</v>
      </c>
      <c r="AD114" s="213">
        <f t="shared" si="19"/>
        <v>680</v>
      </c>
      <c r="AE114" s="213">
        <v>1.2</v>
      </c>
      <c r="AF114" s="196">
        <v>-38000000</v>
      </c>
      <c r="AG114" s="104">
        <f t="shared" si="20"/>
        <v>-0.20936639118457301</v>
      </c>
      <c r="AH114" s="104">
        <f t="shared" si="21"/>
        <v>0</v>
      </c>
      <c r="AI114" s="195">
        <v>0.79</v>
      </c>
    </row>
    <row r="115" spans="1:48">
      <c r="A115">
        <v>1516</v>
      </c>
      <c r="C115" s="107">
        <f>VLOOKUP(1516,收盤價!$A:$C,3,0)</f>
        <v>17.7</v>
      </c>
      <c r="D115" s="107">
        <f t="shared" si="11"/>
        <v>22.125</v>
      </c>
      <c r="E115" s="167">
        <f t="shared" si="12"/>
        <v>3</v>
      </c>
      <c r="F115" s="104">
        <f t="shared" si="13"/>
        <v>0.70949328543853674</v>
      </c>
      <c r="G115" s="167">
        <f>RANK(1.08,AE:AE,0)</f>
        <v>769</v>
      </c>
      <c r="H115" s="365">
        <f t="shared" si="14"/>
        <v>28.784334763948497</v>
      </c>
      <c r="I115" s="213">
        <f t="shared" si="15"/>
        <v>24</v>
      </c>
      <c r="J115" s="213">
        <f t="shared" si="16"/>
        <v>5</v>
      </c>
      <c r="K115">
        <f>RANK(53.72,AI:AI,0)</f>
        <v>2</v>
      </c>
      <c r="L115" s="357">
        <v>0</v>
      </c>
      <c r="M115" s="357">
        <v>1</v>
      </c>
      <c r="N115" s="357">
        <v>0</v>
      </c>
      <c r="O115" s="357">
        <v>1</v>
      </c>
      <c r="P115" s="357">
        <v>1</v>
      </c>
      <c r="Q115" s="358">
        <v>0.05</v>
      </c>
      <c r="R115" s="359">
        <v>0.19999999999999998</v>
      </c>
      <c r="S115" s="196">
        <v>581274000</v>
      </c>
      <c r="T115" s="196">
        <v>23300000</v>
      </c>
      <c r="U115" s="200">
        <f t="shared" si="17"/>
        <v>412410000</v>
      </c>
      <c r="V115" s="196">
        <v>4000000</v>
      </c>
      <c r="W115" s="196">
        <v>273000000</v>
      </c>
      <c r="X115" s="196">
        <v>47000000</v>
      </c>
      <c r="Y115" s="196">
        <v>342000000</v>
      </c>
      <c r="Z115" s="196">
        <v>0</v>
      </c>
      <c r="AA115" s="198">
        <v>0.01</v>
      </c>
      <c r="AB115" s="198">
        <v>0.01</v>
      </c>
      <c r="AC115" s="213">
        <f t="shared" si="18"/>
        <v>769</v>
      </c>
      <c r="AD115" s="213">
        <f t="shared" si="19"/>
        <v>680</v>
      </c>
      <c r="AE115" s="213">
        <v>1.08</v>
      </c>
      <c r="AF115" s="196">
        <v>139000000</v>
      </c>
      <c r="AG115" s="104">
        <f t="shared" si="20"/>
        <v>5.9656652360515023</v>
      </c>
      <c r="AH115" s="104">
        <f t="shared" si="21"/>
        <v>34.75</v>
      </c>
      <c r="AI115" s="195">
        <v>53.72</v>
      </c>
      <c r="AO115" s="33"/>
      <c r="AP115" s="33"/>
      <c r="AQ115" s="33"/>
      <c r="AR115" s="33"/>
      <c r="AS115" s="33"/>
      <c r="AT115" s="33"/>
      <c r="AU115" s="33"/>
      <c r="AV115" s="33"/>
    </row>
    <row r="116" spans="1:48">
      <c r="A116">
        <v>1517</v>
      </c>
      <c r="C116" s="107">
        <f>VLOOKUP(1517,收盤價!$A:$C,3,0)</f>
        <v>10.15</v>
      </c>
      <c r="D116" s="107">
        <f t="shared" si="11"/>
        <v>0</v>
      </c>
      <c r="E116" s="167">
        <f t="shared" si="12"/>
        <v>3</v>
      </c>
      <c r="F116" s="104">
        <f t="shared" si="13"/>
        <v>0.74971628308139271</v>
      </c>
      <c r="G116" s="167">
        <f>RANK(0.84,AE:AE,0)</f>
        <v>946</v>
      </c>
      <c r="H116" s="365">
        <f t="shared" si="14"/>
        <v>4.945017559262511</v>
      </c>
      <c r="I116" s="213">
        <f t="shared" si="15"/>
        <v>945</v>
      </c>
      <c r="J116" s="213">
        <f t="shared" si="16"/>
        <v>80</v>
      </c>
      <c r="K116">
        <f>RANK(1.52,AI:AI,0)</f>
        <v>548</v>
      </c>
      <c r="L116" s="357">
        <v>0</v>
      </c>
      <c r="M116" s="357">
        <v>1</v>
      </c>
      <c r="N116" s="357">
        <v>1</v>
      </c>
      <c r="O116" s="357">
        <v>1</v>
      </c>
      <c r="P116" s="357">
        <v>0</v>
      </c>
      <c r="Q116" s="358">
        <v>0.14018691588785046</v>
      </c>
      <c r="R116" s="359">
        <v>0</v>
      </c>
      <c r="S116" s="196">
        <v>3084060000</v>
      </c>
      <c r="T116" s="196">
        <v>227800000</v>
      </c>
      <c r="U116" s="200">
        <f t="shared" si="17"/>
        <v>2312170000</v>
      </c>
      <c r="V116" s="196">
        <v>8000000</v>
      </c>
      <c r="W116" s="196">
        <v>2238000000</v>
      </c>
      <c r="X116" s="196">
        <v>1449000000</v>
      </c>
      <c r="Y116" s="196">
        <v>3528000000</v>
      </c>
      <c r="Z116" s="196">
        <v>0</v>
      </c>
      <c r="AA116" s="198">
        <v>0</v>
      </c>
      <c r="AB116" s="198">
        <v>0</v>
      </c>
      <c r="AC116" s="213">
        <f t="shared" si="18"/>
        <v>945</v>
      </c>
      <c r="AD116" s="213">
        <f t="shared" si="19"/>
        <v>911</v>
      </c>
      <c r="AE116" s="213">
        <v>0.84</v>
      </c>
      <c r="AF116" s="196">
        <v>41000000</v>
      </c>
      <c r="AG116" s="104">
        <f t="shared" si="20"/>
        <v>0.17998244073748904</v>
      </c>
      <c r="AH116" s="104">
        <f t="shared" si="21"/>
        <v>5.125</v>
      </c>
      <c r="AI116" s="195">
        <v>1.52</v>
      </c>
      <c r="AO116" s="213"/>
      <c r="AP116" s="213"/>
      <c r="AQ116" s="213"/>
      <c r="AR116" s="213"/>
      <c r="AS116" s="213"/>
      <c r="AT116" s="213"/>
      <c r="AU116" s="213"/>
      <c r="AV116" s="213"/>
    </row>
    <row r="117" spans="1:48">
      <c r="A117">
        <v>1519</v>
      </c>
      <c r="C117" s="107">
        <f>VLOOKUP(1519,收盤價!$A:$C,3,0)</f>
        <v>18.05</v>
      </c>
      <c r="D117" s="107">
        <f t="shared" si="11"/>
        <v>6.8360366434010151</v>
      </c>
      <c r="E117" s="167">
        <f t="shared" si="12"/>
        <v>5</v>
      </c>
      <c r="F117" s="104">
        <f t="shared" si="13"/>
        <v>0.73994318292435546</v>
      </c>
      <c r="G117" s="167">
        <f>RANK(5.79,AE:AE,0)</f>
        <v>129</v>
      </c>
      <c r="H117" s="365">
        <f t="shared" si="14"/>
        <v>0.42867231506478221</v>
      </c>
      <c r="I117" s="213">
        <f t="shared" si="15"/>
        <v>326</v>
      </c>
      <c r="J117" s="213">
        <f t="shared" si="16"/>
        <v>266</v>
      </c>
      <c r="K117">
        <f>RANK(2.63,AI:AI,0)</f>
        <v>209</v>
      </c>
      <c r="L117" s="357">
        <v>1</v>
      </c>
      <c r="M117" s="357">
        <v>1</v>
      </c>
      <c r="N117" s="357">
        <v>2</v>
      </c>
      <c r="O117" s="357">
        <v>1</v>
      </c>
      <c r="P117" s="357">
        <v>0</v>
      </c>
      <c r="Q117" s="358">
        <v>0.18711340206185567</v>
      </c>
      <c r="R117" s="359">
        <v>0.66010471204188481</v>
      </c>
      <c r="S117" s="196">
        <v>6369212000</v>
      </c>
      <c r="T117" s="196">
        <v>261100000</v>
      </c>
      <c r="U117" s="200">
        <f t="shared" si="17"/>
        <v>4712855000</v>
      </c>
      <c r="V117" s="196">
        <v>205000000</v>
      </c>
      <c r="W117" s="196">
        <v>2012000000</v>
      </c>
      <c r="X117" s="196">
        <v>1442000000</v>
      </c>
      <c r="Y117" s="196">
        <v>3141000000</v>
      </c>
      <c r="Z117" s="196">
        <v>561000000</v>
      </c>
      <c r="AA117" s="198">
        <v>0.06</v>
      </c>
      <c r="AB117" s="198">
        <v>0.06</v>
      </c>
      <c r="AC117" s="213">
        <f t="shared" si="18"/>
        <v>174</v>
      </c>
      <c r="AD117" s="213">
        <f t="shared" si="19"/>
        <v>95</v>
      </c>
      <c r="AE117" s="213">
        <v>5.79</v>
      </c>
      <c r="AF117" s="196">
        <v>409000000</v>
      </c>
      <c r="AG117" s="104">
        <f t="shared" si="20"/>
        <v>1.56644963615473</v>
      </c>
      <c r="AH117" s="104">
        <f t="shared" si="21"/>
        <v>1.9951219512195122</v>
      </c>
      <c r="AI117" s="195">
        <v>2.63</v>
      </c>
    </row>
    <row r="118" spans="1:48">
      <c r="A118">
        <v>1521</v>
      </c>
      <c r="C118" s="107">
        <f>VLOOKUP(1521,收盤價!$A:$C,3,0)</f>
        <v>79.2</v>
      </c>
      <c r="D118" s="107">
        <f t="shared" si="11"/>
        <v>16.590825688073394</v>
      </c>
      <c r="E118" s="167">
        <f t="shared" si="12"/>
        <v>3</v>
      </c>
      <c r="F118" s="104">
        <f t="shared" si="13"/>
        <v>1.0939557667763395</v>
      </c>
      <c r="G118" s="167">
        <f>RANK(11.71,AE:AE,0)</f>
        <v>60</v>
      </c>
      <c r="H118" s="365">
        <f t="shared" si="14"/>
        <v>-0.35936333646367602</v>
      </c>
      <c r="I118" s="213">
        <f t="shared" si="15"/>
        <v>435</v>
      </c>
      <c r="J118" s="213">
        <f t="shared" si="16"/>
        <v>582</v>
      </c>
      <c r="K118">
        <f>RANK(1.53,AI:AI,0)</f>
        <v>541</v>
      </c>
      <c r="L118" s="357">
        <v>0</v>
      </c>
      <c r="M118" s="357">
        <v>1</v>
      </c>
      <c r="N118" s="357">
        <v>1</v>
      </c>
      <c r="O118" s="357">
        <v>1</v>
      </c>
      <c r="P118" s="357">
        <v>0</v>
      </c>
      <c r="Q118" s="358">
        <v>0.17709118311981914</v>
      </c>
      <c r="R118" s="359">
        <v>1.1934306569343067</v>
      </c>
      <c r="S118" s="196">
        <v>5516713000</v>
      </c>
      <c r="T118" s="196">
        <v>76200000</v>
      </c>
      <c r="U118" s="200">
        <f t="shared" si="17"/>
        <v>6035040000</v>
      </c>
      <c r="V118" s="196">
        <v>109000000</v>
      </c>
      <c r="W118" s="196">
        <v>230000000</v>
      </c>
      <c r="X118" s="196">
        <v>1002000000</v>
      </c>
      <c r="Y118" s="196">
        <v>1664000000</v>
      </c>
      <c r="Z118" s="196">
        <v>0</v>
      </c>
      <c r="AA118" s="198">
        <v>0.09</v>
      </c>
      <c r="AB118" s="198">
        <v>7.0000000000000007E-2</v>
      </c>
      <c r="AC118" s="213">
        <f t="shared" si="18"/>
        <v>69</v>
      </c>
      <c r="AD118" s="213">
        <f t="shared" si="19"/>
        <v>64</v>
      </c>
      <c r="AE118" s="213">
        <v>11.71</v>
      </c>
      <c r="AF118" s="196">
        <v>91000000</v>
      </c>
      <c r="AG118" s="104">
        <f t="shared" si="20"/>
        <v>1.1942257217847769</v>
      </c>
      <c r="AH118" s="104">
        <f t="shared" si="21"/>
        <v>0.83486238532110091</v>
      </c>
      <c r="AI118" s="195">
        <v>1.53</v>
      </c>
    </row>
    <row r="119" spans="1:48">
      <c r="A119">
        <v>1522</v>
      </c>
      <c r="C119" s="107">
        <f>VLOOKUP(1522,收盤價!$A:$C,3,0)</f>
        <v>33.25</v>
      </c>
      <c r="D119" s="107">
        <f t="shared" si="11"/>
        <v>12.60676085568327</v>
      </c>
      <c r="E119" s="167">
        <f t="shared" si="12"/>
        <v>4</v>
      </c>
      <c r="F119" s="104">
        <f t="shared" si="13"/>
        <v>0.66903985465190863</v>
      </c>
      <c r="G119" s="167">
        <f>RANK(2.32,AE:AE,0)</f>
        <v>360</v>
      </c>
      <c r="H119" s="365">
        <f t="shared" si="14"/>
        <v>-8.4798125066583019E-3</v>
      </c>
      <c r="I119" s="213">
        <f t="shared" si="15"/>
        <v>411</v>
      </c>
      <c r="J119" s="213">
        <f t="shared" si="16"/>
        <v>437</v>
      </c>
      <c r="K119">
        <f>RANK(1.84,AI:AI,0)</f>
        <v>398</v>
      </c>
      <c r="L119" s="357">
        <v>0</v>
      </c>
      <c r="M119" s="357">
        <v>1</v>
      </c>
      <c r="N119" s="357">
        <v>1</v>
      </c>
      <c r="O119" s="357">
        <v>1</v>
      </c>
      <c r="P119" s="357">
        <v>1</v>
      </c>
      <c r="Q119" s="358">
        <v>0.22706538266599088</v>
      </c>
      <c r="R119" s="359">
        <v>0.6593684210526316</v>
      </c>
      <c r="S119" s="196">
        <v>15550531000</v>
      </c>
      <c r="T119" s="196">
        <v>312900000</v>
      </c>
      <c r="U119" s="200">
        <f t="shared" si="17"/>
        <v>10403925000</v>
      </c>
      <c r="V119" s="196">
        <v>315000000</v>
      </c>
      <c r="W119" s="196">
        <v>643000000</v>
      </c>
      <c r="X119" s="196">
        <v>7312000000</v>
      </c>
      <c r="Y119" s="196">
        <v>6351000000</v>
      </c>
      <c r="Z119" s="196">
        <v>2658000000</v>
      </c>
      <c r="AA119" s="198">
        <v>0.04</v>
      </c>
      <c r="AB119" s="198">
        <v>0.03</v>
      </c>
      <c r="AC119" s="213">
        <f t="shared" si="18"/>
        <v>337</v>
      </c>
      <c r="AD119" s="213">
        <f t="shared" si="19"/>
        <v>334</v>
      </c>
      <c r="AE119" s="213">
        <v>2.3199999999999998</v>
      </c>
      <c r="AF119" s="196">
        <v>398000000</v>
      </c>
      <c r="AG119" s="104">
        <f t="shared" si="20"/>
        <v>1.2719718759987217</v>
      </c>
      <c r="AH119" s="104">
        <f t="shared" si="21"/>
        <v>1.2634920634920634</v>
      </c>
      <c r="AI119" s="195">
        <v>1.84</v>
      </c>
    </row>
    <row r="120" spans="1:48">
      <c r="A120">
        <v>1524</v>
      </c>
      <c r="C120" s="107">
        <f>VLOOKUP(1524,收盤價!$A:$C,3,0)</f>
        <v>11.45</v>
      </c>
      <c r="D120" s="107">
        <f t="shared" si="11"/>
        <v>7.3479352678571415</v>
      </c>
      <c r="E120" s="167">
        <f t="shared" si="12"/>
        <v>3</v>
      </c>
      <c r="F120" s="104">
        <f t="shared" si="13"/>
        <v>0.80424212102142356</v>
      </c>
      <c r="G120" s="167">
        <f>RANK(1.94,AE:AE,0)</f>
        <v>435</v>
      </c>
      <c r="H120" s="365">
        <f t="shared" si="14"/>
        <v>0.69743386744230074</v>
      </c>
      <c r="I120" s="213">
        <f t="shared" si="15"/>
        <v>599</v>
      </c>
      <c r="J120" s="213">
        <f t="shared" si="16"/>
        <v>372</v>
      </c>
      <c r="K120">
        <f>RANK(1.6,AI:AI,0)</f>
        <v>503</v>
      </c>
      <c r="L120" s="357">
        <v>0</v>
      </c>
      <c r="M120" s="357">
        <v>1</v>
      </c>
      <c r="N120" s="357">
        <v>1</v>
      </c>
      <c r="O120" s="357">
        <v>1</v>
      </c>
      <c r="P120" s="357">
        <v>0</v>
      </c>
      <c r="Q120" s="358">
        <v>0.23824451410658307</v>
      </c>
      <c r="R120" s="359">
        <v>0.3895652173913044</v>
      </c>
      <c r="S120" s="196">
        <v>2558390000</v>
      </c>
      <c r="T120" s="196">
        <v>179700000</v>
      </c>
      <c r="U120" s="200">
        <f t="shared" si="17"/>
        <v>2057564999.9999998</v>
      </c>
      <c r="V120" s="196">
        <v>97000000</v>
      </c>
      <c r="W120" s="196">
        <v>0</v>
      </c>
      <c r="X120" s="196">
        <v>2968000000</v>
      </c>
      <c r="Y120" s="196">
        <v>1985000000</v>
      </c>
      <c r="Z120" s="196">
        <v>861000000</v>
      </c>
      <c r="AA120" s="198">
        <v>0.03</v>
      </c>
      <c r="AB120" s="198">
        <v>0.03</v>
      </c>
      <c r="AC120" s="213">
        <f t="shared" si="18"/>
        <v>469</v>
      </c>
      <c r="AD120" s="213">
        <f t="shared" si="19"/>
        <v>334</v>
      </c>
      <c r="AE120" s="213">
        <v>1.94</v>
      </c>
      <c r="AF120" s="196">
        <v>147000000</v>
      </c>
      <c r="AG120" s="104">
        <f t="shared" si="20"/>
        <v>0.8180300500834724</v>
      </c>
      <c r="AH120" s="104">
        <f t="shared" si="21"/>
        <v>1.5154639175257731</v>
      </c>
      <c r="AI120" s="195">
        <v>1.6</v>
      </c>
    </row>
    <row r="121" spans="1:48">
      <c r="A121">
        <v>1525</v>
      </c>
      <c r="C121" s="107">
        <f>VLOOKUP(1525,收盤價!$A:$C,3,0)</f>
        <v>120.5</v>
      </c>
      <c r="D121" s="107">
        <f t="shared" si="11"/>
        <v>0</v>
      </c>
      <c r="E121" s="167">
        <f t="shared" si="12"/>
        <v>4</v>
      </c>
      <c r="F121" s="104">
        <f t="shared" si="13"/>
        <v>7.068928538427433</v>
      </c>
      <c r="G121" s="167">
        <f>RANK(1.02,AE:AE,0)</f>
        <v>912</v>
      </c>
      <c r="H121" s="365">
        <f t="shared" si="14"/>
        <v>1.2494441974210762</v>
      </c>
      <c r="I121" s="213">
        <f t="shared" si="15"/>
        <v>868</v>
      </c>
      <c r="J121" s="213">
        <f t="shared" si="16"/>
        <v>364</v>
      </c>
      <c r="K121">
        <f>RANK(1.26,AI:AI,0)</f>
        <v>696</v>
      </c>
      <c r="L121" s="357">
        <v>0</v>
      </c>
      <c r="M121" s="357">
        <v>1</v>
      </c>
      <c r="N121" s="357">
        <v>2</v>
      </c>
      <c r="O121" s="357">
        <v>1</v>
      </c>
      <c r="P121" s="357">
        <v>0</v>
      </c>
      <c r="Q121" s="358">
        <v>0.11246200607902736</v>
      </c>
      <c r="R121" s="359">
        <v>0</v>
      </c>
      <c r="S121" s="196">
        <v>1179613000</v>
      </c>
      <c r="T121" s="196">
        <v>69200000</v>
      </c>
      <c r="U121" s="200">
        <f t="shared" si="17"/>
        <v>8338600000</v>
      </c>
      <c r="V121" s="196">
        <v>13000000</v>
      </c>
      <c r="W121" s="196">
        <v>144000000</v>
      </c>
      <c r="X121" s="196">
        <v>473000000</v>
      </c>
      <c r="Y121" s="196">
        <v>3445000000</v>
      </c>
      <c r="Z121" s="196">
        <v>144000000</v>
      </c>
      <c r="AA121" s="198">
        <v>0.02</v>
      </c>
      <c r="AB121" s="198">
        <v>0</v>
      </c>
      <c r="AC121" s="213">
        <f t="shared" si="18"/>
        <v>616</v>
      </c>
      <c r="AD121" s="213">
        <f t="shared" si="19"/>
        <v>911</v>
      </c>
      <c r="AE121" s="213">
        <v>1.02</v>
      </c>
      <c r="AF121" s="196">
        <v>20000000</v>
      </c>
      <c r="AG121" s="104">
        <f t="shared" si="20"/>
        <v>0.28901734104046245</v>
      </c>
      <c r="AH121" s="104">
        <f t="shared" si="21"/>
        <v>1.5384615384615385</v>
      </c>
      <c r="AI121" s="195">
        <v>1.26</v>
      </c>
    </row>
    <row r="122" spans="1:48">
      <c r="A122">
        <v>1526</v>
      </c>
      <c r="C122" s="107">
        <f>VLOOKUP(1526,收盤價!$A:$C,3,0)</f>
        <v>14.25</v>
      </c>
      <c r="D122" s="107">
        <f t="shared" si="11"/>
        <v>4.6266233766233764</v>
      </c>
      <c r="E122" s="167">
        <f t="shared" si="12"/>
        <v>3</v>
      </c>
      <c r="F122" s="104">
        <f t="shared" si="13"/>
        <v>0.79214107115261256</v>
      </c>
      <c r="G122" s="167">
        <f>RANK(5.79,AE:AE,0)</f>
        <v>129</v>
      </c>
      <c r="H122" s="365">
        <f t="shared" si="14"/>
        <v>4.6938775510204422E-2</v>
      </c>
      <c r="I122" s="213">
        <f t="shared" si="15"/>
        <v>186</v>
      </c>
      <c r="J122" s="213">
        <f t="shared" si="16"/>
        <v>205</v>
      </c>
      <c r="K122">
        <f>RANK(3.98,AI:AI,0)</f>
        <v>101</v>
      </c>
      <c r="L122" s="357">
        <v>0</v>
      </c>
      <c r="M122" s="357">
        <v>1</v>
      </c>
      <c r="N122" s="357">
        <v>1</v>
      </c>
      <c r="O122" s="357">
        <v>1</v>
      </c>
      <c r="P122" s="357">
        <v>0</v>
      </c>
      <c r="Q122" s="358">
        <v>0.29166666666666669</v>
      </c>
      <c r="R122" s="359">
        <v>0.77</v>
      </c>
      <c r="S122" s="196">
        <v>899461000</v>
      </c>
      <c r="T122" s="196">
        <v>50000000</v>
      </c>
      <c r="U122" s="200">
        <f t="shared" si="17"/>
        <v>712500000</v>
      </c>
      <c r="V122" s="196">
        <v>49000000</v>
      </c>
      <c r="W122" s="196">
        <v>386000000</v>
      </c>
      <c r="X122" s="196">
        <v>435000000</v>
      </c>
      <c r="Y122" s="196">
        <v>630000000</v>
      </c>
      <c r="Z122" s="196">
        <v>166000000</v>
      </c>
      <c r="AA122" s="198">
        <v>0.06</v>
      </c>
      <c r="AB122" s="198">
        <v>0.06</v>
      </c>
      <c r="AC122" s="213">
        <f t="shared" si="18"/>
        <v>174</v>
      </c>
      <c r="AD122" s="213">
        <f t="shared" si="19"/>
        <v>95</v>
      </c>
      <c r="AE122" s="213">
        <v>5.79</v>
      </c>
      <c r="AF122" s="196">
        <v>115000000</v>
      </c>
      <c r="AG122" s="104">
        <f t="shared" si="20"/>
        <v>2.2999999999999998</v>
      </c>
      <c r="AH122" s="104">
        <f t="shared" si="21"/>
        <v>2.3469387755102042</v>
      </c>
      <c r="AI122" s="195">
        <v>3.98</v>
      </c>
      <c r="AO122" s="213"/>
      <c r="AP122" s="213"/>
      <c r="AQ122" s="213"/>
      <c r="AR122" s="213"/>
      <c r="AS122" s="213"/>
      <c r="AT122" s="213"/>
      <c r="AU122" s="213"/>
      <c r="AV122" s="213"/>
    </row>
    <row r="123" spans="1:48">
      <c r="A123">
        <v>1527</v>
      </c>
      <c r="C123" s="107">
        <f>VLOOKUP(1527,收盤價!$A:$C,3,0)</f>
        <v>84</v>
      </c>
      <c r="D123" s="107">
        <f t="shared" si="11"/>
        <v>11.134826030927835</v>
      </c>
      <c r="E123" s="167">
        <f t="shared" si="12"/>
        <v>3</v>
      </c>
      <c r="F123" s="104">
        <f t="shared" si="13"/>
        <v>2.9395751461862996</v>
      </c>
      <c r="G123" s="167">
        <f>RANK(2.8,AE:AE,0)</f>
        <v>303</v>
      </c>
      <c r="H123" s="365">
        <f t="shared" si="14"/>
        <v>0.15217391304347827</v>
      </c>
      <c r="I123" s="213">
        <f t="shared" si="15"/>
        <v>1179</v>
      </c>
      <c r="J123" s="213">
        <f t="shared" si="16"/>
        <v>768</v>
      </c>
      <c r="K123">
        <f>RANK(0.8,AI:AI,0)</f>
        <v>1168</v>
      </c>
      <c r="L123" s="357">
        <v>0</v>
      </c>
      <c r="M123" s="357">
        <v>1</v>
      </c>
      <c r="N123" s="357">
        <v>2</v>
      </c>
      <c r="O123" s="357">
        <v>0</v>
      </c>
      <c r="P123" s="357">
        <v>0</v>
      </c>
      <c r="Q123" s="358">
        <v>0.33653007846556232</v>
      </c>
      <c r="R123" s="359">
        <v>1.8859746835443039</v>
      </c>
      <c r="S123" s="196">
        <v>3943427000</v>
      </c>
      <c r="T123" s="196">
        <v>138000000</v>
      </c>
      <c r="U123" s="200">
        <f t="shared" si="17"/>
        <v>11592000000</v>
      </c>
      <c r="V123" s="196">
        <v>318000000</v>
      </c>
      <c r="W123" s="196">
        <v>2608000000</v>
      </c>
      <c r="X123" s="196">
        <v>904000000</v>
      </c>
      <c r="Y123" s="196">
        <v>3511000000</v>
      </c>
      <c r="Z123" s="196">
        <v>9601000000</v>
      </c>
      <c r="AA123" s="198">
        <v>0.09</v>
      </c>
      <c r="AB123" s="198">
        <v>0.02</v>
      </c>
      <c r="AC123" s="213">
        <f t="shared" si="18"/>
        <v>69</v>
      </c>
      <c r="AD123" s="213">
        <f t="shared" si="19"/>
        <v>487</v>
      </c>
      <c r="AE123" s="213">
        <v>2.8</v>
      </c>
      <c r="AF123" s="196">
        <v>-21000000</v>
      </c>
      <c r="AG123" s="104">
        <f t="shared" si="20"/>
        <v>-0.15217391304347827</v>
      </c>
      <c r="AH123" s="104">
        <f t="shared" si="21"/>
        <v>0</v>
      </c>
      <c r="AI123" s="195">
        <v>0.8</v>
      </c>
      <c r="AO123" s="213"/>
      <c r="AP123" s="213"/>
      <c r="AQ123" s="213"/>
      <c r="AR123" s="213"/>
      <c r="AS123" s="213"/>
      <c r="AT123" s="213"/>
      <c r="AU123" s="213"/>
      <c r="AV123" s="213"/>
    </row>
    <row r="124" spans="1:48">
      <c r="A124">
        <v>1528</v>
      </c>
      <c r="C124" s="107">
        <f>VLOOKUP(1528,收盤價!$A:$C,3,0)</f>
        <v>11.1</v>
      </c>
      <c r="D124" s="107">
        <f t="shared" si="11"/>
        <v>21.803571428571431</v>
      </c>
      <c r="E124" s="167">
        <f t="shared" si="12"/>
        <v>4</v>
      </c>
      <c r="F124" s="104">
        <f t="shared" si="13"/>
        <v>0.60498155987137325</v>
      </c>
      <c r="G124" s="167">
        <f>RANK(1.08,AE:AE,0)</f>
        <v>769</v>
      </c>
      <c r="H124" s="365">
        <f t="shared" si="14"/>
        <v>0.41111111111111109</v>
      </c>
      <c r="I124" s="213">
        <f t="shared" si="15"/>
        <v>1320</v>
      </c>
      <c r="J124" s="213">
        <f t="shared" si="16"/>
        <v>768</v>
      </c>
      <c r="K124">
        <f>RANK(0.75,AI:AI,0)</f>
        <v>1296</v>
      </c>
      <c r="L124" s="357">
        <v>1</v>
      </c>
      <c r="M124" s="357">
        <v>1</v>
      </c>
      <c r="N124" s="357">
        <v>2</v>
      </c>
      <c r="O124" s="357">
        <v>0</v>
      </c>
      <c r="P124" s="357">
        <v>0</v>
      </c>
      <c r="Q124" s="358">
        <v>0.30691056910569103</v>
      </c>
      <c r="R124" s="359">
        <v>0.12727272727272726</v>
      </c>
      <c r="S124" s="196">
        <v>3302580000</v>
      </c>
      <c r="T124" s="196">
        <v>180000000</v>
      </c>
      <c r="U124" s="200">
        <f t="shared" si="17"/>
        <v>1998000000</v>
      </c>
      <c r="V124" s="196">
        <v>35000000</v>
      </c>
      <c r="W124" s="196">
        <v>1541000000</v>
      </c>
      <c r="X124" s="196">
        <v>948000000</v>
      </c>
      <c r="Y124" s="196">
        <v>2310000000</v>
      </c>
      <c r="Z124" s="196">
        <v>1255000000</v>
      </c>
      <c r="AA124" s="198">
        <v>0.01</v>
      </c>
      <c r="AB124" s="198">
        <v>0.01</v>
      </c>
      <c r="AC124" s="213">
        <f t="shared" si="18"/>
        <v>769</v>
      </c>
      <c r="AD124" s="213">
        <f t="shared" si="19"/>
        <v>680</v>
      </c>
      <c r="AE124" s="213">
        <v>1.08</v>
      </c>
      <c r="AF124" s="196">
        <v>-74000000</v>
      </c>
      <c r="AG124" s="104">
        <f t="shared" si="20"/>
        <v>-0.41111111111111109</v>
      </c>
      <c r="AH124" s="104">
        <f t="shared" si="21"/>
        <v>0</v>
      </c>
      <c r="AI124" s="195">
        <v>0.75</v>
      </c>
      <c r="AO124" s="213"/>
      <c r="AP124" s="213"/>
      <c r="AQ124" s="213"/>
      <c r="AR124" s="213"/>
      <c r="AS124" s="213"/>
      <c r="AT124" s="213"/>
      <c r="AU124" s="213"/>
      <c r="AV124" s="213"/>
    </row>
    <row r="125" spans="1:48">
      <c r="A125">
        <v>1529</v>
      </c>
      <c r="C125" s="107">
        <f>VLOOKUP(1529,收盤價!$A:$C,3,0)</f>
        <v>3.54</v>
      </c>
      <c r="D125" s="107">
        <f t="shared" si="11"/>
        <v>0</v>
      </c>
      <c r="E125" s="167">
        <f t="shared" si="12"/>
        <v>1</v>
      </c>
      <c r="F125" s="104">
        <f t="shared" si="13"/>
        <v>6.3636298202364454</v>
      </c>
      <c r="G125" s="167">
        <f>RANK(0.52,AE:AE,0)</f>
        <v>1493</v>
      </c>
      <c r="H125" s="365">
        <f t="shared" si="14"/>
        <v>3.3366700033366698E-3</v>
      </c>
      <c r="I125" s="213">
        <f t="shared" si="15"/>
        <v>1073</v>
      </c>
      <c r="J125" s="213">
        <f t="shared" si="16"/>
        <v>768</v>
      </c>
      <c r="K125">
        <f>RANK(0.85,AI:AI,0)</f>
        <v>1059</v>
      </c>
      <c r="L125" s="357">
        <v>0</v>
      </c>
      <c r="M125" s="357">
        <v>1</v>
      </c>
      <c r="N125" s="357">
        <v>0</v>
      </c>
      <c r="O125" s="357">
        <v>0</v>
      </c>
      <c r="P125" s="357">
        <v>0</v>
      </c>
      <c r="Q125" s="358">
        <v>-0.15384615384615385</v>
      </c>
      <c r="R125" s="359">
        <v>0</v>
      </c>
      <c r="S125" s="196">
        <v>166719000</v>
      </c>
      <c r="T125" s="196">
        <v>299700000</v>
      </c>
      <c r="U125" s="200">
        <f t="shared" si="17"/>
        <v>1060938000</v>
      </c>
      <c r="V125" s="196">
        <v>-11000000</v>
      </c>
      <c r="W125" s="196">
        <v>0</v>
      </c>
      <c r="X125" s="196">
        <v>77000000</v>
      </c>
      <c r="Y125" s="196">
        <v>294000000</v>
      </c>
      <c r="Z125" s="196">
        <v>101000000</v>
      </c>
      <c r="AA125" s="198">
        <v>-0.14000000000000001</v>
      </c>
      <c r="AB125" s="198">
        <v>-0.03</v>
      </c>
      <c r="AC125" s="213">
        <f t="shared" si="18"/>
        <v>1531</v>
      </c>
      <c r="AD125" s="213">
        <f t="shared" si="19"/>
        <v>1444</v>
      </c>
      <c r="AE125" s="213">
        <v>0.52</v>
      </c>
      <c r="AF125" s="196">
        <v>-1000000</v>
      </c>
      <c r="AG125" s="104">
        <f t="shared" si="20"/>
        <v>-3.3366700033366698E-3</v>
      </c>
      <c r="AH125" s="104">
        <f t="shared" si="21"/>
        <v>0</v>
      </c>
      <c r="AI125" s="195">
        <v>0.85</v>
      </c>
      <c r="AO125" s="213"/>
      <c r="AP125" s="213"/>
      <c r="AQ125" s="213"/>
      <c r="AR125" s="213"/>
      <c r="AS125" s="213"/>
      <c r="AT125" s="213"/>
      <c r="AU125" s="213"/>
      <c r="AV125" s="213"/>
    </row>
    <row r="126" spans="1:48">
      <c r="A126">
        <v>1530</v>
      </c>
      <c r="C126" s="107">
        <f>VLOOKUP(1530,收盤價!$A:$C,3,0)</f>
        <v>28.5</v>
      </c>
      <c r="D126" s="107">
        <f t="shared" si="11"/>
        <v>13.738364361702128</v>
      </c>
      <c r="E126" s="167">
        <f t="shared" si="12"/>
        <v>4</v>
      </c>
      <c r="F126" s="104">
        <f t="shared" si="13"/>
        <v>0.7366747423675355</v>
      </c>
      <c r="G126" s="167">
        <f>RANK(1.63,AE:AE,0)</f>
        <v>551</v>
      </c>
      <c r="H126" s="365">
        <f t="shared" si="14"/>
        <v>-0.57598343685300257</v>
      </c>
      <c r="I126" s="213">
        <f t="shared" si="15"/>
        <v>48</v>
      </c>
      <c r="J126" s="213">
        <f t="shared" si="16"/>
        <v>108</v>
      </c>
      <c r="K126">
        <f>RANK(9.99,AI:AI,0)</f>
        <v>15</v>
      </c>
      <c r="L126" s="357">
        <v>0</v>
      </c>
      <c r="M126" s="357">
        <v>1</v>
      </c>
      <c r="N126" s="357">
        <v>2</v>
      </c>
      <c r="O126" s="357">
        <v>1</v>
      </c>
      <c r="P126" s="357">
        <v>0</v>
      </c>
      <c r="Q126" s="358">
        <v>0.22130299896587383</v>
      </c>
      <c r="R126" s="359">
        <v>0.51862068965517238</v>
      </c>
      <c r="S126" s="196">
        <v>3559237000</v>
      </c>
      <c r="T126" s="196">
        <v>92000000</v>
      </c>
      <c r="U126" s="200">
        <f t="shared" si="17"/>
        <v>2622000000</v>
      </c>
      <c r="V126" s="196">
        <v>105000000</v>
      </c>
      <c r="W126" s="196">
        <v>1127000000</v>
      </c>
      <c r="X126" s="196">
        <v>1903000000</v>
      </c>
      <c r="Y126" s="196">
        <v>2799000000</v>
      </c>
      <c r="Z126" s="196">
        <v>1798000000</v>
      </c>
      <c r="AA126" s="198">
        <v>0.03</v>
      </c>
      <c r="AB126" s="198">
        <v>0.02</v>
      </c>
      <c r="AC126" s="213">
        <f t="shared" si="18"/>
        <v>469</v>
      </c>
      <c r="AD126" s="213">
        <f t="shared" si="19"/>
        <v>487</v>
      </c>
      <c r="AE126" s="213">
        <v>1.63</v>
      </c>
      <c r="AF126" s="196">
        <v>428000000</v>
      </c>
      <c r="AG126" s="104">
        <f t="shared" si="20"/>
        <v>4.6521739130434785</v>
      </c>
      <c r="AH126" s="104">
        <f t="shared" si="21"/>
        <v>4.0761904761904759</v>
      </c>
      <c r="AI126" s="195">
        <v>9.99</v>
      </c>
    </row>
    <row r="127" spans="1:48">
      <c r="A127">
        <v>1531</v>
      </c>
      <c r="C127" s="107">
        <f>VLOOKUP(1531,收盤價!$A:$C,3,0)</f>
        <v>16.2</v>
      </c>
      <c r="D127" s="107">
        <f t="shared" si="11"/>
        <v>0</v>
      </c>
      <c r="E127" s="167">
        <f t="shared" si="12"/>
        <v>1</v>
      </c>
      <c r="F127" s="104">
        <f t="shared" si="13"/>
        <v>1.2579029886168027</v>
      </c>
      <c r="G127" s="167">
        <f>RANK(1.08,AE:AE,0)</f>
        <v>769</v>
      </c>
      <c r="H127" s="365">
        <f t="shared" si="14"/>
        <v>1.9886128364389233</v>
      </c>
      <c r="I127" s="213">
        <f t="shared" si="15"/>
        <v>780</v>
      </c>
      <c r="J127" s="213">
        <f t="shared" si="16"/>
        <v>197</v>
      </c>
      <c r="K127">
        <f>RANK(1.59,AI:AI,0)</f>
        <v>509</v>
      </c>
      <c r="L127" s="357">
        <v>0</v>
      </c>
      <c r="M127" s="357">
        <v>1</v>
      </c>
      <c r="N127" s="357">
        <v>0</v>
      </c>
      <c r="O127" s="357">
        <v>0</v>
      </c>
      <c r="P127" s="357">
        <v>0</v>
      </c>
      <c r="Q127" s="358">
        <v>0.21033210332103322</v>
      </c>
      <c r="R127" s="359">
        <v>0</v>
      </c>
      <c r="S127" s="196">
        <v>2488141000</v>
      </c>
      <c r="T127" s="196">
        <v>193200000</v>
      </c>
      <c r="U127" s="200">
        <f t="shared" si="17"/>
        <v>3129840000</v>
      </c>
      <c r="V127" s="196">
        <v>35000000</v>
      </c>
      <c r="W127" s="196">
        <v>2324000000</v>
      </c>
      <c r="X127" s="196">
        <v>1417000000</v>
      </c>
      <c r="Y127" s="196">
        <v>3961000000</v>
      </c>
      <c r="Z127" s="196">
        <v>423000000</v>
      </c>
      <c r="AA127" s="198">
        <v>0.01</v>
      </c>
      <c r="AB127" s="198">
        <v>0.01</v>
      </c>
      <c r="AC127" s="213">
        <f t="shared" si="18"/>
        <v>769</v>
      </c>
      <c r="AD127" s="213">
        <f t="shared" si="19"/>
        <v>680</v>
      </c>
      <c r="AE127" s="213">
        <v>1.08</v>
      </c>
      <c r="AF127" s="196">
        <v>85000000</v>
      </c>
      <c r="AG127" s="104">
        <f t="shared" si="20"/>
        <v>0.43995859213250516</v>
      </c>
      <c r="AH127" s="104">
        <f t="shared" si="21"/>
        <v>2.4285714285714284</v>
      </c>
      <c r="AI127" s="195">
        <v>1.59</v>
      </c>
    </row>
    <row r="128" spans="1:48">
      <c r="A128">
        <v>1532</v>
      </c>
      <c r="C128" s="107">
        <f>VLOOKUP(1532,收盤價!$A:$C,3,0)</f>
        <v>32.200000000000003</v>
      </c>
      <c r="D128" s="107">
        <f t="shared" si="11"/>
        <v>27.701257861635224</v>
      </c>
      <c r="E128" s="167">
        <f t="shared" si="12"/>
        <v>2</v>
      </c>
      <c r="F128" s="104">
        <f t="shared" si="13"/>
        <v>0.7795649484874223</v>
      </c>
      <c r="G128" s="167">
        <f>RANK(1.2,AE:AE,0)</f>
        <v>710</v>
      </c>
      <c r="H128" s="365">
        <f t="shared" si="14"/>
        <v>0.1838419473801749</v>
      </c>
      <c r="I128" s="213">
        <f t="shared" si="15"/>
        <v>337</v>
      </c>
      <c r="J128" s="213">
        <f t="shared" si="16"/>
        <v>321</v>
      </c>
      <c r="K128">
        <f>RANK(2.37,AI:AI,0)</f>
        <v>264</v>
      </c>
      <c r="L128" s="357">
        <v>0</v>
      </c>
      <c r="M128" s="357">
        <v>1</v>
      </c>
      <c r="N128" s="357">
        <v>0</v>
      </c>
      <c r="O128" s="357">
        <v>1</v>
      </c>
      <c r="P128" s="357">
        <v>0</v>
      </c>
      <c r="Q128" s="358">
        <v>0.23251696665683091</v>
      </c>
      <c r="R128" s="359">
        <v>0.29060052219321147</v>
      </c>
      <c r="S128" s="196">
        <v>15914851000</v>
      </c>
      <c r="T128" s="196">
        <v>385300000</v>
      </c>
      <c r="U128" s="200">
        <f t="shared" si="17"/>
        <v>12406660000.000002</v>
      </c>
      <c r="V128" s="196">
        <v>344000000</v>
      </c>
      <c r="W128" s="196">
        <v>9486000000</v>
      </c>
      <c r="X128" s="196">
        <v>10690000000</v>
      </c>
      <c r="Y128" s="196">
        <v>17916000000</v>
      </c>
      <c r="Z128" s="196">
        <v>5410000000</v>
      </c>
      <c r="AA128" s="198">
        <v>0.02</v>
      </c>
      <c r="AB128" s="198">
        <v>0.01</v>
      </c>
      <c r="AC128" s="213">
        <f t="shared" si="18"/>
        <v>616</v>
      </c>
      <c r="AD128" s="213">
        <f t="shared" si="19"/>
        <v>680</v>
      </c>
      <c r="AE128" s="213">
        <v>1.2</v>
      </c>
      <c r="AF128" s="196">
        <v>590000000</v>
      </c>
      <c r="AG128" s="104">
        <f t="shared" si="20"/>
        <v>1.5312743316895925</v>
      </c>
      <c r="AH128" s="104">
        <f t="shared" si="21"/>
        <v>1.7151162790697674</v>
      </c>
      <c r="AI128" s="195">
        <v>2.37</v>
      </c>
    </row>
    <row r="129" spans="1:48">
      <c r="A129">
        <v>1533</v>
      </c>
      <c r="C129" s="107">
        <f>VLOOKUP(1533,收盤價!$A:$C,3,0)</f>
        <v>39.4</v>
      </c>
      <c r="D129" s="107">
        <f t="shared" si="11"/>
        <v>46.265151515151508</v>
      </c>
      <c r="E129" s="167">
        <f t="shared" si="12"/>
        <v>0</v>
      </c>
      <c r="F129" s="104">
        <f t="shared" si="13"/>
        <v>1.5396817021613387</v>
      </c>
      <c r="G129" s="167">
        <f>RANK(1.63,AE:AE,0)</f>
        <v>551</v>
      </c>
      <c r="H129" s="365">
        <f t="shared" si="14"/>
        <v>0.41426927502876865</v>
      </c>
      <c r="I129" s="213">
        <f t="shared" si="15"/>
        <v>539</v>
      </c>
      <c r="J129" s="213">
        <f t="shared" si="16"/>
        <v>412</v>
      </c>
      <c r="K129">
        <f>RANK(1.64,AI:AI,0)</f>
        <v>484</v>
      </c>
      <c r="L129" s="357">
        <v>0</v>
      </c>
      <c r="M129" s="357">
        <v>0</v>
      </c>
      <c r="N129" s="357">
        <v>0</v>
      </c>
      <c r="O129" s="357">
        <v>0</v>
      </c>
      <c r="P129" s="357">
        <v>0</v>
      </c>
      <c r="Q129" s="358">
        <v>0.38435374149659862</v>
      </c>
      <c r="R129" s="359">
        <v>0.21290322580645163</v>
      </c>
      <c r="S129" s="196">
        <v>2425904000</v>
      </c>
      <c r="T129" s="196">
        <v>94800000</v>
      </c>
      <c r="U129" s="200">
        <f t="shared" si="17"/>
        <v>3735120000</v>
      </c>
      <c r="V129" s="196">
        <v>66000000</v>
      </c>
      <c r="W129" s="196">
        <v>1295000000</v>
      </c>
      <c r="X129" s="196">
        <v>955000000</v>
      </c>
      <c r="Y129" s="196">
        <v>2207000000</v>
      </c>
      <c r="Z129" s="196">
        <v>965000000</v>
      </c>
      <c r="AA129" s="198">
        <v>0.03</v>
      </c>
      <c r="AB129" s="198">
        <v>0.02</v>
      </c>
      <c r="AC129" s="213">
        <f t="shared" si="18"/>
        <v>469</v>
      </c>
      <c r="AD129" s="213">
        <f t="shared" si="19"/>
        <v>487</v>
      </c>
      <c r="AE129" s="213">
        <v>1.63</v>
      </c>
      <c r="AF129" s="196">
        <v>90000000</v>
      </c>
      <c r="AG129" s="104">
        <f t="shared" si="20"/>
        <v>0.94936708860759489</v>
      </c>
      <c r="AH129" s="104">
        <f t="shared" si="21"/>
        <v>1.3636363636363635</v>
      </c>
      <c r="AI129" s="195">
        <v>1.64</v>
      </c>
      <c r="AO129" s="213"/>
      <c r="AP129" s="213"/>
      <c r="AQ129" s="213"/>
      <c r="AR129" s="213"/>
      <c r="AS129" s="213"/>
      <c r="AT129" s="213"/>
      <c r="AU129" s="213"/>
      <c r="AV129" s="213"/>
    </row>
    <row r="130" spans="1:48">
      <c r="A130">
        <v>1535</v>
      </c>
      <c r="C130" s="107">
        <f>VLOOKUP(1535,收盤價!$A:$C,3,0)</f>
        <v>44.8</v>
      </c>
      <c r="D130" s="107">
        <f t="shared" ref="D130:D193" si="22">IF(AND(ISNUMBER(C130),R130&gt;0),C130/(R130*4),0)</f>
        <v>26.415094339622637</v>
      </c>
      <c r="E130" s="167">
        <f t="shared" ref="E130:E193" si="23">SUM(L130:P130)</f>
        <v>1</v>
      </c>
      <c r="F130" s="104">
        <f t="shared" ref="F130:F193" si="24">IF(AND(ISNUMBER(U130),ISNUMBER(S130)),U130/S130,0)</f>
        <v>0.62575816617591118</v>
      </c>
      <c r="G130" s="167">
        <f>RANK(1.36,AE:AE,0)</f>
        <v>694</v>
      </c>
      <c r="H130" s="365">
        <f t="shared" ref="H130:H193" si="25">AH130-AG130</f>
        <v>4.3896523848019404</v>
      </c>
      <c r="I130" s="213">
        <f t="shared" ref="I130:I193" si="26">RANK(AG130,AG:AG)</f>
        <v>1544</v>
      </c>
      <c r="J130" s="213">
        <f t="shared" ref="J130:J193" si="27">RANK(AH130,AH:AH)</f>
        <v>768</v>
      </c>
      <c r="K130">
        <f>RANK(0.67,AI:AI,0)</f>
        <v>1541</v>
      </c>
      <c r="L130" s="357">
        <v>0</v>
      </c>
      <c r="M130" s="357">
        <v>1</v>
      </c>
      <c r="N130" s="357">
        <v>0</v>
      </c>
      <c r="O130" s="357">
        <v>0</v>
      </c>
      <c r="P130" s="357">
        <v>0</v>
      </c>
      <c r="Q130" s="358">
        <v>9.2735703245749618E-2</v>
      </c>
      <c r="R130" s="359">
        <v>0.42400000000000004</v>
      </c>
      <c r="S130" s="196">
        <v>8856073000</v>
      </c>
      <c r="T130" s="196">
        <v>123700000</v>
      </c>
      <c r="U130" s="200">
        <f t="shared" ref="U130:U193" si="28">C130*T130</f>
        <v>5541760000</v>
      </c>
      <c r="V130" s="196">
        <v>70000000</v>
      </c>
      <c r="W130" s="196">
        <v>2063000000</v>
      </c>
      <c r="X130" s="196">
        <v>179000000</v>
      </c>
      <c r="Y130" s="196">
        <v>3202000000</v>
      </c>
      <c r="Z130" s="196">
        <v>1578000000</v>
      </c>
      <c r="AA130" s="198">
        <v>0.03</v>
      </c>
      <c r="AB130" s="198">
        <v>0.01</v>
      </c>
      <c r="AC130" s="213">
        <f t="shared" ref="AC130:AC193" si="29">RANK(AA130,AA:AA)</f>
        <v>469</v>
      </c>
      <c r="AD130" s="213">
        <f t="shared" ref="AD130:AD193" si="30">RANK(AB130,AB:AB)</f>
        <v>680</v>
      </c>
      <c r="AE130" s="213">
        <v>1.36</v>
      </c>
      <c r="AF130" s="196">
        <v>-543000000</v>
      </c>
      <c r="AG130" s="104">
        <f t="shared" ref="AG130:AG193" si="31">AF130/T130</f>
        <v>-4.3896523848019404</v>
      </c>
      <c r="AH130" s="104">
        <f t="shared" ref="AH130:AH193" si="32">IF(AND(AF130&gt;0,V130&gt;0),AF130/V130,0)</f>
        <v>0</v>
      </c>
      <c r="AI130" s="195">
        <v>0.67</v>
      </c>
      <c r="AO130" s="213"/>
      <c r="AP130" s="213"/>
      <c r="AQ130" s="213"/>
      <c r="AR130" s="213"/>
      <c r="AS130" s="213"/>
      <c r="AT130" s="213"/>
      <c r="AU130" s="213"/>
      <c r="AV130" s="213"/>
    </row>
    <row r="131" spans="1:48">
      <c r="A131">
        <v>1536</v>
      </c>
      <c r="C131" s="107">
        <f>VLOOKUP(1536,收盤價!$A:$C,3,0)</f>
        <v>131</v>
      </c>
      <c r="D131" s="107">
        <f t="shared" si="22"/>
        <v>25.257236320380652</v>
      </c>
      <c r="E131" s="167">
        <f t="shared" si="23"/>
        <v>4</v>
      </c>
      <c r="F131" s="104">
        <f t="shared" si="24"/>
        <v>5.4640007809518742</v>
      </c>
      <c r="G131" s="167">
        <f>RANK(9.39,AE:AE,0)</f>
        <v>88</v>
      </c>
      <c r="H131" s="365">
        <f t="shared" si="25"/>
        <v>-0.87218359558785097</v>
      </c>
      <c r="I131" s="213">
        <f t="shared" si="26"/>
        <v>217</v>
      </c>
      <c r="J131" s="213">
        <f t="shared" si="27"/>
        <v>464</v>
      </c>
      <c r="K131">
        <f>RANK(2.29,AI:AI,0)</f>
        <v>280</v>
      </c>
      <c r="L131" s="357">
        <v>0</v>
      </c>
      <c r="M131" s="357">
        <v>1</v>
      </c>
      <c r="N131" s="357">
        <v>2</v>
      </c>
      <c r="O131" s="357">
        <v>1</v>
      </c>
      <c r="P131" s="357">
        <v>0</v>
      </c>
      <c r="Q131" s="358">
        <v>0.39145416953824946</v>
      </c>
      <c r="R131" s="359">
        <v>1.2966580976863753</v>
      </c>
      <c r="S131" s="196">
        <v>5634150000</v>
      </c>
      <c r="T131" s="196">
        <v>235000000</v>
      </c>
      <c r="U131" s="200">
        <f t="shared" si="28"/>
        <v>30785000000</v>
      </c>
      <c r="V131" s="196">
        <v>407000000</v>
      </c>
      <c r="W131" s="196">
        <v>1103000000</v>
      </c>
      <c r="X131" s="196">
        <v>4876000000</v>
      </c>
      <c r="Y131" s="196">
        <v>3702000000</v>
      </c>
      <c r="Z131" s="196">
        <v>878000000</v>
      </c>
      <c r="AA131" s="198">
        <v>7.0000000000000007E-2</v>
      </c>
      <c r="AB131" s="198">
        <v>0.09</v>
      </c>
      <c r="AC131" s="213">
        <f t="shared" si="29"/>
        <v>134</v>
      </c>
      <c r="AD131" s="213">
        <f t="shared" si="30"/>
        <v>32</v>
      </c>
      <c r="AE131" s="213">
        <v>9.39</v>
      </c>
      <c r="AF131" s="196">
        <v>485000000</v>
      </c>
      <c r="AG131" s="104">
        <f t="shared" si="31"/>
        <v>2.0638297872340425</v>
      </c>
      <c r="AH131" s="104">
        <f t="shared" si="32"/>
        <v>1.1916461916461916</v>
      </c>
      <c r="AI131" s="195">
        <v>2.29</v>
      </c>
      <c r="AO131" s="213"/>
      <c r="AP131" s="213"/>
      <c r="AQ131" s="213"/>
      <c r="AR131" s="213"/>
      <c r="AS131" s="213"/>
      <c r="AT131" s="213"/>
      <c r="AU131" s="213"/>
      <c r="AV131" s="213"/>
    </row>
    <row r="132" spans="1:48">
      <c r="A132">
        <v>1537</v>
      </c>
      <c r="C132" s="107">
        <f>VLOOKUP(1537,收盤價!$A:$C,3,0)</f>
        <v>147.5</v>
      </c>
      <c r="D132" s="107">
        <f t="shared" si="22"/>
        <v>12.920597648732326</v>
      </c>
      <c r="E132" s="167">
        <f t="shared" si="23"/>
        <v>4</v>
      </c>
      <c r="F132" s="104">
        <f t="shared" si="24"/>
        <v>1.7587602748012823</v>
      </c>
      <c r="G132" s="167">
        <f>RANK(22.58,AE:AE,0)</f>
        <v>29</v>
      </c>
      <c r="H132" s="365">
        <f t="shared" si="25"/>
        <v>-0.42951039874430263</v>
      </c>
      <c r="I132" s="213">
        <f t="shared" si="26"/>
        <v>709</v>
      </c>
      <c r="J132" s="213">
        <f t="shared" si="27"/>
        <v>746</v>
      </c>
      <c r="K132">
        <f>RANK(1.07,AI:AI,0)</f>
        <v>826</v>
      </c>
      <c r="L132" s="357">
        <v>0</v>
      </c>
      <c r="M132" s="357">
        <v>1</v>
      </c>
      <c r="N132" s="357">
        <v>2</v>
      </c>
      <c r="O132" s="357">
        <v>1</v>
      </c>
      <c r="P132" s="357">
        <v>0</v>
      </c>
      <c r="Q132" s="358">
        <v>0.25257731958762886</v>
      </c>
      <c r="R132" s="359">
        <v>2.853970149253731</v>
      </c>
      <c r="S132" s="196">
        <v>6860230000</v>
      </c>
      <c r="T132" s="196">
        <v>81800000</v>
      </c>
      <c r="U132" s="200">
        <f t="shared" si="28"/>
        <v>12065500000</v>
      </c>
      <c r="V132" s="196">
        <v>324000000</v>
      </c>
      <c r="W132" s="196">
        <v>2027000000</v>
      </c>
      <c r="X132" s="196">
        <v>1182000000</v>
      </c>
      <c r="Y132" s="196">
        <v>3209000000</v>
      </c>
      <c r="Z132" s="196">
        <v>36000000</v>
      </c>
      <c r="AA132" s="198">
        <v>0.1</v>
      </c>
      <c r="AB132" s="198">
        <v>0.1</v>
      </c>
      <c r="AC132" s="213">
        <f t="shared" si="29"/>
        <v>52</v>
      </c>
      <c r="AD132" s="213">
        <f t="shared" si="30"/>
        <v>17</v>
      </c>
      <c r="AE132" s="213">
        <v>22.58</v>
      </c>
      <c r="AF132" s="196">
        <v>47000000</v>
      </c>
      <c r="AG132" s="104">
        <f t="shared" si="31"/>
        <v>0.57457212713936434</v>
      </c>
      <c r="AH132" s="104">
        <f t="shared" si="32"/>
        <v>0.14506172839506173</v>
      </c>
      <c r="AI132" s="195">
        <v>1.07</v>
      </c>
      <c r="AN132" t="s">
        <v>141</v>
      </c>
      <c r="AO132" s="33">
        <v>0</v>
      </c>
      <c r="AP132" s="33" t="s">
        <v>92</v>
      </c>
      <c r="AQ132" s="33" t="s">
        <v>92</v>
      </c>
      <c r="AR132" s="33" t="s">
        <v>92</v>
      </c>
      <c r="AS132" s="33" t="s">
        <v>92</v>
      </c>
      <c r="AT132" s="33" t="s">
        <v>92</v>
      </c>
      <c r="AU132" s="33" t="s">
        <v>92</v>
      </c>
      <c r="AV132" s="33" t="s">
        <v>92</v>
      </c>
    </row>
    <row r="133" spans="1:48">
      <c r="A133">
        <v>1538</v>
      </c>
      <c r="C133" s="107">
        <f>VLOOKUP(1538,收盤價!$A:$C,3,0)</f>
        <v>6.04</v>
      </c>
      <c r="D133" s="107">
        <f t="shared" si="22"/>
        <v>0</v>
      </c>
      <c r="E133" s="167">
        <f t="shared" si="23"/>
        <v>1</v>
      </c>
      <c r="F133" s="104">
        <f t="shared" si="24"/>
        <v>0.75540906628137983</v>
      </c>
      <c r="G133" s="167">
        <f>RANK(0.61,AE:AE,0)</f>
        <v>1295</v>
      </c>
      <c r="H133" s="365">
        <f t="shared" si="25"/>
        <v>0.19253910950661854</v>
      </c>
      <c r="I133" s="213">
        <f t="shared" si="26"/>
        <v>1203</v>
      </c>
      <c r="J133" s="213">
        <f t="shared" si="27"/>
        <v>768</v>
      </c>
      <c r="K133">
        <f>RANK(0.79,AI:AI,0)</f>
        <v>1192</v>
      </c>
      <c r="L133" s="357">
        <v>0</v>
      </c>
      <c r="M133" s="357">
        <v>1</v>
      </c>
      <c r="N133" s="357">
        <v>0</v>
      </c>
      <c r="O133" s="357">
        <v>0</v>
      </c>
      <c r="P133" s="357">
        <v>0</v>
      </c>
      <c r="Q133" s="358">
        <v>0.13450292397660818</v>
      </c>
      <c r="R133" s="359">
        <v>0</v>
      </c>
      <c r="S133" s="196">
        <v>664440000</v>
      </c>
      <c r="T133" s="196">
        <v>83100000</v>
      </c>
      <c r="U133" s="200">
        <f t="shared" si="28"/>
        <v>501924000</v>
      </c>
      <c r="V133" s="196">
        <v>-9000000</v>
      </c>
      <c r="W133" s="196">
        <v>0</v>
      </c>
      <c r="X133" s="196">
        <v>1254000000</v>
      </c>
      <c r="Y133" s="196">
        <v>722000000</v>
      </c>
      <c r="Z133" s="196">
        <v>237000000</v>
      </c>
      <c r="AA133" s="198">
        <v>-0.01</v>
      </c>
      <c r="AB133" s="198">
        <v>-0.01</v>
      </c>
      <c r="AC133" s="213">
        <f t="shared" si="29"/>
        <v>1277</v>
      </c>
      <c r="AD133" s="213">
        <f t="shared" si="30"/>
        <v>1294</v>
      </c>
      <c r="AE133" s="213">
        <v>0.61</v>
      </c>
      <c r="AF133" s="196">
        <v>-16000000</v>
      </c>
      <c r="AG133" s="104">
        <f t="shared" si="31"/>
        <v>-0.19253910950661854</v>
      </c>
      <c r="AH133" s="104">
        <f t="shared" si="32"/>
        <v>0</v>
      </c>
      <c r="AI133" s="195">
        <v>0.79</v>
      </c>
      <c r="AO133" s="213"/>
      <c r="AP133" s="213"/>
      <c r="AQ133" s="213"/>
      <c r="AR133" s="213"/>
      <c r="AS133" s="213"/>
      <c r="AT133" s="213"/>
      <c r="AU133" s="213"/>
      <c r="AV133" s="213"/>
    </row>
    <row r="134" spans="1:48">
      <c r="A134">
        <v>1539</v>
      </c>
      <c r="C134" s="107">
        <f>VLOOKUP(1539,收盤價!$A:$C,3,0)</f>
        <v>25.5</v>
      </c>
      <c r="D134" s="107">
        <f t="shared" si="22"/>
        <v>8.30078125</v>
      </c>
      <c r="E134" s="167">
        <f t="shared" si="23"/>
        <v>3</v>
      </c>
      <c r="F134" s="104">
        <f t="shared" si="24"/>
        <v>0.58903186430333387</v>
      </c>
      <c r="G134" s="167">
        <f>RANK(4.3,AE:AE,0)</f>
        <v>200</v>
      </c>
      <c r="H134" s="365">
        <f t="shared" si="25"/>
        <v>-0.22565209570066558</v>
      </c>
      <c r="I134" s="213">
        <f t="shared" si="26"/>
        <v>526</v>
      </c>
      <c r="J134" s="213">
        <f t="shared" si="27"/>
        <v>613</v>
      </c>
      <c r="K134">
        <f>RANK(1.37,AI:AI,0)</f>
        <v>643</v>
      </c>
      <c r="L134" s="357">
        <v>0</v>
      </c>
      <c r="M134" s="357">
        <v>1</v>
      </c>
      <c r="N134" s="357">
        <v>1</v>
      </c>
      <c r="O134" s="357">
        <v>1</v>
      </c>
      <c r="P134" s="357">
        <v>0</v>
      </c>
      <c r="Q134" s="358">
        <v>0.14634146341463414</v>
      </c>
      <c r="R134" s="359">
        <v>0.76800000000000002</v>
      </c>
      <c r="S134" s="196">
        <v>2831256000</v>
      </c>
      <c r="T134" s="196">
        <v>65400000</v>
      </c>
      <c r="U134" s="200">
        <f t="shared" si="28"/>
        <v>1667700000</v>
      </c>
      <c r="V134" s="196">
        <v>85000000</v>
      </c>
      <c r="W134" s="196">
        <v>497000000</v>
      </c>
      <c r="X134" s="196">
        <v>696000000</v>
      </c>
      <c r="Y134" s="196">
        <v>1013000000</v>
      </c>
      <c r="Z134" s="196">
        <v>962000000</v>
      </c>
      <c r="AA134" s="198">
        <v>7.0000000000000007E-2</v>
      </c>
      <c r="AB134" s="198">
        <v>0.04</v>
      </c>
      <c r="AC134" s="213">
        <f t="shared" si="29"/>
        <v>134</v>
      </c>
      <c r="AD134" s="213">
        <f t="shared" si="30"/>
        <v>228</v>
      </c>
      <c r="AE134" s="213">
        <v>4.3</v>
      </c>
      <c r="AF134" s="196">
        <v>64000000</v>
      </c>
      <c r="AG134" s="104">
        <f t="shared" si="31"/>
        <v>0.9785932721712538</v>
      </c>
      <c r="AH134" s="104">
        <f t="shared" si="32"/>
        <v>0.75294117647058822</v>
      </c>
      <c r="AI134" s="195">
        <v>1.37</v>
      </c>
      <c r="AO134" s="213"/>
      <c r="AP134" s="213"/>
      <c r="AQ134" s="213"/>
      <c r="AR134" s="213"/>
      <c r="AS134" s="213"/>
      <c r="AT134" s="213"/>
      <c r="AU134" s="213"/>
      <c r="AV134" s="213"/>
    </row>
    <row r="135" spans="1:48">
      <c r="A135">
        <v>1540</v>
      </c>
      <c r="C135" s="107">
        <f>VLOOKUP(1540,收盤價!$A:$C,3,0)</f>
        <v>13.95</v>
      </c>
      <c r="D135" s="107">
        <f t="shared" si="22"/>
        <v>29.643749999999997</v>
      </c>
      <c r="E135" s="167">
        <f t="shared" si="23"/>
        <v>1</v>
      </c>
      <c r="F135" s="104">
        <f t="shared" si="24"/>
        <v>2.0108896318363674</v>
      </c>
      <c r="G135" s="167">
        <f>RANK(1.41,AE:AE,0)</f>
        <v>618</v>
      </c>
      <c r="H135" s="365">
        <f t="shared" si="25"/>
        <v>1.2453801169590644</v>
      </c>
      <c r="I135" s="213">
        <f t="shared" si="26"/>
        <v>741</v>
      </c>
      <c r="J135" s="213">
        <f t="shared" si="27"/>
        <v>314</v>
      </c>
      <c r="K135">
        <f>RANK(1.48,AI:AI,0)</f>
        <v>569</v>
      </c>
      <c r="L135" s="357">
        <v>0</v>
      </c>
      <c r="M135" s="357">
        <v>1</v>
      </c>
      <c r="N135" s="357">
        <v>0</v>
      </c>
      <c r="O135" s="357">
        <v>0</v>
      </c>
      <c r="P135" s="357">
        <v>0</v>
      </c>
      <c r="Q135" s="358">
        <v>0.30281690140845069</v>
      </c>
      <c r="R135" s="359">
        <v>0.11764705882352942</v>
      </c>
      <c r="S135" s="196">
        <v>593133000</v>
      </c>
      <c r="T135" s="196">
        <v>85500000</v>
      </c>
      <c r="U135" s="200">
        <f t="shared" si="28"/>
        <v>1192725000</v>
      </c>
      <c r="V135" s="196">
        <v>25000000</v>
      </c>
      <c r="W135" s="196">
        <v>908000000</v>
      </c>
      <c r="X135" s="196">
        <v>358000000</v>
      </c>
      <c r="Y135" s="196">
        <v>1298000000</v>
      </c>
      <c r="Z135" s="196">
        <v>0</v>
      </c>
      <c r="AA135" s="198">
        <v>0.02</v>
      </c>
      <c r="AB135" s="198">
        <v>0.02</v>
      </c>
      <c r="AC135" s="213">
        <f t="shared" si="29"/>
        <v>616</v>
      </c>
      <c r="AD135" s="213">
        <f t="shared" si="30"/>
        <v>487</v>
      </c>
      <c r="AE135" s="213">
        <v>1.41</v>
      </c>
      <c r="AF135" s="196">
        <v>44000000</v>
      </c>
      <c r="AG135" s="104">
        <f t="shared" si="31"/>
        <v>0.51461988304093564</v>
      </c>
      <c r="AH135" s="104">
        <f t="shared" si="32"/>
        <v>1.76</v>
      </c>
      <c r="AI135" s="195">
        <v>1.48</v>
      </c>
    </row>
    <row r="136" spans="1:48">
      <c r="A136">
        <v>1541</v>
      </c>
      <c r="C136" s="107">
        <f>VLOOKUP(1541,收盤價!$A:$C,3,0)</f>
        <v>45.35</v>
      </c>
      <c r="D136" s="107">
        <f t="shared" si="22"/>
        <v>10.610622758681011</v>
      </c>
      <c r="E136" s="167">
        <f t="shared" si="23"/>
        <v>1</v>
      </c>
      <c r="F136" s="104">
        <f t="shared" si="24"/>
        <v>1.1222931388550323</v>
      </c>
      <c r="G136" s="167">
        <f>RANK(13.43,AE:AE,0)</f>
        <v>57</v>
      </c>
      <c r="H136" s="365">
        <f t="shared" si="25"/>
        <v>0.53299492385786806</v>
      </c>
      <c r="I136" s="213">
        <f t="shared" si="26"/>
        <v>1355</v>
      </c>
      <c r="J136" s="213">
        <f t="shared" si="27"/>
        <v>768</v>
      </c>
      <c r="K136">
        <f>RANK(0.73,AI:AI,0)</f>
        <v>1352</v>
      </c>
      <c r="L136" s="357">
        <v>0</v>
      </c>
      <c r="M136" s="357">
        <v>1</v>
      </c>
      <c r="N136" s="357">
        <v>0</v>
      </c>
      <c r="O136" s="357">
        <v>0</v>
      </c>
      <c r="P136" s="357">
        <v>0</v>
      </c>
      <c r="Q136" s="358">
        <v>0.22345679012345679</v>
      </c>
      <c r="R136" s="359">
        <v>1.0685046728971963</v>
      </c>
      <c r="S136" s="196">
        <v>3184177000</v>
      </c>
      <c r="T136" s="196">
        <v>78800000</v>
      </c>
      <c r="U136" s="200">
        <f t="shared" si="28"/>
        <v>3573580000</v>
      </c>
      <c r="V136" s="196">
        <v>105000000</v>
      </c>
      <c r="W136" s="196">
        <v>376000000</v>
      </c>
      <c r="X136" s="196">
        <v>637000000</v>
      </c>
      <c r="Y136" s="196">
        <v>1112000000</v>
      </c>
      <c r="Z136" s="196">
        <v>380000000</v>
      </c>
      <c r="AA136" s="198">
        <v>0.1</v>
      </c>
      <c r="AB136" s="198">
        <v>7.0000000000000007E-2</v>
      </c>
      <c r="AC136" s="213">
        <f t="shared" si="29"/>
        <v>52</v>
      </c>
      <c r="AD136" s="213">
        <f t="shared" si="30"/>
        <v>64</v>
      </c>
      <c r="AE136" s="213">
        <v>13.43</v>
      </c>
      <c r="AF136" s="196">
        <v>-42000000</v>
      </c>
      <c r="AG136" s="104">
        <f t="shared" si="31"/>
        <v>-0.53299492385786806</v>
      </c>
      <c r="AH136" s="104">
        <f t="shared" si="32"/>
        <v>0</v>
      </c>
      <c r="AI136" s="195">
        <v>0.73</v>
      </c>
      <c r="AN136" t="s">
        <v>104</v>
      </c>
    </row>
    <row r="137" spans="1:48">
      <c r="A137">
        <v>1558</v>
      </c>
      <c r="C137" s="107">
        <f>VLOOKUP(1558,收盤價!$A:$C,3,0)</f>
        <v>151.5</v>
      </c>
      <c r="D137" s="107">
        <f t="shared" si="22"/>
        <v>8.9327830188679247</v>
      </c>
      <c r="E137" s="167">
        <f t="shared" si="23"/>
        <v>3</v>
      </c>
      <c r="F137" s="104">
        <f t="shared" si="24"/>
        <v>1.4836120569961448</v>
      </c>
      <c r="G137" s="167">
        <f>RANK(0.84,AE:AE,0)</f>
        <v>946</v>
      </c>
      <c r="H137" s="365">
        <f t="shared" si="25"/>
        <v>2.9207920792079207</v>
      </c>
      <c r="I137" s="213">
        <f t="shared" si="26"/>
        <v>1533</v>
      </c>
      <c r="J137" s="213">
        <f t="shared" si="27"/>
        <v>768</v>
      </c>
      <c r="K137">
        <f>RANK(0.68,AI:AI,0)</f>
        <v>1507</v>
      </c>
      <c r="L137" s="357">
        <v>0</v>
      </c>
      <c r="M137" s="357">
        <v>1</v>
      </c>
      <c r="N137" s="357">
        <v>2</v>
      </c>
      <c r="O137" s="357">
        <v>0</v>
      </c>
      <c r="P137" s="357">
        <v>0</v>
      </c>
      <c r="Q137" s="358">
        <v>0.28490920475892301</v>
      </c>
      <c r="R137" s="359">
        <v>4.24</v>
      </c>
      <c r="S137" s="196">
        <v>6188208000</v>
      </c>
      <c r="T137" s="196">
        <v>60600000</v>
      </c>
      <c r="U137" s="200">
        <f t="shared" si="28"/>
        <v>9180900000</v>
      </c>
      <c r="V137" s="196">
        <v>0</v>
      </c>
      <c r="W137" s="196">
        <v>2542000000</v>
      </c>
      <c r="X137" s="196">
        <v>1408000000</v>
      </c>
      <c r="Y137" s="196">
        <v>4106000000</v>
      </c>
      <c r="Z137" s="196">
        <v>388000000</v>
      </c>
      <c r="AA137" s="198">
        <v>0</v>
      </c>
      <c r="AB137" s="198">
        <v>0</v>
      </c>
      <c r="AC137" s="213">
        <f t="shared" si="29"/>
        <v>945</v>
      </c>
      <c r="AD137" s="213">
        <f t="shared" si="30"/>
        <v>911</v>
      </c>
      <c r="AE137" s="213">
        <v>0.84</v>
      </c>
      <c r="AF137" s="196">
        <v>-177000000</v>
      </c>
      <c r="AG137" s="104">
        <f t="shared" si="31"/>
        <v>-2.9207920792079207</v>
      </c>
      <c r="AH137" s="104">
        <f t="shared" si="32"/>
        <v>0</v>
      </c>
      <c r="AI137" s="195">
        <v>0.68</v>
      </c>
    </row>
    <row r="138" spans="1:48">
      <c r="A138">
        <v>1560</v>
      </c>
      <c r="C138" s="107">
        <f>VLOOKUP(1560,收盤價!$A:$C,3,0)</f>
        <v>53.3</v>
      </c>
      <c r="D138" s="107">
        <f t="shared" si="22"/>
        <v>15.033333333333333</v>
      </c>
      <c r="E138" s="167">
        <f t="shared" si="23"/>
        <v>4</v>
      </c>
      <c r="F138" s="104">
        <f t="shared" si="24"/>
        <v>1.9184202344284869</v>
      </c>
      <c r="G138" s="167">
        <f>RANK(3.28,AE:AE,0)</f>
        <v>256</v>
      </c>
      <c r="H138" s="365">
        <f t="shared" si="25"/>
        <v>-9.0212765957446761E-2</v>
      </c>
      <c r="I138" s="213">
        <f t="shared" si="26"/>
        <v>346</v>
      </c>
      <c r="J138" s="213">
        <f t="shared" si="27"/>
        <v>403</v>
      </c>
      <c r="K138">
        <f>RANK(2.08,AI:AI,0)</f>
        <v>314</v>
      </c>
      <c r="L138" s="357">
        <v>0</v>
      </c>
      <c r="M138" s="357">
        <v>1</v>
      </c>
      <c r="N138" s="357">
        <v>2</v>
      </c>
      <c r="O138" s="357">
        <v>1</v>
      </c>
      <c r="P138" s="357">
        <v>0</v>
      </c>
      <c r="Q138" s="358">
        <v>0.28386454183266935</v>
      </c>
      <c r="R138" s="359">
        <v>0.88636363636363635</v>
      </c>
      <c r="S138" s="196">
        <v>3917442000</v>
      </c>
      <c r="T138" s="196">
        <v>141000000</v>
      </c>
      <c r="U138" s="200">
        <f t="shared" si="28"/>
        <v>7515300000</v>
      </c>
      <c r="V138" s="196">
        <v>150000000</v>
      </c>
      <c r="W138" s="196">
        <v>452000000</v>
      </c>
      <c r="X138" s="196">
        <v>2709000000</v>
      </c>
      <c r="Y138" s="196">
        <v>3504000000</v>
      </c>
      <c r="Z138" s="196">
        <v>80000000</v>
      </c>
      <c r="AA138" s="198">
        <v>0.05</v>
      </c>
      <c r="AB138" s="198">
        <v>0.04</v>
      </c>
      <c r="AC138" s="213">
        <f t="shared" si="29"/>
        <v>247</v>
      </c>
      <c r="AD138" s="213">
        <f t="shared" si="30"/>
        <v>228</v>
      </c>
      <c r="AE138" s="213">
        <v>3.28</v>
      </c>
      <c r="AF138" s="196">
        <v>212000000</v>
      </c>
      <c r="AG138" s="104">
        <f t="shared" si="31"/>
        <v>1.5035460992907801</v>
      </c>
      <c r="AH138" s="104">
        <f t="shared" si="32"/>
        <v>1.4133333333333333</v>
      </c>
      <c r="AI138" s="195">
        <v>2.08</v>
      </c>
    </row>
    <row r="139" spans="1:48">
      <c r="A139">
        <v>1565</v>
      </c>
      <c r="C139" s="107">
        <f>VLOOKUP(1565,收盤價!$A:$C,3,0)</f>
        <v>705</v>
      </c>
      <c r="D139" s="107">
        <f t="shared" si="22"/>
        <v>19.715254258315031</v>
      </c>
      <c r="E139" s="167">
        <f t="shared" si="23"/>
        <v>3</v>
      </c>
      <c r="F139" s="104">
        <f t="shared" si="24"/>
        <v>5.671235001920099</v>
      </c>
      <c r="G139" s="167">
        <f>RANK(43.28,AE:AE,0)</f>
        <v>12</v>
      </c>
      <c r="H139" s="365">
        <f t="shared" si="25"/>
        <v>-9.0410147901171243</v>
      </c>
      <c r="I139" s="213">
        <f t="shared" si="26"/>
        <v>7</v>
      </c>
      <c r="J139" s="213">
        <f t="shared" si="27"/>
        <v>559</v>
      </c>
      <c r="K139">
        <f>RANK(2.75,AI:AI,0)</f>
        <v>192</v>
      </c>
      <c r="L139" s="357">
        <v>0</v>
      </c>
      <c r="M139" s="357">
        <v>1</v>
      </c>
      <c r="N139" s="357">
        <v>1</v>
      </c>
      <c r="O139" s="357">
        <v>1</v>
      </c>
      <c r="P139" s="357">
        <v>0</v>
      </c>
      <c r="Q139" s="358">
        <v>0.43503555268261151</v>
      </c>
      <c r="R139" s="359">
        <v>8.9397781885397425</v>
      </c>
      <c r="S139" s="196">
        <v>6265302000</v>
      </c>
      <c r="T139" s="196">
        <v>50400000</v>
      </c>
      <c r="U139" s="200">
        <f t="shared" si="28"/>
        <v>35532000000</v>
      </c>
      <c r="V139" s="196">
        <v>557000000</v>
      </c>
      <c r="W139" s="196">
        <v>2307000000</v>
      </c>
      <c r="X139" s="196">
        <v>2365000000</v>
      </c>
      <c r="Y139" s="196">
        <v>4256000000</v>
      </c>
      <c r="Z139" s="196">
        <v>86000000</v>
      </c>
      <c r="AA139" s="198">
        <v>0.12</v>
      </c>
      <c r="AB139" s="198">
        <v>0.13</v>
      </c>
      <c r="AC139" s="213">
        <f t="shared" si="29"/>
        <v>32</v>
      </c>
      <c r="AD139" s="213">
        <f t="shared" si="30"/>
        <v>4</v>
      </c>
      <c r="AE139" s="213">
        <v>43.28</v>
      </c>
      <c r="AF139" s="196">
        <v>501000000</v>
      </c>
      <c r="AG139" s="104">
        <f t="shared" si="31"/>
        <v>9.9404761904761898</v>
      </c>
      <c r="AH139" s="104">
        <f t="shared" si="32"/>
        <v>0.89946140035906641</v>
      </c>
      <c r="AI139" s="195">
        <v>2.75</v>
      </c>
      <c r="AO139" s="213"/>
      <c r="AP139" s="213"/>
      <c r="AQ139" s="213"/>
      <c r="AR139" s="213"/>
      <c r="AS139" s="213"/>
      <c r="AT139" s="213"/>
      <c r="AU139" s="213"/>
      <c r="AV139" s="213"/>
    </row>
    <row r="140" spans="1:48">
      <c r="A140">
        <v>1566</v>
      </c>
      <c r="C140" s="107">
        <f>VLOOKUP(1566,收盤價!$A:$C,3,0)</f>
        <v>18.25</v>
      </c>
      <c r="D140" s="107">
        <f t="shared" si="22"/>
        <v>31.465517241379313</v>
      </c>
      <c r="E140" s="167">
        <f t="shared" si="23"/>
        <v>1</v>
      </c>
      <c r="F140" s="104">
        <f t="shared" si="24"/>
        <v>0.23391938543843271</v>
      </c>
      <c r="G140" s="167">
        <f>RANK(1.2,AE:AE,0)</f>
        <v>710</v>
      </c>
      <c r="H140" s="365">
        <f t="shared" si="25"/>
        <v>1.744360902255639</v>
      </c>
      <c r="I140" s="213">
        <f t="shared" si="26"/>
        <v>1498</v>
      </c>
      <c r="J140" s="213">
        <f t="shared" si="27"/>
        <v>768</v>
      </c>
      <c r="K140">
        <f>RANK(0.69,AI:AI,0)</f>
        <v>1474</v>
      </c>
      <c r="L140" s="357">
        <v>0</v>
      </c>
      <c r="M140" s="357">
        <v>1</v>
      </c>
      <c r="N140" s="357">
        <v>0</v>
      </c>
      <c r="O140" s="357">
        <v>0</v>
      </c>
      <c r="P140" s="357">
        <v>0</v>
      </c>
      <c r="Q140" s="358">
        <v>0.15451664025356576</v>
      </c>
      <c r="R140" s="359">
        <v>0.14499999999999999</v>
      </c>
      <c r="S140" s="196">
        <v>5188219000</v>
      </c>
      <c r="T140" s="196">
        <v>66500000</v>
      </c>
      <c r="U140" s="200">
        <f t="shared" si="28"/>
        <v>1213625000</v>
      </c>
      <c r="V140" s="196">
        <v>39000000</v>
      </c>
      <c r="W140" s="196">
        <v>0</v>
      </c>
      <c r="X140" s="196">
        <v>2080000000</v>
      </c>
      <c r="Y140" s="196">
        <v>1490000000</v>
      </c>
      <c r="Z140" s="196">
        <v>1327000000</v>
      </c>
      <c r="AA140" s="198">
        <v>0.02</v>
      </c>
      <c r="AB140" s="198">
        <v>0.01</v>
      </c>
      <c r="AC140" s="213">
        <f t="shared" si="29"/>
        <v>616</v>
      </c>
      <c r="AD140" s="213">
        <f t="shared" si="30"/>
        <v>680</v>
      </c>
      <c r="AE140" s="213">
        <v>1.2</v>
      </c>
      <c r="AF140" s="196">
        <v>-116000000</v>
      </c>
      <c r="AG140" s="104">
        <f t="shared" si="31"/>
        <v>-1.744360902255639</v>
      </c>
      <c r="AH140" s="104">
        <f t="shared" si="32"/>
        <v>0</v>
      </c>
      <c r="AI140" s="195">
        <v>0.69</v>
      </c>
      <c r="AO140" s="213"/>
      <c r="AP140" s="213"/>
      <c r="AQ140" s="213"/>
      <c r="AR140" s="213"/>
      <c r="AS140" s="213"/>
      <c r="AT140" s="213"/>
      <c r="AU140" s="213"/>
      <c r="AV140" s="213"/>
    </row>
    <row r="141" spans="1:48">
      <c r="A141">
        <v>1568</v>
      </c>
      <c r="C141" s="107">
        <f>VLOOKUP(1568,收盤價!$A:$C,3,0)</f>
        <v>36.700000000000003</v>
      </c>
      <c r="D141" s="107">
        <f t="shared" si="22"/>
        <v>22.126819126819129</v>
      </c>
      <c r="E141" s="167">
        <f t="shared" si="23"/>
        <v>2</v>
      </c>
      <c r="F141" s="104">
        <f t="shared" si="24"/>
        <v>1.4910974024796915</v>
      </c>
      <c r="G141" s="167">
        <f>RANK(2.24,AE:AE,0)</f>
        <v>416</v>
      </c>
      <c r="H141" s="365">
        <f t="shared" si="25"/>
        <v>0.53570205967935181</v>
      </c>
      <c r="I141" s="213">
        <f t="shared" si="26"/>
        <v>496</v>
      </c>
      <c r="J141" s="213">
        <f t="shared" si="27"/>
        <v>352</v>
      </c>
      <c r="K141">
        <f>RANK(1.84,AI:AI,0)</f>
        <v>398</v>
      </c>
      <c r="L141" s="357">
        <v>0</v>
      </c>
      <c r="M141" s="357">
        <v>1</v>
      </c>
      <c r="N141" s="357">
        <v>0</v>
      </c>
      <c r="O141" s="357">
        <v>1</v>
      </c>
      <c r="P141" s="357">
        <v>0</v>
      </c>
      <c r="Q141" s="358">
        <v>0.18095238095238095</v>
      </c>
      <c r="R141" s="359">
        <v>0.41465517241379307</v>
      </c>
      <c r="S141" s="196">
        <v>2537574000</v>
      </c>
      <c r="T141" s="196">
        <v>103100000</v>
      </c>
      <c r="U141" s="200">
        <f t="shared" si="28"/>
        <v>3783770000.0000005</v>
      </c>
      <c r="V141" s="196">
        <v>68000000</v>
      </c>
      <c r="W141" s="196">
        <v>746000000</v>
      </c>
      <c r="X141" s="196">
        <v>1316000000</v>
      </c>
      <c r="Y141" s="196">
        <v>1600000000</v>
      </c>
      <c r="Z141" s="196">
        <v>120000000</v>
      </c>
      <c r="AA141" s="198">
        <v>0.03</v>
      </c>
      <c r="AB141" s="198">
        <v>0.04</v>
      </c>
      <c r="AC141" s="213">
        <f t="shared" si="29"/>
        <v>469</v>
      </c>
      <c r="AD141" s="213">
        <f t="shared" si="30"/>
        <v>228</v>
      </c>
      <c r="AE141" s="213">
        <v>2.2400000000000002</v>
      </c>
      <c r="AF141" s="196">
        <v>107000000</v>
      </c>
      <c r="AG141" s="104">
        <f t="shared" si="31"/>
        <v>1.037827352085354</v>
      </c>
      <c r="AH141" s="104">
        <f t="shared" si="32"/>
        <v>1.5735294117647058</v>
      </c>
      <c r="AI141" s="195">
        <v>1.84</v>
      </c>
    </row>
    <row r="142" spans="1:48">
      <c r="A142">
        <v>1569</v>
      </c>
      <c r="C142" s="107">
        <f>VLOOKUP(1569,收盤價!$A:$C,3,0)</f>
        <v>21.45</v>
      </c>
      <c r="D142" s="107">
        <f t="shared" si="22"/>
        <v>12.095864661654135</v>
      </c>
      <c r="E142" s="167">
        <f t="shared" si="23"/>
        <v>3</v>
      </c>
      <c r="F142" s="104">
        <f t="shared" si="24"/>
        <v>0.81679454390451833</v>
      </c>
      <c r="G142" s="167">
        <f>RANK(1.63,AE:AE,0)</f>
        <v>551</v>
      </c>
      <c r="H142" s="365">
        <f t="shared" si="25"/>
        <v>0.96841935873194673</v>
      </c>
      <c r="I142" s="213">
        <f t="shared" si="26"/>
        <v>414</v>
      </c>
      <c r="J142" s="213">
        <f t="shared" si="27"/>
        <v>225</v>
      </c>
      <c r="K142">
        <f>RANK(2.44,AI:AI,0)</f>
        <v>250</v>
      </c>
      <c r="L142" s="357">
        <v>0</v>
      </c>
      <c r="M142" s="357">
        <v>1</v>
      </c>
      <c r="N142" s="357">
        <v>1</v>
      </c>
      <c r="O142" s="357">
        <v>1</v>
      </c>
      <c r="P142" s="357">
        <v>0</v>
      </c>
      <c r="Q142" s="358">
        <v>0.16282894736842105</v>
      </c>
      <c r="R142" s="359">
        <v>0.44333333333333336</v>
      </c>
      <c r="S142" s="196">
        <v>2463300000</v>
      </c>
      <c r="T142" s="196">
        <v>93800000</v>
      </c>
      <c r="U142" s="200">
        <f t="shared" si="28"/>
        <v>2012010000</v>
      </c>
      <c r="V142" s="196">
        <v>53000000</v>
      </c>
      <c r="W142" s="196">
        <v>0</v>
      </c>
      <c r="X142" s="196">
        <v>1899000000</v>
      </c>
      <c r="Y142" s="196">
        <v>1907000000</v>
      </c>
      <c r="Z142" s="196">
        <v>1559000000</v>
      </c>
      <c r="AA142" s="198">
        <v>0.03</v>
      </c>
      <c r="AB142" s="198">
        <v>0.02</v>
      </c>
      <c r="AC142" s="213">
        <f t="shared" si="29"/>
        <v>469</v>
      </c>
      <c r="AD142" s="213">
        <f t="shared" si="30"/>
        <v>487</v>
      </c>
      <c r="AE142" s="213">
        <v>1.63</v>
      </c>
      <c r="AF142" s="196">
        <v>118000000</v>
      </c>
      <c r="AG142" s="104">
        <f t="shared" si="31"/>
        <v>1.2579957356076759</v>
      </c>
      <c r="AH142" s="104">
        <f t="shared" si="32"/>
        <v>2.2264150943396226</v>
      </c>
      <c r="AI142" s="195">
        <v>2.44</v>
      </c>
      <c r="AN142" t="s">
        <v>119</v>
      </c>
      <c r="AO142" s="33">
        <v>40</v>
      </c>
      <c r="AP142" s="33">
        <v>1</v>
      </c>
      <c r="AQ142" s="33">
        <v>-65</v>
      </c>
      <c r="AR142" s="33">
        <v>45</v>
      </c>
      <c r="AS142" s="33">
        <v>-58</v>
      </c>
      <c r="AT142" s="33">
        <v>40</v>
      </c>
      <c r="AU142" s="33">
        <v>-169</v>
      </c>
      <c r="AV142" s="33">
        <v>166</v>
      </c>
    </row>
    <row r="143" spans="1:48">
      <c r="A143">
        <v>1570</v>
      </c>
      <c r="C143" s="107">
        <f>VLOOKUP(1570,收盤價!$A:$C,3,0)</f>
        <v>14.6</v>
      </c>
      <c r="D143" s="107">
        <f t="shared" si="22"/>
        <v>40.555555555555557</v>
      </c>
      <c r="E143" s="167">
        <f t="shared" si="23"/>
        <v>1</v>
      </c>
      <c r="F143" s="104">
        <f t="shared" si="24"/>
        <v>1.2087005865871048</v>
      </c>
      <c r="G143" s="167">
        <f>RANK(1.08,AE:AE,0)</f>
        <v>769</v>
      </c>
      <c r="H143" s="365">
        <f t="shared" si="25"/>
        <v>8.3067961165048541</v>
      </c>
      <c r="I143" s="213">
        <f t="shared" si="26"/>
        <v>568</v>
      </c>
      <c r="J143" s="213">
        <f t="shared" si="27"/>
        <v>45</v>
      </c>
      <c r="K143">
        <f>RANK(2.54,AI:AI,0)</f>
        <v>231</v>
      </c>
      <c r="L143" s="357">
        <v>0</v>
      </c>
      <c r="M143" s="357">
        <v>0</v>
      </c>
      <c r="N143" s="357">
        <v>0</v>
      </c>
      <c r="O143" s="357">
        <v>1</v>
      </c>
      <c r="P143" s="357">
        <v>0</v>
      </c>
      <c r="Q143" s="358">
        <v>0.18253968253968253</v>
      </c>
      <c r="R143" s="359">
        <v>0.09</v>
      </c>
      <c r="S143" s="196">
        <v>622073000</v>
      </c>
      <c r="T143" s="196">
        <v>51500000</v>
      </c>
      <c r="U143" s="200">
        <f t="shared" si="28"/>
        <v>751900000</v>
      </c>
      <c r="V143" s="196">
        <v>5000000</v>
      </c>
      <c r="W143" s="196">
        <v>337000000</v>
      </c>
      <c r="X143" s="196">
        <v>244000000</v>
      </c>
      <c r="Y143" s="196">
        <v>602000000</v>
      </c>
      <c r="Z143" s="196">
        <v>0</v>
      </c>
      <c r="AA143" s="198">
        <v>0.01</v>
      </c>
      <c r="AB143" s="198">
        <v>0.01</v>
      </c>
      <c r="AC143" s="213">
        <f t="shared" si="29"/>
        <v>769</v>
      </c>
      <c r="AD143" s="213">
        <f t="shared" si="30"/>
        <v>680</v>
      </c>
      <c r="AE143" s="213">
        <v>1.08</v>
      </c>
      <c r="AF143" s="196">
        <v>46000000</v>
      </c>
      <c r="AG143" s="104">
        <f t="shared" si="31"/>
        <v>0.89320388349514568</v>
      </c>
      <c r="AH143" s="104">
        <f t="shared" si="32"/>
        <v>9.1999999999999993</v>
      </c>
      <c r="AI143" s="195">
        <v>2.54</v>
      </c>
      <c r="AN143" t="s">
        <v>126</v>
      </c>
      <c r="AO143" s="33">
        <v>0</v>
      </c>
      <c r="AP143" s="33">
        <v>0</v>
      </c>
      <c r="AQ143" s="33">
        <v>0</v>
      </c>
      <c r="AR143" s="33">
        <v>0</v>
      </c>
      <c r="AS143" s="33">
        <v>0</v>
      </c>
      <c r="AT143" s="33">
        <v>0</v>
      </c>
      <c r="AU143" s="33">
        <v>0</v>
      </c>
      <c r="AV143" s="33">
        <v>0</v>
      </c>
    </row>
    <row r="144" spans="1:48">
      <c r="A144">
        <v>1580</v>
      </c>
      <c r="C144" s="107">
        <f>VLOOKUP(1580,收盤價!$A:$C,3,0)</f>
        <v>148.5</v>
      </c>
      <c r="D144" s="107">
        <f t="shared" si="22"/>
        <v>12.597149735817352</v>
      </c>
      <c r="E144" s="167">
        <f t="shared" si="23"/>
        <v>3</v>
      </c>
      <c r="F144" s="104">
        <f t="shared" si="24"/>
        <v>1.6960817444402971</v>
      </c>
      <c r="G144" s="167">
        <f>RANK(36.23,AE:AE,0)</f>
        <v>14</v>
      </c>
      <c r="H144" s="365">
        <f t="shared" si="25"/>
        <v>-4.2013917525773197</v>
      </c>
      <c r="I144" s="213">
        <f t="shared" si="26"/>
        <v>29</v>
      </c>
      <c r="J144" s="213">
        <f t="shared" si="27"/>
        <v>420</v>
      </c>
      <c r="K144">
        <f>RANK(3.47,AI:AI,0)</f>
        <v>128</v>
      </c>
      <c r="L144" s="357">
        <v>0</v>
      </c>
      <c r="M144" s="357">
        <v>1</v>
      </c>
      <c r="N144" s="357">
        <v>1</v>
      </c>
      <c r="O144" s="357">
        <v>1</v>
      </c>
      <c r="P144" s="357">
        <v>0</v>
      </c>
      <c r="Q144" s="358">
        <v>0.42778288868445263</v>
      </c>
      <c r="R144" s="359">
        <v>2.9470952380952378</v>
      </c>
      <c r="S144" s="196">
        <v>4246405000</v>
      </c>
      <c r="T144" s="196">
        <v>48500000</v>
      </c>
      <c r="U144" s="200">
        <f t="shared" si="28"/>
        <v>7202250000</v>
      </c>
      <c r="V144" s="196">
        <v>200000000</v>
      </c>
      <c r="W144" s="196">
        <v>957000000</v>
      </c>
      <c r="X144" s="196">
        <v>701000000</v>
      </c>
      <c r="Y144" s="196">
        <v>1664000000</v>
      </c>
      <c r="Z144" s="196">
        <v>165000000</v>
      </c>
      <c r="AA144" s="198">
        <v>0.12</v>
      </c>
      <c r="AB144" s="198">
        <v>0.11</v>
      </c>
      <c r="AC144" s="213">
        <f t="shared" si="29"/>
        <v>32</v>
      </c>
      <c r="AD144" s="213">
        <f t="shared" si="30"/>
        <v>11</v>
      </c>
      <c r="AE144" s="213">
        <v>36.229999999999997</v>
      </c>
      <c r="AF144" s="196">
        <v>269000000</v>
      </c>
      <c r="AG144" s="104">
        <f t="shared" si="31"/>
        <v>5.5463917525773194</v>
      </c>
      <c r="AH144" s="104">
        <f t="shared" si="32"/>
        <v>1.345</v>
      </c>
      <c r="AI144" s="195">
        <v>3.47</v>
      </c>
      <c r="AN144" t="s">
        <v>105</v>
      </c>
      <c r="AO144" s="213"/>
      <c r="AP144" s="213"/>
      <c r="AQ144" s="213"/>
      <c r="AR144" s="213"/>
      <c r="AS144" s="213"/>
      <c r="AT144" s="213"/>
      <c r="AU144" s="213"/>
      <c r="AV144" s="213"/>
    </row>
    <row r="145" spans="1:48">
      <c r="A145">
        <v>1582</v>
      </c>
      <c r="C145" s="107">
        <f>VLOOKUP(1582,收盤價!$A:$C,3,0)</f>
        <v>53.3</v>
      </c>
      <c r="D145" s="107">
        <f t="shared" si="22"/>
        <v>12.386642156862743</v>
      </c>
      <c r="E145" s="167">
        <f t="shared" si="23"/>
        <v>3</v>
      </c>
      <c r="F145" s="104">
        <f t="shared" si="24"/>
        <v>0.8556285172309176</v>
      </c>
      <c r="G145" s="167">
        <f>RANK(3.2,AE:AE,0)</f>
        <v>289</v>
      </c>
      <c r="H145" s="365">
        <f t="shared" si="25"/>
        <v>0.65376917945296864</v>
      </c>
      <c r="I145" s="213">
        <f t="shared" si="26"/>
        <v>1383</v>
      </c>
      <c r="J145" s="213">
        <f t="shared" si="27"/>
        <v>768</v>
      </c>
      <c r="K145">
        <f>RANK(0.72,AI:AI,0)</f>
        <v>1381</v>
      </c>
      <c r="L145" s="357">
        <v>0</v>
      </c>
      <c r="M145" s="357">
        <v>1</v>
      </c>
      <c r="N145" s="357">
        <v>2</v>
      </c>
      <c r="O145" s="357">
        <v>0</v>
      </c>
      <c r="P145" s="357">
        <v>0</v>
      </c>
      <c r="Q145" s="358">
        <v>0.21107266435986158</v>
      </c>
      <c r="R145" s="359">
        <v>1.0757556270096464</v>
      </c>
      <c r="S145" s="196">
        <v>9337779000</v>
      </c>
      <c r="T145" s="196">
        <v>149900000</v>
      </c>
      <c r="U145" s="200">
        <f t="shared" si="28"/>
        <v>7989670000</v>
      </c>
      <c r="V145" s="196">
        <v>248000000</v>
      </c>
      <c r="W145" s="196">
        <v>4888000000</v>
      </c>
      <c r="X145" s="196">
        <v>648000000</v>
      </c>
      <c r="Y145" s="196">
        <v>5090000000</v>
      </c>
      <c r="Z145" s="196">
        <v>22000000</v>
      </c>
      <c r="AA145" s="198">
        <v>0.04</v>
      </c>
      <c r="AB145" s="198">
        <v>0.05</v>
      </c>
      <c r="AC145" s="213">
        <f t="shared" si="29"/>
        <v>337</v>
      </c>
      <c r="AD145" s="213">
        <f t="shared" si="30"/>
        <v>150</v>
      </c>
      <c r="AE145" s="213">
        <v>3.2</v>
      </c>
      <c r="AF145" s="196">
        <v>-98000000</v>
      </c>
      <c r="AG145" s="104">
        <f t="shared" si="31"/>
        <v>-0.65376917945296864</v>
      </c>
      <c r="AH145" s="104">
        <f t="shared" si="32"/>
        <v>0</v>
      </c>
      <c r="AI145" s="195">
        <v>0.72</v>
      </c>
    </row>
    <row r="146" spans="1:48">
      <c r="A146">
        <v>1583</v>
      </c>
      <c r="C146" s="107">
        <f>VLOOKUP(1583,收盤價!$A:$C,3,0)</f>
        <v>57</v>
      </c>
      <c r="D146" s="107">
        <f t="shared" si="22"/>
        <v>31.487758945386066</v>
      </c>
      <c r="E146" s="167">
        <f t="shared" si="23"/>
        <v>1</v>
      </c>
      <c r="F146" s="104">
        <f t="shared" si="24"/>
        <v>0.89397238288181502</v>
      </c>
      <c r="G146" s="167">
        <f>RANK(1.63,AE:AE,0)</f>
        <v>551</v>
      </c>
      <c r="H146" s="365">
        <f t="shared" si="25"/>
        <v>-2.9354992018762363</v>
      </c>
      <c r="I146" s="213">
        <f t="shared" si="26"/>
        <v>21</v>
      </c>
      <c r="J146" s="213">
        <f t="shared" si="27"/>
        <v>147</v>
      </c>
      <c r="K146">
        <f>RANK(9.27,AI:AI,0)</f>
        <v>18</v>
      </c>
      <c r="L146" s="357">
        <v>0</v>
      </c>
      <c r="M146" s="357">
        <v>0</v>
      </c>
      <c r="N146" s="357">
        <v>0</v>
      </c>
      <c r="O146" s="357">
        <v>1</v>
      </c>
      <c r="P146" s="357">
        <v>0</v>
      </c>
      <c r="Q146" s="358">
        <v>0.26144578313253014</v>
      </c>
      <c r="R146" s="359">
        <v>0.45255681818181814</v>
      </c>
      <c r="S146" s="196">
        <v>6395164000</v>
      </c>
      <c r="T146" s="196">
        <v>100300000</v>
      </c>
      <c r="U146" s="200">
        <f t="shared" si="28"/>
        <v>5717100000</v>
      </c>
      <c r="V146" s="196">
        <v>193000000</v>
      </c>
      <c r="W146" s="196">
        <v>2539000000</v>
      </c>
      <c r="X146" s="196">
        <v>3358000000</v>
      </c>
      <c r="Y146" s="196">
        <v>5349000000</v>
      </c>
      <c r="Z146" s="196">
        <v>3207000000</v>
      </c>
      <c r="AA146" s="198">
        <v>0.03</v>
      </c>
      <c r="AB146" s="198">
        <v>0.02</v>
      </c>
      <c r="AC146" s="213">
        <f t="shared" si="29"/>
        <v>469</v>
      </c>
      <c r="AD146" s="213">
        <f t="shared" si="30"/>
        <v>487</v>
      </c>
      <c r="AE146" s="213">
        <v>1.63</v>
      </c>
      <c r="AF146" s="196">
        <v>613000000</v>
      </c>
      <c r="AG146" s="104">
        <f t="shared" si="31"/>
        <v>6.1116650049850447</v>
      </c>
      <c r="AH146" s="104">
        <f t="shared" si="32"/>
        <v>3.1761658031088085</v>
      </c>
      <c r="AI146" s="195">
        <v>9.27</v>
      </c>
    </row>
    <row r="147" spans="1:48">
      <c r="A147">
        <v>1584</v>
      </c>
      <c r="C147" s="107">
        <f>VLOOKUP(1584,收盤價!$A:$C,3,0)</f>
        <v>14.35</v>
      </c>
      <c r="D147" s="107">
        <f t="shared" si="22"/>
        <v>35.875</v>
      </c>
      <c r="E147" s="167">
        <f t="shared" si="23"/>
        <v>4</v>
      </c>
      <c r="F147" s="104">
        <f t="shared" si="24"/>
        <v>1.9716585188650539</v>
      </c>
      <c r="G147" s="167">
        <f>RANK(1.08,AE:AE,0)</f>
        <v>769</v>
      </c>
      <c r="H147" s="365">
        <f t="shared" si="25"/>
        <v>2.1437740693196408</v>
      </c>
      <c r="I147" s="213">
        <f t="shared" si="26"/>
        <v>748</v>
      </c>
      <c r="J147" s="213">
        <f t="shared" si="27"/>
        <v>182</v>
      </c>
      <c r="K147">
        <f>RANK(1.68,AI:AI,0)</f>
        <v>465</v>
      </c>
      <c r="L147" s="357">
        <v>1</v>
      </c>
      <c r="M147" s="357">
        <v>1</v>
      </c>
      <c r="N147" s="357">
        <v>1</v>
      </c>
      <c r="O147" s="357">
        <v>1</v>
      </c>
      <c r="P147" s="357">
        <v>0</v>
      </c>
      <c r="Q147" s="358">
        <v>0.15343915343915343</v>
      </c>
      <c r="R147" s="359">
        <v>0.1</v>
      </c>
      <c r="S147" s="196">
        <v>746009000</v>
      </c>
      <c r="T147" s="196">
        <v>102500000</v>
      </c>
      <c r="U147" s="200">
        <f t="shared" si="28"/>
        <v>1470875000</v>
      </c>
      <c r="V147" s="196">
        <v>19000000</v>
      </c>
      <c r="W147" s="196">
        <v>929000000</v>
      </c>
      <c r="X147" s="196">
        <v>1150000000</v>
      </c>
      <c r="Y147" s="196">
        <v>1288000000</v>
      </c>
      <c r="Z147" s="196">
        <v>205000000</v>
      </c>
      <c r="AA147" s="198">
        <v>0.01</v>
      </c>
      <c r="AB147" s="198">
        <v>0.01</v>
      </c>
      <c r="AC147" s="213">
        <f t="shared" si="29"/>
        <v>769</v>
      </c>
      <c r="AD147" s="213">
        <f t="shared" si="30"/>
        <v>680</v>
      </c>
      <c r="AE147" s="213">
        <v>1.08</v>
      </c>
      <c r="AF147" s="196">
        <v>50000000</v>
      </c>
      <c r="AG147" s="104">
        <f t="shared" si="31"/>
        <v>0.48780487804878048</v>
      </c>
      <c r="AH147" s="104">
        <f t="shared" si="32"/>
        <v>2.6315789473684212</v>
      </c>
      <c r="AI147" s="195">
        <v>1.68</v>
      </c>
    </row>
    <row r="148" spans="1:48">
      <c r="A148">
        <v>1586</v>
      </c>
      <c r="C148" s="107">
        <f>VLOOKUP(1586,收盤價!$A:$C,3,0)</f>
        <v>21.9</v>
      </c>
      <c r="D148" s="107">
        <f t="shared" si="22"/>
        <v>0</v>
      </c>
      <c r="E148" s="167">
        <f t="shared" si="23"/>
        <v>0</v>
      </c>
      <c r="F148" s="104">
        <f t="shared" si="24"/>
        <v>0.59837194267674287</v>
      </c>
      <c r="G148" s="167">
        <f>RANK(0.59,AE:AE,0)</f>
        <v>1348</v>
      </c>
      <c r="H148" s="365">
        <f t="shared" si="25"/>
        <v>0.29288702928870292</v>
      </c>
      <c r="I148" s="213">
        <f t="shared" si="26"/>
        <v>1267</v>
      </c>
      <c r="J148" s="213">
        <f t="shared" si="27"/>
        <v>768</v>
      </c>
      <c r="K148">
        <f>RANK(0.77,AI:AI,0)</f>
        <v>1243</v>
      </c>
      <c r="L148" s="357">
        <v>0</v>
      </c>
      <c r="M148" s="357">
        <v>0</v>
      </c>
      <c r="N148" s="357">
        <v>0</v>
      </c>
      <c r="O148" s="357">
        <v>0</v>
      </c>
      <c r="P148" s="357">
        <v>0</v>
      </c>
      <c r="Q148" s="358">
        <v>8.5365853658536592E-2</v>
      </c>
      <c r="R148" s="359">
        <v>0</v>
      </c>
      <c r="S148" s="196">
        <v>1749447000</v>
      </c>
      <c r="T148" s="196">
        <v>47800000</v>
      </c>
      <c r="U148" s="200">
        <f t="shared" si="28"/>
        <v>1046819999.9999999</v>
      </c>
      <c r="V148" s="196">
        <v>-19000000</v>
      </c>
      <c r="W148" s="196">
        <v>0</v>
      </c>
      <c r="X148" s="196">
        <v>893000000</v>
      </c>
      <c r="Y148" s="196">
        <v>1021000000</v>
      </c>
      <c r="Z148" s="196">
        <v>890000000</v>
      </c>
      <c r="AA148" s="198">
        <v>-0.02</v>
      </c>
      <c r="AB148" s="198">
        <v>-0.01</v>
      </c>
      <c r="AC148" s="213">
        <f t="shared" si="29"/>
        <v>1353</v>
      </c>
      <c r="AD148" s="213">
        <f t="shared" si="30"/>
        <v>1294</v>
      </c>
      <c r="AE148" s="213">
        <v>0.59</v>
      </c>
      <c r="AF148" s="196">
        <v>-14000000</v>
      </c>
      <c r="AG148" s="104">
        <f t="shared" si="31"/>
        <v>-0.29288702928870292</v>
      </c>
      <c r="AH148" s="104">
        <f t="shared" si="32"/>
        <v>0</v>
      </c>
      <c r="AI148" s="195">
        <v>0.77</v>
      </c>
    </row>
    <row r="149" spans="1:48">
      <c r="A149">
        <v>1589</v>
      </c>
      <c r="C149" s="107">
        <f>VLOOKUP(1589,收盤價!$A:$C,3,0)</f>
        <v>132</v>
      </c>
      <c r="D149" s="107">
        <f t="shared" si="22"/>
        <v>14.411319436357283</v>
      </c>
      <c r="E149" s="167">
        <f t="shared" si="23"/>
        <v>2</v>
      </c>
      <c r="F149" s="104">
        <f t="shared" si="24"/>
        <v>2.0102228889236997</v>
      </c>
      <c r="G149" s="167">
        <f>RANK(2.76,AE:AE,0)</f>
        <v>305</v>
      </c>
      <c r="H149" s="365">
        <f t="shared" si="25"/>
        <v>-3.6295011180507366</v>
      </c>
      <c r="I149" s="213">
        <f t="shared" si="26"/>
        <v>35</v>
      </c>
      <c r="J149" s="213">
        <f t="shared" si="27"/>
        <v>353</v>
      </c>
      <c r="K149">
        <f>RANK(4.02,AI:AI,0)</f>
        <v>100</v>
      </c>
      <c r="L149" s="357">
        <v>0</v>
      </c>
      <c r="M149" s="357">
        <v>1</v>
      </c>
      <c r="N149" s="357">
        <v>0</v>
      </c>
      <c r="O149" s="357">
        <v>1</v>
      </c>
      <c r="P149" s="357">
        <v>0</v>
      </c>
      <c r="Q149" s="358">
        <v>0.35167583791895946</v>
      </c>
      <c r="R149" s="359">
        <v>2.2898666666666667</v>
      </c>
      <c r="S149" s="196">
        <v>7800926000</v>
      </c>
      <c r="T149" s="196">
        <v>118800000</v>
      </c>
      <c r="U149" s="200">
        <f t="shared" si="28"/>
        <v>15681600000</v>
      </c>
      <c r="V149" s="196">
        <v>393000000</v>
      </c>
      <c r="W149" s="196">
        <v>5366000000</v>
      </c>
      <c r="X149" s="196">
        <v>5819000000</v>
      </c>
      <c r="Y149" s="196">
        <v>10103000000</v>
      </c>
      <c r="Z149" s="196">
        <v>535000000</v>
      </c>
      <c r="AA149" s="198">
        <v>0.04</v>
      </c>
      <c r="AB149" s="198">
        <v>0.04</v>
      </c>
      <c r="AC149" s="213">
        <f t="shared" si="29"/>
        <v>337</v>
      </c>
      <c r="AD149" s="213">
        <f t="shared" si="30"/>
        <v>228</v>
      </c>
      <c r="AE149" s="213">
        <v>2.76</v>
      </c>
      <c r="AF149" s="196">
        <v>618000000</v>
      </c>
      <c r="AG149" s="104">
        <f t="shared" si="31"/>
        <v>5.2020202020202024</v>
      </c>
      <c r="AH149" s="104">
        <f t="shared" si="32"/>
        <v>1.5725190839694656</v>
      </c>
      <c r="AI149" s="195">
        <v>4.0199999999999996</v>
      </c>
    </row>
    <row r="150" spans="1:48">
      <c r="A150">
        <v>1590</v>
      </c>
      <c r="C150" s="107">
        <f>VLOOKUP(1590,收盤價!$A:$C,3,0)</f>
        <v>268</v>
      </c>
      <c r="D150" s="107">
        <f t="shared" si="22"/>
        <v>19.822485207100591</v>
      </c>
      <c r="E150" s="167">
        <f t="shared" si="23"/>
        <v>5</v>
      </c>
      <c r="F150" s="104">
        <f t="shared" si="24"/>
        <v>4.8883077917926521</v>
      </c>
      <c r="G150" s="167">
        <f>RANK(0.84,AE:AE,0)</f>
        <v>946</v>
      </c>
      <c r="H150" s="365">
        <f t="shared" si="25"/>
        <v>-1.3128491620111731</v>
      </c>
      <c r="I150" s="213">
        <f t="shared" si="26"/>
        <v>398</v>
      </c>
      <c r="J150" s="213">
        <f t="shared" si="27"/>
        <v>768</v>
      </c>
      <c r="K150">
        <f>RANK(1.34,AI:AI,0)</f>
        <v>655</v>
      </c>
      <c r="L150" s="357">
        <v>1</v>
      </c>
      <c r="M150" s="357">
        <v>1</v>
      </c>
      <c r="N150" s="357">
        <v>2</v>
      </c>
      <c r="O150" s="357">
        <v>1</v>
      </c>
      <c r="P150" s="357">
        <v>0</v>
      </c>
      <c r="Q150" s="358">
        <v>0.51127819548872178</v>
      </c>
      <c r="R150" s="359">
        <v>3.38</v>
      </c>
      <c r="S150" s="196">
        <v>9813621000</v>
      </c>
      <c r="T150" s="196">
        <v>179000000</v>
      </c>
      <c r="U150" s="200">
        <f t="shared" si="28"/>
        <v>47972000000</v>
      </c>
      <c r="V150" s="196">
        <v>0</v>
      </c>
      <c r="W150" s="196">
        <v>0</v>
      </c>
      <c r="X150" s="196">
        <v>12177000000</v>
      </c>
      <c r="Y150" s="196">
        <v>10344000000</v>
      </c>
      <c r="Z150" s="196">
        <v>7533000000</v>
      </c>
      <c r="AA150" s="198">
        <v>0</v>
      </c>
      <c r="AB150" s="198">
        <v>0</v>
      </c>
      <c r="AC150" s="213">
        <f t="shared" si="29"/>
        <v>945</v>
      </c>
      <c r="AD150" s="213">
        <f t="shared" si="30"/>
        <v>911</v>
      </c>
      <c r="AE150" s="213">
        <v>0.84</v>
      </c>
      <c r="AF150" s="196">
        <v>235000000</v>
      </c>
      <c r="AG150" s="104">
        <f t="shared" si="31"/>
        <v>1.3128491620111731</v>
      </c>
      <c r="AH150" s="104">
        <f t="shared" si="32"/>
        <v>0</v>
      </c>
      <c r="AI150" s="195">
        <v>1.34</v>
      </c>
      <c r="AO150" s="213"/>
      <c r="AP150" s="213"/>
      <c r="AQ150" s="213"/>
      <c r="AR150" s="213"/>
      <c r="AS150" s="213"/>
      <c r="AT150" s="213"/>
      <c r="AU150" s="213"/>
      <c r="AV150" s="213"/>
    </row>
    <row r="151" spans="1:48">
      <c r="A151">
        <v>1591</v>
      </c>
      <c r="C151" s="107">
        <f>VLOOKUP(1591,收盤價!$A:$C,3,0)</f>
        <v>28.3</v>
      </c>
      <c r="D151" s="107">
        <f t="shared" si="22"/>
        <v>13.349056603773585</v>
      </c>
      <c r="E151" s="167">
        <f t="shared" si="23"/>
        <v>3</v>
      </c>
      <c r="F151" s="104">
        <f t="shared" si="24"/>
        <v>1.7270196680297707</v>
      </c>
      <c r="G151" s="167">
        <f>RANK(3.28,AE:AE,0)</f>
        <v>256</v>
      </c>
      <c r="H151" s="365">
        <f t="shared" si="25"/>
        <v>0.83056478405315615</v>
      </c>
      <c r="I151" s="213">
        <f t="shared" si="26"/>
        <v>1418</v>
      </c>
      <c r="J151" s="213">
        <f t="shared" si="27"/>
        <v>768</v>
      </c>
      <c r="K151">
        <f>RANK(0.71,AI:AI,0)</f>
        <v>1412</v>
      </c>
      <c r="L151" s="357">
        <v>1</v>
      </c>
      <c r="M151" s="357">
        <v>1</v>
      </c>
      <c r="N151" s="357">
        <v>1</v>
      </c>
      <c r="O151" s="357">
        <v>0</v>
      </c>
      <c r="P151" s="357">
        <v>0</v>
      </c>
      <c r="Q151" s="358">
        <v>0.27407407407407408</v>
      </c>
      <c r="R151" s="359">
        <v>0.53</v>
      </c>
      <c r="S151" s="196">
        <v>493237000</v>
      </c>
      <c r="T151" s="196">
        <v>30100000</v>
      </c>
      <c r="U151" s="200">
        <f t="shared" si="28"/>
        <v>851830000</v>
      </c>
      <c r="V151" s="196">
        <v>22000000</v>
      </c>
      <c r="W151" s="196">
        <v>39000000</v>
      </c>
      <c r="X151" s="196">
        <v>427000000</v>
      </c>
      <c r="Y151" s="196">
        <v>381000000</v>
      </c>
      <c r="Z151" s="196">
        <v>167000000</v>
      </c>
      <c r="AA151" s="198">
        <v>0.05</v>
      </c>
      <c r="AB151" s="198">
        <v>0.04</v>
      </c>
      <c r="AC151" s="213">
        <f t="shared" si="29"/>
        <v>247</v>
      </c>
      <c r="AD151" s="213">
        <f t="shared" si="30"/>
        <v>228</v>
      </c>
      <c r="AE151" s="213">
        <v>3.28</v>
      </c>
      <c r="AF151" s="196">
        <v>-25000000</v>
      </c>
      <c r="AG151" s="104">
        <f t="shared" si="31"/>
        <v>-0.83056478405315615</v>
      </c>
      <c r="AH151" s="104">
        <f t="shared" si="32"/>
        <v>0</v>
      </c>
      <c r="AI151" s="195">
        <v>0.71</v>
      </c>
    </row>
    <row r="152" spans="1:48">
      <c r="A152">
        <v>1592</v>
      </c>
      <c r="C152" s="107">
        <f>VLOOKUP(1592,收盤價!$A:$C,3,0)</f>
        <v>46.4</v>
      </c>
      <c r="D152" s="107">
        <f t="shared" si="22"/>
        <v>8.6925064599483193</v>
      </c>
      <c r="E152" s="167">
        <f t="shared" si="23"/>
        <v>3</v>
      </c>
      <c r="F152" s="104">
        <f t="shared" si="24"/>
        <v>0.85007799048056298</v>
      </c>
      <c r="G152" s="167">
        <f>RANK(4.3,AE:AE,0)</f>
        <v>200</v>
      </c>
      <c r="H152" s="365">
        <f t="shared" si="25"/>
        <v>-1.2938675918336224</v>
      </c>
      <c r="I152" s="213">
        <f t="shared" si="26"/>
        <v>169</v>
      </c>
      <c r="J152" s="213">
        <f t="shared" si="27"/>
        <v>462</v>
      </c>
      <c r="K152">
        <f>RANK(2.47,AI:AI,0)</f>
        <v>244</v>
      </c>
      <c r="L152" s="357">
        <v>1</v>
      </c>
      <c r="M152" s="357">
        <v>1</v>
      </c>
      <c r="N152" s="357">
        <v>0</v>
      </c>
      <c r="O152" s="357">
        <v>1</v>
      </c>
      <c r="P152" s="357">
        <v>0</v>
      </c>
      <c r="Q152" s="358">
        <v>0.34912891986062716</v>
      </c>
      <c r="R152" s="359">
        <v>1.3344827586206898</v>
      </c>
      <c r="S152" s="196">
        <v>5480156000</v>
      </c>
      <c r="T152" s="196">
        <v>100400000</v>
      </c>
      <c r="U152" s="200">
        <f t="shared" si="28"/>
        <v>4658560000</v>
      </c>
      <c r="V152" s="196">
        <v>209000000</v>
      </c>
      <c r="W152" s="196">
        <v>300000000</v>
      </c>
      <c r="X152" s="196">
        <v>2741000000</v>
      </c>
      <c r="Y152" s="196">
        <v>3067000000</v>
      </c>
      <c r="Z152" s="196">
        <v>2026000000</v>
      </c>
      <c r="AA152" s="198">
        <v>7.0000000000000007E-2</v>
      </c>
      <c r="AB152" s="198">
        <v>0.04</v>
      </c>
      <c r="AC152" s="213">
        <f t="shared" si="29"/>
        <v>134</v>
      </c>
      <c r="AD152" s="213">
        <f t="shared" si="30"/>
        <v>228</v>
      </c>
      <c r="AE152" s="213">
        <v>4.3</v>
      </c>
      <c r="AF152" s="196">
        <v>250000000</v>
      </c>
      <c r="AG152" s="104">
        <f t="shared" si="31"/>
        <v>2.4900398406374502</v>
      </c>
      <c r="AH152" s="104">
        <f t="shared" si="32"/>
        <v>1.1961722488038278</v>
      </c>
      <c r="AI152" s="195">
        <v>2.4700000000000002</v>
      </c>
      <c r="AO152" s="213"/>
      <c r="AP152" s="213"/>
      <c r="AQ152" s="213"/>
      <c r="AR152" s="213"/>
      <c r="AS152" s="213"/>
      <c r="AT152" s="213"/>
      <c r="AU152" s="213"/>
      <c r="AV152" s="213"/>
    </row>
    <row r="153" spans="1:48">
      <c r="A153">
        <v>1593</v>
      </c>
      <c r="C153" s="107">
        <f>VLOOKUP(1593,收盤價!$A:$C,3,0)</f>
        <v>38.25</v>
      </c>
      <c r="D153" s="107">
        <f t="shared" si="22"/>
        <v>11.028180803571429</v>
      </c>
      <c r="E153" s="167">
        <f t="shared" si="23"/>
        <v>4</v>
      </c>
      <c r="F153" s="104">
        <f t="shared" si="24"/>
        <v>1.3914133895513285</v>
      </c>
      <c r="G153" s="167">
        <f>RANK(3.28,AE:AE,0)</f>
        <v>256</v>
      </c>
      <c r="H153" s="365">
        <f t="shared" si="25"/>
        <v>-4.9092409240924062E-2</v>
      </c>
      <c r="I153" s="213">
        <f t="shared" si="26"/>
        <v>550</v>
      </c>
      <c r="J153" s="213">
        <f t="shared" si="27"/>
        <v>568</v>
      </c>
      <c r="K153">
        <f>RANK(1.39,AI:AI,0)</f>
        <v>634</v>
      </c>
      <c r="L153" s="357">
        <v>0</v>
      </c>
      <c r="M153" s="357">
        <v>1</v>
      </c>
      <c r="N153" s="357">
        <v>2</v>
      </c>
      <c r="O153" s="357">
        <v>1</v>
      </c>
      <c r="P153" s="357">
        <v>0</v>
      </c>
      <c r="Q153" s="358">
        <v>0.3165829145728643</v>
      </c>
      <c r="R153" s="359">
        <v>0.86709677419354836</v>
      </c>
      <c r="S153" s="196">
        <v>832948000</v>
      </c>
      <c r="T153" s="196">
        <v>30300000</v>
      </c>
      <c r="U153" s="200">
        <f t="shared" si="28"/>
        <v>1158975000</v>
      </c>
      <c r="V153" s="196">
        <v>32000000</v>
      </c>
      <c r="W153" s="196">
        <v>450000000</v>
      </c>
      <c r="X153" s="196">
        <v>258000000</v>
      </c>
      <c r="Y153" s="196">
        <v>741000000</v>
      </c>
      <c r="Z153" s="196">
        <v>58000000</v>
      </c>
      <c r="AA153" s="198">
        <v>0.05</v>
      </c>
      <c r="AB153" s="198">
        <v>0.04</v>
      </c>
      <c r="AC153" s="213">
        <f t="shared" si="29"/>
        <v>247</v>
      </c>
      <c r="AD153" s="213">
        <f t="shared" si="30"/>
        <v>228</v>
      </c>
      <c r="AE153" s="213">
        <v>3.28</v>
      </c>
      <c r="AF153" s="196">
        <v>28000000</v>
      </c>
      <c r="AG153" s="104">
        <f t="shared" si="31"/>
        <v>0.92409240924092406</v>
      </c>
      <c r="AH153" s="104">
        <f t="shared" si="32"/>
        <v>0.875</v>
      </c>
      <c r="AI153" s="195">
        <v>1.39</v>
      </c>
      <c r="AO153" s="213"/>
      <c r="AP153" s="213"/>
      <c r="AQ153" s="213"/>
      <c r="AR153" s="213"/>
      <c r="AS153" s="213"/>
      <c r="AT153" s="213"/>
      <c r="AU153" s="213"/>
      <c r="AV153" s="213"/>
    </row>
    <row r="154" spans="1:48">
      <c r="A154">
        <v>1595</v>
      </c>
      <c r="C154" s="107">
        <f>VLOOKUP(1595,收盤價!$A:$C,3,0)</f>
        <v>38.799999999999997</v>
      </c>
      <c r="D154" s="107">
        <f t="shared" si="22"/>
        <v>0</v>
      </c>
      <c r="E154" s="167">
        <f t="shared" si="23"/>
        <v>2</v>
      </c>
      <c r="F154" s="104">
        <f t="shared" si="24"/>
        <v>1.9637373732089705</v>
      </c>
      <c r="G154" s="167">
        <f>RANK(1.41,AE:AE,0)</f>
        <v>618</v>
      </c>
      <c r="H154" s="365">
        <f t="shared" si="25"/>
        <v>0.17209302325581399</v>
      </c>
      <c r="I154" s="213">
        <f t="shared" si="26"/>
        <v>307</v>
      </c>
      <c r="J154" s="213">
        <f t="shared" si="27"/>
        <v>299</v>
      </c>
      <c r="K154">
        <f>RANK(2.57,AI:AI,0)</f>
        <v>222</v>
      </c>
      <c r="L154" s="357">
        <v>0</v>
      </c>
      <c r="M154" s="357">
        <v>1</v>
      </c>
      <c r="N154" s="357">
        <v>0</v>
      </c>
      <c r="O154" s="357">
        <v>1</v>
      </c>
      <c r="P154" s="357">
        <v>0</v>
      </c>
      <c r="Q154" s="358">
        <v>0.36633663366336633</v>
      </c>
      <c r="R154" s="359">
        <v>0</v>
      </c>
      <c r="S154" s="196">
        <v>764644000</v>
      </c>
      <c r="T154" s="196">
        <v>38700000</v>
      </c>
      <c r="U154" s="200">
        <f t="shared" si="28"/>
        <v>1501560000</v>
      </c>
      <c r="V154" s="196">
        <v>35000000</v>
      </c>
      <c r="W154" s="196">
        <v>1268000000</v>
      </c>
      <c r="X154" s="196">
        <v>505000000</v>
      </c>
      <c r="Y154" s="196">
        <v>1810000000</v>
      </c>
      <c r="Z154" s="196">
        <v>80000000</v>
      </c>
      <c r="AA154" s="198">
        <v>0.02</v>
      </c>
      <c r="AB154" s="198">
        <v>0.02</v>
      </c>
      <c r="AC154" s="213">
        <f t="shared" si="29"/>
        <v>616</v>
      </c>
      <c r="AD154" s="213">
        <f t="shared" si="30"/>
        <v>487</v>
      </c>
      <c r="AE154" s="213">
        <v>1.41</v>
      </c>
      <c r="AF154" s="196">
        <v>63000000</v>
      </c>
      <c r="AG154" s="104">
        <f t="shared" si="31"/>
        <v>1.6279069767441861</v>
      </c>
      <c r="AH154" s="104">
        <f t="shared" si="32"/>
        <v>1.8</v>
      </c>
      <c r="AI154" s="195">
        <v>2.57</v>
      </c>
      <c r="AO154" s="213"/>
      <c r="AP154" s="213"/>
      <c r="AQ154" s="213"/>
      <c r="AR154" s="213"/>
      <c r="AS154" s="213"/>
      <c r="AT154" s="213"/>
      <c r="AU154" s="213"/>
      <c r="AV154" s="213"/>
    </row>
    <row r="155" spans="1:48">
      <c r="A155">
        <v>1597</v>
      </c>
      <c r="C155" s="107">
        <f>VLOOKUP(1597,收盤價!$A:$C,3,0)</f>
        <v>31.85</v>
      </c>
      <c r="D155" s="107">
        <f t="shared" si="22"/>
        <v>11.612633031139143</v>
      </c>
      <c r="E155" s="167">
        <f t="shared" si="23"/>
        <v>3</v>
      </c>
      <c r="F155" s="104">
        <f t="shared" si="24"/>
        <v>1.947456919879859</v>
      </c>
      <c r="G155" s="167">
        <f>RANK(1.94,AE:AE,0)</f>
        <v>435</v>
      </c>
      <c r="H155" s="365">
        <f t="shared" si="25"/>
        <v>0.4847238542890715</v>
      </c>
      <c r="I155" s="213">
        <f t="shared" si="26"/>
        <v>285</v>
      </c>
      <c r="J155" s="213">
        <f t="shared" si="27"/>
        <v>237</v>
      </c>
      <c r="K155">
        <f>RANK(2.98,AI:AI,0)</f>
        <v>169</v>
      </c>
      <c r="L155" s="357">
        <v>0</v>
      </c>
      <c r="M155" s="357">
        <v>1</v>
      </c>
      <c r="N155" s="357">
        <v>1</v>
      </c>
      <c r="O155" s="357">
        <v>1</v>
      </c>
      <c r="P155" s="357">
        <v>0</v>
      </c>
      <c r="Q155" s="358">
        <v>0.36704119850187267</v>
      </c>
      <c r="R155" s="359">
        <v>0.68567567567567556</v>
      </c>
      <c r="S155" s="196">
        <v>968196000</v>
      </c>
      <c r="T155" s="196">
        <v>59200000</v>
      </c>
      <c r="U155" s="200">
        <f t="shared" si="28"/>
        <v>1885520000</v>
      </c>
      <c r="V155" s="196">
        <v>46000000</v>
      </c>
      <c r="W155" s="196">
        <v>715000000</v>
      </c>
      <c r="X155" s="196">
        <v>619000000</v>
      </c>
      <c r="Y155" s="196">
        <v>1336000000</v>
      </c>
      <c r="Z155" s="196">
        <v>302000000</v>
      </c>
      <c r="AA155" s="198">
        <v>0.03</v>
      </c>
      <c r="AB155" s="198">
        <v>0.03</v>
      </c>
      <c r="AC155" s="213">
        <f t="shared" si="29"/>
        <v>469</v>
      </c>
      <c r="AD155" s="213">
        <f t="shared" si="30"/>
        <v>334</v>
      </c>
      <c r="AE155" s="213">
        <v>1.94</v>
      </c>
      <c r="AF155" s="196">
        <v>100000000</v>
      </c>
      <c r="AG155" s="104">
        <f t="shared" si="31"/>
        <v>1.6891891891891893</v>
      </c>
      <c r="AH155" s="104">
        <f t="shared" si="32"/>
        <v>2.1739130434782608</v>
      </c>
      <c r="AI155" s="195">
        <v>2.98</v>
      </c>
    </row>
    <row r="156" spans="1:48">
      <c r="A156">
        <v>1599</v>
      </c>
      <c r="C156" s="107">
        <f>VLOOKUP(1599,收盤價!$A:$C,3,0)</f>
        <v>50.2</v>
      </c>
      <c r="D156" s="107">
        <f t="shared" si="22"/>
        <v>49.296235679214405</v>
      </c>
      <c r="E156" s="167">
        <f t="shared" si="23"/>
        <v>0</v>
      </c>
      <c r="F156" s="104">
        <f t="shared" si="24"/>
        <v>0.86376257885322616</v>
      </c>
      <c r="G156" s="167">
        <f>RANK(1.08,AE:AE,0)</f>
        <v>769</v>
      </c>
      <c r="H156" s="365">
        <f t="shared" si="25"/>
        <v>2.2666666666666666</v>
      </c>
      <c r="I156" s="213">
        <f t="shared" si="26"/>
        <v>1522</v>
      </c>
      <c r="J156" s="213">
        <f t="shared" si="27"/>
        <v>768</v>
      </c>
      <c r="K156">
        <f>RANK(0.68,AI:AI,0)</f>
        <v>1507</v>
      </c>
      <c r="L156" s="357">
        <v>0</v>
      </c>
      <c r="M156" s="357">
        <v>0</v>
      </c>
      <c r="N156" s="357">
        <v>0</v>
      </c>
      <c r="O156" s="357">
        <v>0</v>
      </c>
      <c r="P156" s="357">
        <v>0</v>
      </c>
      <c r="Q156" s="358">
        <v>0.22991071428571427</v>
      </c>
      <c r="R156" s="359">
        <v>0.25458333333333333</v>
      </c>
      <c r="S156" s="196">
        <v>2615302000</v>
      </c>
      <c r="T156" s="196">
        <v>45000000</v>
      </c>
      <c r="U156" s="200">
        <f t="shared" si="28"/>
        <v>2259000000</v>
      </c>
      <c r="V156" s="196">
        <v>13000000</v>
      </c>
      <c r="W156" s="196">
        <v>529000000</v>
      </c>
      <c r="X156" s="196">
        <v>540000000</v>
      </c>
      <c r="Y156" s="196">
        <v>1270000000</v>
      </c>
      <c r="Z156" s="196">
        <v>0</v>
      </c>
      <c r="AA156" s="198">
        <v>0.01</v>
      </c>
      <c r="AB156" s="198">
        <v>0.01</v>
      </c>
      <c r="AC156" s="213">
        <f t="shared" si="29"/>
        <v>769</v>
      </c>
      <c r="AD156" s="213">
        <f t="shared" si="30"/>
        <v>680</v>
      </c>
      <c r="AE156" s="213">
        <v>1.08</v>
      </c>
      <c r="AF156" s="196">
        <v>-102000000</v>
      </c>
      <c r="AG156" s="104">
        <f t="shared" si="31"/>
        <v>-2.2666666666666666</v>
      </c>
      <c r="AH156" s="104">
        <f t="shared" si="32"/>
        <v>0</v>
      </c>
      <c r="AI156" s="195">
        <v>0.68</v>
      </c>
      <c r="AO156" s="213"/>
      <c r="AP156" s="213"/>
      <c r="AS156" s="213"/>
    </row>
    <row r="157" spans="1:48">
      <c r="A157">
        <v>1603</v>
      </c>
      <c r="C157" s="107">
        <f>VLOOKUP(1603,收盤價!$A:$C,3,0)</f>
        <v>14.8</v>
      </c>
      <c r="D157" s="107">
        <f t="shared" si="22"/>
        <v>15.651676829268293</v>
      </c>
      <c r="E157" s="167">
        <f t="shared" si="23"/>
        <v>1</v>
      </c>
      <c r="F157" s="104">
        <f t="shared" si="24"/>
        <v>1.3197174695232363</v>
      </c>
      <c r="G157" s="167">
        <f>RANK(1.2,AE:AE,0)</f>
        <v>710</v>
      </c>
      <c r="H157" s="365">
        <f t="shared" si="25"/>
        <v>0.43462381300219138</v>
      </c>
      <c r="I157" s="213">
        <f t="shared" si="26"/>
        <v>1326</v>
      </c>
      <c r="J157" s="213">
        <f t="shared" si="27"/>
        <v>768</v>
      </c>
      <c r="K157">
        <f>RANK(0.74,AI:AI,0)</f>
        <v>1324</v>
      </c>
      <c r="L157" s="357">
        <v>0</v>
      </c>
      <c r="M157" s="357">
        <v>1</v>
      </c>
      <c r="N157" s="357">
        <v>0</v>
      </c>
      <c r="O157" s="357">
        <v>0</v>
      </c>
      <c r="P157" s="357">
        <v>0</v>
      </c>
      <c r="Q157" s="358">
        <v>0.15683646112600536</v>
      </c>
      <c r="R157" s="359">
        <v>0.2363963963963964</v>
      </c>
      <c r="S157" s="196">
        <v>3070536000</v>
      </c>
      <c r="T157" s="196">
        <v>273800000</v>
      </c>
      <c r="U157" s="200">
        <f t="shared" si="28"/>
        <v>4052240000</v>
      </c>
      <c r="V157" s="196">
        <v>86000000</v>
      </c>
      <c r="W157" s="196">
        <v>1220000000</v>
      </c>
      <c r="X157" s="196">
        <v>3143000000</v>
      </c>
      <c r="Y157" s="196">
        <v>5279000000</v>
      </c>
      <c r="Z157" s="196">
        <v>1420000000</v>
      </c>
      <c r="AA157" s="198">
        <v>0.02</v>
      </c>
      <c r="AB157" s="198">
        <v>0.01</v>
      </c>
      <c r="AC157" s="213">
        <f t="shared" si="29"/>
        <v>616</v>
      </c>
      <c r="AD157" s="213">
        <f t="shared" si="30"/>
        <v>680</v>
      </c>
      <c r="AE157" s="213">
        <v>1.2</v>
      </c>
      <c r="AF157" s="196">
        <v>-119000000</v>
      </c>
      <c r="AG157" s="104">
        <f t="shared" si="31"/>
        <v>-0.43462381300219138</v>
      </c>
      <c r="AH157" s="104">
        <f t="shared" si="32"/>
        <v>0</v>
      </c>
      <c r="AI157" s="195">
        <v>0.74</v>
      </c>
      <c r="AN157" t="s">
        <v>110</v>
      </c>
      <c r="AO157" s="33">
        <v>0</v>
      </c>
      <c r="AP157" s="33">
        <v>0</v>
      </c>
      <c r="AQ157" s="33">
        <v>0</v>
      </c>
      <c r="AR157" s="33">
        <v>0</v>
      </c>
      <c r="AS157" s="33">
        <v>0</v>
      </c>
      <c r="AT157" s="33">
        <v>0</v>
      </c>
      <c r="AU157" s="33">
        <v>0</v>
      </c>
      <c r="AV157" s="33">
        <v>0</v>
      </c>
    </row>
    <row r="158" spans="1:48">
      <c r="A158">
        <v>1604</v>
      </c>
      <c r="C158" s="107">
        <f>VLOOKUP(1604,收盤價!$A:$C,3,0)</f>
        <v>20.45</v>
      </c>
      <c r="D158" s="107">
        <f t="shared" si="22"/>
        <v>20.127952755905511</v>
      </c>
      <c r="E158" s="167">
        <f t="shared" si="23"/>
        <v>5</v>
      </c>
      <c r="F158" s="104">
        <f t="shared" si="24"/>
        <v>1.061797321101059</v>
      </c>
      <c r="G158" s="167">
        <f>RANK(1.41,AE:AE,0)</f>
        <v>618</v>
      </c>
      <c r="H158" s="365">
        <f t="shared" si="25"/>
        <v>1.3333333333333334E-2</v>
      </c>
      <c r="I158" s="213">
        <f t="shared" si="26"/>
        <v>1078</v>
      </c>
      <c r="J158" s="213">
        <f t="shared" si="27"/>
        <v>768</v>
      </c>
      <c r="K158">
        <f>RANK(0.84,AI:AI,0)</f>
        <v>1076</v>
      </c>
      <c r="L158" s="357">
        <v>1</v>
      </c>
      <c r="M158" s="357">
        <v>1</v>
      </c>
      <c r="N158" s="357">
        <v>2</v>
      </c>
      <c r="O158" s="357">
        <v>0</v>
      </c>
      <c r="P158" s="357">
        <v>1</v>
      </c>
      <c r="Q158" s="358">
        <v>0.29460201280878318</v>
      </c>
      <c r="R158" s="359">
        <v>0.254</v>
      </c>
      <c r="S158" s="196">
        <v>10111393000</v>
      </c>
      <c r="T158" s="196">
        <v>525000000</v>
      </c>
      <c r="U158" s="200">
        <f t="shared" si="28"/>
        <v>10736250000</v>
      </c>
      <c r="V158" s="196">
        <v>130000000</v>
      </c>
      <c r="W158" s="196">
        <v>1729000000</v>
      </c>
      <c r="X158" s="196">
        <v>4288000000</v>
      </c>
      <c r="Y158" s="196">
        <v>7303000000</v>
      </c>
      <c r="Z158" s="196">
        <v>550000000</v>
      </c>
      <c r="AA158" s="198">
        <v>0.02</v>
      </c>
      <c r="AB158" s="198">
        <v>0.02</v>
      </c>
      <c r="AC158" s="213">
        <f t="shared" si="29"/>
        <v>616</v>
      </c>
      <c r="AD158" s="213">
        <f t="shared" si="30"/>
        <v>487</v>
      </c>
      <c r="AE158" s="213">
        <v>1.41</v>
      </c>
      <c r="AF158" s="196">
        <v>-7000000</v>
      </c>
      <c r="AG158" s="104">
        <f t="shared" si="31"/>
        <v>-1.3333333333333334E-2</v>
      </c>
      <c r="AH158" s="104">
        <f t="shared" si="32"/>
        <v>0</v>
      </c>
      <c r="AI158" s="195">
        <v>0.84</v>
      </c>
      <c r="AN158" t="s">
        <v>112</v>
      </c>
      <c r="AO158" s="33">
        <v>0</v>
      </c>
      <c r="AP158" s="33">
        <v>0</v>
      </c>
      <c r="AQ158" s="33">
        <v>0</v>
      </c>
      <c r="AR158" s="33">
        <v>0</v>
      </c>
      <c r="AS158" s="33">
        <v>0</v>
      </c>
      <c r="AT158" s="33">
        <v>0</v>
      </c>
      <c r="AU158" s="33">
        <v>0</v>
      </c>
      <c r="AV158" s="33">
        <v>0</v>
      </c>
    </row>
    <row r="159" spans="1:48">
      <c r="A159">
        <v>1605</v>
      </c>
      <c r="C159" s="107">
        <f>VLOOKUP(1605,收盤價!$A:$C,3,0)</f>
        <v>10.35</v>
      </c>
      <c r="D159" s="107">
        <f t="shared" si="22"/>
        <v>8.6193331143232594</v>
      </c>
      <c r="E159" s="167">
        <f t="shared" si="23"/>
        <v>3</v>
      </c>
      <c r="F159" s="104">
        <f t="shared" si="24"/>
        <v>0.26648001823937634</v>
      </c>
      <c r="G159" s="167">
        <f>RANK(1.63,AE:AE,0)</f>
        <v>551</v>
      </c>
      <c r="H159" s="365">
        <f t="shared" si="25"/>
        <v>2.4958343585697031</v>
      </c>
      <c r="I159" s="213">
        <f t="shared" si="26"/>
        <v>232</v>
      </c>
      <c r="J159" s="213">
        <f t="shared" si="27"/>
        <v>92</v>
      </c>
      <c r="K159">
        <f>RANK(4.81,AI:AI,0)</f>
        <v>71</v>
      </c>
      <c r="L159" s="357">
        <v>0</v>
      </c>
      <c r="M159" s="357">
        <v>1</v>
      </c>
      <c r="N159" s="357">
        <v>1</v>
      </c>
      <c r="O159" s="357">
        <v>1</v>
      </c>
      <c r="P159" s="357">
        <v>0</v>
      </c>
      <c r="Q159" s="358">
        <v>7.2820684648461489E-2</v>
      </c>
      <c r="R159" s="359">
        <v>0.30019723865877707</v>
      </c>
      <c r="S159" s="196">
        <v>138890714000</v>
      </c>
      <c r="T159" s="196">
        <v>3576000000</v>
      </c>
      <c r="U159" s="200">
        <f t="shared" si="28"/>
        <v>37011600000</v>
      </c>
      <c r="V159" s="196">
        <v>1582000000</v>
      </c>
      <c r="W159" s="196">
        <v>31545000000</v>
      </c>
      <c r="X159" s="196">
        <v>17944000000</v>
      </c>
      <c r="Y159" s="196">
        <v>63541000000</v>
      </c>
      <c r="Z159" s="196">
        <v>8303000000</v>
      </c>
      <c r="AA159" s="198">
        <v>0.03</v>
      </c>
      <c r="AB159" s="198">
        <v>0.02</v>
      </c>
      <c r="AC159" s="213">
        <f t="shared" si="29"/>
        <v>469</v>
      </c>
      <c r="AD159" s="213">
        <f t="shared" si="30"/>
        <v>487</v>
      </c>
      <c r="AE159" s="213">
        <v>1.63</v>
      </c>
      <c r="AF159" s="196">
        <v>7081000000</v>
      </c>
      <c r="AG159" s="104">
        <f t="shared" si="31"/>
        <v>1.9801454138702461</v>
      </c>
      <c r="AH159" s="104">
        <f t="shared" si="32"/>
        <v>4.475979772439949</v>
      </c>
      <c r="AI159" s="195">
        <v>4.8099999999999996</v>
      </c>
      <c r="AN159" t="s">
        <v>17</v>
      </c>
      <c r="AO159" s="33">
        <v>35</v>
      </c>
      <c r="AP159" s="33">
        <v>60</v>
      </c>
      <c r="AQ159" s="33">
        <v>-66</v>
      </c>
      <c r="AR159" s="33">
        <v>82</v>
      </c>
      <c r="AS159" s="33">
        <v>12</v>
      </c>
      <c r="AT159" s="33">
        <v>247</v>
      </c>
      <c r="AU159" s="33">
        <v>-306</v>
      </c>
      <c r="AV159" s="33">
        <v>79</v>
      </c>
    </row>
    <row r="160" spans="1:48">
      <c r="A160">
        <v>1608</v>
      </c>
      <c r="C160" s="107">
        <f>VLOOKUP(1608,收盤價!$A:$C,3,0)</f>
        <v>7.9</v>
      </c>
      <c r="D160" s="107">
        <f t="shared" si="22"/>
        <v>0</v>
      </c>
      <c r="E160" s="167">
        <f t="shared" si="23"/>
        <v>0</v>
      </c>
      <c r="F160" s="104">
        <f t="shared" si="24"/>
        <v>0.66846470754201037</v>
      </c>
      <c r="G160" s="167">
        <f>RANK(0.84,AE:AE,0)</f>
        <v>946</v>
      </c>
      <c r="H160" s="365">
        <f t="shared" si="25"/>
        <v>1.8160556257901392</v>
      </c>
      <c r="I160" s="213">
        <f t="shared" si="26"/>
        <v>1040</v>
      </c>
      <c r="J160" s="213">
        <f t="shared" si="27"/>
        <v>288</v>
      </c>
      <c r="K160">
        <f>RANK(1.17,AI:AI,0)</f>
        <v>743</v>
      </c>
      <c r="L160" s="357">
        <v>0</v>
      </c>
      <c r="M160" s="357">
        <v>0</v>
      </c>
      <c r="N160" s="357">
        <v>0</v>
      </c>
      <c r="O160" s="357">
        <v>0</v>
      </c>
      <c r="P160" s="357">
        <v>0</v>
      </c>
      <c r="Q160" s="358">
        <v>2.9109589041095889E-2</v>
      </c>
      <c r="R160" s="359">
        <v>0</v>
      </c>
      <c r="S160" s="196">
        <v>7478510000</v>
      </c>
      <c r="T160" s="196">
        <v>632800000</v>
      </c>
      <c r="U160" s="200">
        <f t="shared" si="28"/>
        <v>4999120000</v>
      </c>
      <c r="V160" s="196">
        <v>14000000</v>
      </c>
      <c r="W160" s="196">
        <v>2063000000</v>
      </c>
      <c r="X160" s="196">
        <v>3095000000</v>
      </c>
      <c r="Y160" s="196">
        <v>7734000000</v>
      </c>
      <c r="Z160" s="196">
        <v>3067000000</v>
      </c>
      <c r="AA160" s="198">
        <v>0</v>
      </c>
      <c r="AB160" s="198">
        <v>0</v>
      </c>
      <c r="AC160" s="213">
        <f t="shared" si="29"/>
        <v>945</v>
      </c>
      <c r="AD160" s="213">
        <f t="shared" si="30"/>
        <v>911</v>
      </c>
      <c r="AE160" s="213">
        <v>0.84</v>
      </c>
      <c r="AF160" s="196">
        <v>26000000</v>
      </c>
      <c r="AG160" s="104">
        <f t="shared" si="31"/>
        <v>4.1087231352718079E-2</v>
      </c>
      <c r="AH160" s="104">
        <f t="shared" si="32"/>
        <v>1.8571428571428572</v>
      </c>
      <c r="AI160" s="195">
        <v>1.17</v>
      </c>
    </row>
    <row r="161" spans="1:48">
      <c r="A161">
        <v>1609</v>
      </c>
      <c r="C161" s="107">
        <f>VLOOKUP(1609,收盤價!$A:$C,3,0)</f>
        <v>5.18</v>
      </c>
      <c r="D161" s="107">
        <f t="shared" si="22"/>
        <v>22.442622950819668</v>
      </c>
      <c r="E161" s="167">
        <f t="shared" si="23"/>
        <v>2</v>
      </c>
      <c r="F161" s="104">
        <f t="shared" si="24"/>
        <v>0.20396117355729274</v>
      </c>
      <c r="G161" s="167">
        <f>RANK(1.2,AE:AE,0)</f>
        <v>710</v>
      </c>
      <c r="H161" s="365">
        <f t="shared" si="25"/>
        <v>0.753233135267389</v>
      </c>
      <c r="I161" s="213">
        <f t="shared" si="26"/>
        <v>1399</v>
      </c>
      <c r="J161" s="213">
        <f t="shared" si="27"/>
        <v>768</v>
      </c>
      <c r="K161">
        <f>RANK(0.72,AI:AI,0)</f>
        <v>1381</v>
      </c>
      <c r="L161" s="357">
        <v>0</v>
      </c>
      <c r="M161" s="357">
        <v>1</v>
      </c>
      <c r="N161" s="357">
        <v>1</v>
      </c>
      <c r="O161" s="357">
        <v>0</v>
      </c>
      <c r="P161" s="357">
        <v>0</v>
      </c>
      <c r="Q161" s="358">
        <v>7.2697458321945893E-2</v>
      </c>
      <c r="R161" s="359">
        <v>5.770270270270271E-2</v>
      </c>
      <c r="S161" s="196">
        <v>14532158000</v>
      </c>
      <c r="T161" s="196">
        <v>572200000</v>
      </c>
      <c r="U161" s="200">
        <f t="shared" si="28"/>
        <v>2963996000</v>
      </c>
      <c r="V161" s="196">
        <v>103000000</v>
      </c>
      <c r="W161" s="196">
        <v>2140000000</v>
      </c>
      <c r="X161" s="196">
        <v>3677000000</v>
      </c>
      <c r="Y161" s="196">
        <v>7265000000</v>
      </c>
      <c r="Z161" s="196">
        <v>6698000000</v>
      </c>
      <c r="AA161" s="198">
        <v>0.02</v>
      </c>
      <c r="AB161" s="198">
        <v>0.01</v>
      </c>
      <c r="AC161" s="213">
        <f t="shared" si="29"/>
        <v>616</v>
      </c>
      <c r="AD161" s="213">
        <f t="shared" si="30"/>
        <v>680</v>
      </c>
      <c r="AE161" s="213">
        <v>1.2</v>
      </c>
      <c r="AF161" s="196">
        <v>-431000000</v>
      </c>
      <c r="AG161" s="104">
        <f t="shared" si="31"/>
        <v>-0.753233135267389</v>
      </c>
      <c r="AH161" s="104">
        <f t="shared" si="32"/>
        <v>0</v>
      </c>
      <c r="AI161" s="195">
        <v>0.72</v>
      </c>
    </row>
    <row r="162" spans="1:48">
      <c r="A162">
        <v>1611</v>
      </c>
      <c r="C162" s="107">
        <f>VLOOKUP(1611,收盤價!$A:$C,3,0)</f>
        <v>8.64</v>
      </c>
      <c r="D162" s="107">
        <f t="shared" si="22"/>
        <v>0</v>
      </c>
      <c r="E162" s="167">
        <f t="shared" si="23"/>
        <v>2</v>
      </c>
      <c r="F162" s="104">
        <f t="shared" si="24"/>
        <v>1.2875412996470104</v>
      </c>
      <c r="G162" s="167">
        <f>RANK(0.84,AE:AE,0)</f>
        <v>946</v>
      </c>
      <c r="H162" s="365">
        <f t="shared" si="25"/>
        <v>1.1849397590361446</v>
      </c>
      <c r="I162" s="213">
        <f t="shared" si="26"/>
        <v>1056</v>
      </c>
      <c r="J162" s="213">
        <f t="shared" si="27"/>
        <v>460</v>
      </c>
      <c r="K162">
        <f>RANK(1.03,AI:AI,0)</f>
        <v>851</v>
      </c>
      <c r="L162" s="357">
        <v>0</v>
      </c>
      <c r="M162" s="357">
        <v>1</v>
      </c>
      <c r="N162" s="357">
        <v>0</v>
      </c>
      <c r="O162" s="357">
        <v>1</v>
      </c>
      <c r="P162" s="357">
        <v>0</v>
      </c>
      <c r="Q162" s="358">
        <v>0.23148148148148148</v>
      </c>
      <c r="R162" s="359">
        <v>0</v>
      </c>
      <c r="S162" s="196">
        <v>2673449000</v>
      </c>
      <c r="T162" s="196">
        <v>398400000</v>
      </c>
      <c r="U162" s="200">
        <f t="shared" si="28"/>
        <v>3442176000</v>
      </c>
      <c r="V162" s="196">
        <v>5000000</v>
      </c>
      <c r="W162" s="196">
        <v>915000000</v>
      </c>
      <c r="X162" s="196">
        <v>2257000000</v>
      </c>
      <c r="Y162" s="196">
        <v>5129000000</v>
      </c>
      <c r="Z162" s="196">
        <v>1410000000</v>
      </c>
      <c r="AA162" s="198">
        <v>0</v>
      </c>
      <c r="AB162" s="198">
        <v>0</v>
      </c>
      <c r="AC162" s="213">
        <f t="shared" si="29"/>
        <v>945</v>
      </c>
      <c r="AD162" s="213">
        <f t="shared" si="30"/>
        <v>911</v>
      </c>
      <c r="AE162" s="213">
        <v>0.84</v>
      </c>
      <c r="AF162" s="196">
        <v>6000000</v>
      </c>
      <c r="AG162" s="104">
        <f t="shared" si="31"/>
        <v>1.5060240963855422E-2</v>
      </c>
      <c r="AH162" s="104">
        <f t="shared" si="32"/>
        <v>1.2</v>
      </c>
      <c r="AI162" s="195">
        <v>1.03</v>
      </c>
    </row>
    <row r="163" spans="1:48">
      <c r="A163">
        <v>1612</v>
      </c>
      <c r="C163" s="107">
        <f>VLOOKUP(1612,收盤價!$A:$C,3,0)</f>
        <v>8.61</v>
      </c>
      <c r="D163" s="107">
        <f t="shared" si="22"/>
        <v>0</v>
      </c>
      <c r="E163" s="167">
        <f t="shared" si="23"/>
        <v>2</v>
      </c>
      <c r="F163" s="104">
        <f t="shared" si="24"/>
        <v>0.87830236203294965</v>
      </c>
      <c r="G163" s="167">
        <f>RANK(0.93,AE:AE,0)</f>
        <v>920</v>
      </c>
      <c r="H163" s="365">
        <f t="shared" si="25"/>
        <v>0.23093957608351787</v>
      </c>
      <c r="I163" s="213">
        <f t="shared" si="26"/>
        <v>1231</v>
      </c>
      <c r="J163" s="213">
        <f t="shared" si="27"/>
        <v>768</v>
      </c>
      <c r="K163">
        <f>RANK(0.78,AI:AI,0)</f>
        <v>1217</v>
      </c>
      <c r="L163" s="357">
        <v>0</v>
      </c>
      <c r="M163" s="357">
        <v>1</v>
      </c>
      <c r="N163" s="357">
        <v>1</v>
      </c>
      <c r="O163" s="357">
        <v>0</v>
      </c>
      <c r="P163" s="357">
        <v>0</v>
      </c>
      <c r="Q163" s="358">
        <v>7.160493827160494E-2</v>
      </c>
      <c r="R163" s="359">
        <v>0</v>
      </c>
      <c r="S163" s="196">
        <v>3098729000</v>
      </c>
      <c r="T163" s="196">
        <v>316100000</v>
      </c>
      <c r="U163" s="200">
        <f t="shared" si="28"/>
        <v>2721621000</v>
      </c>
      <c r="V163" s="196">
        <v>16000000</v>
      </c>
      <c r="W163" s="196">
        <v>1794000000</v>
      </c>
      <c r="X163" s="196">
        <v>1055000000</v>
      </c>
      <c r="Y163" s="196">
        <v>4387000000</v>
      </c>
      <c r="Z163" s="196">
        <v>31000000</v>
      </c>
      <c r="AA163" s="198">
        <v>0.01</v>
      </c>
      <c r="AB163" s="198">
        <v>0</v>
      </c>
      <c r="AC163" s="213">
        <f t="shared" si="29"/>
        <v>769</v>
      </c>
      <c r="AD163" s="213">
        <f t="shared" si="30"/>
        <v>911</v>
      </c>
      <c r="AE163" s="213">
        <v>0.93</v>
      </c>
      <c r="AF163" s="196">
        <v>-73000000</v>
      </c>
      <c r="AG163" s="104">
        <f t="shared" si="31"/>
        <v>-0.23093957608351787</v>
      </c>
      <c r="AH163" s="104">
        <f t="shared" si="32"/>
        <v>0</v>
      </c>
      <c r="AI163" s="195">
        <v>0.78</v>
      </c>
    </row>
    <row r="164" spans="1:48">
      <c r="A164">
        <v>1613</v>
      </c>
      <c r="C164" s="107">
        <f>VLOOKUP(1613,收盤價!$A:$C,3,0)</f>
        <v>3.1</v>
      </c>
      <c r="D164" s="107">
        <f t="shared" si="22"/>
        <v>3.3020050125313278</v>
      </c>
      <c r="E164" s="167">
        <f t="shared" si="23"/>
        <v>4</v>
      </c>
      <c r="F164" s="104">
        <f t="shared" si="24"/>
        <v>2.4467792128438057E-2</v>
      </c>
      <c r="G164" s="167">
        <f>RANK(2.68,AE:AE,0)</f>
        <v>341</v>
      </c>
      <c r="H164" s="365">
        <f t="shared" si="25"/>
        <v>0.51569858712715844</v>
      </c>
      <c r="I164" s="213">
        <f t="shared" si="26"/>
        <v>105</v>
      </c>
      <c r="J164" s="213">
        <f t="shared" si="27"/>
        <v>121</v>
      </c>
      <c r="K164">
        <f>RANK(6.89,AI:AI,0)</f>
        <v>33</v>
      </c>
      <c r="L164" s="357">
        <v>0</v>
      </c>
      <c r="M164" s="357">
        <v>1</v>
      </c>
      <c r="N164" s="357">
        <v>2</v>
      </c>
      <c r="O164" s="357">
        <v>1</v>
      </c>
      <c r="P164" s="357">
        <v>0</v>
      </c>
      <c r="Q164" s="358">
        <v>3.9286228234278311E-2</v>
      </c>
      <c r="R164" s="359">
        <v>0.23470588235294121</v>
      </c>
      <c r="S164" s="196">
        <v>28823606000</v>
      </c>
      <c r="T164" s="196">
        <v>227500000</v>
      </c>
      <c r="U164" s="200">
        <f t="shared" si="28"/>
        <v>705250000</v>
      </c>
      <c r="V164" s="196">
        <v>196000000</v>
      </c>
      <c r="W164" s="196">
        <v>0</v>
      </c>
      <c r="X164" s="196">
        <v>3638000000</v>
      </c>
      <c r="Y164" s="196">
        <v>1395000000</v>
      </c>
      <c r="Z164" s="196">
        <v>4602000000</v>
      </c>
      <c r="AA164" s="198">
        <v>0.05</v>
      </c>
      <c r="AB164" s="198">
        <v>0.03</v>
      </c>
      <c r="AC164" s="213">
        <f t="shared" si="29"/>
        <v>247</v>
      </c>
      <c r="AD164" s="213">
        <f t="shared" si="30"/>
        <v>334</v>
      </c>
      <c r="AE164" s="213">
        <v>2.68</v>
      </c>
      <c r="AF164" s="196">
        <v>730000000</v>
      </c>
      <c r="AG164" s="104">
        <f t="shared" si="31"/>
        <v>3.2087912087912089</v>
      </c>
      <c r="AH164" s="104">
        <f t="shared" si="32"/>
        <v>3.7244897959183674</v>
      </c>
      <c r="AI164" s="195">
        <v>6.89</v>
      </c>
    </row>
    <row r="165" spans="1:48">
      <c r="A165">
        <v>1614</v>
      </c>
      <c r="C165" s="107">
        <f>VLOOKUP(1614,收盤價!$A:$C,3,0)</f>
        <v>24.1</v>
      </c>
      <c r="D165" s="107">
        <f t="shared" si="22"/>
        <v>11.740002547121753</v>
      </c>
      <c r="E165" s="167">
        <f t="shared" si="23"/>
        <v>3</v>
      </c>
      <c r="F165" s="104">
        <f t="shared" si="24"/>
        <v>1.1878102971728171</v>
      </c>
      <c r="G165" s="167">
        <f>RANK(2.32,AE:AE,0)</f>
        <v>360</v>
      </c>
      <c r="H165" s="365">
        <f t="shared" si="25"/>
        <v>0.17463425844432712</v>
      </c>
      <c r="I165" s="213">
        <f t="shared" si="26"/>
        <v>912</v>
      </c>
      <c r="J165" s="213">
        <f t="shared" si="27"/>
        <v>701</v>
      </c>
      <c r="K165">
        <f>RANK(0.97,AI:AI,0)</f>
        <v>912</v>
      </c>
      <c r="L165" s="357">
        <v>1</v>
      </c>
      <c r="M165" s="357">
        <v>1</v>
      </c>
      <c r="N165" s="357">
        <v>1</v>
      </c>
      <c r="O165" s="357">
        <v>0</v>
      </c>
      <c r="P165" s="357">
        <v>0</v>
      </c>
      <c r="Q165" s="358">
        <v>0.2072570725707257</v>
      </c>
      <c r="R165" s="359">
        <v>0.51320261437908499</v>
      </c>
      <c r="S165" s="196">
        <v>5459887000</v>
      </c>
      <c r="T165" s="196">
        <v>269100000</v>
      </c>
      <c r="U165" s="200">
        <f t="shared" si="28"/>
        <v>6485310000</v>
      </c>
      <c r="V165" s="196">
        <v>152000000</v>
      </c>
      <c r="W165" s="196">
        <v>1154000000</v>
      </c>
      <c r="X165" s="196">
        <v>2769000000</v>
      </c>
      <c r="Y165" s="196">
        <v>5114000000</v>
      </c>
      <c r="Z165" s="196">
        <v>32000000</v>
      </c>
      <c r="AA165" s="198">
        <v>0.04</v>
      </c>
      <c r="AB165" s="198">
        <v>0.03</v>
      </c>
      <c r="AC165" s="213">
        <f t="shared" si="29"/>
        <v>337</v>
      </c>
      <c r="AD165" s="213">
        <f t="shared" si="30"/>
        <v>334</v>
      </c>
      <c r="AE165" s="213">
        <v>2.3199999999999998</v>
      </c>
      <c r="AF165" s="196">
        <v>61000000</v>
      </c>
      <c r="AG165" s="104">
        <f t="shared" si="31"/>
        <v>0.22668153102935712</v>
      </c>
      <c r="AH165" s="104">
        <f t="shared" si="32"/>
        <v>0.40131578947368424</v>
      </c>
      <c r="AI165" s="195">
        <v>0.97</v>
      </c>
      <c r="AO165" s="213"/>
      <c r="AP165" s="213"/>
      <c r="AQ165" s="213"/>
      <c r="AR165" s="213"/>
      <c r="AS165" s="213"/>
      <c r="AT165" s="213"/>
      <c r="AU165" s="213"/>
      <c r="AV165" s="213"/>
    </row>
    <row r="166" spans="1:48">
      <c r="A166">
        <v>1615</v>
      </c>
      <c r="C166" s="107">
        <f>VLOOKUP(1615,收盤價!$A:$C,3,0)</f>
        <v>9.9</v>
      </c>
      <c r="D166" s="107">
        <f t="shared" si="22"/>
        <v>8.8392857142857135</v>
      </c>
      <c r="E166" s="167">
        <f t="shared" si="23"/>
        <v>2</v>
      </c>
      <c r="F166" s="104">
        <f t="shared" si="24"/>
        <v>0.47733621392811237</v>
      </c>
      <c r="G166" s="167">
        <f>RANK(1.89,AE:AE,0)</f>
        <v>498</v>
      </c>
      <c r="H166" s="365">
        <f t="shared" si="25"/>
        <v>1.5728328865058088</v>
      </c>
      <c r="I166" s="213">
        <f t="shared" si="26"/>
        <v>1486</v>
      </c>
      <c r="J166" s="213">
        <f t="shared" si="27"/>
        <v>768</v>
      </c>
      <c r="K166">
        <f>RANK(0.69,AI:AI,0)</f>
        <v>1474</v>
      </c>
      <c r="L166" s="357">
        <v>1</v>
      </c>
      <c r="M166" s="357">
        <v>1</v>
      </c>
      <c r="N166" s="357">
        <v>0</v>
      </c>
      <c r="O166" s="357">
        <v>0</v>
      </c>
      <c r="P166" s="357">
        <v>0</v>
      </c>
      <c r="Q166" s="358">
        <v>0.13627992633517497</v>
      </c>
      <c r="R166" s="359">
        <v>0.28000000000000003</v>
      </c>
      <c r="S166" s="196">
        <v>2320817000</v>
      </c>
      <c r="T166" s="196">
        <v>111900000</v>
      </c>
      <c r="U166" s="200">
        <f t="shared" si="28"/>
        <v>1107810000</v>
      </c>
      <c r="V166" s="196">
        <v>39000000</v>
      </c>
      <c r="W166" s="196">
        <v>244000000</v>
      </c>
      <c r="X166" s="196">
        <v>837000000</v>
      </c>
      <c r="Y166" s="196">
        <v>1448000000</v>
      </c>
      <c r="Z166" s="196">
        <v>498000000</v>
      </c>
      <c r="AA166" s="198">
        <v>0.04</v>
      </c>
      <c r="AB166" s="198">
        <v>0.02</v>
      </c>
      <c r="AC166" s="213">
        <f t="shared" si="29"/>
        <v>337</v>
      </c>
      <c r="AD166" s="213">
        <f t="shared" si="30"/>
        <v>487</v>
      </c>
      <c r="AE166" s="213">
        <v>1.89</v>
      </c>
      <c r="AF166" s="196">
        <v>-176000000</v>
      </c>
      <c r="AG166" s="104">
        <f t="shared" si="31"/>
        <v>-1.5728328865058088</v>
      </c>
      <c r="AH166" s="104">
        <f t="shared" si="32"/>
        <v>0</v>
      </c>
      <c r="AI166" s="195">
        <v>0.69</v>
      </c>
      <c r="AO166" s="213"/>
      <c r="AP166" s="213"/>
      <c r="AQ166" s="213"/>
      <c r="AR166" s="213"/>
      <c r="AS166" s="213"/>
      <c r="AT166" s="213"/>
      <c r="AU166" s="213"/>
      <c r="AV166" s="213"/>
    </row>
    <row r="167" spans="1:48">
      <c r="A167">
        <v>1616</v>
      </c>
      <c r="C167" s="107">
        <f>VLOOKUP(1616,收盤價!$A:$C,3,0)</f>
        <v>5.08</v>
      </c>
      <c r="D167" s="107">
        <f t="shared" si="22"/>
        <v>11.176</v>
      </c>
      <c r="E167" s="167">
        <f t="shared" si="23"/>
        <v>3</v>
      </c>
      <c r="F167" s="104">
        <f t="shared" si="24"/>
        <v>0.32295009481886161</v>
      </c>
      <c r="G167" s="167">
        <f>RANK(1.2,AE:AE,0)</f>
        <v>710</v>
      </c>
      <c r="H167" s="365">
        <f t="shared" si="25"/>
        <v>1.669242658423493</v>
      </c>
      <c r="I167" s="213">
        <f t="shared" si="26"/>
        <v>1493</v>
      </c>
      <c r="J167" s="213">
        <f t="shared" si="27"/>
        <v>768</v>
      </c>
      <c r="K167">
        <f>RANK(0.69,AI:AI,0)</f>
        <v>1474</v>
      </c>
      <c r="L167" s="357">
        <v>0</v>
      </c>
      <c r="M167" s="357">
        <v>1</v>
      </c>
      <c r="N167" s="357">
        <v>2</v>
      </c>
      <c r="O167" s="357">
        <v>0</v>
      </c>
      <c r="P167" s="357">
        <v>0</v>
      </c>
      <c r="Q167" s="358">
        <v>8.4810126582278475E-2</v>
      </c>
      <c r="R167" s="359">
        <v>0.11363636363636363</v>
      </c>
      <c r="S167" s="196">
        <v>3053190000</v>
      </c>
      <c r="T167" s="196">
        <v>194100000</v>
      </c>
      <c r="U167" s="200">
        <f t="shared" si="28"/>
        <v>986028000</v>
      </c>
      <c r="V167" s="196">
        <v>29000000</v>
      </c>
      <c r="W167" s="196">
        <v>822000000</v>
      </c>
      <c r="X167" s="196">
        <v>811000000</v>
      </c>
      <c r="Y167" s="196">
        <v>1763000000</v>
      </c>
      <c r="Z167" s="196">
        <v>1027000000</v>
      </c>
      <c r="AA167" s="198">
        <v>0.02</v>
      </c>
      <c r="AB167" s="198">
        <v>0.01</v>
      </c>
      <c r="AC167" s="213">
        <f t="shared" si="29"/>
        <v>616</v>
      </c>
      <c r="AD167" s="213">
        <f t="shared" si="30"/>
        <v>680</v>
      </c>
      <c r="AE167" s="213">
        <v>1.2</v>
      </c>
      <c r="AF167" s="196">
        <v>-324000000</v>
      </c>
      <c r="AG167" s="104">
        <f t="shared" si="31"/>
        <v>-1.669242658423493</v>
      </c>
      <c r="AH167" s="104">
        <f t="shared" si="32"/>
        <v>0</v>
      </c>
      <c r="AI167" s="195">
        <v>0.69</v>
      </c>
    </row>
    <row r="168" spans="1:48">
      <c r="A168">
        <v>1617</v>
      </c>
      <c r="C168" s="107">
        <f>VLOOKUP(1617,收盤價!$A:$C,3,0)</f>
        <v>7</v>
      </c>
      <c r="D168" s="107">
        <f t="shared" si="22"/>
        <v>45.833333333333336</v>
      </c>
      <c r="E168" s="167">
        <f t="shared" si="23"/>
        <v>3</v>
      </c>
      <c r="F168" s="104">
        <f t="shared" si="24"/>
        <v>0.39002473299302448</v>
      </c>
      <c r="G168" s="167">
        <f>RANK(1.08,AE:AE,0)</f>
        <v>769</v>
      </c>
      <c r="H168" s="365">
        <f t="shared" si="25"/>
        <v>9.7087378640776698E-2</v>
      </c>
      <c r="I168" s="213">
        <f t="shared" si="26"/>
        <v>1135</v>
      </c>
      <c r="J168" s="213">
        <f t="shared" si="27"/>
        <v>768</v>
      </c>
      <c r="K168">
        <f>RANK(0.82,AI:AI,0)</f>
        <v>1121</v>
      </c>
      <c r="L168" s="357">
        <v>0</v>
      </c>
      <c r="M168" s="357">
        <v>1</v>
      </c>
      <c r="N168" s="357">
        <v>2</v>
      </c>
      <c r="O168" s="357">
        <v>0</v>
      </c>
      <c r="P168" s="357">
        <v>0</v>
      </c>
      <c r="Q168" s="358">
        <v>0.11954765751211632</v>
      </c>
      <c r="R168" s="359">
        <v>3.8181818181818178E-2</v>
      </c>
      <c r="S168" s="196">
        <v>2588041000</v>
      </c>
      <c r="T168" s="196">
        <v>144200000</v>
      </c>
      <c r="U168" s="200">
        <f t="shared" si="28"/>
        <v>1009400000</v>
      </c>
      <c r="V168" s="196">
        <v>18000000</v>
      </c>
      <c r="W168" s="196">
        <v>808000000</v>
      </c>
      <c r="X168" s="196">
        <v>716000000</v>
      </c>
      <c r="Y168" s="196">
        <v>1566000000</v>
      </c>
      <c r="Z168" s="196">
        <v>1136000000</v>
      </c>
      <c r="AA168" s="198">
        <v>0.01</v>
      </c>
      <c r="AB168" s="198">
        <v>0.01</v>
      </c>
      <c r="AC168" s="213">
        <f t="shared" si="29"/>
        <v>769</v>
      </c>
      <c r="AD168" s="213">
        <f t="shared" si="30"/>
        <v>680</v>
      </c>
      <c r="AE168" s="213">
        <v>1.08</v>
      </c>
      <c r="AF168" s="196">
        <v>-14000000</v>
      </c>
      <c r="AG168" s="104">
        <f t="shared" si="31"/>
        <v>-9.7087378640776698E-2</v>
      </c>
      <c r="AH168" s="104">
        <f t="shared" si="32"/>
        <v>0</v>
      </c>
      <c r="AI168" s="195">
        <v>0.82</v>
      </c>
    </row>
    <row r="169" spans="1:48">
      <c r="A169">
        <v>1618</v>
      </c>
      <c r="C169" s="107">
        <f>VLOOKUP(1618,收盤價!$A:$C,3,0)</f>
        <v>7.78</v>
      </c>
      <c r="D169" s="107">
        <f t="shared" si="22"/>
        <v>11.214083175803404</v>
      </c>
      <c r="E169" s="167">
        <f t="shared" si="23"/>
        <v>2</v>
      </c>
      <c r="F169" s="104">
        <f t="shared" si="24"/>
        <v>0.75252202214681752</v>
      </c>
      <c r="G169" s="167">
        <f>RANK(1.08,AE:AE,0)</f>
        <v>769</v>
      </c>
      <c r="H169" s="365">
        <f t="shared" si="25"/>
        <v>0.53549190535491908</v>
      </c>
      <c r="I169" s="213">
        <f t="shared" si="26"/>
        <v>1358</v>
      </c>
      <c r="J169" s="213">
        <f t="shared" si="27"/>
        <v>768</v>
      </c>
      <c r="K169">
        <f>RANK(0.73,AI:AI,0)</f>
        <v>1352</v>
      </c>
      <c r="L169" s="357">
        <v>0</v>
      </c>
      <c r="M169" s="357">
        <v>1</v>
      </c>
      <c r="N169" s="357">
        <v>1</v>
      </c>
      <c r="O169" s="357">
        <v>0</v>
      </c>
      <c r="P169" s="357">
        <v>0</v>
      </c>
      <c r="Q169" s="358">
        <v>0.1119751166407465</v>
      </c>
      <c r="R169" s="359">
        <v>0.17344262295081966</v>
      </c>
      <c r="S169" s="196">
        <v>2490561000</v>
      </c>
      <c r="T169" s="196">
        <v>240900000</v>
      </c>
      <c r="U169" s="200">
        <f t="shared" si="28"/>
        <v>1874202000</v>
      </c>
      <c r="V169" s="196">
        <v>45000000</v>
      </c>
      <c r="W169" s="196">
        <v>1860000000</v>
      </c>
      <c r="X169" s="196">
        <v>1389000000</v>
      </c>
      <c r="Y169" s="196">
        <v>3961000000</v>
      </c>
      <c r="Z169" s="196">
        <v>0</v>
      </c>
      <c r="AA169" s="198">
        <v>0.01</v>
      </c>
      <c r="AB169" s="198">
        <v>0.01</v>
      </c>
      <c r="AC169" s="213">
        <f t="shared" si="29"/>
        <v>769</v>
      </c>
      <c r="AD169" s="213">
        <f t="shared" si="30"/>
        <v>680</v>
      </c>
      <c r="AE169" s="213">
        <v>1.08</v>
      </c>
      <c r="AF169" s="196">
        <v>-129000000</v>
      </c>
      <c r="AG169" s="104">
        <f t="shared" si="31"/>
        <v>-0.53549190535491908</v>
      </c>
      <c r="AH169" s="104">
        <f t="shared" si="32"/>
        <v>0</v>
      </c>
      <c r="AI169" s="195">
        <v>0.73</v>
      </c>
    </row>
    <row r="170" spans="1:48">
      <c r="A170">
        <v>1626</v>
      </c>
      <c r="C170" s="107">
        <f>VLOOKUP(1626,收盤價!$A:$C,3,0)</f>
        <v>26.9</v>
      </c>
      <c r="D170" s="107">
        <f t="shared" si="22"/>
        <v>3.0380100388601035</v>
      </c>
      <c r="E170" s="167">
        <f t="shared" si="23"/>
        <v>5</v>
      </c>
      <c r="F170" s="104">
        <f t="shared" si="24"/>
        <v>0.30081909716873306</v>
      </c>
      <c r="G170" s="167">
        <f>RANK(16.57,AE:AE,0)</f>
        <v>46</v>
      </c>
      <c r="H170" s="365">
        <f t="shared" si="25"/>
        <v>-4.0026841469227401</v>
      </c>
      <c r="I170" s="213">
        <f t="shared" si="26"/>
        <v>20</v>
      </c>
      <c r="J170" s="213">
        <f t="shared" si="27"/>
        <v>216</v>
      </c>
      <c r="K170">
        <f>RANK(6.6,AI:AI,0)</f>
        <v>38</v>
      </c>
      <c r="L170" s="357">
        <v>1</v>
      </c>
      <c r="M170" s="357">
        <v>1</v>
      </c>
      <c r="N170" s="357">
        <v>2</v>
      </c>
      <c r="O170" s="357">
        <v>1</v>
      </c>
      <c r="P170" s="357">
        <v>0</v>
      </c>
      <c r="Q170" s="358">
        <v>0.21984187707217548</v>
      </c>
      <c r="R170" s="359">
        <v>2.2136200716845877</v>
      </c>
      <c r="S170" s="196">
        <v>10990027000</v>
      </c>
      <c r="T170" s="196">
        <v>122900000</v>
      </c>
      <c r="U170" s="200">
        <f t="shared" si="28"/>
        <v>3306010000</v>
      </c>
      <c r="V170" s="196">
        <v>338000000</v>
      </c>
      <c r="W170" s="196">
        <v>530000000</v>
      </c>
      <c r="X170" s="196">
        <v>2790000000</v>
      </c>
      <c r="Y170" s="196">
        <v>2929000000</v>
      </c>
      <c r="Z170" s="196">
        <v>1181000000</v>
      </c>
      <c r="AA170" s="198">
        <v>0.1</v>
      </c>
      <c r="AB170" s="198">
        <v>0.08</v>
      </c>
      <c r="AC170" s="213">
        <f t="shared" si="29"/>
        <v>52</v>
      </c>
      <c r="AD170" s="213">
        <f t="shared" si="30"/>
        <v>42</v>
      </c>
      <c r="AE170" s="213">
        <v>16.57</v>
      </c>
      <c r="AF170" s="196">
        <v>773000000</v>
      </c>
      <c r="AG170" s="104">
        <f t="shared" si="31"/>
        <v>6.28966639544345</v>
      </c>
      <c r="AH170" s="104">
        <f t="shared" si="32"/>
        <v>2.2869822485207099</v>
      </c>
      <c r="AI170" s="195">
        <v>6.6</v>
      </c>
    </row>
    <row r="171" spans="1:48">
      <c r="A171">
        <v>1701</v>
      </c>
      <c r="C171" s="107">
        <f>VLOOKUP(1701,收盤價!$A:$C,3,0)</f>
        <v>17.850000000000001</v>
      </c>
      <c r="D171" s="107">
        <f t="shared" si="22"/>
        <v>16.282094594594597</v>
      </c>
      <c r="E171" s="167">
        <f t="shared" si="23"/>
        <v>2</v>
      </c>
      <c r="F171" s="104">
        <f t="shared" si="24"/>
        <v>0.92003532076922789</v>
      </c>
      <c r="G171" s="167">
        <f>RANK(1.41,AE:AE,0)</f>
        <v>618</v>
      </c>
      <c r="H171" s="365">
        <f t="shared" si="25"/>
        <v>1.0669573968466959</v>
      </c>
      <c r="I171" s="213">
        <f t="shared" si="26"/>
        <v>684</v>
      </c>
      <c r="J171" s="213">
        <f t="shared" si="27"/>
        <v>325</v>
      </c>
      <c r="K171">
        <f>RANK(1.54,AI:AI,0)</f>
        <v>535</v>
      </c>
      <c r="L171" s="357">
        <v>0</v>
      </c>
      <c r="M171" s="357">
        <v>1</v>
      </c>
      <c r="N171" s="357">
        <v>0</v>
      </c>
      <c r="O171" s="357">
        <v>1</v>
      </c>
      <c r="P171" s="357">
        <v>0</v>
      </c>
      <c r="Q171" s="358">
        <v>0.29576502732240439</v>
      </c>
      <c r="R171" s="359">
        <v>0.27407407407407408</v>
      </c>
      <c r="S171" s="196">
        <v>5783566000</v>
      </c>
      <c r="T171" s="196">
        <v>298100000</v>
      </c>
      <c r="U171" s="200">
        <f t="shared" si="28"/>
        <v>5321085000</v>
      </c>
      <c r="V171" s="196">
        <v>110000000</v>
      </c>
      <c r="W171" s="196">
        <v>1594000000</v>
      </c>
      <c r="X171" s="196">
        <v>4244000000</v>
      </c>
      <c r="Y171" s="196">
        <v>5484000000</v>
      </c>
      <c r="Z171" s="196">
        <v>1269000000</v>
      </c>
      <c r="AA171" s="198">
        <v>0.02</v>
      </c>
      <c r="AB171" s="198">
        <v>0.02</v>
      </c>
      <c r="AC171" s="213">
        <f t="shared" si="29"/>
        <v>616</v>
      </c>
      <c r="AD171" s="213">
        <f t="shared" si="30"/>
        <v>487</v>
      </c>
      <c r="AE171" s="213">
        <v>1.41</v>
      </c>
      <c r="AF171" s="196">
        <v>186000000</v>
      </c>
      <c r="AG171" s="104">
        <f t="shared" si="31"/>
        <v>0.62395169406239515</v>
      </c>
      <c r="AH171" s="104">
        <f t="shared" si="32"/>
        <v>1.6909090909090909</v>
      </c>
      <c r="AI171" s="195">
        <v>1.54</v>
      </c>
      <c r="AO171" s="213"/>
      <c r="AP171" s="213"/>
      <c r="AQ171" s="213"/>
      <c r="AR171" s="213"/>
      <c r="AS171" s="213"/>
      <c r="AT171" s="213"/>
      <c r="AU171" s="213"/>
      <c r="AV171" s="213"/>
    </row>
    <row r="172" spans="1:48">
      <c r="A172">
        <v>1702</v>
      </c>
      <c r="C172" s="107">
        <f>VLOOKUP(1702,收盤價!$A:$C,3,0)</f>
        <v>68.3</v>
      </c>
      <c r="D172" s="107">
        <f t="shared" si="22"/>
        <v>12.373188405797102</v>
      </c>
      <c r="E172" s="167">
        <f t="shared" si="23"/>
        <v>5</v>
      </c>
      <c r="F172" s="104">
        <f t="shared" si="24"/>
        <v>1.254532034705899</v>
      </c>
      <c r="G172" s="167">
        <f>RANK(0.84,AE:AE,0)</f>
        <v>946</v>
      </c>
      <c r="H172" s="365">
        <f t="shared" si="25"/>
        <v>-1.6524991499489969</v>
      </c>
      <c r="I172" s="213">
        <f t="shared" si="26"/>
        <v>301</v>
      </c>
      <c r="J172" s="213">
        <f t="shared" si="27"/>
        <v>768</v>
      </c>
      <c r="K172">
        <f>RANK(1.46,AI:AI,0)</f>
        <v>578</v>
      </c>
      <c r="L172" s="357">
        <v>1</v>
      </c>
      <c r="M172" s="357">
        <v>1</v>
      </c>
      <c r="N172" s="357">
        <v>2</v>
      </c>
      <c r="O172" s="357">
        <v>1</v>
      </c>
      <c r="P172" s="357">
        <v>0</v>
      </c>
      <c r="Q172" s="358">
        <v>0.38350217076700432</v>
      </c>
      <c r="R172" s="359">
        <v>1.38</v>
      </c>
      <c r="S172" s="196">
        <v>16011572000</v>
      </c>
      <c r="T172" s="196">
        <v>294100000</v>
      </c>
      <c r="U172" s="200">
        <f t="shared" si="28"/>
        <v>20087030000</v>
      </c>
      <c r="V172" s="196">
        <v>0</v>
      </c>
      <c r="W172" s="196">
        <v>1149000000</v>
      </c>
      <c r="X172" s="196">
        <v>8677000000</v>
      </c>
      <c r="Y172" s="196">
        <v>5501000000</v>
      </c>
      <c r="Z172" s="196">
        <v>3280000000</v>
      </c>
      <c r="AA172" s="198">
        <v>0</v>
      </c>
      <c r="AB172" s="198">
        <v>0</v>
      </c>
      <c r="AC172" s="213">
        <f t="shared" si="29"/>
        <v>945</v>
      </c>
      <c r="AD172" s="213">
        <f t="shared" si="30"/>
        <v>911</v>
      </c>
      <c r="AE172" s="213">
        <v>0.84</v>
      </c>
      <c r="AF172" s="196">
        <v>486000000</v>
      </c>
      <c r="AG172" s="104">
        <f t="shared" si="31"/>
        <v>1.6524991499489969</v>
      </c>
      <c r="AH172" s="104">
        <f t="shared" si="32"/>
        <v>0</v>
      </c>
      <c r="AI172" s="195">
        <v>1.46</v>
      </c>
      <c r="AO172" s="213"/>
      <c r="AP172" s="213"/>
      <c r="AQ172" s="213"/>
      <c r="AR172" s="213"/>
      <c r="AS172" s="213"/>
      <c r="AT172" s="213"/>
      <c r="AU172" s="213"/>
      <c r="AV172" s="213"/>
    </row>
    <row r="173" spans="1:48">
      <c r="A173">
        <v>1704</v>
      </c>
      <c r="C173" s="107">
        <f>VLOOKUP(1704,收盤價!$A:$C,3,0)</f>
        <v>38.9</v>
      </c>
      <c r="D173" s="107">
        <f t="shared" si="22"/>
        <v>8.0418557974370835</v>
      </c>
      <c r="E173" s="167">
        <f t="shared" si="23"/>
        <v>3</v>
      </c>
      <c r="F173" s="104">
        <f t="shared" si="24"/>
        <v>0.86024825529137516</v>
      </c>
      <c r="G173" s="167">
        <f>RANK(3.92,AE:AE,0)</f>
        <v>209</v>
      </c>
      <c r="H173" s="365">
        <f t="shared" si="25"/>
        <v>-1.1848901851144626</v>
      </c>
      <c r="I173" s="213">
        <f t="shared" si="26"/>
        <v>90</v>
      </c>
      <c r="J173" s="213">
        <f t="shared" si="27"/>
        <v>212</v>
      </c>
      <c r="K173">
        <f>RANK(5.16,AI:AI,0)</f>
        <v>63</v>
      </c>
      <c r="L173" s="357">
        <v>0</v>
      </c>
      <c r="M173" s="357">
        <v>1</v>
      </c>
      <c r="N173" s="357">
        <v>1</v>
      </c>
      <c r="O173" s="357">
        <v>1</v>
      </c>
      <c r="P173" s="357">
        <v>0</v>
      </c>
      <c r="Q173" s="358">
        <v>0.19778560644187218</v>
      </c>
      <c r="R173" s="359">
        <v>1.2092979835698283</v>
      </c>
      <c r="S173" s="196">
        <v>38707896000</v>
      </c>
      <c r="T173" s="196">
        <v>856000000</v>
      </c>
      <c r="U173" s="200">
        <f t="shared" si="28"/>
        <v>33298400000</v>
      </c>
      <c r="V173" s="196">
        <v>1297000000</v>
      </c>
      <c r="W173" s="196">
        <v>13051000000</v>
      </c>
      <c r="X173" s="196">
        <v>11881000000</v>
      </c>
      <c r="Y173" s="196">
        <v>24838000000</v>
      </c>
      <c r="Z173" s="196">
        <v>2841000000</v>
      </c>
      <c r="AA173" s="198">
        <v>0.05</v>
      </c>
      <c r="AB173" s="198">
        <v>0.05</v>
      </c>
      <c r="AC173" s="213">
        <f t="shared" si="29"/>
        <v>247</v>
      </c>
      <c r="AD173" s="213">
        <f t="shared" si="30"/>
        <v>150</v>
      </c>
      <c r="AE173" s="213">
        <v>3.92</v>
      </c>
      <c r="AF173" s="196">
        <v>2983000000</v>
      </c>
      <c r="AG173" s="104">
        <f t="shared" si="31"/>
        <v>3.4848130841121496</v>
      </c>
      <c r="AH173" s="104">
        <f t="shared" si="32"/>
        <v>2.299922898997687</v>
      </c>
      <c r="AI173" s="195">
        <v>5.16</v>
      </c>
      <c r="AO173" s="213"/>
      <c r="AP173" s="213"/>
      <c r="AQ173" s="213"/>
      <c r="AR173" s="213"/>
      <c r="AS173" s="213"/>
      <c r="AT173" s="213"/>
      <c r="AU173" s="213"/>
      <c r="AV173" s="213"/>
    </row>
    <row r="174" spans="1:48">
      <c r="A174">
        <v>1707</v>
      </c>
      <c r="C174" s="107">
        <f>VLOOKUP(1707,收盤價!$A:$C,3,0)</f>
        <v>275</v>
      </c>
      <c r="D174" s="107">
        <f t="shared" si="22"/>
        <v>30.2863436123348</v>
      </c>
      <c r="E174" s="167">
        <f t="shared" si="23"/>
        <v>2</v>
      </c>
      <c r="F174" s="104">
        <f t="shared" si="24"/>
        <v>4.362338300916675</v>
      </c>
      <c r="G174" s="167">
        <f>RANK(0.84,AE:AE,0)</f>
        <v>946</v>
      </c>
      <c r="H174" s="365">
        <f t="shared" si="25"/>
        <v>-4.4708588957055211</v>
      </c>
      <c r="I174" s="213">
        <f t="shared" si="26"/>
        <v>53</v>
      </c>
      <c r="J174" s="213">
        <f t="shared" si="27"/>
        <v>768</v>
      </c>
      <c r="K174">
        <f>RANK(1.9,AI:AI,0)</f>
        <v>379</v>
      </c>
      <c r="L174" s="357">
        <v>0</v>
      </c>
      <c r="M174" s="357">
        <v>0</v>
      </c>
      <c r="N174" s="357">
        <v>1</v>
      </c>
      <c r="O174" s="357">
        <v>1</v>
      </c>
      <c r="P174" s="357">
        <v>0</v>
      </c>
      <c r="Q174" s="358">
        <v>0.88855806039982987</v>
      </c>
      <c r="R174" s="359">
        <v>2.27</v>
      </c>
      <c r="S174" s="196">
        <v>8220362000</v>
      </c>
      <c r="T174" s="196">
        <v>130400000</v>
      </c>
      <c r="U174" s="200">
        <f t="shared" si="28"/>
        <v>35860000000</v>
      </c>
      <c r="V174" s="196">
        <v>0</v>
      </c>
      <c r="W174" s="196">
        <v>29000000</v>
      </c>
      <c r="X174" s="196">
        <v>5755000000</v>
      </c>
      <c r="Y174" s="196">
        <v>3981000000</v>
      </c>
      <c r="Z174" s="196">
        <v>32000000</v>
      </c>
      <c r="AA174" s="198">
        <v>0</v>
      </c>
      <c r="AB174" s="198">
        <v>0</v>
      </c>
      <c r="AC174" s="213">
        <f t="shared" si="29"/>
        <v>945</v>
      </c>
      <c r="AD174" s="213">
        <f t="shared" si="30"/>
        <v>911</v>
      </c>
      <c r="AE174" s="213">
        <v>0.84</v>
      </c>
      <c r="AF174" s="196">
        <v>583000000</v>
      </c>
      <c r="AG174" s="104">
        <f t="shared" si="31"/>
        <v>4.4708588957055211</v>
      </c>
      <c r="AH174" s="104">
        <f t="shared" si="32"/>
        <v>0</v>
      </c>
      <c r="AI174" s="195">
        <v>1.9</v>
      </c>
      <c r="AO174" s="213"/>
      <c r="AP174" s="213"/>
      <c r="AQ174" s="213"/>
      <c r="AR174" s="213"/>
      <c r="AS174" s="213"/>
      <c r="AT174" s="213"/>
      <c r="AU174" s="213"/>
      <c r="AV174" s="213"/>
    </row>
    <row r="175" spans="1:48">
      <c r="A175">
        <v>1708</v>
      </c>
      <c r="C175" s="107">
        <f>VLOOKUP(1708,收盤價!$A:$C,3,0)</f>
        <v>26.05</v>
      </c>
      <c r="D175" s="107">
        <f t="shared" si="22"/>
        <v>14.276651651651651</v>
      </c>
      <c r="E175" s="167">
        <f t="shared" si="23"/>
        <v>3</v>
      </c>
      <c r="F175" s="104">
        <f t="shared" si="24"/>
        <v>1.140348607274476</v>
      </c>
      <c r="G175" s="167">
        <f>RANK(1.64,AE:AE,0)</f>
        <v>539</v>
      </c>
      <c r="H175" s="365">
        <f t="shared" si="25"/>
        <v>0.13707960834397626</v>
      </c>
      <c r="I175" s="213">
        <f t="shared" si="26"/>
        <v>482</v>
      </c>
      <c r="J175" s="213">
        <f t="shared" si="27"/>
        <v>455</v>
      </c>
      <c r="K175">
        <f>RANK(1.66,AI:AI,0)</f>
        <v>476</v>
      </c>
      <c r="L175" s="357">
        <v>0</v>
      </c>
      <c r="M175" s="357">
        <v>0</v>
      </c>
      <c r="N175" s="357">
        <v>2</v>
      </c>
      <c r="O175" s="357">
        <v>1</v>
      </c>
      <c r="P175" s="357">
        <v>0</v>
      </c>
      <c r="Q175" s="358">
        <v>0.29195630585898708</v>
      </c>
      <c r="R175" s="359">
        <v>0.45616438356164385</v>
      </c>
      <c r="S175" s="196">
        <v>4173579000</v>
      </c>
      <c r="T175" s="196">
        <v>182700000</v>
      </c>
      <c r="U175" s="200">
        <f t="shared" si="28"/>
        <v>4759335000</v>
      </c>
      <c r="V175" s="196">
        <v>162000000</v>
      </c>
      <c r="W175" s="196">
        <v>495000000</v>
      </c>
      <c r="X175" s="196">
        <v>6176000000</v>
      </c>
      <c r="Y175" s="196">
        <v>5165000000</v>
      </c>
      <c r="Z175" s="196">
        <v>835000000</v>
      </c>
      <c r="AA175" s="198">
        <v>0.02</v>
      </c>
      <c r="AB175" s="198">
        <v>0.03</v>
      </c>
      <c r="AC175" s="213">
        <f t="shared" si="29"/>
        <v>616</v>
      </c>
      <c r="AD175" s="213">
        <f t="shared" si="30"/>
        <v>334</v>
      </c>
      <c r="AE175" s="213">
        <v>1.64</v>
      </c>
      <c r="AF175" s="196">
        <v>196000000</v>
      </c>
      <c r="AG175" s="104">
        <f t="shared" si="31"/>
        <v>1.0727969348659003</v>
      </c>
      <c r="AH175" s="104">
        <f t="shared" si="32"/>
        <v>1.2098765432098766</v>
      </c>
      <c r="AI175" s="195">
        <v>1.66</v>
      </c>
      <c r="AO175" s="213"/>
      <c r="AP175" s="213"/>
      <c r="AQ175" s="213"/>
      <c r="AR175" s="213"/>
      <c r="AS175" s="213"/>
      <c r="AT175" s="213"/>
      <c r="AU175" s="213"/>
      <c r="AV175" s="213"/>
    </row>
    <row r="176" spans="1:48">
      <c r="A176">
        <v>1709</v>
      </c>
      <c r="C176" s="107">
        <f>VLOOKUP(1709,收盤價!$A:$C,3,0)</f>
        <v>17.100000000000001</v>
      </c>
      <c r="D176" s="107">
        <f t="shared" si="22"/>
        <v>7.2028883762912459</v>
      </c>
      <c r="E176" s="167">
        <f t="shared" si="23"/>
        <v>4</v>
      </c>
      <c r="F176" s="104">
        <f t="shared" si="24"/>
        <v>0.85600435610137238</v>
      </c>
      <c r="G176" s="167">
        <f>RANK(3.88,AE:AE,0)</f>
        <v>240</v>
      </c>
      <c r="H176" s="365">
        <f t="shared" si="25"/>
        <v>7.6814932008891945E-2</v>
      </c>
      <c r="I176" s="213">
        <f t="shared" si="26"/>
        <v>864</v>
      </c>
      <c r="J176" s="213">
        <f t="shared" si="27"/>
        <v>710</v>
      </c>
      <c r="K176">
        <f>RANK(0.99,AI:AI,0)</f>
        <v>893</v>
      </c>
      <c r="L176" s="357">
        <v>1</v>
      </c>
      <c r="M176" s="357">
        <v>1</v>
      </c>
      <c r="N176" s="357">
        <v>1</v>
      </c>
      <c r="O176" s="357">
        <v>1</v>
      </c>
      <c r="P176" s="357">
        <v>0</v>
      </c>
      <c r="Q176" s="358">
        <v>0.23678556080790716</v>
      </c>
      <c r="R176" s="359">
        <v>0.59351190476190474</v>
      </c>
      <c r="S176" s="196">
        <v>8673811000</v>
      </c>
      <c r="T176" s="196">
        <v>434200000</v>
      </c>
      <c r="U176" s="200">
        <f t="shared" si="28"/>
        <v>7424820000.000001</v>
      </c>
      <c r="V176" s="196">
        <v>345000000</v>
      </c>
      <c r="W176" s="196">
        <v>3309000000</v>
      </c>
      <c r="X176" s="196">
        <v>2695000000</v>
      </c>
      <c r="Y176" s="196">
        <v>6913000000</v>
      </c>
      <c r="Z176" s="196">
        <v>842000000</v>
      </c>
      <c r="AA176" s="198">
        <v>0.06</v>
      </c>
      <c r="AB176" s="198">
        <v>0.04</v>
      </c>
      <c r="AC176" s="213">
        <f t="shared" si="29"/>
        <v>174</v>
      </c>
      <c r="AD176" s="213">
        <f t="shared" si="30"/>
        <v>228</v>
      </c>
      <c r="AE176" s="213">
        <v>3.88</v>
      </c>
      <c r="AF176" s="196">
        <v>129000000</v>
      </c>
      <c r="AG176" s="104">
        <f t="shared" si="31"/>
        <v>0.29709811146936893</v>
      </c>
      <c r="AH176" s="104">
        <f t="shared" si="32"/>
        <v>0.37391304347826088</v>
      </c>
      <c r="AI176" s="195">
        <v>0.99</v>
      </c>
    </row>
    <row r="177" spans="1:48">
      <c r="A177">
        <v>1710</v>
      </c>
      <c r="C177" s="107">
        <f>VLOOKUP(1710,收盤價!$A:$C,3,0)</f>
        <v>20.75</v>
      </c>
      <c r="D177" s="107">
        <f t="shared" si="22"/>
        <v>0</v>
      </c>
      <c r="E177" s="167">
        <f t="shared" si="23"/>
        <v>1</v>
      </c>
      <c r="F177" s="104">
        <f t="shared" si="24"/>
        <v>1.2298031213566256</v>
      </c>
      <c r="G177" s="167">
        <f>RANK(0.61,AE:AE,0)</f>
        <v>1295</v>
      </c>
      <c r="H177" s="365">
        <f t="shared" si="25"/>
        <v>4.8549170147905614E-2</v>
      </c>
      <c r="I177" s="213">
        <f t="shared" si="26"/>
        <v>1102</v>
      </c>
      <c r="J177" s="213">
        <f t="shared" si="27"/>
        <v>768</v>
      </c>
      <c r="K177">
        <f>RANK(0.83,AI:AI,0)</f>
        <v>1098</v>
      </c>
      <c r="L177" s="357">
        <v>0</v>
      </c>
      <c r="M177" s="357">
        <v>0</v>
      </c>
      <c r="N177" s="357">
        <v>1</v>
      </c>
      <c r="O177" s="357">
        <v>0</v>
      </c>
      <c r="P177" s="357">
        <v>0</v>
      </c>
      <c r="Q177" s="358">
        <v>-7.3866530820173209E-3</v>
      </c>
      <c r="R177" s="359">
        <v>0</v>
      </c>
      <c r="S177" s="196">
        <v>14944079000</v>
      </c>
      <c r="T177" s="196">
        <v>885700000</v>
      </c>
      <c r="U177" s="200">
        <f t="shared" si="28"/>
        <v>18378275000</v>
      </c>
      <c r="V177" s="196">
        <v>-166000000</v>
      </c>
      <c r="W177" s="196">
        <v>0</v>
      </c>
      <c r="X177" s="196">
        <v>17601000000</v>
      </c>
      <c r="Y177" s="196">
        <v>16524000000</v>
      </c>
      <c r="Z177" s="196">
        <v>5538000000</v>
      </c>
      <c r="AA177" s="198">
        <v>-0.01</v>
      </c>
      <c r="AB177" s="198">
        <v>-0.01</v>
      </c>
      <c r="AC177" s="213">
        <f t="shared" si="29"/>
        <v>1277</v>
      </c>
      <c r="AD177" s="213">
        <f t="shared" si="30"/>
        <v>1294</v>
      </c>
      <c r="AE177" s="213">
        <v>0.61</v>
      </c>
      <c r="AF177" s="196">
        <v>-43000000</v>
      </c>
      <c r="AG177" s="104">
        <f t="shared" si="31"/>
        <v>-4.8549170147905614E-2</v>
      </c>
      <c r="AH177" s="104">
        <f t="shared" si="32"/>
        <v>0</v>
      </c>
      <c r="AI177" s="195">
        <v>0.83</v>
      </c>
    </row>
    <row r="178" spans="1:48">
      <c r="A178">
        <v>1711</v>
      </c>
      <c r="C178" s="107">
        <f>VLOOKUP(1711,收盤價!$A:$C,3,0)</f>
        <v>20.2</v>
      </c>
      <c r="D178" s="107">
        <f t="shared" si="22"/>
        <v>18.067190226876093</v>
      </c>
      <c r="E178" s="167">
        <f t="shared" si="23"/>
        <v>4</v>
      </c>
      <c r="F178" s="104">
        <f t="shared" si="24"/>
        <v>1.1321417544429597</v>
      </c>
      <c r="G178" s="167">
        <f>RANK(1.63,AE:AE,0)</f>
        <v>551</v>
      </c>
      <c r="H178" s="365">
        <f t="shared" si="25"/>
        <v>1.0038598016802478</v>
      </c>
      <c r="I178" s="213">
        <f t="shared" si="26"/>
        <v>672</v>
      </c>
      <c r="J178" s="213">
        <f t="shared" si="27"/>
        <v>335</v>
      </c>
      <c r="K178">
        <f>RANK(1.55,AI:AI,0)</f>
        <v>529</v>
      </c>
      <c r="L178" s="357">
        <v>0</v>
      </c>
      <c r="M178" s="357">
        <v>1</v>
      </c>
      <c r="N178" s="357">
        <v>2</v>
      </c>
      <c r="O178" s="357">
        <v>1</v>
      </c>
      <c r="P178" s="357">
        <v>0</v>
      </c>
      <c r="Q178" s="358">
        <v>0.23942537909018355</v>
      </c>
      <c r="R178" s="359">
        <v>0.27951219512195119</v>
      </c>
      <c r="S178" s="196">
        <v>9308322000</v>
      </c>
      <c r="T178" s="196">
        <v>521700000</v>
      </c>
      <c r="U178" s="200">
        <f t="shared" si="28"/>
        <v>10538340000</v>
      </c>
      <c r="V178" s="196">
        <v>205000000</v>
      </c>
      <c r="W178" s="196">
        <v>1855000000</v>
      </c>
      <c r="X178" s="196">
        <v>5545000000</v>
      </c>
      <c r="Y178" s="196">
        <v>8065000000</v>
      </c>
      <c r="Z178" s="196">
        <v>2877000000</v>
      </c>
      <c r="AA178" s="198">
        <v>0.03</v>
      </c>
      <c r="AB178" s="198">
        <v>0.02</v>
      </c>
      <c r="AC178" s="213">
        <f t="shared" si="29"/>
        <v>469</v>
      </c>
      <c r="AD178" s="213">
        <f t="shared" si="30"/>
        <v>487</v>
      </c>
      <c r="AE178" s="213">
        <v>1.63</v>
      </c>
      <c r="AF178" s="196">
        <v>339000000</v>
      </c>
      <c r="AG178" s="104">
        <f t="shared" si="31"/>
        <v>0.64979873490511786</v>
      </c>
      <c r="AH178" s="104">
        <f t="shared" si="32"/>
        <v>1.6536585365853658</v>
      </c>
      <c r="AI178" s="195">
        <v>1.55</v>
      </c>
    </row>
    <row r="179" spans="1:48">
      <c r="A179">
        <v>1712</v>
      </c>
      <c r="C179" s="107">
        <f>VLOOKUP(1712,收盤價!$A:$C,3,0)</f>
        <v>15.45</v>
      </c>
      <c r="D179" s="107">
        <f t="shared" si="22"/>
        <v>9.4207317073170724</v>
      </c>
      <c r="E179" s="167">
        <f t="shared" si="23"/>
        <v>2</v>
      </c>
      <c r="F179" s="104">
        <f t="shared" si="24"/>
        <v>0.31683461806992669</v>
      </c>
      <c r="G179" s="167">
        <f>RANK(0.84,AE:AE,0)</f>
        <v>946</v>
      </c>
      <c r="H179" s="365">
        <f t="shared" si="25"/>
        <v>-2.972737819025522</v>
      </c>
      <c r="I179" s="213">
        <f t="shared" si="26"/>
        <v>121</v>
      </c>
      <c r="J179" s="213">
        <f t="shared" si="27"/>
        <v>768</v>
      </c>
      <c r="K179">
        <f>RANK(1.75,AI:AI,0)</f>
        <v>437</v>
      </c>
      <c r="L179" s="357">
        <v>0</v>
      </c>
      <c r="M179" s="357">
        <v>1</v>
      </c>
      <c r="N179" s="357">
        <v>0</v>
      </c>
      <c r="O179" s="357">
        <v>1</v>
      </c>
      <c r="P179" s="357">
        <v>0</v>
      </c>
      <c r="Q179" s="358">
        <v>0.27596223674655046</v>
      </c>
      <c r="R179" s="359">
        <v>0.41</v>
      </c>
      <c r="S179" s="196">
        <v>16813693000</v>
      </c>
      <c r="T179" s="196">
        <v>344800000</v>
      </c>
      <c r="U179" s="200">
        <f t="shared" si="28"/>
        <v>5327160000</v>
      </c>
      <c r="V179" s="196">
        <v>0</v>
      </c>
      <c r="W179" s="196">
        <v>1317000000</v>
      </c>
      <c r="X179" s="196">
        <v>7628000000</v>
      </c>
      <c r="Y179" s="196">
        <v>5455000000</v>
      </c>
      <c r="Z179" s="196">
        <v>2862000000</v>
      </c>
      <c r="AA179" s="198">
        <v>0</v>
      </c>
      <c r="AB179" s="198">
        <v>0</v>
      </c>
      <c r="AC179" s="213">
        <f t="shared" si="29"/>
        <v>945</v>
      </c>
      <c r="AD179" s="213">
        <f t="shared" si="30"/>
        <v>911</v>
      </c>
      <c r="AE179" s="213">
        <v>0.84</v>
      </c>
      <c r="AF179" s="196">
        <v>1025000000</v>
      </c>
      <c r="AG179" s="104">
        <f t="shared" si="31"/>
        <v>2.972737819025522</v>
      </c>
      <c r="AH179" s="104">
        <f t="shared" si="32"/>
        <v>0</v>
      </c>
      <c r="AI179" s="195">
        <v>1.75</v>
      </c>
    </row>
    <row r="180" spans="1:48">
      <c r="A180">
        <v>1713</v>
      </c>
      <c r="C180" s="107">
        <f>VLOOKUP(1713,收盤價!$A:$C,3,0)</f>
        <v>15</v>
      </c>
      <c r="D180" s="107">
        <f t="shared" si="22"/>
        <v>34.375</v>
      </c>
      <c r="E180" s="167">
        <f t="shared" si="23"/>
        <v>4</v>
      </c>
      <c r="F180" s="104">
        <f t="shared" si="24"/>
        <v>3.9367957437415377</v>
      </c>
      <c r="G180" s="167">
        <f>RANK(1.08,AE:AE,0)</f>
        <v>769</v>
      </c>
      <c r="H180" s="365">
        <f t="shared" si="25"/>
        <v>0.24466519499632083</v>
      </c>
      <c r="I180" s="213">
        <f t="shared" si="26"/>
        <v>1046</v>
      </c>
      <c r="J180" s="213">
        <f t="shared" si="27"/>
        <v>728</v>
      </c>
      <c r="K180">
        <f>RANK(0.88,AI:AI,0)</f>
        <v>1021</v>
      </c>
      <c r="L180" s="357">
        <v>1</v>
      </c>
      <c r="M180" s="357">
        <v>1</v>
      </c>
      <c r="N180" s="357">
        <v>2</v>
      </c>
      <c r="O180" s="357">
        <v>0</v>
      </c>
      <c r="P180" s="357">
        <v>0</v>
      </c>
      <c r="Q180" s="358">
        <v>0.2129032258064516</v>
      </c>
      <c r="R180" s="359">
        <v>0.10909090909090909</v>
      </c>
      <c r="S180" s="196">
        <v>575341000</v>
      </c>
      <c r="T180" s="196">
        <v>151000000</v>
      </c>
      <c r="U180" s="200">
        <f t="shared" si="28"/>
        <v>2265000000</v>
      </c>
      <c r="V180" s="196">
        <v>18000000</v>
      </c>
      <c r="W180" s="196">
        <v>907000000</v>
      </c>
      <c r="X180" s="196">
        <v>395000000</v>
      </c>
      <c r="Y180" s="196">
        <v>2224000000</v>
      </c>
      <c r="Z180" s="196">
        <v>0</v>
      </c>
      <c r="AA180" s="198">
        <v>0.01</v>
      </c>
      <c r="AB180" s="198">
        <v>0.01</v>
      </c>
      <c r="AC180" s="213">
        <f t="shared" si="29"/>
        <v>769</v>
      </c>
      <c r="AD180" s="213">
        <f t="shared" si="30"/>
        <v>680</v>
      </c>
      <c r="AE180" s="213">
        <v>1.08</v>
      </c>
      <c r="AF180" s="196">
        <v>5000000</v>
      </c>
      <c r="AG180" s="104">
        <f t="shared" si="31"/>
        <v>3.3112582781456956E-2</v>
      </c>
      <c r="AH180" s="104">
        <f t="shared" si="32"/>
        <v>0.27777777777777779</v>
      </c>
      <c r="AI180" s="195">
        <v>0.88</v>
      </c>
      <c r="AO180" s="213"/>
      <c r="AP180" s="213"/>
      <c r="AS180" s="213"/>
    </row>
    <row r="181" spans="1:48">
      <c r="A181">
        <v>1714</v>
      </c>
      <c r="C181" s="107">
        <f>VLOOKUP(1714,收盤價!$A:$C,3,0)</f>
        <v>8</v>
      </c>
      <c r="D181" s="107">
        <f t="shared" si="22"/>
        <v>18.593272171253826</v>
      </c>
      <c r="E181" s="167">
        <f t="shared" si="23"/>
        <v>1</v>
      </c>
      <c r="F181" s="104">
        <f t="shared" si="24"/>
        <v>0.24637404822329928</v>
      </c>
      <c r="G181" s="167">
        <f>RANK(1.2,AE:AE,0)</f>
        <v>710</v>
      </c>
      <c r="H181" s="365">
        <f t="shared" si="25"/>
        <v>0.22950135614437722</v>
      </c>
      <c r="I181" s="213">
        <f t="shared" si="26"/>
        <v>1228</v>
      </c>
      <c r="J181" s="213">
        <f t="shared" si="27"/>
        <v>768</v>
      </c>
      <c r="K181">
        <f>RANK(0.78,AI:AI,0)</f>
        <v>1217</v>
      </c>
      <c r="L181" s="357">
        <v>0</v>
      </c>
      <c r="M181" s="357">
        <v>1</v>
      </c>
      <c r="N181" s="357">
        <v>0</v>
      </c>
      <c r="O181" s="357">
        <v>0</v>
      </c>
      <c r="P181" s="357">
        <v>0</v>
      </c>
      <c r="Q181" s="358">
        <v>0.10202512176365035</v>
      </c>
      <c r="R181" s="359">
        <v>0.1075657894736842</v>
      </c>
      <c r="S181" s="196">
        <v>31126655000</v>
      </c>
      <c r="T181" s="196">
        <v>958600000</v>
      </c>
      <c r="U181" s="200">
        <f t="shared" si="28"/>
        <v>7668800000</v>
      </c>
      <c r="V181" s="196">
        <v>280000000</v>
      </c>
      <c r="W181" s="196">
        <v>4540000000</v>
      </c>
      <c r="X181" s="196">
        <v>8842000000</v>
      </c>
      <c r="Y181" s="196">
        <v>14894000000</v>
      </c>
      <c r="Z181" s="196">
        <v>7537000000</v>
      </c>
      <c r="AA181" s="198">
        <v>0.02</v>
      </c>
      <c r="AB181" s="198">
        <v>0.01</v>
      </c>
      <c r="AC181" s="213">
        <f t="shared" si="29"/>
        <v>616</v>
      </c>
      <c r="AD181" s="213">
        <f t="shared" si="30"/>
        <v>680</v>
      </c>
      <c r="AE181" s="213">
        <v>1.2</v>
      </c>
      <c r="AF181" s="196">
        <v>-220000000</v>
      </c>
      <c r="AG181" s="104">
        <f t="shared" si="31"/>
        <v>-0.22950135614437722</v>
      </c>
      <c r="AH181" s="104">
        <f t="shared" si="32"/>
        <v>0</v>
      </c>
      <c r="AI181" s="195">
        <v>0.78</v>
      </c>
    </row>
    <row r="182" spans="1:48">
      <c r="A182">
        <v>1715</v>
      </c>
      <c r="C182" s="107">
        <f>VLOOKUP(1715,收盤價!$A:$C,3,0)</f>
        <v>11</v>
      </c>
      <c r="D182" s="107">
        <f t="shared" si="22"/>
        <v>0</v>
      </c>
      <c r="E182" s="167">
        <f t="shared" si="23"/>
        <v>1</v>
      </c>
      <c r="F182" s="104">
        <f t="shared" si="24"/>
        <v>0.39590269761073371</v>
      </c>
      <c r="G182" s="167">
        <f>RANK(1.08,AE:AE,0)</f>
        <v>769</v>
      </c>
      <c r="H182" s="365">
        <f t="shared" si="25"/>
        <v>1.0684598860558513E-2</v>
      </c>
      <c r="I182" s="213">
        <f t="shared" si="26"/>
        <v>1065</v>
      </c>
      <c r="J182" s="213">
        <f t="shared" si="27"/>
        <v>767</v>
      </c>
      <c r="K182">
        <f>RANK(0.85,AI:AI,0)</f>
        <v>1059</v>
      </c>
      <c r="L182" s="357">
        <v>0</v>
      </c>
      <c r="M182" s="357">
        <v>0</v>
      </c>
      <c r="N182" s="357">
        <v>0</v>
      </c>
      <c r="O182" s="357">
        <v>1</v>
      </c>
      <c r="P182" s="357">
        <v>0</v>
      </c>
      <c r="Q182" s="358">
        <v>0.11952744961779013</v>
      </c>
      <c r="R182" s="359">
        <v>0</v>
      </c>
      <c r="S182" s="196">
        <v>11530611000</v>
      </c>
      <c r="T182" s="196">
        <v>415000000</v>
      </c>
      <c r="U182" s="200">
        <f t="shared" si="28"/>
        <v>4565000000</v>
      </c>
      <c r="V182" s="196">
        <v>129000000</v>
      </c>
      <c r="W182" s="196">
        <v>2809000000</v>
      </c>
      <c r="X182" s="196">
        <v>5840000000</v>
      </c>
      <c r="Y182" s="196">
        <v>7136000000</v>
      </c>
      <c r="Z182" s="196">
        <v>2770000000</v>
      </c>
      <c r="AA182" s="198">
        <v>0.01</v>
      </c>
      <c r="AB182" s="198">
        <v>0.01</v>
      </c>
      <c r="AC182" s="213">
        <f t="shared" si="29"/>
        <v>769</v>
      </c>
      <c r="AD182" s="213">
        <f t="shared" si="30"/>
        <v>680</v>
      </c>
      <c r="AE182" s="213">
        <v>1.08</v>
      </c>
      <c r="AF182" s="196">
        <v>2000000</v>
      </c>
      <c r="AG182" s="104">
        <f t="shared" si="31"/>
        <v>4.8192771084337354E-3</v>
      </c>
      <c r="AH182" s="104">
        <f t="shared" si="32"/>
        <v>1.5503875968992248E-2</v>
      </c>
      <c r="AI182" s="195">
        <v>0.85</v>
      </c>
      <c r="AO182" s="213"/>
      <c r="AP182" s="213"/>
      <c r="AQ182" s="213"/>
      <c r="AR182" s="213"/>
      <c r="AS182" s="213"/>
      <c r="AT182" s="213"/>
      <c r="AU182" s="213"/>
      <c r="AV182" s="213"/>
    </row>
    <row r="183" spans="1:48">
      <c r="A183">
        <v>1717</v>
      </c>
      <c r="C183" s="107">
        <f>VLOOKUP(1717,收盤價!$A:$C,3,0)</f>
        <v>33.450000000000003</v>
      </c>
      <c r="D183" s="107">
        <f t="shared" si="22"/>
        <v>11.063431058504115</v>
      </c>
      <c r="E183" s="167">
        <f t="shared" si="23"/>
        <v>4</v>
      </c>
      <c r="F183" s="104">
        <f t="shared" si="24"/>
        <v>0.90424773569743289</v>
      </c>
      <c r="G183" s="167">
        <f>RANK(2.24,AE:AE,0)</f>
        <v>416</v>
      </c>
      <c r="H183" s="365">
        <f t="shared" si="25"/>
        <v>-0.1339521936513306</v>
      </c>
      <c r="I183" s="213">
        <f t="shared" si="26"/>
        <v>438</v>
      </c>
      <c r="J183" s="213">
        <f t="shared" si="27"/>
        <v>520</v>
      </c>
      <c r="K183">
        <f>RANK(1.63,AI:AI,0)</f>
        <v>489</v>
      </c>
      <c r="L183" s="357">
        <v>0</v>
      </c>
      <c r="M183" s="357">
        <v>1</v>
      </c>
      <c r="N183" s="357">
        <v>2</v>
      </c>
      <c r="O183" s="357">
        <v>1</v>
      </c>
      <c r="P183" s="357">
        <v>0</v>
      </c>
      <c r="Q183" s="358">
        <v>0.24126472661363407</v>
      </c>
      <c r="R183" s="359">
        <v>0.75586858685868585</v>
      </c>
      <c r="S183" s="196">
        <v>37813299000</v>
      </c>
      <c r="T183" s="196">
        <v>1022200000</v>
      </c>
      <c r="U183" s="200">
        <f t="shared" si="28"/>
        <v>34192590000.000004</v>
      </c>
      <c r="V183" s="196">
        <v>1153000000</v>
      </c>
      <c r="W183" s="196">
        <v>16982000000</v>
      </c>
      <c r="X183" s="196">
        <v>16987000000</v>
      </c>
      <c r="Y183" s="196">
        <v>21541000000</v>
      </c>
      <c r="Z183" s="196">
        <v>5895000000</v>
      </c>
      <c r="AA183" s="198">
        <v>0.03</v>
      </c>
      <c r="AB183" s="198">
        <v>0.04</v>
      </c>
      <c r="AC183" s="213">
        <f t="shared" si="29"/>
        <v>469</v>
      </c>
      <c r="AD183" s="213">
        <f t="shared" si="30"/>
        <v>228</v>
      </c>
      <c r="AE183" s="213">
        <v>2.2400000000000002</v>
      </c>
      <c r="AF183" s="196">
        <v>1207000000</v>
      </c>
      <c r="AG183" s="104">
        <f t="shared" si="31"/>
        <v>1.1807865388378007</v>
      </c>
      <c r="AH183" s="104">
        <f t="shared" si="32"/>
        <v>1.0468343451864701</v>
      </c>
      <c r="AI183" s="195">
        <v>1.63</v>
      </c>
    </row>
    <row r="184" spans="1:48">
      <c r="A184">
        <v>1720</v>
      </c>
      <c r="C184" s="107">
        <f>VLOOKUP(1720,收盤價!$A:$C,3,0)</f>
        <v>32.35</v>
      </c>
      <c r="D184" s="107">
        <f t="shared" si="22"/>
        <v>23.079893867924529</v>
      </c>
      <c r="E184" s="167">
        <f t="shared" si="23"/>
        <v>4</v>
      </c>
      <c r="F184" s="104">
        <f t="shared" si="24"/>
        <v>1.637298762710357</v>
      </c>
      <c r="G184" s="167">
        <f>RANK(1.94,AE:AE,0)</f>
        <v>435</v>
      </c>
      <c r="H184" s="365">
        <f t="shared" si="25"/>
        <v>0.81365416899832121</v>
      </c>
      <c r="I184" s="213">
        <f t="shared" si="26"/>
        <v>436</v>
      </c>
      <c r="J184" s="213">
        <f t="shared" si="27"/>
        <v>261</v>
      </c>
      <c r="K184">
        <f>RANK(2.24,AI:AI,0)</f>
        <v>287</v>
      </c>
      <c r="L184" s="357">
        <v>0</v>
      </c>
      <c r="M184" s="357">
        <v>0</v>
      </c>
      <c r="N184" s="357">
        <v>2</v>
      </c>
      <c r="O184" s="357">
        <v>1</v>
      </c>
      <c r="P184" s="357">
        <v>1</v>
      </c>
      <c r="Q184" s="358">
        <v>0.43404255319148938</v>
      </c>
      <c r="R184" s="359">
        <v>0.35041322314049589</v>
      </c>
      <c r="S184" s="196">
        <v>3530782000</v>
      </c>
      <c r="T184" s="196">
        <v>178700000</v>
      </c>
      <c r="U184" s="200">
        <f t="shared" si="28"/>
        <v>5780945000</v>
      </c>
      <c r="V184" s="196">
        <v>106000000</v>
      </c>
      <c r="W184" s="196">
        <v>917000000</v>
      </c>
      <c r="X184" s="196">
        <v>2133000000</v>
      </c>
      <c r="Y184" s="196">
        <v>3820000000</v>
      </c>
      <c r="Z184" s="196">
        <v>251000000</v>
      </c>
      <c r="AA184" s="198">
        <v>0.03</v>
      </c>
      <c r="AB184" s="198">
        <v>0.03</v>
      </c>
      <c r="AC184" s="213">
        <f t="shared" si="29"/>
        <v>469</v>
      </c>
      <c r="AD184" s="213">
        <f t="shared" si="30"/>
        <v>334</v>
      </c>
      <c r="AE184" s="213">
        <v>1.94</v>
      </c>
      <c r="AF184" s="196">
        <v>212000000</v>
      </c>
      <c r="AG184" s="104">
        <f t="shared" si="31"/>
        <v>1.1863458310016788</v>
      </c>
      <c r="AH184" s="104">
        <f t="shared" si="32"/>
        <v>2</v>
      </c>
      <c r="AI184" s="195">
        <v>2.2400000000000002</v>
      </c>
    </row>
    <row r="185" spans="1:48">
      <c r="A185">
        <v>1721</v>
      </c>
      <c r="C185" s="107">
        <f>VLOOKUP(1721,收盤價!$A:$C,3,0)</f>
        <v>16.899999999999999</v>
      </c>
      <c r="D185" s="107">
        <f t="shared" si="22"/>
        <v>17.604166666666664</v>
      </c>
      <c r="E185" s="167">
        <f t="shared" si="23"/>
        <v>3</v>
      </c>
      <c r="F185" s="104">
        <f t="shared" si="24"/>
        <v>1.349267717697711</v>
      </c>
      <c r="G185" s="167">
        <f>RANK(1.41,AE:AE,0)</f>
        <v>618</v>
      </c>
      <c r="H185" s="365">
        <f t="shared" si="25"/>
        <v>4.141202364886575</v>
      </c>
      <c r="I185" s="213">
        <f t="shared" si="26"/>
        <v>376</v>
      </c>
      <c r="J185" s="213">
        <f t="shared" si="27"/>
        <v>73</v>
      </c>
      <c r="K185">
        <f>RANK(3.47,AI:AI,0)</f>
        <v>128</v>
      </c>
      <c r="L185" s="357">
        <v>1</v>
      </c>
      <c r="M185" s="357">
        <v>1</v>
      </c>
      <c r="N185" s="357">
        <v>0</v>
      </c>
      <c r="O185" s="357">
        <v>1</v>
      </c>
      <c r="P185" s="357">
        <v>0</v>
      </c>
      <c r="Q185" s="358">
        <v>0.19596864501679731</v>
      </c>
      <c r="R185" s="359">
        <v>0.24</v>
      </c>
      <c r="S185" s="196">
        <v>2784377000</v>
      </c>
      <c r="T185" s="196">
        <v>222300000</v>
      </c>
      <c r="U185" s="200">
        <f t="shared" si="28"/>
        <v>3756869999.9999995</v>
      </c>
      <c r="V185" s="196">
        <v>56000000</v>
      </c>
      <c r="W185" s="196">
        <v>1364000000</v>
      </c>
      <c r="X185" s="196">
        <v>1635000000</v>
      </c>
      <c r="Y185" s="196">
        <v>2347000000</v>
      </c>
      <c r="Z185" s="196">
        <v>414000000</v>
      </c>
      <c r="AA185" s="198">
        <v>0.02</v>
      </c>
      <c r="AB185" s="198">
        <v>0.02</v>
      </c>
      <c r="AC185" s="213">
        <f t="shared" si="29"/>
        <v>616</v>
      </c>
      <c r="AD185" s="213">
        <f t="shared" si="30"/>
        <v>487</v>
      </c>
      <c r="AE185" s="213">
        <v>1.41</v>
      </c>
      <c r="AF185" s="196">
        <v>310000000</v>
      </c>
      <c r="AG185" s="104">
        <f t="shared" si="31"/>
        <v>1.3945119208277104</v>
      </c>
      <c r="AH185" s="104">
        <f t="shared" si="32"/>
        <v>5.5357142857142856</v>
      </c>
      <c r="AI185" s="195">
        <v>3.47</v>
      </c>
    </row>
    <row r="186" spans="1:48">
      <c r="A186">
        <v>1722</v>
      </c>
      <c r="C186" s="107">
        <f>VLOOKUP(1722,收盤價!$A:$C,3,0)</f>
        <v>42.65</v>
      </c>
      <c r="D186" s="107">
        <f t="shared" si="22"/>
        <v>79.266907589055222</v>
      </c>
      <c r="E186" s="167">
        <f t="shared" si="23"/>
        <v>2</v>
      </c>
      <c r="F186" s="104">
        <f t="shared" si="24"/>
        <v>2.8236286313254495</v>
      </c>
      <c r="G186" s="167">
        <f>RANK(0.84,AE:AE,0)</f>
        <v>946</v>
      </c>
      <c r="H186" s="365">
        <f t="shared" si="25"/>
        <v>1.086981235447199</v>
      </c>
      <c r="I186" s="213">
        <f t="shared" si="26"/>
        <v>935</v>
      </c>
      <c r="J186" s="213">
        <f t="shared" si="27"/>
        <v>431</v>
      </c>
      <c r="K186">
        <f>RANK(1.14,AI:AI,0)</f>
        <v>767</v>
      </c>
      <c r="L186" s="357">
        <v>0</v>
      </c>
      <c r="M186" s="357">
        <v>1</v>
      </c>
      <c r="N186" s="357">
        <v>0</v>
      </c>
      <c r="O186" s="357">
        <v>1</v>
      </c>
      <c r="P186" s="357">
        <v>0</v>
      </c>
      <c r="Q186" s="358">
        <v>0.15319747013352072</v>
      </c>
      <c r="R186" s="359">
        <v>0.13451388888888891</v>
      </c>
      <c r="S186" s="196">
        <v>14802584000</v>
      </c>
      <c r="T186" s="196">
        <v>980000000</v>
      </c>
      <c r="U186" s="200">
        <f t="shared" si="28"/>
        <v>41797000000</v>
      </c>
      <c r="V186" s="196">
        <v>149000000</v>
      </c>
      <c r="W186" s="196">
        <v>13454000000</v>
      </c>
      <c r="X186" s="196">
        <v>26927000000</v>
      </c>
      <c r="Y186" s="196">
        <v>51086000000</v>
      </c>
      <c r="Z186" s="196">
        <v>20000000</v>
      </c>
      <c r="AA186" s="198">
        <v>0</v>
      </c>
      <c r="AB186" s="198">
        <v>0</v>
      </c>
      <c r="AC186" s="213">
        <f t="shared" si="29"/>
        <v>945</v>
      </c>
      <c r="AD186" s="213">
        <f t="shared" si="30"/>
        <v>911</v>
      </c>
      <c r="AE186" s="213">
        <v>0.84</v>
      </c>
      <c r="AF186" s="196">
        <v>191000000</v>
      </c>
      <c r="AG186" s="104">
        <f t="shared" si="31"/>
        <v>0.19489795918367347</v>
      </c>
      <c r="AH186" s="104">
        <f t="shared" si="32"/>
        <v>1.2818791946308725</v>
      </c>
      <c r="AI186" s="195">
        <v>1.1399999999999999</v>
      </c>
    </row>
    <row r="187" spans="1:48">
      <c r="A187">
        <v>1723</v>
      </c>
      <c r="C187" s="107">
        <f>VLOOKUP(1723,收盤價!$A:$C,3,0)</f>
        <v>112</v>
      </c>
      <c r="D187" s="107">
        <f t="shared" si="22"/>
        <v>32.109079445145014</v>
      </c>
      <c r="E187" s="167">
        <f t="shared" si="23"/>
        <v>1</v>
      </c>
      <c r="F187" s="104">
        <f t="shared" si="24"/>
        <v>5.1928409377363245</v>
      </c>
      <c r="G187" s="167">
        <f>RANK(4.79,AE:AE,0)</f>
        <v>191</v>
      </c>
      <c r="H187" s="365">
        <f t="shared" si="25"/>
        <v>-2.7771986802319071E-2</v>
      </c>
      <c r="I187" s="213">
        <f t="shared" si="26"/>
        <v>585</v>
      </c>
      <c r="J187" s="213">
        <f t="shared" si="27"/>
        <v>591</v>
      </c>
      <c r="K187">
        <f>RANK(1.32,AI:AI,0)</f>
        <v>665</v>
      </c>
      <c r="L187" s="357">
        <v>0</v>
      </c>
      <c r="M187" s="357">
        <v>0</v>
      </c>
      <c r="N187" s="357">
        <v>0</v>
      </c>
      <c r="O187" s="357">
        <v>1</v>
      </c>
      <c r="P187" s="357">
        <v>0</v>
      </c>
      <c r="Q187" s="358">
        <v>0.24943310657596371</v>
      </c>
      <c r="R187" s="359">
        <v>0.87202749140893476</v>
      </c>
      <c r="S187" s="196">
        <v>5109496000</v>
      </c>
      <c r="T187" s="196">
        <v>236900000</v>
      </c>
      <c r="U187" s="200">
        <f t="shared" si="28"/>
        <v>26532800000</v>
      </c>
      <c r="V187" s="196">
        <v>245000000</v>
      </c>
      <c r="W187" s="196">
        <v>738000000</v>
      </c>
      <c r="X187" s="196">
        <v>2460000000</v>
      </c>
      <c r="Y187" s="196">
        <v>6250000000</v>
      </c>
      <c r="Z187" s="196">
        <v>526000000</v>
      </c>
      <c r="AA187" s="198">
        <v>0.08</v>
      </c>
      <c r="AB187" s="198">
        <v>0.04</v>
      </c>
      <c r="AC187" s="213">
        <f t="shared" si="29"/>
        <v>97</v>
      </c>
      <c r="AD187" s="213">
        <f t="shared" si="30"/>
        <v>228</v>
      </c>
      <c r="AE187" s="213">
        <v>4.79</v>
      </c>
      <c r="AF187" s="196">
        <v>199000000</v>
      </c>
      <c r="AG187" s="104">
        <f t="shared" si="31"/>
        <v>0.84001688476150271</v>
      </c>
      <c r="AH187" s="104">
        <f t="shared" si="32"/>
        <v>0.81224489795918364</v>
      </c>
      <c r="AI187" s="195">
        <v>1.32</v>
      </c>
      <c r="AO187" s="213"/>
      <c r="AP187" s="213"/>
      <c r="AQ187" s="213"/>
      <c r="AR187" s="213"/>
      <c r="AS187" s="213"/>
      <c r="AT187" s="213"/>
      <c r="AU187" s="213"/>
      <c r="AV187" s="213"/>
    </row>
    <row r="188" spans="1:48">
      <c r="A188">
        <v>1724</v>
      </c>
      <c r="C188" s="107">
        <f>VLOOKUP(1724,收盤價!$A:$C,3,0)</f>
        <v>16</v>
      </c>
      <c r="D188" s="107">
        <f t="shared" si="22"/>
        <v>11.428571428571429</v>
      </c>
      <c r="E188" s="167">
        <f t="shared" si="23"/>
        <v>5</v>
      </c>
      <c r="F188" s="104">
        <f t="shared" si="24"/>
        <v>1.0305412760810402</v>
      </c>
      <c r="G188" s="167">
        <f>RANK(0.84,AE:AE,0)</f>
        <v>946</v>
      </c>
      <c r="H188" s="365">
        <f t="shared" si="25"/>
        <v>-0.89984350547730829</v>
      </c>
      <c r="I188" s="213">
        <f t="shared" si="26"/>
        <v>561</v>
      </c>
      <c r="J188" s="213">
        <f t="shared" si="27"/>
        <v>768</v>
      </c>
      <c r="K188">
        <f>RANK(1.17,AI:AI,0)</f>
        <v>743</v>
      </c>
      <c r="L188" s="357">
        <v>0</v>
      </c>
      <c r="M188" s="357">
        <v>1</v>
      </c>
      <c r="N188" s="357">
        <v>2</v>
      </c>
      <c r="O188" s="357">
        <v>1</v>
      </c>
      <c r="P188" s="357">
        <v>1</v>
      </c>
      <c r="Q188" s="358">
        <v>0.19056261343012704</v>
      </c>
      <c r="R188" s="359">
        <v>0.35</v>
      </c>
      <c r="S188" s="196">
        <v>1984200000</v>
      </c>
      <c r="T188" s="196">
        <v>127800000</v>
      </c>
      <c r="U188" s="200">
        <f t="shared" si="28"/>
        <v>2044800000</v>
      </c>
      <c r="V188" s="196">
        <v>0</v>
      </c>
      <c r="W188" s="196">
        <v>171000000</v>
      </c>
      <c r="X188" s="196">
        <v>1216000000</v>
      </c>
      <c r="Y188" s="196">
        <v>1938000000</v>
      </c>
      <c r="Z188" s="196">
        <v>100000000</v>
      </c>
      <c r="AA188" s="198">
        <v>0</v>
      </c>
      <c r="AB188" s="198">
        <v>0</v>
      </c>
      <c r="AC188" s="213">
        <f t="shared" si="29"/>
        <v>945</v>
      </c>
      <c r="AD188" s="213">
        <f t="shared" si="30"/>
        <v>911</v>
      </c>
      <c r="AE188" s="213">
        <v>0.84</v>
      </c>
      <c r="AF188" s="196">
        <v>115000000</v>
      </c>
      <c r="AG188" s="104">
        <f t="shared" si="31"/>
        <v>0.89984350547730829</v>
      </c>
      <c r="AH188" s="104">
        <f t="shared" si="32"/>
        <v>0</v>
      </c>
      <c r="AI188" s="195">
        <v>1.17</v>
      </c>
      <c r="AN188" t="s">
        <v>114</v>
      </c>
      <c r="AO188" s="33">
        <v>0</v>
      </c>
      <c r="AP188" s="33">
        <v>0</v>
      </c>
      <c r="AQ188" s="33">
        <v>0</v>
      </c>
      <c r="AR188" s="33">
        <v>0</v>
      </c>
      <c r="AS188" s="33">
        <v>0</v>
      </c>
      <c r="AT188" s="33">
        <v>0</v>
      </c>
      <c r="AU188" s="33">
        <v>-1</v>
      </c>
      <c r="AV188" s="33">
        <v>0</v>
      </c>
    </row>
    <row r="189" spans="1:48">
      <c r="A189">
        <v>1725</v>
      </c>
      <c r="C189" s="107">
        <f>VLOOKUP(1725,收盤價!$A:$C,3,0)</f>
        <v>12.9</v>
      </c>
      <c r="D189" s="107">
        <f t="shared" si="22"/>
        <v>12.650761124121779</v>
      </c>
      <c r="E189" s="167">
        <f t="shared" si="23"/>
        <v>2</v>
      </c>
      <c r="F189" s="104">
        <f t="shared" si="24"/>
        <v>0.27228947612239501</v>
      </c>
      <c r="G189" s="167">
        <f>RANK(1.63,AE:AE,0)</f>
        <v>551</v>
      </c>
      <c r="H189" s="365">
        <f t="shared" si="25"/>
        <v>0.86358635863586364</v>
      </c>
      <c r="I189" s="213">
        <f t="shared" si="26"/>
        <v>1424</v>
      </c>
      <c r="J189" s="213">
        <f t="shared" si="27"/>
        <v>768</v>
      </c>
      <c r="K189">
        <f>RANK(0.71,AI:AI,0)</f>
        <v>1412</v>
      </c>
      <c r="L189" s="357">
        <v>0</v>
      </c>
      <c r="M189" s="357">
        <v>1</v>
      </c>
      <c r="N189" s="357">
        <v>1</v>
      </c>
      <c r="O189" s="357">
        <v>0</v>
      </c>
      <c r="P189" s="357">
        <v>0</v>
      </c>
      <c r="Q189" s="358">
        <v>5.4724041159962579E-2</v>
      </c>
      <c r="R189" s="359">
        <v>0.25492537313432839</v>
      </c>
      <c r="S189" s="196">
        <v>8612966000</v>
      </c>
      <c r="T189" s="196">
        <v>181800000</v>
      </c>
      <c r="U189" s="200">
        <f t="shared" si="28"/>
        <v>2345220000</v>
      </c>
      <c r="V189" s="196">
        <v>64000000</v>
      </c>
      <c r="W189" s="196">
        <v>1754000000</v>
      </c>
      <c r="X189" s="196">
        <v>559000000</v>
      </c>
      <c r="Y189" s="196">
        <v>2433000000</v>
      </c>
      <c r="Z189" s="196">
        <v>1323000000</v>
      </c>
      <c r="AA189" s="198">
        <v>0.03</v>
      </c>
      <c r="AB189" s="198">
        <v>0.02</v>
      </c>
      <c r="AC189" s="213">
        <f t="shared" si="29"/>
        <v>469</v>
      </c>
      <c r="AD189" s="213">
        <f t="shared" si="30"/>
        <v>487</v>
      </c>
      <c r="AE189" s="213">
        <v>1.63</v>
      </c>
      <c r="AF189" s="196">
        <v>-157000000</v>
      </c>
      <c r="AG189" s="104">
        <f t="shared" si="31"/>
        <v>-0.86358635863586364</v>
      </c>
      <c r="AH189" s="104">
        <f t="shared" si="32"/>
        <v>0</v>
      </c>
      <c r="AI189" s="195">
        <v>0.71</v>
      </c>
    </row>
    <row r="190" spans="1:48">
      <c r="A190">
        <v>1726</v>
      </c>
      <c r="C190" s="107">
        <f>VLOOKUP(1726,收盤價!$A:$C,3,0)</f>
        <v>77.099999999999994</v>
      </c>
      <c r="D190" s="107">
        <f t="shared" si="22"/>
        <v>11.732125599769416</v>
      </c>
      <c r="E190" s="167">
        <f t="shared" si="23"/>
        <v>5</v>
      </c>
      <c r="F190" s="104">
        <f t="shared" si="24"/>
        <v>1.6368216865309948</v>
      </c>
      <c r="G190" s="167">
        <f>RANK(3.28,AE:AE,0)</f>
        <v>256</v>
      </c>
      <c r="H190" s="365">
        <f t="shared" si="25"/>
        <v>-0.92049808429118785</v>
      </c>
      <c r="I190" s="213">
        <f t="shared" si="26"/>
        <v>280</v>
      </c>
      <c r="J190" s="213">
        <f t="shared" si="27"/>
        <v>597</v>
      </c>
      <c r="K190">
        <f>RANK(1.78,AI:AI,0)</f>
        <v>423</v>
      </c>
      <c r="L190" s="357">
        <v>1</v>
      </c>
      <c r="M190" s="357">
        <v>1</v>
      </c>
      <c r="N190" s="357">
        <v>2</v>
      </c>
      <c r="O190" s="357">
        <v>1</v>
      </c>
      <c r="P190" s="357">
        <v>0</v>
      </c>
      <c r="Q190" s="358">
        <v>0.30279503105590061</v>
      </c>
      <c r="R190" s="359">
        <v>1.6429247910863509</v>
      </c>
      <c r="S190" s="196">
        <v>7630764000</v>
      </c>
      <c r="T190" s="196">
        <v>162000000</v>
      </c>
      <c r="U190" s="200">
        <f t="shared" si="28"/>
        <v>12490200000</v>
      </c>
      <c r="V190" s="196">
        <v>348000000</v>
      </c>
      <c r="W190" s="196">
        <v>5986000000</v>
      </c>
      <c r="X190" s="196">
        <v>1561000000</v>
      </c>
      <c r="Y190" s="196">
        <v>7789000000</v>
      </c>
      <c r="Z190" s="196">
        <v>6000000</v>
      </c>
      <c r="AA190" s="198">
        <v>0.05</v>
      </c>
      <c r="AB190" s="198">
        <v>0.04</v>
      </c>
      <c r="AC190" s="213">
        <f t="shared" si="29"/>
        <v>247</v>
      </c>
      <c r="AD190" s="213">
        <f t="shared" si="30"/>
        <v>228</v>
      </c>
      <c r="AE190" s="213">
        <v>3.28</v>
      </c>
      <c r="AF190" s="196">
        <v>279000000</v>
      </c>
      <c r="AG190" s="104">
        <f t="shared" si="31"/>
        <v>1.7222222222222223</v>
      </c>
      <c r="AH190" s="104">
        <f t="shared" si="32"/>
        <v>0.80172413793103448</v>
      </c>
      <c r="AI190" s="195">
        <v>1.78</v>
      </c>
    </row>
    <row r="191" spans="1:48">
      <c r="A191">
        <v>1727</v>
      </c>
      <c r="C191" s="107">
        <f>VLOOKUP(1727,收盤價!$A:$C,3,0)</f>
        <v>12.8</v>
      </c>
      <c r="D191" s="107">
        <f t="shared" si="22"/>
        <v>16.870748299319729</v>
      </c>
      <c r="E191" s="167">
        <f t="shared" si="23"/>
        <v>1</v>
      </c>
      <c r="F191" s="104">
        <f t="shared" si="24"/>
        <v>0.68422891698810173</v>
      </c>
      <c r="G191" s="167">
        <f>RANK(1.41,AE:AE,0)</f>
        <v>618</v>
      </c>
      <c r="H191" s="365">
        <f t="shared" si="25"/>
        <v>0.14505893019038985</v>
      </c>
      <c r="I191" s="213">
        <f t="shared" si="26"/>
        <v>1170</v>
      </c>
      <c r="J191" s="213">
        <f t="shared" si="27"/>
        <v>768</v>
      </c>
      <c r="K191">
        <f>RANK(0.8,AI:AI,0)</f>
        <v>1168</v>
      </c>
      <c r="L191" s="357">
        <v>0</v>
      </c>
      <c r="M191" s="357">
        <v>1</v>
      </c>
      <c r="N191" s="357">
        <v>0</v>
      </c>
      <c r="O191" s="357">
        <v>0</v>
      </c>
      <c r="P191" s="357">
        <v>0</v>
      </c>
      <c r="Q191" s="358">
        <v>0.15447154471544716</v>
      </c>
      <c r="R191" s="359">
        <v>0.1896774193548387</v>
      </c>
      <c r="S191" s="196">
        <v>2063403000</v>
      </c>
      <c r="T191" s="196">
        <v>110300000</v>
      </c>
      <c r="U191" s="200">
        <f t="shared" si="28"/>
        <v>1411840000</v>
      </c>
      <c r="V191" s="196">
        <v>30000000</v>
      </c>
      <c r="W191" s="196">
        <v>205000000</v>
      </c>
      <c r="X191" s="196">
        <v>1133000000</v>
      </c>
      <c r="Y191" s="196">
        <v>1406000000</v>
      </c>
      <c r="Z191" s="196">
        <v>552000000</v>
      </c>
      <c r="AA191" s="198">
        <v>0.02</v>
      </c>
      <c r="AB191" s="198">
        <v>0.02</v>
      </c>
      <c r="AC191" s="213">
        <f t="shared" si="29"/>
        <v>616</v>
      </c>
      <c r="AD191" s="213">
        <f t="shared" si="30"/>
        <v>487</v>
      </c>
      <c r="AE191" s="213">
        <v>1.41</v>
      </c>
      <c r="AF191" s="196">
        <v>-16000000</v>
      </c>
      <c r="AG191" s="104">
        <f t="shared" si="31"/>
        <v>-0.14505893019038985</v>
      </c>
      <c r="AH191" s="104">
        <f t="shared" si="32"/>
        <v>0</v>
      </c>
      <c r="AI191" s="195">
        <v>0.8</v>
      </c>
    </row>
    <row r="192" spans="1:48">
      <c r="A192">
        <v>1729</v>
      </c>
      <c r="C192" s="107">
        <f>VLOOKUP(1729,收盤價!$A:$C,3,0)</f>
        <v>76.2</v>
      </c>
      <c r="D192" s="107">
        <f t="shared" si="22"/>
        <v>193.55614973262033</v>
      </c>
      <c r="E192" s="167">
        <f t="shared" si="23"/>
        <v>5</v>
      </c>
      <c r="F192" s="104">
        <f t="shared" si="24"/>
        <v>8.3314294813010665</v>
      </c>
      <c r="G192" s="167">
        <f>RANK(1.2,AE:AE,0)</f>
        <v>710</v>
      </c>
      <c r="H192" s="365">
        <f t="shared" si="25"/>
        <v>7.5994382365512614</v>
      </c>
      <c r="I192" s="213">
        <f t="shared" si="26"/>
        <v>113</v>
      </c>
      <c r="J192" s="213">
        <f t="shared" si="27"/>
        <v>36</v>
      </c>
      <c r="K192">
        <f>RANK(10.46,AI:AI,0)</f>
        <v>13</v>
      </c>
      <c r="L192" s="357">
        <v>1</v>
      </c>
      <c r="M192" s="357">
        <v>1</v>
      </c>
      <c r="N192" s="357">
        <v>2</v>
      </c>
      <c r="O192" s="357">
        <v>1</v>
      </c>
      <c r="P192" s="357">
        <v>0</v>
      </c>
      <c r="Q192" s="358">
        <v>0.25918762088974856</v>
      </c>
      <c r="R192" s="359">
        <v>9.8421052631578951E-2</v>
      </c>
      <c r="S192" s="196">
        <v>1695685000</v>
      </c>
      <c r="T192" s="196">
        <v>185400000</v>
      </c>
      <c r="U192" s="200">
        <f t="shared" si="28"/>
        <v>14127480000</v>
      </c>
      <c r="V192" s="196">
        <v>53000000</v>
      </c>
      <c r="W192" s="196">
        <v>2236000000</v>
      </c>
      <c r="X192" s="196">
        <v>1279000000</v>
      </c>
      <c r="Y192" s="196">
        <v>3905000000</v>
      </c>
      <c r="Z192" s="196">
        <v>285000000</v>
      </c>
      <c r="AA192" s="198">
        <v>0.02</v>
      </c>
      <c r="AB192" s="198">
        <v>0.01</v>
      </c>
      <c r="AC192" s="213">
        <f t="shared" si="29"/>
        <v>616</v>
      </c>
      <c r="AD192" s="213">
        <f t="shared" si="30"/>
        <v>680</v>
      </c>
      <c r="AE192" s="213">
        <v>1.2</v>
      </c>
      <c r="AF192" s="196">
        <v>564000000</v>
      </c>
      <c r="AG192" s="104">
        <f t="shared" si="31"/>
        <v>3.0420711974110031</v>
      </c>
      <c r="AH192" s="104">
        <f t="shared" si="32"/>
        <v>10.641509433962264</v>
      </c>
      <c r="AI192" s="195">
        <v>10.46</v>
      </c>
      <c r="AO192" s="213"/>
      <c r="AP192" s="213"/>
      <c r="AQ192" s="213"/>
      <c r="AR192" s="213"/>
      <c r="AS192" s="213"/>
      <c r="AT192" s="213"/>
      <c r="AU192" s="213"/>
      <c r="AV192" s="213"/>
    </row>
    <row r="193" spans="1:48">
      <c r="A193">
        <v>1730</v>
      </c>
      <c r="C193" s="107">
        <f>VLOOKUP(1730,收盤價!$A:$C,3,0)</f>
        <v>36.049999999999997</v>
      </c>
      <c r="D193" s="107">
        <f t="shared" si="22"/>
        <v>17.739056991774383</v>
      </c>
      <c r="E193" s="167">
        <f t="shared" si="23"/>
        <v>2</v>
      </c>
      <c r="F193" s="104">
        <f t="shared" si="24"/>
        <v>0.98438191632669869</v>
      </c>
      <c r="G193" s="167">
        <f>RANK(2.76,AE:AE,0)</f>
        <v>305</v>
      </c>
      <c r="H193" s="365">
        <f t="shared" si="25"/>
        <v>0.23073989321128907</v>
      </c>
      <c r="I193" s="213">
        <f t="shared" si="26"/>
        <v>530</v>
      </c>
      <c r="J193" s="213">
        <f t="shared" si="27"/>
        <v>463</v>
      </c>
      <c r="K193">
        <f>RANK(1.57,AI:AI,0)</f>
        <v>517</v>
      </c>
      <c r="L193" s="357">
        <v>0</v>
      </c>
      <c r="M193" s="357">
        <v>1</v>
      </c>
      <c r="N193" s="357">
        <v>0</v>
      </c>
      <c r="O193" s="357">
        <v>1</v>
      </c>
      <c r="P193" s="357">
        <v>0</v>
      </c>
      <c r="Q193" s="358">
        <v>0.46311475409836067</v>
      </c>
      <c r="R193" s="359">
        <v>0.50805970149253732</v>
      </c>
      <c r="S193" s="196">
        <v>2087452000</v>
      </c>
      <c r="T193" s="196">
        <v>57000000</v>
      </c>
      <c r="U193" s="200">
        <f t="shared" si="28"/>
        <v>2054849999.9999998</v>
      </c>
      <c r="V193" s="196">
        <v>46000000</v>
      </c>
      <c r="W193" s="196">
        <v>811000000</v>
      </c>
      <c r="X193" s="196">
        <v>308000000</v>
      </c>
      <c r="Y193" s="196">
        <v>1216000000</v>
      </c>
      <c r="Z193" s="196">
        <v>0</v>
      </c>
      <c r="AA193" s="198">
        <v>0.04</v>
      </c>
      <c r="AB193" s="198">
        <v>0.04</v>
      </c>
      <c r="AC193" s="213">
        <f t="shared" si="29"/>
        <v>337</v>
      </c>
      <c r="AD193" s="213">
        <f t="shared" si="30"/>
        <v>228</v>
      </c>
      <c r="AE193" s="213">
        <v>2.76</v>
      </c>
      <c r="AF193" s="196">
        <v>55000000</v>
      </c>
      <c r="AG193" s="104">
        <f t="shared" si="31"/>
        <v>0.96491228070175439</v>
      </c>
      <c r="AH193" s="104">
        <f t="shared" si="32"/>
        <v>1.1956521739130435</v>
      </c>
      <c r="AI193" s="195">
        <v>1.57</v>
      </c>
      <c r="AO193" s="213"/>
      <c r="AP193" s="213"/>
      <c r="AQ193" s="213"/>
      <c r="AR193" s="213"/>
      <c r="AS193" s="213"/>
      <c r="AT193" s="213"/>
      <c r="AU193" s="213"/>
      <c r="AV193" s="213"/>
    </row>
    <row r="194" spans="1:48">
      <c r="A194">
        <v>1731</v>
      </c>
      <c r="C194" s="107">
        <f>VLOOKUP(1731,收盤價!$A:$C,3,0)</f>
        <v>13.15</v>
      </c>
      <c r="D194" s="107">
        <f t="shared" ref="D194:D257" si="33">IF(AND(ISNUMBER(C194),R194&gt;0),C194/(R194*4),0)</f>
        <v>20.322727272727271</v>
      </c>
      <c r="E194" s="167">
        <f t="shared" ref="E194:E257" si="34">SUM(L194:P194)</f>
        <v>1</v>
      </c>
      <c r="F194" s="104">
        <f t="shared" ref="F194:F257" si="35">IF(AND(ISNUMBER(U194),ISNUMBER(S194)),U194/S194,0)</f>
        <v>1.2569703421068721</v>
      </c>
      <c r="G194" s="167">
        <f>RANK(1.41,AE:AE,0)</f>
        <v>618</v>
      </c>
      <c r="H194" s="365">
        <f t="shared" ref="H194:H257" si="36">AH194-AG194</f>
        <v>0.34030792382936853</v>
      </c>
      <c r="I194" s="213">
        <f t="shared" ref="I194:I257" si="37">RANK(AG194,AG:AG)</f>
        <v>1011</v>
      </c>
      <c r="J194" s="213">
        <f t="shared" ref="J194:J257" si="38">RANK(AH194,AH:AH)</f>
        <v>697</v>
      </c>
      <c r="K194">
        <f>RANK(0.91,AI:AI,0)</f>
        <v>974</v>
      </c>
      <c r="L194" s="357">
        <v>0</v>
      </c>
      <c r="M194" s="357">
        <v>1</v>
      </c>
      <c r="N194" s="357">
        <v>0</v>
      </c>
      <c r="O194" s="357">
        <v>0</v>
      </c>
      <c r="P194" s="357">
        <v>0</v>
      </c>
      <c r="Q194" s="358">
        <v>0.43148688046647232</v>
      </c>
      <c r="R194" s="359">
        <v>0.16176470588235295</v>
      </c>
      <c r="S194" s="196">
        <v>1390355000</v>
      </c>
      <c r="T194" s="196">
        <v>132900000</v>
      </c>
      <c r="U194" s="200">
        <f t="shared" ref="U194:U257" si="39">C194*T194</f>
        <v>1747635000</v>
      </c>
      <c r="V194" s="196">
        <v>26000000</v>
      </c>
      <c r="W194" s="196">
        <v>544000000</v>
      </c>
      <c r="X194" s="196">
        <v>540000000</v>
      </c>
      <c r="Y194" s="196">
        <v>1671000000</v>
      </c>
      <c r="Z194" s="196">
        <v>0</v>
      </c>
      <c r="AA194" s="198">
        <v>0.02</v>
      </c>
      <c r="AB194" s="198">
        <v>0.02</v>
      </c>
      <c r="AC194" s="213">
        <f t="shared" ref="AC194:AC257" si="40">RANK(AA194,AA:AA)</f>
        <v>616</v>
      </c>
      <c r="AD194" s="213">
        <f t="shared" ref="AD194:AD257" si="41">RANK(AB194,AB:AB)</f>
        <v>487</v>
      </c>
      <c r="AE194" s="213">
        <v>1.41</v>
      </c>
      <c r="AF194" s="196">
        <v>11000000</v>
      </c>
      <c r="AG194" s="104">
        <f t="shared" ref="AG194:AG257" si="42">AF194/T194</f>
        <v>8.2768999247554556E-2</v>
      </c>
      <c r="AH194" s="104">
        <f t="shared" ref="AH194:AH257" si="43">IF(AND(AF194&gt;0,V194&gt;0),AF194/V194,0)</f>
        <v>0.42307692307692307</v>
      </c>
      <c r="AI194" s="195">
        <v>0.91</v>
      </c>
      <c r="AO194" s="213"/>
      <c r="AP194" s="213"/>
      <c r="AQ194" s="213"/>
      <c r="AR194" s="213"/>
      <c r="AS194" s="213"/>
      <c r="AT194" s="213"/>
      <c r="AU194" s="213"/>
      <c r="AV194" s="213"/>
    </row>
    <row r="195" spans="1:48">
      <c r="A195">
        <v>1732</v>
      </c>
      <c r="C195" s="107">
        <f>VLOOKUP(1732,收盤價!$A:$C,3,0)</f>
        <v>13.4</v>
      </c>
      <c r="D195" s="107">
        <f t="shared" si="33"/>
        <v>0</v>
      </c>
      <c r="E195" s="167">
        <f t="shared" si="34"/>
        <v>2</v>
      </c>
      <c r="F195" s="104">
        <f t="shared" si="35"/>
        <v>1.0180400364097675</v>
      </c>
      <c r="G195" s="167">
        <f>RANK(0.57,AE:AE,0)</f>
        <v>1389</v>
      </c>
      <c r="H195" s="365">
        <f t="shared" si="36"/>
        <v>-0.37735849056603776</v>
      </c>
      <c r="I195" s="213">
        <f t="shared" si="37"/>
        <v>814</v>
      </c>
      <c r="J195" s="213">
        <f t="shared" si="38"/>
        <v>768</v>
      </c>
      <c r="K195">
        <f>RANK(0.98,AI:AI,0)</f>
        <v>903</v>
      </c>
      <c r="L195" s="357">
        <v>0</v>
      </c>
      <c r="M195" s="357">
        <v>0</v>
      </c>
      <c r="N195" s="357">
        <v>1</v>
      </c>
      <c r="O195" s="357">
        <v>1</v>
      </c>
      <c r="P195" s="357">
        <v>0</v>
      </c>
      <c r="Q195" s="358">
        <v>0.41428571428571431</v>
      </c>
      <c r="R195" s="359">
        <v>0</v>
      </c>
      <c r="S195" s="196">
        <v>558092000</v>
      </c>
      <c r="T195" s="196">
        <v>42400000</v>
      </c>
      <c r="U195" s="200">
        <f t="shared" si="39"/>
        <v>568160000</v>
      </c>
      <c r="V195" s="196">
        <v>-8000000</v>
      </c>
      <c r="W195" s="196">
        <v>225000000</v>
      </c>
      <c r="X195" s="196">
        <v>208000000</v>
      </c>
      <c r="Y195" s="196">
        <v>433000000</v>
      </c>
      <c r="Z195" s="196">
        <v>0</v>
      </c>
      <c r="AA195" s="198">
        <v>-0.02</v>
      </c>
      <c r="AB195" s="198">
        <v>-0.02</v>
      </c>
      <c r="AC195" s="213">
        <f t="shared" si="40"/>
        <v>1353</v>
      </c>
      <c r="AD195" s="213">
        <f t="shared" si="41"/>
        <v>1388</v>
      </c>
      <c r="AE195" s="213">
        <v>0.56999999999999995</v>
      </c>
      <c r="AF195" s="196">
        <v>16000000</v>
      </c>
      <c r="AG195" s="104">
        <f t="shared" si="42"/>
        <v>0.37735849056603776</v>
      </c>
      <c r="AH195" s="104">
        <f t="shared" si="43"/>
        <v>0</v>
      </c>
      <c r="AI195" s="195">
        <v>0.98</v>
      </c>
      <c r="AO195" s="213"/>
      <c r="AP195" s="213"/>
      <c r="AQ195" s="213"/>
      <c r="AR195" s="213"/>
      <c r="AS195" s="213"/>
      <c r="AT195" s="213"/>
      <c r="AU195" s="213"/>
      <c r="AV195" s="213"/>
    </row>
    <row r="196" spans="1:48">
      <c r="A196">
        <v>1733</v>
      </c>
      <c r="C196" s="107">
        <f>VLOOKUP(1733,收盤價!$A:$C,3,0)</f>
        <v>41.65</v>
      </c>
      <c r="D196" s="107">
        <f t="shared" si="33"/>
        <v>16.222005842259005</v>
      </c>
      <c r="E196" s="167">
        <f t="shared" si="34"/>
        <v>4</v>
      </c>
      <c r="F196" s="104">
        <f t="shared" si="35"/>
        <v>2.1521201143304336</v>
      </c>
      <c r="G196" s="167">
        <f>RANK(2.76,AE:AE,0)</f>
        <v>305</v>
      </c>
      <c r="H196" s="365">
        <f t="shared" si="36"/>
        <v>5.0942952313731305E-2</v>
      </c>
      <c r="I196" s="213">
        <f t="shared" si="37"/>
        <v>917</v>
      </c>
      <c r="J196" s="213">
        <f t="shared" si="38"/>
        <v>730</v>
      </c>
      <c r="K196">
        <f>RANK(0.95,AI:AI,0)</f>
        <v>930</v>
      </c>
      <c r="L196" s="357">
        <v>0</v>
      </c>
      <c r="M196" s="357">
        <v>1</v>
      </c>
      <c r="N196" s="357">
        <v>2</v>
      </c>
      <c r="O196" s="357">
        <v>1</v>
      </c>
      <c r="P196" s="357">
        <v>0</v>
      </c>
      <c r="Q196" s="358">
        <v>0.28290766208251472</v>
      </c>
      <c r="R196" s="359">
        <v>0.64187500000000008</v>
      </c>
      <c r="S196" s="196">
        <v>1929495000</v>
      </c>
      <c r="T196" s="196">
        <v>99700000</v>
      </c>
      <c r="U196" s="200">
        <f t="shared" si="39"/>
        <v>4152505000</v>
      </c>
      <c r="V196" s="196">
        <v>81000000</v>
      </c>
      <c r="W196" s="196">
        <v>1107000000</v>
      </c>
      <c r="X196" s="196">
        <v>859000000</v>
      </c>
      <c r="Y196" s="196">
        <v>1859000000</v>
      </c>
      <c r="Z196" s="196">
        <v>0</v>
      </c>
      <c r="AA196" s="198">
        <v>0.04</v>
      </c>
      <c r="AB196" s="198">
        <v>0.04</v>
      </c>
      <c r="AC196" s="213">
        <f t="shared" si="40"/>
        <v>337</v>
      </c>
      <c r="AD196" s="213">
        <f t="shared" si="41"/>
        <v>228</v>
      </c>
      <c r="AE196" s="213">
        <v>2.76</v>
      </c>
      <c r="AF196" s="196">
        <v>22000000</v>
      </c>
      <c r="AG196" s="104">
        <f t="shared" si="42"/>
        <v>0.22066198595787362</v>
      </c>
      <c r="AH196" s="104">
        <f t="shared" si="43"/>
        <v>0.27160493827160492</v>
      </c>
      <c r="AI196" s="195">
        <v>0.95</v>
      </c>
      <c r="AO196" s="213"/>
      <c r="AP196" s="213"/>
      <c r="AQ196" s="213"/>
      <c r="AR196" s="213"/>
      <c r="AS196" s="213"/>
      <c r="AT196" s="213"/>
      <c r="AU196" s="213"/>
      <c r="AV196" s="213"/>
    </row>
    <row r="197" spans="1:48">
      <c r="A197">
        <v>1734</v>
      </c>
      <c r="C197" s="107">
        <f>VLOOKUP(1734,收盤價!$A:$C,3,0)</f>
        <v>25.9</v>
      </c>
      <c r="D197" s="107">
        <f t="shared" si="33"/>
        <v>0</v>
      </c>
      <c r="E197" s="167">
        <f t="shared" si="34"/>
        <v>1</v>
      </c>
      <c r="F197" s="104">
        <f t="shared" si="35"/>
        <v>1.9668370169322358</v>
      </c>
      <c r="G197" s="167">
        <f>RANK(0.61,AE:AE,0)</f>
        <v>1295</v>
      </c>
      <c r="H197" s="365">
        <f t="shared" si="36"/>
        <v>0.12399256044637322</v>
      </c>
      <c r="I197" s="213">
        <f t="shared" si="37"/>
        <v>1155</v>
      </c>
      <c r="J197" s="213">
        <f t="shared" si="38"/>
        <v>768</v>
      </c>
      <c r="K197">
        <f>RANK(0.81,AI:AI,0)</f>
        <v>1144</v>
      </c>
      <c r="L197" s="357">
        <v>0</v>
      </c>
      <c r="M197" s="357">
        <v>1</v>
      </c>
      <c r="N197" s="357">
        <v>0</v>
      </c>
      <c r="O197" s="357">
        <v>0</v>
      </c>
      <c r="P197" s="357">
        <v>0</v>
      </c>
      <c r="Q197" s="358">
        <v>0.37549407114624506</v>
      </c>
      <c r="R197" s="359">
        <v>0</v>
      </c>
      <c r="S197" s="196">
        <v>2124055000</v>
      </c>
      <c r="T197" s="196">
        <v>161300000</v>
      </c>
      <c r="U197" s="200">
        <f t="shared" si="39"/>
        <v>4177670000</v>
      </c>
      <c r="V197" s="196">
        <v>-40000000</v>
      </c>
      <c r="W197" s="196">
        <v>1228000000</v>
      </c>
      <c r="X197" s="196">
        <v>3386000000</v>
      </c>
      <c r="Y197" s="196">
        <v>3768000000</v>
      </c>
      <c r="Z197" s="196">
        <v>423000000</v>
      </c>
      <c r="AA197" s="198">
        <v>-0.01</v>
      </c>
      <c r="AB197" s="198">
        <v>-0.01</v>
      </c>
      <c r="AC197" s="213">
        <f t="shared" si="40"/>
        <v>1277</v>
      </c>
      <c r="AD197" s="213">
        <f t="shared" si="41"/>
        <v>1294</v>
      </c>
      <c r="AE197" s="213">
        <v>0.61</v>
      </c>
      <c r="AF197" s="196">
        <v>-20000000</v>
      </c>
      <c r="AG197" s="104">
        <f t="shared" si="42"/>
        <v>-0.12399256044637322</v>
      </c>
      <c r="AH197" s="104">
        <f t="shared" si="43"/>
        <v>0</v>
      </c>
      <c r="AI197" s="195">
        <v>0.81</v>
      </c>
    </row>
    <row r="198" spans="1:48">
      <c r="A198">
        <v>1735</v>
      </c>
      <c r="C198" s="107">
        <f>VLOOKUP(1735,收盤價!$A:$C,3,0)</f>
        <v>12.3</v>
      </c>
      <c r="D198" s="107">
        <f t="shared" si="33"/>
        <v>7.6519097222222223</v>
      </c>
      <c r="E198" s="167">
        <f t="shared" si="34"/>
        <v>3</v>
      </c>
      <c r="F198" s="104">
        <f t="shared" si="35"/>
        <v>0.4264366889996411</v>
      </c>
      <c r="G198" s="167">
        <f>RANK(2.68,AE:AE,0)</f>
        <v>341</v>
      </c>
      <c r="H198" s="365">
        <f t="shared" si="36"/>
        <v>0.22401073105298452</v>
      </c>
      <c r="I198" s="213">
        <f t="shared" si="37"/>
        <v>777</v>
      </c>
      <c r="J198" s="213">
        <f t="shared" si="38"/>
        <v>632</v>
      </c>
      <c r="K198">
        <f>RANK(1.11,AI:AI,0)</f>
        <v>788</v>
      </c>
      <c r="L198" s="357">
        <v>0</v>
      </c>
      <c r="M198" s="357">
        <v>1</v>
      </c>
      <c r="N198" s="357">
        <v>1</v>
      </c>
      <c r="O198" s="357">
        <v>1</v>
      </c>
      <c r="P198" s="357">
        <v>0</v>
      </c>
      <c r="Q198" s="358">
        <v>0.19316688567674112</v>
      </c>
      <c r="R198" s="359">
        <v>0.4018604651162791</v>
      </c>
      <c r="S198" s="196">
        <v>2867061000</v>
      </c>
      <c r="T198" s="196">
        <v>99400000</v>
      </c>
      <c r="U198" s="200">
        <f t="shared" si="39"/>
        <v>1222620000</v>
      </c>
      <c r="V198" s="196">
        <v>66000000</v>
      </c>
      <c r="W198" s="196">
        <v>622000000</v>
      </c>
      <c r="X198" s="196">
        <v>808000000</v>
      </c>
      <c r="Y198" s="196">
        <v>1405000000</v>
      </c>
      <c r="Z198" s="196">
        <v>820000000</v>
      </c>
      <c r="AA198" s="198">
        <v>0.05</v>
      </c>
      <c r="AB198" s="198">
        <v>0.03</v>
      </c>
      <c r="AC198" s="213">
        <f t="shared" si="40"/>
        <v>247</v>
      </c>
      <c r="AD198" s="213">
        <f t="shared" si="41"/>
        <v>334</v>
      </c>
      <c r="AE198" s="213">
        <v>2.68</v>
      </c>
      <c r="AF198" s="196">
        <v>44000000</v>
      </c>
      <c r="AG198" s="104">
        <f t="shared" si="42"/>
        <v>0.44265593561368211</v>
      </c>
      <c r="AH198" s="104">
        <f t="shared" si="43"/>
        <v>0.66666666666666663</v>
      </c>
      <c r="AI198" s="195">
        <v>1.1100000000000001</v>
      </c>
    </row>
    <row r="199" spans="1:48">
      <c r="A199">
        <v>1736</v>
      </c>
      <c r="C199" s="107">
        <f>VLOOKUP(1736,收盤價!$A:$C,3,0)</f>
        <v>46</v>
      </c>
      <c r="D199" s="107">
        <f t="shared" si="33"/>
        <v>0</v>
      </c>
      <c r="E199" s="167">
        <f t="shared" si="34"/>
        <v>3</v>
      </c>
      <c r="F199" s="104">
        <f t="shared" si="35"/>
        <v>0.73191315105150756</v>
      </c>
      <c r="G199" s="167">
        <f>RANK(0.93,AE:AE,0)</f>
        <v>920</v>
      </c>
      <c r="H199" s="365">
        <f t="shared" si="36"/>
        <v>6.4721804511278194</v>
      </c>
      <c r="I199" s="213">
        <f t="shared" si="37"/>
        <v>583</v>
      </c>
      <c r="J199" s="213">
        <f t="shared" si="38"/>
        <v>57</v>
      </c>
      <c r="K199">
        <f>RANK(2.43,AI:AI,0)</f>
        <v>252</v>
      </c>
      <c r="L199" s="357">
        <v>0</v>
      </c>
      <c r="M199" s="357">
        <v>1</v>
      </c>
      <c r="N199" s="357">
        <v>1</v>
      </c>
      <c r="O199" s="357">
        <v>1</v>
      </c>
      <c r="P199" s="357">
        <v>0</v>
      </c>
      <c r="Q199" s="358">
        <v>0.46845794392523366</v>
      </c>
      <c r="R199" s="359">
        <v>0</v>
      </c>
      <c r="S199" s="196">
        <v>19106092000</v>
      </c>
      <c r="T199" s="196">
        <v>304000000</v>
      </c>
      <c r="U199" s="200">
        <f t="shared" si="39"/>
        <v>13984000000</v>
      </c>
      <c r="V199" s="196">
        <v>35000000</v>
      </c>
      <c r="W199" s="196">
        <v>3936000000</v>
      </c>
      <c r="X199" s="196">
        <v>2287000000</v>
      </c>
      <c r="Y199" s="196">
        <v>8351000000</v>
      </c>
      <c r="Z199" s="196">
        <v>6276000000</v>
      </c>
      <c r="AA199" s="198">
        <v>0.01</v>
      </c>
      <c r="AB199" s="198">
        <v>0</v>
      </c>
      <c r="AC199" s="213">
        <f t="shared" si="40"/>
        <v>769</v>
      </c>
      <c r="AD199" s="213">
        <f t="shared" si="41"/>
        <v>911</v>
      </c>
      <c r="AE199" s="213">
        <v>0.93</v>
      </c>
      <c r="AF199" s="196">
        <v>256000000</v>
      </c>
      <c r="AG199" s="104">
        <f t="shared" si="42"/>
        <v>0.84210526315789469</v>
      </c>
      <c r="AH199" s="104">
        <f t="shared" si="43"/>
        <v>7.3142857142857141</v>
      </c>
      <c r="AI199" s="195">
        <v>2.4300000000000002</v>
      </c>
      <c r="AO199" s="213"/>
      <c r="AP199" s="213"/>
      <c r="AQ199" s="213"/>
      <c r="AR199" s="213"/>
      <c r="AS199" s="213"/>
      <c r="AT199" s="213"/>
      <c r="AU199" s="213"/>
      <c r="AV199" s="213"/>
    </row>
    <row r="200" spans="1:48">
      <c r="A200">
        <v>1737</v>
      </c>
      <c r="C200" s="107">
        <f>VLOOKUP(1737,收盤價!$A:$C,3,0)</f>
        <v>30.95</v>
      </c>
      <c r="D200" s="107">
        <f t="shared" si="33"/>
        <v>16.008620689655171</v>
      </c>
      <c r="E200" s="167">
        <f t="shared" si="34"/>
        <v>5</v>
      </c>
      <c r="F200" s="104">
        <f t="shared" si="35"/>
        <v>2.262581543402272</v>
      </c>
      <c r="G200" s="167">
        <f>RANK(1.41,AE:AE,0)</f>
        <v>618</v>
      </c>
      <c r="H200" s="365">
        <f t="shared" si="36"/>
        <v>0.8877272727272727</v>
      </c>
      <c r="I200" s="213">
        <f t="shared" si="37"/>
        <v>475</v>
      </c>
      <c r="J200" s="213">
        <f t="shared" si="38"/>
        <v>271</v>
      </c>
      <c r="K200">
        <f>RANK(2.09,AI:AI,0)</f>
        <v>313</v>
      </c>
      <c r="L200" s="357">
        <v>0</v>
      </c>
      <c r="M200" s="357">
        <v>1</v>
      </c>
      <c r="N200" s="357">
        <v>2</v>
      </c>
      <c r="O200" s="357">
        <v>1</v>
      </c>
      <c r="P200" s="357">
        <v>1</v>
      </c>
      <c r="Q200" s="358">
        <v>0.42935528120713307</v>
      </c>
      <c r="R200" s="359">
        <v>0.48333333333333334</v>
      </c>
      <c r="S200" s="196">
        <v>2735813000</v>
      </c>
      <c r="T200" s="196">
        <v>200000000</v>
      </c>
      <c r="U200" s="200">
        <f t="shared" si="39"/>
        <v>6190000000</v>
      </c>
      <c r="V200" s="196">
        <v>110000000</v>
      </c>
      <c r="W200" s="196">
        <v>1976000000</v>
      </c>
      <c r="X200" s="196">
        <v>2705000000</v>
      </c>
      <c r="Y200" s="196">
        <v>5833000000</v>
      </c>
      <c r="Z200" s="196">
        <v>0</v>
      </c>
      <c r="AA200" s="198">
        <v>0.02</v>
      </c>
      <c r="AB200" s="198">
        <v>0.02</v>
      </c>
      <c r="AC200" s="213">
        <f t="shared" si="40"/>
        <v>616</v>
      </c>
      <c r="AD200" s="213">
        <f t="shared" si="41"/>
        <v>487</v>
      </c>
      <c r="AE200" s="213">
        <v>1.41</v>
      </c>
      <c r="AF200" s="196">
        <v>217000000</v>
      </c>
      <c r="AG200" s="104">
        <f t="shared" si="42"/>
        <v>1.085</v>
      </c>
      <c r="AH200" s="104">
        <f t="shared" si="43"/>
        <v>1.9727272727272727</v>
      </c>
      <c r="AI200" s="195">
        <v>2.09</v>
      </c>
    </row>
    <row r="201" spans="1:48">
      <c r="A201">
        <v>1742</v>
      </c>
      <c r="C201" s="107">
        <f>VLOOKUP(1742,收盤價!$A:$C,3,0)</f>
        <v>12</v>
      </c>
      <c r="D201" s="107">
        <f t="shared" si="33"/>
        <v>0</v>
      </c>
      <c r="E201" s="167">
        <f t="shared" si="34"/>
        <v>2</v>
      </c>
      <c r="F201" s="104">
        <f t="shared" si="35"/>
        <v>1.271554936119268</v>
      </c>
      <c r="G201" s="167">
        <f>RANK(0.61,AE:AE,0)</f>
        <v>1295</v>
      </c>
      <c r="H201" s="365">
        <f t="shared" si="36"/>
        <v>-0.63369397217928902</v>
      </c>
      <c r="I201" s="213">
        <f t="shared" si="37"/>
        <v>680</v>
      </c>
      <c r="J201" s="213">
        <f t="shared" si="38"/>
        <v>768</v>
      </c>
      <c r="K201">
        <f>RANK(1.08,AI:AI,0)</f>
        <v>817</v>
      </c>
      <c r="L201" s="357">
        <v>0</v>
      </c>
      <c r="M201" s="357">
        <v>1</v>
      </c>
      <c r="N201" s="357">
        <v>0</v>
      </c>
      <c r="O201" s="357">
        <v>1</v>
      </c>
      <c r="P201" s="357">
        <v>0</v>
      </c>
      <c r="Q201" s="358">
        <v>6.7669172932330823E-2</v>
      </c>
      <c r="R201" s="359">
        <v>0</v>
      </c>
      <c r="S201" s="196">
        <v>610591000</v>
      </c>
      <c r="T201" s="196">
        <v>64700000</v>
      </c>
      <c r="U201" s="200">
        <f t="shared" si="39"/>
        <v>776400000</v>
      </c>
      <c r="V201" s="196">
        <v>-8000000</v>
      </c>
      <c r="W201" s="196">
        <v>146000000</v>
      </c>
      <c r="X201" s="196">
        <v>412000000</v>
      </c>
      <c r="Y201" s="196">
        <v>606000000</v>
      </c>
      <c r="Z201" s="196">
        <v>288000000</v>
      </c>
      <c r="AA201" s="198">
        <v>-0.01</v>
      </c>
      <c r="AB201" s="198">
        <v>-0.01</v>
      </c>
      <c r="AC201" s="213">
        <f t="shared" si="40"/>
        <v>1277</v>
      </c>
      <c r="AD201" s="213">
        <f t="shared" si="41"/>
        <v>1294</v>
      </c>
      <c r="AE201" s="213">
        <v>0.61</v>
      </c>
      <c r="AF201" s="196">
        <v>41000000</v>
      </c>
      <c r="AG201" s="104">
        <f t="shared" si="42"/>
        <v>0.63369397217928902</v>
      </c>
      <c r="AH201" s="104">
        <f t="shared" si="43"/>
        <v>0</v>
      </c>
      <c r="AI201" s="195">
        <v>1.08</v>
      </c>
    </row>
    <row r="202" spans="1:48">
      <c r="A202">
        <v>1752</v>
      </c>
      <c r="C202" s="107">
        <f>VLOOKUP(1752,收盤價!$A:$C,3,0)</f>
        <v>41.75</v>
      </c>
      <c r="D202" s="107">
        <f t="shared" si="33"/>
        <v>21.488970588235293</v>
      </c>
      <c r="E202" s="167">
        <f t="shared" si="34"/>
        <v>4</v>
      </c>
      <c r="F202" s="104">
        <f t="shared" si="35"/>
        <v>2.6399079836014625</v>
      </c>
      <c r="G202" s="167">
        <f>RANK(2.32,AE:AE,0)</f>
        <v>360</v>
      </c>
      <c r="H202" s="365">
        <f t="shared" si="36"/>
        <v>0.50061244836917829</v>
      </c>
      <c r="I202" s="213">
        <f t="shared" si="37"/>
        <v>451</v>
      </c>
      <c r="J202" s="213">
        <f t="shared" si="38"/>
        <v>333</v>
      </c>
      <c r="K202">
        <f>RANK(1.99,AI:AI,0)</f>
        <v>342</v>
      </c>
      <c r="L202" s="357">
        <v>0</v>
      </c>
      <c r="M202" s="357">
        <v>1</v>
      </c>
      <c r="N202" s="357">
        <v>2</v>
      </c>
      <c r="O202" s="357">
        <v>1</v>
      </c>
      <c r="P202" s="357">
        <v>0</v>
      </c>
      <c r="Q202" s="358">
        <v>0.3817733990147783</v>
      </c>
      <c r="R202" s="359">
        <v>0.48571428571428571</v>
      </c>
      <c r="S202" s="196">
        <v>1586239000</v>
      </c>
      <c r="T202" s="196">
        <v>100300000</v>
      </c>
      <c r="U202" s="200">
        <f t="shared" si="39"/>
        <v>4187525000</v>
      </c>
      <c r="V202" s="196">
        <v>70000000</v>
      </c>
      <c r="W202" s="196">
        <v>35000000</v>
      </c>
      <c r="X202" s="196">
        <v>1829000000</v>
      </c>
      <c r="Y202" s="196">
        <v>2001000000</v>
      </c>
      <c r="Z202" s="196">
        <v>540000000</v>
      </c>
      <c r="AA202" s="198">
        <v>0.04</v>
      </c>
      <c r="AB202" s="198">
        <v>0.03</v>
      </c>
      <c r="AC202" s="213">
        <f t="shared" si="40"/>
        <v>337</v>
      </c>
      <c r="AD202" s="213">
        <f t="shared" si="41"/>
        <v>334</v>
      </c>
      <c r="AE202" s="213">
        <v>2.3199999999999998</v>
      </c>
      <c r="AF202" s="196">
        <v>116000000</v>
      </c>
      <c r="AG202" s="104">
        <f t="shared" si="42"/>
        <v>1.156530408773679</v>
      </c>
      <c r="AH202" s="104">
        <f t="shared" si="43"/>
        <v>1.6571428571428573</v>
      </c>
      <c r="AI202" s="195">
        <v>1.99</v>
      </c>
      <c r="AO202" s="213"/>
      <c r="AP202" s="213"/>
      <c r="AQ202" s="213"/>
      <c r="AR202" s="213"/>
      <c r="AS202" s="213"/>
      <c r="AT202" s="213"/>
      <c r="AU202" s="213"/>
      <c r="AV202" s="213"/>
    </row>
    <row r="203" spans="1:48">
      <c r="A203">
        <v>1762</v>
      </c>
      <c r="C203" s="107">
        <f>VLOOKUP(1762,收盤價!$A:$C,3,0)</f>
        <v>27.35</v>
      </c>
      <c r="D203" s="107">
        <f t="shared" si="33"/>
        <v>0</v>
      </c>
      <c r="E203" s="167">
        <f t="shared" si="34"/>
        <v>2</v>
      </c>
      <c r="F203" s="104">
        <f t="shared" si="35"/>
        <v>1.6926799622920199</v>
      </c>
      <c r="G203" s="167">
        <f>RANK(1.08,AE:AE,0)</f>
        <v>769</v>
      </c>
      <c r="H203" s="365">
        <f t="shared" si="36"/>
        <v>1.4845360824742269</v>
      </c>
      <c r="I203" s="213">
        <f t="shared" si="37"/>
        <v>740</v>
      </c>
      <c r="J203" s="213">
        <f t="shared" si="38"/>
        <v>261</v>
      </c>
      <c r="K203">
        <f>RANK(1.56,AI:AI,0)</f>
        <v>525</v>
      </c>
      <c r="L203" s="357">
        <v>0</v>
      </c>
      <c r="M203" s="357">
        <v>0</v>
      </c>
      <c r="N203" s="357">
        <v>1</v>
      </c>
      <c r="O203" s="357">
        <v>1</v>
      </c>
      <c r="P203" s="357">
        <v>0</v>
      </c>
      <c r="Q203" s="358">
        <v>0.31986531986531985</v>
      </c>
      <c r="R203" s="359">
        <v>0</v>
      </c>
      <c r="S203" s="196">
        <v>1253846000</v>
      </c>
      <c r="T203" s="196">
        <v>77600000</v>
      </c>
      <c r="U203" s="200">
        <f t="shared" si="39"/>
        <v>2122360000</v>
      </c>
      <c r="V203" s="196">
        <v>20000000</v>
      </c>
      <c r="W203" s="196">
        <v>109000000</v>
      </c>
      <c r="X203" s="196">
        <v>1850000000</v>
      </c>
      <c r="Y203" s="196">
        <v>1747000000</v>
      </c>
      <c r="Z203" s="196">
        <v>310000000</v>
      </c>
      <c r="AA203" s="198">
        <v>0.01</v>
      </c>
      <c r="AB203" s="198">
        <v>0.01</v>
      </c>
      <c r="AC203" s="213">
        <f t="shared" si="40"/>
        <v>769</v>
      </c>
      <c r="AD203" s="213">
        <f t="shared" si="41"/>
        <v>680</v>
      </c>
      <c r="AE203" s="213">
        <v>1.08</v>
      </c>
      <c r="AF203" s="196">
        <v>40000000</v>
      </c>
      <c r="AG203" s="104">
        <f t="shared" si="42"/>
        <v>0.51546391752577314</v>
      </c>
      <c r="AH203" s="104">
        <f t="shared" si="43"/>
        <v>2</v>
      </c>
      <c r="AI203" s="195">
        <v>1.56</v>
      </c>
      <c r="AO203" s="213"/>
      <c r="AP203" s="213"/>
      <c r="AQ203" s="213"/>
      <c r="AR203" s="213"/>
      <c r="AS203" s="213"/>
      <c r="AT203" s="213"/>
      <c r="AU203" s="213"/>
      <c r="AV203" s="213"/>
    </row>
    <row r="204" spans="1:48">
      <c r="A204">
        <v>1773</v>
      </c>
      <c r="C204" s="107">
        <f>VLOOKUP(1773,收盤價!$A:$C,3,0)</f>
        <v>50.6</v>
      </c>
      <c r="D204" s="107">
        <f t="shared" si="33"/>
        <v>9.9634317862165958</v>
      </c>
      <c r="E204" s="167">
        <f t="shared" si="34"/>
        <v>3</v>
      </c>
      <c r="F204" s="104">
        <f t="shared" si="35"/>
        <v>1.2402542406808947</v>
      </c>
      <c r="G204" s="167">
        <f>RANK(8.11,AE:AE,0)</f>
        <v>90</v>
      </c>
      <c r="H204" s="365">
        <f t="shared" si="36"/>
        <v>-0.39355932203389843</v>
      </c>
      <c r="I204" s="213">
        <f t="shared" si="37"/>
        <v>477</v>
      </c>
      <c r="J204" s="213">
        <f t="shared" si="38"/>
        <v>630</v>
      </c>
      <c r="K204">
        <f>RANK(1.41,AI:AI,0)</f>
        <v>613</v>
      </c>
      <c r="L204" s="357">
        <v>1</v>
      </c>
      <c r="M204" s="357">
        <v>1</v>
      </c>
      <c r="N204" s="357">
        <v>0</v>
      </c>
      <c r="O204" s="357">
        <v>1</v>
      </c>
      <c r="P204" s="357">
        <v>0</v>
      </c>
      <c r="Q204" s="358">
        <v>0.27796161482461945</v>
      </c>
      <c r="R204" s="359">
        <v>1.2696428571428573</v>
      </c>
      <c r="S204" s="196">
        <v>6119713000</v>
      </c>
      <c r="T204" s="196">
        <v>150000000</v>
      </c>
      <c r="U204" s="200">
        <f t="shared" si="39"/>
        <v>7590000000</v>
      </c>
      <c r="V204" s="196">
        <v>236000000</v>
      </c>
      <c r="W204" s="196">
        <v>1329000000</v>
      </c>
      <c r="X204" s="196">
        <v>1452000000</v>
      </c>
      <c r="Y204" s="196">
        <v>3905000000</v>
      </c>
      <c r="Z204" s="196">
        <v>0</v>
      </c>
      <c r="AA204" s="198">
        <v>0.08</v>
      </c>
      <c r="AB204" s="198">
        <v>0.06</v>
      </c>
      <c r="AC204" s="213">
        <f t="shared" si="40"/>
        <v>97</v>
      </c>
      <c r="AD204" s="213">
        <f t="shared" si="41"/>
        <v>95</v>
      </c>
      <c r="AE204" s="213">
        <v>8.11</v>
      </c>
      <c r="AF204" s="196">
        <v>162000000</v>
      </c>
      <c r="AG204" s="104">
        <f t="shared" si="42"/>
        <v>1.08</v>
      </c>
      <c r="AH204" s="104">
        <f t="shared" si="43"/>
        <v>0.68644067796610164</v>
      </c>
      <c r="AI204" s="195">
        <v>1.41</v>
      </c>
    </row>
    <row r="205" spans="1:48">
      <c r="A205">
        <v>1776</v>
      </c>
      <c r="C205" s="107">
        <f>VLOOKUP(1776,收盤價!$A:$C,3,0)</f>
        <v>21.5</v>
      </c>
      <c r="D205" s="107">
        <f t="shared" si="33"/>
        <v>16.603807471264371</v>
      </c>
      <c r="E205" s="167">
        <f t="shared" si="34"/>
        <v>2</v>
      </c>
      <c r="F205" s="104">
        <f t="shared" si="35"/>
        <v>0.71651327517528574</v>
      </c>
      <c r="G205" s="167">
        <f>RANK(1.41,AE:AE,0)</f>
        <v>618</v>
      </c>
      <c r="H205" s="365">
        <f t="shared" si="36"/>
        <v>1.3844827586206894</v>
      </c>
      <c r="I205" s="213">
        <f t="shared" si="37"/>
        <v>491</v>
      </c>
      <c r="J205" s="213">
        <f t="shared" si="38"/>
        <v>196</v>
      </c>
      <c r="K205">
        <f>RANK(2.27,AI:AI,0)</f>
        <v>283</v>
      </c>
      <c r="L205" s="357">
        <v>0</v>
      </c>
      <c r="M205" s="357">
        <v>1</v>
      </c>
      <c r="N205" s="357">
        <v>0</v>
      </c>
      <c r="O205" s="357">
        <v>1</v>
      </c>
      <c r="P205" s="357">
        <v>0</v>
      </c>
      <c r="Q205" s="358">
        <v>0.21868365180467092</v>
      </c>
      <c r="R205" s="359">
        <v>0.3237209302325581</v>
      </c>
      <c r="S205" s="196">
        <v>2088447000</v>
      </c>
      <c r="T205" s="196">
        <v>69600000</v>
      </c>
      <c r="U205" s="200">
        <f t="shared" si="39"/>
        <v>1496400000</v>
      </c>
      <c r="V205" s="196">
        <v>30000000</v>
      </c>
      <c r="W205" s="196">
        <v>762000000</v>
      </c>
      <c r="X205" s="196">
        <v>663000000</v>
      </c>
      <c r="Y205" s="196">
        <v>1304000000</v>
      </c>
      <c r="Z205" s="196">
        <v>98000000</v>
      </c>
      <c r="AA205" s="198">
        <v>0.02</v>
      </c>
      <c r="AB205" s="198">
        <v>0.02</v>
      </c>
      <c r="AC205" s="213">
        <f t="shared" si="40"/>
        <v>616</v>
      </c>
      <c r="AD205" s="213">
        <f t="shared" si="41"/>
        <v>487</v>
      </c>
      <c r="AE205" s="213">
        <v>1.41</v>
      </c>
      <c r="AF205" s="196">
        <v>73000000</v>
      </c>
      <c r="AG205" s="104">
        <f t="shared" si="42"/>
        <v>1.0488505747126438</v>
      </c>
      <c r="AH205" s="104">
        <f t="shared" si="43"/>
        <v>2.4333333333333331</v>
      </c>
      <c r="AI205" s="195">
        <v>2.27</v>
      </c>
      <c r="AN205" t="s">
        <v>115</v>
      </c>
      <c r="AO205" s="33">
        <v>-3</v>
      </c>
      <c r="AP205" s="33">
        <v>0</v>
      </c>
      <c r="AQ205" s="33">
        <v>0</v>
      </c>
      <c r="AR205" s="33">
        <v>0</v>
      </c>
      <c r="AS205" s="33">
        <v>0</v>
      </c>
      <c r="AT205" s="33">
        <v>0</v>
      </c>
      <c r="AU205" s="33">
        <v>0</v>
      </c>
      <c r="AV205" s="33">
        <v>0</v>
      </c>
    </row>
    <row r="206" spans="1:48">
      <c r="A206">
        <v>1777</v>
      </c>
      <c r="C206" s="107">
        <f>VLOOKUP(1777,收盤價!$A:$C,3,0)</f>
        <v>96.9</v>
      </c>
      <c r="D206" s="107">
        <f t="shared" si="33"/>
        <v>15.833333333333334</v>
      </c>
      <c r="E206" s="167">
        <f t="shared" si="34"/>
        <v>3</v>
      </c>
      <c r="F206" s="104">
        <f t="shared" si="35"/>
        <v>3.8127663468325967</v>
      </c>
      <c r="G206" s="167">
        <f>RANK(5.79,AE:AE,0)</f>
        <v>129</v>
      </c>
      <c r="H206" s="365">
        <f t="shared" si="36"/>
        <v>-9.7640632918520182E-2</v>
      </c>
      <c r="I206" s="213">
        <f t="shared" si="37"/>
        <v>934</v>
      </c>
      <c r="J206" s="213">
        <f t="shared" si="38"/>
        <v>755</v>
      </c>
      <c r="K206">
        <f>RANK(0.92,AI:AI,0)</f>
        <v>958</v>
      </c>
      <c r="L206" s="357">
        <v>0</v>
      </c>
      <c r="M206" s="357">
        <v>1</v>
      </c>
      <c r="N206" s="357">
        <v>0</v>
      </c>
      <c r="O206" s="357">
        <v>1</v>
      </c>
      <c r="P206" s="357">
        <v>1</v>
      </c>
      <c r="Q206" s="358">
        <v>0.43564356435643564</v>
      </c>
      <c r="R206" s="359">
        <v>1.53</v>
      </c>
      <c r="S206" s="196">
        <v>764980000</v>
      </c>
      <c r="T206" s="196">
        <v>30100000</v>
      </c>
      <c r="U206" s="200">
        <f t="shared" si="39"/>
        <v>2916690000</v>
      </c>
      <c r="V206" s="196">
        <v>59000000</v>
      </c>
      <c r="W206" s="196">
        <v>521000000</v>
      </c>
      <c r="X206" s="196">
        <v>424000000</v>
      </c>
      <c r="Y206" s="196">
        <v>961000000</v>
      </c>
      <c r="Z206" s="196">
        <v>22000000</v>
      </c>
      <c r="AA206" s="198">
        <v>0.06</v>
      </c>
      <c r="AB206" s="198">
        <v>0.06</v>
      </c>
      <c r="AC206" s="213">
        <f t="shared" si="40"/>
        <v>174</v>
      </c>
      <c r="AD206" s="213">
        <f t="shared" si="41"/>
        <v>95</v>
      </c>
      <c r="AE206" s="213">
        <v>5.79</v>
      </c>
      <c r="AF206" s="196">
        <v>6000000</v>
      </c>
      <c r="AG206" s="104">
        <f t="shared" si="42"/>
        <v>0.19933554817275748</v>
      </c>
      <c r="AH206" s="104">
        <f t="shared" si="43"/>
        <v>0.10169491525423729</v>
      </c>
      <c r="AI206" s="195">
        <v>0.92</v>
      </c>
      <c r="AN206" t="s">
        <v>127</v>
      </c>
      <c r="AO206" s="33">
        <v>0</v>
      </c>
      <c r="AP206" s="33">
        <v>0</v>
      </c>
      <c r="AQ206" s="33">
        <v>-18</v>
      </c>
      <c r="AR206" s="33">
        <v>0</v>
      </c>
      <c r="AS206" s="33">
        <v>0</v>
      </c>
      <c r="AT206" s="33">
        <v>0</v>
      </c>
      <c r="AU206" s="33">
        <v>-63</v>
      </c>
      <c r="AV206" s="33">
        <v>0</v>
      </c>
    </row>
    <row r="207" spans="1:48">
      <c r="A207">
        <v>1781</v>
      </c>
      <c r="C207" s="107">
        <f>VLOOKUP(1781,收盤價!$A:$C,3,0)</f>
        <v>18.95</v>
      </c>
      <c r="D207" s="107">
        <f t="shared" si="33"/>
        <v>0</v>
      </c>
      <c r="E207" s="167">
        <f t="shared" si="34"/>
        <v>2</v>
      </c>
      <c r="F207" s="104">
        <f t="shared" si="35"/>
        <v>1.3910001486657251</v>
      </c>
      <c r="G207" s="167">
        <f>RANK(0.53,AE:AE,0)</f>
        <v>1475</v>
      </c>
      <c r="H207" s="365">
        <f t="shared" si="36"/>
        <v>1.0126582278481013</v>
      </c>
      <c r="I207" s="213">
        <f t="shared" si="37"/>
        <v>1439</v>
      </c>
      <c r="J207" s="213">
        <f t="shared" si="38"/>
        <v>768</v>
      </c>
      <c r="K207">
        <f>RANK(0.71,AI:AI,0)</f>
        <v>1412</v>
      </c>
      <c r="L207" s="357">
        <v>0</v>
      </c>
      <c r="M207" s="357">
        <v>1</v>
      </c>
      <c r="N207" s="357">
        <v>1</v>
      </c>
      <c r="O207" s="357">
        <v>0</v>
      </c>
      <c r="P207" s="357">
        <v>0</v>
      </c>
      <c r="Q207" s="358">
        <v>8.5714285714285715E-2</v>
      </c>
      <c r="R207" s="359">
        <v>0</v>
      </c>
      <c r="S207" s="196">
        <v>645744000</v>
      </c>
      <c r="T207" s="196">
        <v>47400000</v>
      </c>
      <c r="U207" s="200">
        <f t="shared" si="39"/>
        <v>898230000</v>
      </c>
      <c r="V207" s="196">
        <v>-21000000</v>
      </c>
      <c r="W207" s="196">
        <v>194000000</v>
      </c>
      <c r="X207" s="196">
        <v>152000000</v>
      </c>
      <c r="Y207" s="196">
        <v>492000000</v>
      </c>
      <c r="Z207" s="196">
        <v>0</v>
      </c>
      <c r="AA207" s="198">
        <v>-0.06</v>
      </c>
      <c r="AB207" s="198">
        <v>-0.04</v>
      </c>
      <c r="AC207" s="213">
        <f t="shared" si="40"/>
        <v>1484</v>
      </c>
      <c r="AD207" s="213">
        <f t="shared" si="41"/>
        <v>1483</v>
      </c>
      <c r="AE207" s="213">
        <v>0.53</v>
      </c>
      <c r="AF207" s="196">
        <v>-48000000</v>
      </c>
      <c r="AG207" s="104">
        <f t="shared" si="42"/>
        <v>-1.0126582278481013</v>
      </c>
      <c r="AH207" s="104">
        <f t="shared" si="43"/>
        <v>0</v>
      </c>
      <c r="AI207" s="195">
        <v>0.71</v>
      </c>
    </row>
    <row r="208" spans="1:48">
      <c r="A208">
        <v>1783</v>
      </c>
      <c r="C208" s="107">
        <f>VLOOKUP(1783,收盤價!$A:$C,3,0)</f>
        <v>24</v>
      </c>
      <c r="D208" s="107">
        <f t="shared" si="33"/>
        <v>0</v>
      </c>
      <c r="E208" s="167">
        <f t="shared" si="34"/>
        <v>4</v>
      </c>
      <c r="F208" s="104">
        <f t="shared" si="35"/>
        <v>6.0446518775701863</v>
      </c>
      <c r="G208" s="167">
        <f>RANK(0.84,AE:AE,0)</f>
        <v>946</v>
      </c>
      <c r="H208" s="365">
        <f t="shared" si="36"/>
        <v>-8.4745762711864403E-2</v>
      </c>
      <c r="I208" s="213">
        <f t="shared" si="37"/>
        <v>1007</v>
      </c>
      <c r="J208" s="213">
        <f t="shared" si="38"/>
        <v>768</v>
      </c>
      <c r="K208">
        <f>RANK(0.88,AI:AI,0)</f>
        <v>1021</v>
      </c>
      <c r="L208" s="357">
        <v>1</v>
      </c>
      <c r="M208" s="357">
        <v>1</v>
      </c>
      <c r="N208" s="357">
        <v>1</v>
      </c>
      <c r="O208" s="357">
        <v>1</v>
      </c>
      <c r="P208" s="357">
        <v>0</v>
      </c>
      <c r="Q208" s="358">
        <v>0.43209876543209874</v>
      </c>
      <c r="R208" s="359">
        <v>0</v>
      </c>
      <c r="S208" s="196">
        <v>281108000</v>
      </c>
      <c r="T208" s="196">
        <v>70800000</v>
      </c>
      <c r="U208" s="200">
        <f t="shared" si="39"/>
        <v>1699200000</v>
      </c>
      <c r="V208" s="196">
        <v>-1000000</v>
      </c>
      <c r="W208" s="196">
        <v>542000000</v>
      </c>
      <c r="X208" s="196">
        <v>473000000</v>
      </c>
      <c r="Y208" s="196">
        <v>781000000</v>
      </c>
      <c r="Z208" s="196">
        <v>6000000</v>
      </c>
      <c r="AA208" s="198">
        <v>0</v>
      </c>
      <c r="AB208" s="198">
        <v>0</v>
      </c>
      <c r="AC208" s="213">
        <f t="shared" si="40"/>
        <v>945</v>
      </c>
      <c r="AD208" s="213">
        <f t="shared" si="41"/>
        <v>911</v>
      </c>
      <c r="AE208" s="213">
        <v>0.84</v>
      </c>
      <c r="AF208" s="196">
        <v>6000000</v>
      </c>
      <c r="AG208" s="104">
        <f t="shared" si="42"/>
        <v>8.4745762711864403E-2</v>
      </c>
      <c r="AH208" s="104">
        <f t="shared" si="43"/>
        <v>0</v>
      </c>
      <c r="AI208" s="195">
        <v>0.88</v>
      </c>
      <c r="AO208" s="213"/>
      <c r="AP208" s="213"/>
      <c r="AQ208" s="213"/>
      <c r="AR208" s="213"/>
      <c r="AS208" s="213"/>
      <c r="AT208" s="213"/>
      <c r="AU208" s="213"/>
      <c r="AV208" s="213"/>
    </row>
    <row r="209" spans="1:48">
      <c r="A209">
        <v>1784</v>
      </c>
      <c r="C209" s="107">
        <f>VLOOKUP(1784,收盤價!$A:$C,3,0)</f>
        <v>30.55</v>
      </c>
      <c r="D209" s="107">
        <f t="shared" si="33"/>
        <v>0</v>
      </c>
      <c r="E209" s="167">
        <f t="shared" si="34"/>
        <v>1</v>
      </c>
      <c r="F209" s="104">
        <f t="shared" si="35"/>
        <v>2.3374319169178568</v>
      </c>
      <c r="G209" s="167">
        <f>RANK(0.61,AE:AE,0)</f>
        <v>1295</v>
      </c>
      <c r="H209" s="365">
        <f t="shared" si="36"/>
        <v>-0.36217303822937624</v>
      </c>
      <c r="I209" s="213">
        <f t="shared" si="37"/>
        <v>820</v>
      </c>
      <c r="J209" s="213">
        <f t="shared" si="38"/>
        <v>768</v>
      </c>
      <c r="K209">
        <f>RANK(0.98,AI:AI,0)</f>
        <v>903</v>
      </c>
      <c r="L209" s="357">
        <v>0</v>
      </c>
      <c r="M209" s="357">
        <v>0</v>
      </c>
      <c r="N209" s="357">
        <v>0</v>
      </c>
      <c r="O209" s="357">
        <v>1</v>
      </c>
      <c r="P209" s="357">
        <v>0</v>
      </c>
      <c r="Q209" s="358">
        <v>0.50303030303030305</v>
      </c>
      <c r="R209" s="359">
        <v>0</v>
      </c>
      <c r="S209" s="196">
        <v>649574000</v>
      </c>
      <c r="T209" s="196">
        <v>49700000</v>
      </c>
      <c r="U209" s="200">
        <f t="shared" si="39"/>
        <v>1518335000</v>
      </c>
      <c r="V209" s="196">
        <v>-10000000</v>
      </c>
      <c r="W209" s="196">
        <v>610000000</v>
      </c>
      <c r="X209" s="196">
        <v>551000000</v>
      </c>
      <c r="Y209" s="196">
        <v>1389000000</v>
      </c>
      <c r="Z209" s="196">
        <v>0</v>
      </c>
      <c r="AA209" s="198">
        <v>-0.01</v>
      </c>
      <c r="AB209" s="198">
        <v>-0.01</v>
      </c>
      <c r="AC209" s="213">
        <f t="shared" si="40"/>
        <v>1277</v>
      </c>
      <c r="AD209" s="213">
        <f t="shared" si="41"/>
        <v>1294</v>
      </c>
      <c r="AE209" s="213">
        <v>0.61</v>
      </c>
      <c r="AF209" s="196">
        <v>18000000</v>
      </c>
      <c r="AG209" s="104">
        <f t="shared" si="42"/>
        <v>0.36217303822937624</v>
      </c>
      <c r="AH209" s="104">
        <f t="shared" si="43"/>
        <v>0</v>
      </c>
      <c r="AI209" s="195">
        <v>0.98</v>
      </c>
      <c r="AO209" s="213"/>
      <c r="AP209" s="213"/>
      <c r="AQ209" s="213"/>
      <c r="AR209" s="213"/>
      <c r="AS209" s="213"/>
      <c r="AT209" s="213"/>
      <c r="AU209" s="213"/>
      <c r="AV209" s="213"/>
    </row>
    <row r="210" spans="1:48">
      <c r="A210" s="213">
        <v>1786</v>
      </c>
      <c r="C210" s="107">
        <f>VLOOKUP(1786,收盤價!$A:$C,3,0)</f>
        <v>52.5</v>
      </c>
      <c r="D210" s="107">
        <f t="shared" si="33"/>
        <v>0</v>
      </c>
      <c r="E210" s="167">
        <f t="shared" si="34"/>
        <v>3</v>
      </c>
      <c r="F210" s="104">
        <f t="shared" si="35"/>
        <v>12.324159960685545</v>
      </c>
      <c r="G210" s="167">
        <f>RANK(0.84,AE:AE,0)</f>
        <v>946</v>
      </c>
      <c r="H210" s="365">
        <f t="shared" si="36"/>
        <v>0.37383177570093457</v>
      </c>
      <c r="I210" s="213">
        <f t="shared" si="37"/>
        <v>1300</v>
      </c>
      <c r="J210" s="213">
        <f t="shared" si="38"/>
        <v>768</v>
      </c>
      <c r="K210" s="213">
        <f>RANK(0.75,AI:AI,0)</f>
        <v>1296</v>
      </c>
      <c r="L210" s="357">
        <v>0</v>
      </c>
      <c r="M210" s="357">
        <v>1</v>
      </c>
      <c r="N210" s="357">
        <v>2</v>
      </c>
      <c r="O210" s="357">
        <v>0</v>
      </c>
      <c r="P210" s="357">
        <v>0</v>
      </c>
      <c r="Q210" s="358">
        <v>0.51020408163265307</v>
      </c>
      <c r="R210" s="359">
        <v>0</v>
      </c>
      <c r="S210" s="196">
        <v>227906000</v>
      </c>
      <c r="T210" s="196">
        <v>53500000</v>
      </c>
      <c r="U210" s="200">
        <f t="shared" si="39"/>
        <v>2808750000</v>
      </c>
      <c r="V210" s="196">
        <v>3000000</v>
      </c>
      <c r="W210" s="196">
        <v>547000000</v>
      </c>
      <c r="X210" s="196">
        <v>490000000</v>
      </c>
      <c r="Y210" s="196">
        <v>923000000</v>
      </c>
      <c r="Z210" s="196">
        <v>16000000</v>
      </c>
      <c r="AA210" s="198">
        <v>0</v>
      </c>
      <c r="AB210" s="198">
        <v>0</v>
      </c>
      <c r="AC210" s="213">
        <f t="shared" si="40"/>
        <v>945</v>
      </c>
      <c r="AD210" s="213">
        <f t="shared" si="41"/>
        <v>911</v>
      </c>
      <c r="AE210" s="213">
        <v>0.84</v>
      </c>
      <c r="AF210" s="196">
        <v>-20000000</v>
      </c>
      <c r="AG210" s="104">
        <f t="shared" si="42"/>
        <v>-0.37383177570093457</v>
      </c>
      <c r="AH210" s="104">
        <f t="shared" si="43"/>
        <v>0</v>
      </c>
      <c r="AI210" s="195">
        <v>0.75</v>
      </c>
    </row>
    <row r="211" spans="1:48">
      <c r="A211">
        <v>1787</v>
      </c>
      <c r="C211" s="107">
        <f>VLOOKUP(1787,收盤價!$A:$C,3,0)</f>
        <v>21.7</v>
      </c>
      <c r="D211" s="107">
        <f t="shared" si="33"/>
        <v>9.4553376906318078</v>
      </c>
      <c r="E211" s="167">
        <f t="shared" si="34"/>
        <v>4</v>
      </c>
      <c r="F211" s="104">
        <f t="shared" si="35"/>
        <v>0.98972708389685404</v>
      </c>
      <c r="G211" s="167">
        <f>RANK(3.28,AE:AE,0)</f>
        <v>256</v>
      </c>
      <c r="H211" s="365">
        <f t="shared" si="36"/>
        <v>4.1666666666666664E-2</v>
      </c>
      <c r="I211" s="213">
        <f t="shared" si="37"/>
        <v>1098</v>
      </c>
      <c r="J211" s="213">
        <f t="shared" si="38"/>
        <v>768</v>
      </c>
      <c r="K211">
        <f>RANK(0.83,AI:AI,0)</f>
        <v>1098</v>
      </c>
      <c r="L211" s="357">
        <v>0</v>
      </c>
      <c r="M211" s="357">
        <v>1</v>
      </c>
      <c r="N211" s="357">
        <v>2</v>
      </c>
      <c r="O211" s="357">
        <v>0</v>
      </c>
      <c r="P211" s="357">
        <v>1</v>
      </c>
      <c r="Q211" s="358">
        <v>0.32727272727272727</v>
      </c>
      <c r="R211" s="359">
        <v>0.57374999999999998</v>
      </c>
      <c r="S211" s="196">
        <v>1578617000</v>
      </c>
      <c r="T211" s="196">
        <v>72000000</v>
      </c>
      <c r="U211" s="200">
        <f t="shared" si="39"/>
        <v>1562400000</v>
      </c>
      <c r="V211" s="196">
        <v>51000000</v>
      </c>
      <c r="W211" s="196">
        <v>567000000</v>
      </c>
      <c r="X211" s="196">
        <v>544000000</v>
      </c>
      <c r="Y211" s="196">
        <v>1084000000</v>
      </c>
      <c r="Z211" s="196">
        <v>125000000</v>
      </c>
      <c r="AA211" s="198">
        <v>0.05</v>
      </c>
      <c r="AB211" s="198">
        <v>0.04</v>
      </c>
      <c r="AC211" s="213">
        <f t="shared" si="40"/>
        <v>247</v>
      </c>
      <c r="AD211" s="213">
        <f t="shared" si="41"/>
        <v>228</v>
      </c>
      <c r="AE211" s="213">
        <v>3.28</v>
      </c>
      <c r="AF211" s="196">
        <v>-3000000</v>
      </c>
      <c r="AG211" s="104">
        <f t="shared" si="42"/>
        <v>-4.1666666666666664E-2</v>
      </c>
      <c r="AH211" s="104">
        <f t="shared" si="43"/>
        <v>0</v>
      </c>
      <c r="AI211" s="195">
        <v>0.83</v>
      </c>
      <c r="AO211" s="213"/>
      <c r="AP211" s="213"/>
      <c r="AQ211" s="213"/>
      <c r="AR211" s="213"/>
      <c r="AS211" s="213"/>
      <c r="AT211" s="213"/>
      <c r="AU211" s="213"/>
      <c r="AV211" s="213"/>
    </row>
    <row r="212" spans="1:48">
      <c r="A212">
        <v>1788</v>
      </c>
      <c r="C212" s="107">
        <f>VLOOKUP(1788,收盤價!$A:$C,3,0)</f>
        <v>88.1</v>
      </c>
      <c r="D212" s="107">
        <f t="shared" si="33"/>
        <v>16.915752351097176</v>
      </c>
      <c r="E212" s="167">
        <f t="shared" si="34"/>
        <v>0</v>
      </c>
      <c r="F212" s="104">
        <f t="shared" si="35"/>
        <v>1.0947106676332736</v>
      </c>
      <c r="G212" s="167">
        <f>RANK(3.28,AE:AE,0)</f>
        <v>256</v>
      </c>
      <c r="H212" s="365">
        <f t="shared" si="36"/>
        <v>-0.35123152709359606</v>
      </c>
      <c r="I212" s="213">
        <f t="shared" si="37"/>
        <v>570</v>
      </c>
      <c r="J212" s="213">
        <f t="shared" si="38"/>
        <v>664</v>
      </c>
      <c r="K212">
        <f>RANK(1.26,AI:AI,0)</f>
        <v>696</v>
      </c>
      <c r="L212" s="357">
        <v>0</v>
      </c>
      <c r="M212" s="357">
        <v>0</v>
      </c>
      <c r="N212" s="357">
        <v>0</v>
      </c>
      <c r="O212" s="357">
        <v>0</v>
      </c>
      <c r="P212" s="357">
        <v>0</v>
      </c>
      <c r="Q212" s="358">
        <v>0.22222222222222221</v>
      </c>
      <c r="R212" s="359">
        <v>1.3020408163265307</v>
      </c>
      <c r="S212" s="196">
        <v>2816726000</v>
      </c>
      <c r="T212" s="196">
        <v>35000000</v>
      </c>
      <c r="U212" s="200">
        <f t="shared" si="39"/>
        <v>3083500000</v>
      </c>
      <c r="V212" s="196">
        <v>58000000</v>
      </c>
      <c r="W212" s="196">
        <v>876000000</v>
      </c>
      <c r="X212" s="196">
        <v>336000000</v>
      </c>
      <c r="Y212" s="196">
        <v>1439000000</v>
      </c>
      <c r="Z212" s="196">
        <v>150000000</v>
      </c>
      <c r="AA212" s="198">
        <v>0.05</v>
      </c>
      <c r="AB212" s="198">
        <v>0.04</v>
      </c>
      <c r="AC212" s="213">
        <f t="shared" si="40"/>
        <v>247</v>
      </c>
      <c r="AD212" s="213">
        <f t="shared" si="41"/>
        <v>228</v>
      </c>
      <c r="AE212" s="213">
        <v>3.28</v>
      </c>
      <c r="AF212" s="196">
        <v>31000000</v>
      </c>
      <c r="AG212" s="104">
        <f t="shared" si="42"/>
        <v>0.88571428571428568</v>
      </c>
      <c r="AH212" s="104">
        <f t="shared" si="43"/>
        <v>0.53448275862068961</v>
      </c>
      <c r="AI212" s="195">
        <v>1.26</v>
      </c>
      <c r="AO212" s="213"/>
      <c r="AP212" s="213"/>
      <c r="AQ212" s="213"/>
      <c r="AR212" s="213"/>
      <c r="AS212" s="213"/>
      <c r="AT212" s="213"/>
      <c r="AU212" s="213"/>
      <c r="AV212" s="213"/>
    </row>
    <row r="213" spans="1:48">
      <c r="A213">
        <v>1789</v>
      </c>
      <c r="C213" s="107">
        <f>VLOOKUP(1789,收盤價!$A:$C,3,0)</f>
        <v>40.75</v>
      </c>
      <c r="D213" s="107">
        <f t="shared" si="33"/>
        <v>37.072416302765646</v>
      </c>
      <c r="E213" s="167">
        <f t="shared" si="34"/>
        <v>2</v>
      </c>
      <c r="F213" s="104">
        <f t="shared" si="35"/>
        <v>7.3478619242496777</v>
      </c>
      <c r="G213" s="167">
        <f>RANK(1.63,AE:AE,0)</f>
        <v>551</v>
      </c>
      <c r="H213" s="365">
        <f t="shared" si="36"/>
        <v>0.47661909885920628</v>
      </c>
      <c r="I213" s="213">
        <f t="shared" si="37"/>
        <v>915</v>
      </c>
      <c r="J213" s="213">
        <f t="shared" si="38"/>
        <v>628</v>
      </c>
      <c r="K213">
        <f>RANK(1.01,AI:AI,0)</f>
        <v>874</v>
      </c>
      <c r="L213" s="357">
        <v>0</v>
      </c>
      <c r="M213" s="357">
        <v>1</v>
      </c>
      <c r="N213" s="357">
        <v>0</v>
      </c>
      <c r="O213" s="357">
        <v>1</v>
      </c>
      <c r="P213" s="357">
        <v>0</v>
      </c>
      <c r="Q213" s="358">
        <v>0.45812807881773399</v>
      </c>
      <c r="R213" s="359">
        <v>0.27479999999999999</v>
      </c>
      <c r="S213" s="196">
        <v>4054557000</v>
      </c>
      <c r="T213" s="196">
        <v>731100000</v>
      </c>
      <c r="U213" s="200">
        <f t="shared" si="39"/>
        <v>29792325000</v>
      </c>
      <c r="V213" s="196">
        <v>233000000</v>
      </c>
      <c r="W213" s="196">
        <v>3784000000</v>
      </c>
      <c r="X213" s="196">
        <v>5355000000</v>
      </c>
      <c r="Y213" s="196">
        <v>9958000000</v>
      </c>
      <c r="Z213" s="196">
        <v>1466000000</v>
      </c>
      <c r="AA213" s="198">
        <v>0.03</v>
      </c>
      <c r="AB213" s="198">
        <v>0.02</v>
      </c>
      <c r="AC213" s="213">
        <f t="shared" si="40"/>
        <v>469</v>
      </c>
      <c r="AD213" s="213">
        <f t="shared" si="41"/>
        <v>487</v>
      </c>
      <c r="AE213" s="213">
        <v>1.63</v>
      </c>
      <c r="AF213" s="196">
        <v>163000000</v>
      </c>
      <c r="AG213" s="104">
        <f t="shared" si="42"/>
        <v>0.22295171659143756</v>
      </c>
      <c r="AH213" s="104">
        <f t="shared" si="43"/>
        <v>0.69957081545064381</v>
      </c>
      <c r="AI213" s="195">
        <v>1.01</v>
      </c>
      <c r="AO213" s="213"/>
      <c r="AP213" s="213"/>
      <c r="AQ213" s="213"/>
      <c r="AR213" s="213"/>
      <c r="AS213" s="213"/>
      <c r="AT213" s="213"/>
      <c r="AU213" s="213"/>
      <c r="AV213" s="213"/>
    </row>
    <row r="214" spans="1:48">
      <c r="A214">
        <v>1795</v>
      </c>
      <c r="C214" s="107">
        <f>VLOOKUP(1795,收盤價!$A:$C,3,0)</f>
        <v>59</v>
      </c>
      <c r="D214" s="107">
        <f t="shared" si="33"/>
        <v>125.4006968641115</v>
      </c>
      <c r="E214" s="167">
        <f t="shared" si="34"/>
        <v>3</v>
      </c>
      <c r="F214" s="104">
        <f t="shared" si="35"/>
        <v>2.3956872012094634</v>
      </c>
      <c r="G214" s="167">
        <f>RANK(3.07,AE:AE,0)</f>
        <v>293</v>
      </c>
      <c r="H214" s="365">
        <f t="shared" si="36"/>
        <v>-0.21306170813964087</v>
      </c>
      <c r="I214" s="213">
        <f t="shared" si="37"/>
        <v>324</v>
      </c>
      <c r="J214" s="213">
        <f t="shared" si="38"/>
        <v>415</v>
      </c>
      <c r="K214">
        <f>RANK(2.11,AI:AI,0)</f>
        <v>307</v>
      </c>
      <c r="L214" s="357">
        <v>0</v>
      </c>
      <c r="M214" s="357">
        <v>0</v>
      </c>
      <c r="N214" s="357">
        <v>2</v>
      </c>
      <c r="O214" s="357">
        <v>1</v>
      </c>
      <c r="P214" s="357">
        <v>0</v>
      </c>
      <c r="Q214" s="358">
        <v>0.59410288582183191</v>
      </c>
      <c r="R214" s="359">
        <v>0.11762295081967214</v>
      </c>
      <c r="S214" s="196">
        <v>5873680000</v>
      </c>
      <c r="T214" s="196">
        <v>238500000</v>
      </c>
      <c r="U214" s="200">
        <f t="shared" si="39"/>
        <v>14071500000</v>
      </c>
      <c r="V214" s="196">
        <v>276000000</v>
      </c>
      <c r="W214" s="196">
        <v>2555000000</v>
      </c>
      <c r="X214" s="196">
        <v>2009000000</v>
      </c>
      <c r="Y214" s="196">
        <v>8835000000</v>
      </c>
      <c r="Z214" s="196">
        <v>687000000</v>
      </c>
      <c r="AA214" s="198">
        <v>0.06</v>
      </c>
      <c r="AB214" s="198">
        <v>0.03</v>
      </c>
      <c r="AC214" s="213">
        <f t="shared" si="40"/>
        <v>174</v>
      </c>
      <c r="AD214" s="213">
        <f t="shared" si="41"/>
        <v>334</v>
      </c>
      <c r="AE214" s="213">
        <v>3.07</v>
      </c>
      <c r="AF214" s="196">
        <v>374000000</v>
      </c>
      <c r="AG214" s="104">
        <f t="shared" si="42"/>
        <v>1.5681341719077568</v>
      </c>
      <c r="AH214" s="104">
        <f t="shared" si="43"/>
        <v>1.355072463768116</v>
      </c>
      <c r="AI214" s="195">
        <v>2.11</v>
      </c>
    </row>
    <row r="215" spans="1:48">
      <c r="A215">
        <v>1799</v>
      </c>
      <c r="C215" s="107">
        <f>VLOOKUP(1799,收盤價!$A:$C,3,0)</f>
        <v>24.7</v>
      </c>
      <c r="D215" s="107">
        <f t="shared" si="33"/>
        <v>0</v>
      </c>
      <c r="E215" s="167">
        <f t="shared" si="34"/>
        <v>2</v>
      </c>
      <c r="F215" s="104">
        <f t="shared" si="35"/>
        <v>6.2012414920938372</v>
      </c>
      <c r="G215" s="167">
        <f>RANK(0.51,AE:AE,0)</f>
        <v>1523</v>
      </c>
      <c r="H215" s="365">
        <f t="shared" si="36"/>
        <v>0.87155963302752293</v>
      </c>
      <c r="I215" s="213">
        <f t="shared" si="37"/>
        <v>1427</v>
      </c>
      <c r="J215" s="213">
        <f t="shared" si="38"/>
        <v>768</v>
      </c>
      <c r="K215">
        <f>RANK(0.71,AI:AI,0)</f>
        <v>1412</v>
      </c>
      <c r="L215" s="357">
        <v>0</v>
      </c>
      <c r="M215" s="357">
        <v>1</v>
      </c>
      <c r="N215" s="357">
        <v>1</v>
      </c>
      <c r="O215" s="357">
        <v>0</v>
      </c>
      <c r="P215" s="357">
        <v>0</v>
      </c>
      <c r="Q215" s="358">
        <v>0.14285714285714285</v>
      </c>
      <c r="R215" s="359">
        <v>0</v>
      </c>
      <c r="S215" s="196">
        <v>260493000</v>
      </c>
      <c r="T215" s="196">
        <v>65400000</v>
      </c>
      <c r="U215" s="200">
        <f t="shared" si="39"/>
        <v>1615380000</v>
      </c>
      <c r="V215" s="196">
        <v>-57000000</v>
      </c>
      <c r="W215" s="196">
        <v>272000000</v>
      </c>
      <c r="X215" s="196">
        <v>303000000</v>
      </c>
      <c r="Y215" s="196">
        <v>980000000</v>
      </c>
      <c r="Z215" s="196">
        <v>0</v>
      </c>
      <c r="AA215" s="198">
        <v>-0.1</v>
      </c>
      <c r="AB215" s="198">
        <v>-0.06</v>
      </c>
      <c r="AC215" s="213">
        <f t="shared" si="40"/>
        <v>1519</v>
      </c>
      <c r="AD215" s="213">
        <f t="shared" si="41"/>
        <v>1515</v>
      </c>
      <c r="AE215" s="213">
        <v>0.51</v>
      </c>
      <c r="AF215" s="196">
        <v>-57000000</v>
      </c>
      <c r="AG215" s="104">
        <f t="shared" si="42"/>
        <v>-0.87155963302752293</v>
      </c>
      <c r="AH215" s="104">
        <f t="shared" si="43"/>
        <v>0</v>
      </c>
      <c r="AI215" s="195">
        <v>0.71</v>
      </c>
      <c r="AO215" s="213"/>
      <c r="AP215" s="213"/>
      <c r="AQ215" s="213"/>
      <c r="AR215" s="213"/>
      <c r="AS215" s="213"/>
      <c r="AT215" s="213"/>
      <c r="AU215" s="213"/>
      <c r="AV215" s="213"/>
    </row>
    <row r="216" spans="1:48">
      <c r="A216">
        <v>1802</v>
      </c>
      <c r="C216" s="107">
        <f>VLOOKUP(1802,收盤價!$A:$C,3,0)</f>
        <v>13.8</v>
      </c>
      <c r="D216" s="107">
        <f t="shared" si="33"/>
        <v>0</v>
      </c>
      <c r="E216" s="167">
        <f t="shared" si="34"/>
        <v>4</v>
      </c>
      <c r="F216" s="104">
        <f t="shared" si="35"/>
        <v>0.80991289894407392</v>
      </c>
      <c r="G216" s="167">
        <f>RANK(0.84,AE:AE,0)</f>
        <v>946</v>
      </c>
      <c r="H216" s="365">
        <f t="shared" si="36"/>
        <v>-0.49041106813922891</v>
      </c>
      <c r="I216" s="213">
        <f t="shared" si="37"/>
        <v>746</v>
      </c>
      <c r="J216" s="213">
        <f t="shared" si="38"/>
        <v>768</v>
      </c>
      <c r="K216">
        <f>RANK(1.03,AI:AI,0)</f>
        <v>851</v>
      </c>
      <c r="L216" s="357">
        <v>0</v>
      </c>
      <c r="M216" s="357">
        <v>1</v>
      </c>
      <c r="N216" s="357">
        <v>2</v>
      </c>
      <c r="O216" s="357">
        <v>1</v>
      </c>
      <c r="P216" s="357">
        <v>0</v>
      </c>
      <c r="Q216" s="358">
        <v>0.12765562668151034</v>
      </c>
      <c r="R216" s="359">
        <v>-0.24</v>
      </c>
      <c r="S216" s="196">
        <v>42735188000</v>
      </c>
      <c r="T216" s="196">
        <v>2508100000</v>
      </c>
      <c r="U216" s="200">
        <f t="shared" si="39"/>
        <v>34611780000</v>
      </c>
      <c r="V216" s="196">
        <v>0</v>
      </c>
      <c r="W216" s="196">
        <v>0</v>
      </c>
      <c r="X216" s="196">
        <v>59622000000</v>
      </c>
      <c r="Y216" s="196">
        <v>44743000000</v>
      </c>
      <c r="Z216" s="196">
        <v>26447000000</v>
      </c>
      <c r="AA216" s="198">
        <v>0</v>
      </c>
      <c r="AB216" s="198">
        <v>0</v>
      </c>
      <c r="AC216" s="213">
        <f t="shared" si="40"/>
        <v>945</v>
      </c>
      <c r="AD216" s="213">
        <f t="shared" si="41"/>
        <v>911</v>
      </c>
      <c r="AE216" s="213">
        <v>0.84</v>
      </c>
      <c r="AF216" s="196">
        <v>1230000000</v>
      </c>
      <c r="AG216" s="104">
        <f t="shared" si="42"/>
        <v>0.49041106813922891</v>
      </c>
      <c r="AH216" s="104">
        <f t="shared" si="43"/>
        <v>0</v>
      </c>
      <c r="AI216" s="195">
        <v>1.03</v>
      </c>
      <c r="AO216" s="213"/>
      <c r="AP216" s="213"/>
      <c r="AQ216" s="213"/>
      <c r="AR216" s="213"/>
      <c r="AS216" s="213"/>
      <c r="AT216" s="213"/>
      <c r="AU216" s="213"/>
      <c r="AV216" s="213"/>
    </row>
    <row r="217" spans="1:48">
      <c r="A217">
        <v>1805</v>
      </c>
      <c r="C217" s="107">
        <f>VLOOKUP(1805,收盤價!$A:$C,3,0)</f>
        <v>5.52</v>
      </c>
      <c r="D217" s="107">
        <f t="shared" si="33"/>
        <v>0</v>
      </c>
      <c r="E217" s="167">
        <f t="shared" si="34"/>
        <v>1</v>
      </c>
      <c r="F217" s="104">
        <f t="shared" si="35"/>
        <v>9.5787358184764972</v>
      </c>
      <c r="G217" s="167">
        <f>RANK(0.54,AE:AE,0)</f>
        <v>1453</v>
      </c>
      <c r="H217" s="365">
        <f t="shared" si="36"/>
        <v>1.4445828144458281</v>
      </c>
      <c r="I217" s="213">
        <f t="shared" si="37"/>
        <v>1475</v>
      </c>
      <c r="J217" s="213">
        <f t="shared" si="38"/>
        <v>768</v>
      </c>
      <c r="K217">
        <f>RANK(0.69,AI:AI,0)</f>
        <v>1474</v>
      </c>
      <c r="L217" s="357">
        <v>0</v>
      </c>
      <c r="M217" s="357">
        <v>1</v>
      </c>
      <c r="N217" s="357">
        <v>0</v>
      </c>
      <c r="O217" s="357">
        <v>0</v>
      </c>
      <c r="P217" s="357">
        <v>0</v>
      </c>
      <c r="Q217" s="358">
        <v>-0.625</v>
      </c>
      <c r="R217" s="359">
        <v>0</v>
      </c>
      <c r="S217" s="196">
        <v>46275000</v>
      </c>
      <c r="T217" s="196">
        <v>80300000</v>
      </c>
      <c r="U217" s="200">
        <f t="shared" si="39"/>
        <v>443255999.99999994</v>
      </c>
      <c r="V217" s="196">
        <v>-30000000</v>
      </c>
      <c r="W217" s="196">
        <v>552000000</v>
      </c>
      <c r="X217" s="196">
        <v>66000000</v>
      </c>
      <c r="Y217" s="196">
        <v>792000000</v>
      </c>
      <c r="Z217" s="196">
        <v>340000000</v>
      </c>
      <c r="AA217" s="198">
        <v>-0.05</v>
      </c>
      <c r="AB217" s="198">
        <v>-0.03</v>
      </c>
      <c r="AC217" s="213">
        <f t="shared" si="40"/>
        <v>1468</v>
      </c>
      <c r="AD217" s="213">
        <f t="shared" si="41"/>
        <v>1444</v>
      </c>
      <c r="AE217" s="213">
        <v>0.54</v>
      </c>
      <c r="AF217" s="196">
        <v>-116000000</v>
      </c>
      <c r="AG217" s="104">
        <f t="shared" si="42"/>
        <v>-1.4445828144458281</v>
      </c>
      <c r="AH217" s="104">
        <f t="shared" si="43"/>
        <v>0</v>
      </c>
      <c r="AI217" s="195">
        <v>0.69</v>
      </c>
    </row>
    <row r="218" spans="1:48">
      <c r="A218">
        <v>1806</v>
      </c>
      <c r="C218" s="107">
        <f>VLOOKUP(1806,收盤價!$A:$C,3,0)</f>
        <v>7</v>
      </c>
      <c r="D218" s="107">
        <f t="shared" si="33"/>
        <v>4.7605363984674334</v>
      </c>
      <c r="E218" s="167">
        <f t="shared" si="34"/>
        <v>4</v>
      </c>
      <c r="F218" s="104">
        <f t="shared" si="35"/>
        <v>0.57094309780135333</v>
      </c>
      <c r="G218" s="167">
        <f>RANK(1.63,AE:AE,0)</f>
        <v>551</v>
      </c>
      <c r="H218" s="365">
        <f t="shared" si="36"/>
        <v>0.66628062229369367</v>
      </c>
      <c r="I218" s="213">
        <f t="shared" si="37"/>
        <v>669</v>
      </c>
      <c r="J218" s="213">
        <f t="shared" si="38"/>
        <v>422</v>
      </c>
      <c r="K218">
        <f>RANK(1.43,AI:AI,0)</f>
        <v>601</v>
      </c>
      <c r="L218" s="357">
        <v>1</v>
      </c>
      <c r="M218" s="357">
        <v>1</v>
      </c>
      <c r="N218" s="357">
        <v>1</v>
      </c>
      <c r="O218" s="357">
        <v>1</v>
      </c>
      <c r="P218" s="357">
        <v>0</v>
      </c>
      <c r="Q218" s="358">
        <v>0.41042112776588152</v>
      </c>
      <c r="R218" s="359">
        <v>0.36760563380281686</v>
      </c>
      <c r="S218" s="196">
        <v>5361480000</v>
      </c>
      <c r="T218" s="196">
        <v>437300000</v>
      </c>
      <c r="U218" s="200">
        <f t="shared" si="39"/>
        <v>3061100000</v>
      </c>
      <c r="V218" s="196">
        <v>217000000</v>
      </c>
      <c r="W218" s="196">
        <v>2026000000</v>
      </c>
      <c r="X218" s="196">
        <v>5863000000</v>
      </c>
      <c r="Y218" s="196">
        <v>7314000000</v>
      </c>
      <c r="Z218" s="196">
        <v>2362000000</v>
      </c>
      <c r="AA218" s="198">
        <v>0.03</v>
      </c>
      <c r="AB218" s="198">
        <v>0.02</v>
      </c>
      <c r="AC218" s="213">
        <f t="shared" si="40"/>
        <v>469</v>
      </c>
      <c r="AD218" s="213">
        <f t="shared" si="41"/>
        <v>487</v>
      </c>
      <c r="AE218" s="213">
        <v>1.63</v>
      </c>
      <c r="AF218" s="196">
        <v>287000000</v>
      </c>
      <c r="AG218" s="104">
        <f t="shared" si="42"/>
        <v>0.65630002286759659</v>
      </c>
      <c r="AH218" s="104">
        <f t="shared" si="43"/>
        <v>1.3225806451612903</v>
      </c>
      <c r="AI218" s="195">
        <v>1.43</v>
      </c>
      <c r="AO218" s="213"/>
      <c r="AP218" s="213"/>
      <c r="AQ218" s="213"/>
      <c r="AR218" s="213"/>
      <c r="AS218" s="213"/>
      <c r="AT218" s="213"/>
      <c r="AU218" s="213"/>
      <c r="AV218" s="213"/>
    </row>
    <row r="219" spans="1:48">
      <c r="A219">
        <v>1808</v>
      </c>
      <c r="C219" s="107">
        <f>VLOOKUP(1808,收盤價!$A:$C,3,0)</f>
        <v>33.200000000000003</v>
      </c>
      <c r="D219" s="107">
        <f t="shared" si="33"/>
        <v>8.7995370370370374</v>
      </c>
      <c r="E219" s="167">
        <f t="shared" si="34"/>
        <v>3</v>
      </c>
      <c r="F219" s="104">
        <f t="shared" si="35"/>
        <v>1.5586121469658603</v>
      </c>
      <c r="G219" s="167">
        <f>RANK(1.89,AE:AE,0)</f>
        <v>498</v>
      </c>
      <c r="H219" s="365">
        <f t="shared" si="36"/>
        <v>0.3154305200341006</v>
      </c>
      <c r="I219" s="213">
        <f t="shared" si="37"/>
        <v>1274</v>
      </c>
      <c r="J219" s="213">
        <f t="shared" si="38"/>
        <v>768</v>
      </c>
      <c r="K219">
        <f>RANK(0.76,AI:AI,0)</f>
        <v>1269</v>
      </c>
      <c r="L219" s="357">
        <v>0</v>
      </c>
      <c r="M219" s="357">
        <v>1</v>
      </c>
      <c r="N219" s="357">
        <v>2</v>
      </c>
      <c r="O219" s="357">
        <v>0</v>
      </c>
      <c r="P219" s="357">
        <v>0</v>
      </c>
      <c r="Q219" s="358">
        <v>0.38669950738916259</v>
      </c>
      <c r="R219" s="359">
        <v>0.94323144104803491</v>
      </c>
      <c r="S219" s="196">
        <v>4997215000</v>
      </c>
      <c r="T219" s="196">
        <v>234600000</v>
      </c>
      <c r="U219" s="200">
        <f t="shared" si="39"/>
        <v>7788720000.000001</v>
      </c>
      <c r="V219" s="196">
        <v>252000000</v>
      </c>
      <c r="W219" s="196">
        <v>4389000000</v>
      </c>
      <c r="X219" s="196">
        <v>2009000000</v>
      </c>
      <c r="Y219" s="196">
        <v>4382000000</v>
      </c>
      <c r="Z219" s="196">
        <v>7050000000</v>
      </c>
      <c r="AA219" s="198">
        <v>0.04</v>
      </c>
      <c r="AB219" s="198">
        <v>0.02</v>
      </c>
      <c r="AC219" s="213">
        <f t="shared" si="40"/>
        <v>337</v>
      </c>
      <c r="AD219" s="213">
        <f t="shared" si="41"/>
        <v>487</v>
      </c>
      <c r="AE219" s="213">
        <v>1.89</v>
      </c>
      <c r="AF219" s="196">
        <v>-74000000</v>
      </c>
      <c r="AG219" s="104">
        <f t="shared" si="42"/>
        <v>-0.3154305200341006</v>
      </c>
      <c r="AH219" s="104">
        <f t="shared" si="43"/>
        <v>0</v>
      </c>
      <c r="AI219" s="195">
        <v>0.76</v>
      </c>
    </row>
    <row r="220" spans="1:48">
      <c r="A220">
        <v>1809</v>
      </c>
      <c r="C220" s="107">
        <f>VLOOKUP(1809,收盤價!$A:$C,3,0)</f>
        <v>13.75</v>
      </c>
      <c r="D220" s="107">
        <f t="shared" si="33"/>
        <v>11.088709677419354</v>
      </c>
      <c r="E220" s="167">
        <f t="shared" si="34"/>
        <v>5</v>
      </c>
      <c r="F220" s="104">
        <f t="shared" si="35"/>
        <v>0.94980543500888759</v>
      </c>
      <c r="G220" s="167">
        <f>RANK(0.84,AE:AE,0)</f>
        <v>946</v>
      </c>
      <c r="H220" s="365">
        <f t="shared" si="36"/>
        <v>-1.3277133825079031</v>
      </c>
      <c r="I220" s="213">
        <f t="shared" si="37"/>
        <v>395</v>
      </c>
      <c r="J220" s="213">
        <f t="shared" si="38"/>
        <v>768</v>
      </c>
      <c r="K220">
        <f>RANK(1.34,AI:AI,0)</f>
        <v>655</v>
      </c>
      <c r="L220" s="357">
        <v>1</v>
      </c>
      <c r="M220" s="357">
        <v>1</v>
      </c>
      <c r="N220" s="357">
        <v>2</v>
      </c>
      <c r="O220" s="357">
        <v>1</v>
      </c>
      <c r="P220" s="357">
        <v>0</v>
      </c>
      <c r="Q220" s="358">
        <v>0.25138888888888888</v>
      </c>
      <c r="R220" s="359">
        <v>0.31</v>
      </c>
      <c r="S220" s="196">
        <v>2747668000</v>
      </c>
      <c r="T220" s="196">
        <v>189800000</v>
      </c>
      <c r="U220" s="200">
        <f t="shared" si="39"/>
        <v>2609750000</v>
      </c>
      <c r="V220" s="196">
        <v>0</v>
      </c>
      <c r="W220" s="196">
        <v>2570000000</v>
      </c>
      <c r="X220" s="196">
        <v>1726000000</v>
      </c>
      <c r="Y220" s="196">
        <v>4357000000</v>
      </c>
      <c r="Z220" s="196">
        <v>337000000</v>
      </c>
      <c r="AA220" s="198">
        <v>0</v>
      </c>
      <c r="AB220" s="198">
        <v>0</v>
      </c>
      <c r="AC220" s="213">
        <f t="shared" si="40"/>
        <v>945</v>
      </c>
      <c r="AD220" s="213">
        <f t="shared" si="41"/>
        <v>911</v>
      </c>
      <c r="AE220" s="213">
        <v>0.84</v>
      </c>
      <c r="AF220" s="196">
        <v>252000000</v>
      </c>
      <c r="AG220" s="104">
        <f t="shared" si="42"/>
        <v>1.3277133825079031</v>
      </c>
      <c r="AH220" s="104">
        <f t="shared" si="43"/>
        <v>0</v>
      </c>
      <c r="AI220" s="195">
        <v>1.34</v>
      </c>
      <c r="AO220" s="213"/>
      <c r="AP220" s="213"/>
      <c r="AQ220" s="213"/>
      <c r="AR220" s="213"/>
      <c r="AS220" s="213"/>
      <c r="AT220" s="213"/>
      <c r="AU220" s="213"/>
      <c r="AV220" s="213"/>
    </row>
    <row r="221" spans="1:48">
      <c r="A221">
        <v>1810</v>
      </c>
      <c r="C221" s="107">
        <f>VLOOKUP(1810,收盤價!$A:$C,3,0)</f>
        <v>8.17</v>
      </c>
      <c r="D221" s="107">
        <f t="shared" si="33"/>
        <v>40.849999999999994</v>
      </c>
      <c r="E221" s="167">
        <f t="shared" si="34"/>
        <v>2</v>
      </c>
      <c r="F221" s="104">
        <f t="shared" si="35"/>
        <v>0.51995983584035299</v>
      </c>
      <c r="G221" s="167">
        <f>RANK(0.84,AE:AE,0)</f>
        <v>946</v>
      </c>
      <c r="H221" s="365">
        <f t="shared" si="36"/>
        <v>0.36226007028926738</v>
      </c>
      <c r="I221" s="213">
        <f t="shared" si="37"/>
        <v>1296</v>
      </c>
      <c r="J221" s="213">
        <f t="shared" si="38"/>
        <v>768</v>
      </c>
      <c r="K221">
        <f>RANK(0.75,AI:AI,0)</f>
        <v>1296</v>
      </c>
      <c r="L221" s="357">
        <v>0</v>
      </c>
      <c r="M221" s="357">
        <v>1</v>
      </c>
      <c r="N221" s="357">
        <v>1</v>
      </c>
      <c r="O221" s="357">
        <v>0</v>
      </c>
      <c r="P221" s="357">
        <v>0</v>
      </c>
      <c r="Q221" s="358">
        <v>0.2731741573033708</v>
      </c>
      <c r="R221" s="359">
        <v>0.05</v>
      </c>
      <c r="S221" s="196">
        <v>5812147000</v>
      </c>
      <c r="T221" s="196">
        <v>369900000</v>
      </c>
      <c r="U221" s="200">
        <f t="shared" si="39"/>
        <v>3022083000</v>
      </c>
      <c r="V221" s="196">
        <v>0</v>
      </c>
      <c r="W221" s="196">
        <v>638000000</v>
      </c>
      <c r="X221" s="196">
        <v>4432000000</v>
      </c>
      <c r="Y221" s="196">
        <v>5411000000</v>
      </c>
      <c r="Z221" s="196">
        <v>2778000000</v>
      </c>
      <c r="AA221" s="198">
        <v>0</v>
      </c>
      <c r="AB221" s="198">
        <v>0</v>
      </c>
      <c r="AC221" s="213">
        <f t="shared" si="40"/>
        <v>945</v>
      </c>
      <c r="AD221" s="213">
        <f t="shared" si="41"/>
        <v>911</v>
      </c>
      <c r="AE221" s="213">
        <v>0.84</v>
      </c>
      <c r="AF221" s="196">
        <v>-134000000</v>
      </c>
      <c r="AG221" s="104">
        <f t="shared" si="42"/>
        <v>-0.36226007028926738</v>
      </c>
      <c r="AH221" s="104">
        <f t="shared" si="43"/>
        <v>0</v>
      </c>
      <c r="AI221" s="195">
        <v>0.75</v>
      </c>
    </row>
    <row r="222" spans="1:48">
      <c r="A222">
        <v>1813</v>
      </c>
      <c r="C222" s="107">
        <f>VLOOKUP(1813,收盤價!$A:$C,3,0)</f>
        <v>23</v>
      </c>
      <c r="D222" s="107">
        <f t="shared" si="33"/>
        <v>12.777777777777777</v>
      </c>
      <c r="E222" s="167">
        <f t="shared" si="34"/>
        <v>2</v>
      </c>
      <c r="F222" s="104">
        <f t="shared" si="35"/>
        <v>3.2128778908556783</v>
      </c>
      <c r="G222" s="167">
        <f>RANK(0.84,AE:AE,0)</f>
        <v>946</v>
      </c>
      <c r="H222" s="365">
        <f t="shared" si="36"/>
        <v>-0.23605150214592274</v>
      </c>
      <c r="I222" s="213">
        <f t="shared" si="37"/>
        <v>902</v>
      </c>
      <c r="J222" s="213">
        <f t="shared" si="38"/>
        <v>768</v>
      </c>
      <c r="K222">
        <f>RANK(0.93,AI:AI,0)</f>
        <v>950</v>
      </c>
      <c r="L222" s="357">
        <v>0</v>
      </c>
      <c r="M222" s="357">
        <v>1</v>
      </c>
      <c r="N222" s="357">
        <v>0</v>
      </c>
      <c r="O222" s="357">
        <v>1</v>
      </c>
      <c r="P222" s="357">
        <v>0</v>
      </c>
      <c r="Q222" s="358">
        <v>0.34285714285714286</v>
      </c>
      <c r="R222" s="359">
        <v>0.45</v>
      </c>
      <c r="S222" s="196">
        <v>333595000</v>
      </c>
      <c r="T222" s="196">
        <v>46600000</v>
      </c>
      <c r="U222" s="200">
        <f t="shared" si="39"/>
        <v>1071800000</v>
      </c>
      <c r="V222" s="196">
        <v>0</v>
      </c>
      <c r="W222" s="196">
        <v>384000000</v>
      </c>
      <c r="X222" s="196">
        <v>387000000</v>
      </c>
      <c r="Y222" s="196">
        <v>967000000</v>
      </c>
      <c r="Z222" s="196">
        <v>3000000</v>
      </c>
      <c r="AA222" s="198">
        <v>0</v>
      </c>
      <c r="AB222" s="198">
        <v>0</v>
      </c>
      <c r="AC222" s="213">
        <f t="shared" si="40"/>
        <v>945</v>
      </c>
      <c r="AD222" s="213">
        <f t="shared" si="41"/>
        <v>911</v>
      </c>
      <c r="AE222" s="213">
        <v>0.84</v>
      </c>
      <c r="AF222" s="196">
        <v>11000000</v>
      </c>
      <c r="AG222" s="104">
        <f t="shared" si="42"/>
        <v>0.23605150214592274</v>
      </c>
      <c r="AH222" s="104">
        <f t="shared" si="43"/>
        <v>0</v>
      </c>
      <c r="AI222" s="195">
        <v>0.93</v>
      </c>
      <c r="AO222" s="213"/>
      <c r="AP222" s="213"/>
      <c r="AQ222" s="213"/>
      <c r="AR222" s="213"/>
      <c r="AS222" s="213"/>
      <c r="AT222" s="213"/>
      <c r="AU222" s="213"/>
      <c r="AV222" s="213"/>
    </row>
    <row r="223" spans="1:48">
      <c r="A223">
        <v>1815</v>
      </c>
      <c r="C223" s="107">
        <f>VLOOKUP(1815,收盤價!$A:$C,3,0)</f>
        <v>13.25</v>
      </c>
      <c r="D223" s="107">
        <f t="shared" si="33"/>
        <v>21.696496572734194</v>
      </c>
      <c r="E223" s="167">
        <f t="shared" si="34"/>
        <v>1</v>
      </c>
      <c r="F223" s="104">
        <f t="shared" si="35"/>
        <v>1.1699706461515094</v>
      </c>
      <c r="G223" s="167">
        <f>RANK(1.08,AE:AE,0)</f>
        <v>769</v>
      </c>
      <c r="H223" s="365">
        <f t="shared" si="36"/>
        <v>1.320198250728863</v>
      </c>
      <c r="I223" s="213">
        <f t="shared" si="37"/>
        <v>707</v>
      </c>
      <c r="J223" s="213">
        <f t="shared" si="38"/>
        <v>285</v>
      </c>
      <c r="K223">
        <f>RANK(1.57,AI:AI,0)</f>
        <v>517</v>
      </c>
      <c r="L223" s="357">
        <v>0</v>
      </c>
      <c r="M223" s="357">
        <v>0</v>
      </c>
      <c r="N223" s="357">
        <v>0</v>
      </c>
      <c r="O223" s="357">
        <v>1</v>
      </c>
      <c r="P223" s="357">
        <v>0</v>
      </c>
      <c r="Q223" s="358">
        <v>0.202276707530648</v>
      </c>
      <c r="R223" s="359">
        <v>0.15267441860465117</v>
      </c>
      <c r="S223" s="196">
        <v>4661399000</v>
      </c>
      <c r="T223" s="196">
        <v>411600000</v>
      </c>
      <c r="U223" s="200">
        <f t="shared" si="39"/>
        <v>5453700000</v>
      </c>
      <c r="V223" s="196">
        <v>125000000</v>
      </c>
      <c r="W223" s="196">
        <v>1070000000</v>
      </c>
      <c r="X223" s="196">
        <v>8481000000</v>
      </c>
      <c r="Y223" s="196">
        <v>6693000000</v>
      </c>
      <c r="Z223" s="196">
        <v>1857000000</v>
      </c>
      <c r="AA223" s="198">
        <v>0.01</v>
      </c>
      <c r="AB223" s="198">
        <v>0.01</v>
      </c>
      <c r="AC223" s="213">
        <f t="shared" si="40"/>
        <v>769</v>
      </c>
      <c r="AD223" s="213">
        <f t="shared" si="41"/>
        <v>680</v>
      </c>
      <c r="AE223" s="213">
        <v>1.08</v>
      </c>
      <c r="AF223" s="196">
        <v>237000000</v>
      </c>
      <c r="AG223" s="104">
        <f t="shared" si="42"/>
        <v>0.57580174927113703</v>
      </c>
      <c r="AH223" s="104">
        <f t="shared" si="43"/>
        <v>1.8959999999999999</v>
      </c>
      <c r="AI223" s="195">
        <v>1.57</v>
      </c>
    </row>
    <row r="224" spans="1:48">
      <c r="A224">
        <v>1817</v>
      </c>
      <c r="C224" s="107">
        <f>VLOOKUP(1817,收盤價!$A:$C,3,0)</f>
        <v>38.25</v>
      </c>
      <c r="D224" s="107">
        <f t="shared" si="33"/>
        <v>13.076923076923078</v>
      </c>
      <c r="E224" s="167">
        <f t="shared" si="34"/>
        <v>2</v>
      </c>
      <c r="F224" s="104">
        <f t="shared" si="35"/>
        <v>1.241426203997223</v>
      </c>
      <c r="G224" s="167">
        <f>RANK(4.81,AE:AE,0)</f>
        <v>170</v>
      </c>
      <c r="H224" s="365">
        <f t="shared" si="36"/>
        <v>-1.1443102352193257E-2</v>
      </c>
      <c r="I224" s="213">
        <f t="shared" si="37"/>
        <v>954</v>
      </c>
      <c r="J224" s="213">
        <f t="shared" si="38"/>
        <v>744</v>
      </c>
      <c r="K224">
        <f>RANK(0.92,AI:AI,0)</f>
        <v>958</v>
      </c>
      <c r="L224" s="357">
        <v>0</v>
      </c>
      <c r="M224" s="357">
        <v>1</v>
      </c>
      <c r="N224" s="357">
        <v>0</v>
      </c>
      <c r="O224" s="357">
        <v>1</v>
      </c>
      <c r="P224" s="357">
        <v>0</v>
      </c>
      <c r="Q224" s="358">
        <v>0.30586080586080588</v>
      </c>
      <c r="R224" s="359">
        <v>0.73124999999999996</v>
      </c>
      <c r="S224" s="196">
        <v>2236903000</v>
      </c>
      <c r="T224" s="196">
        <v>72600000</v>
      </c>
      <c r="U224" s="200">
        <f t="shared" si="39"/>
        <v>2776950000</v>
      </c>
      <c r="V224" s="196">
        <v>78000000</v>
      </c>
      <c r="W224" s="196">
        <v>634000000</v>
      </c>
      <c r="X224" s="196">
        <v>732000000</v>
      </c>
      <c r="Y224" s="196">
        <v>1447000000</v>
      </c>
      <c r="Z224" s="196">
        <v>61000000</v>
      </c>
      <c r="AA224" s="198">
        <v>0.06</v>
      </c>
      <c r="AB224" s="198">
        <v>0.05</v>
      </c>
      <c r="AC224" s="213">
        <f t="shared" si="40"/>
        <v>174</v>
      </c>
      <c r="AD224" s="213">
        <f t="shared" si="41"/>
        <v>150</v>
      </c>
      <c r="AE224" s="213">
        <v>4.8099999999999996</v>
      </c>
      <c r="AF224" s="196">
        <v>12000000</v>
      </c>
      <c r="AG224" s="104">
        <f t="shared" si="42"/>
        <v>0.16528925619834711</v>
      </c>
      <c r="AH224" s="104">
        <f t="shared" si="43"/>
        <v>0.15384615384615385</v>
      </c>
      <c r="AI224" s="195">
        <v>0.92</v>
      </c>
    </row>
    <row r="225" spans="1:48">
      <c r="A225">
        <v>1902</v>
      </c>
      <c r="C225" s="107">
        <f>VLOOKUP(1902,收盤價!$A:$C,3,0)</f>
        <v>10.3</v>
      </c>
      <c r="D225" s="107">
        <f t="shared" si="33"/>
        <v>119.97159090909091</v>
      </c>
      <c r="E225" s="167">
        <f t="shared" si="34"/>
        <v>0</v>
      </c>
      <c r="F225" s="104">
        <f t="shared" si="35"/>
        <v>0.83231737652984006</v>
      </c>
      <c r="G225" s="167">
        <f>RANK(1.08,AE:AE,0)</f>
        <v>769</v>
      </c>
      <c r="H225" s="365">
        <f t="shared" si="36"/>
        <v>3.1181845872677427</v>
      </c>
      <c r="I225" s="213">
        <f t="shared" si="37"/>
        <v>784</v>
      </c>
      <c r="J225" s="213">
        <f t="shared" si="38"/>
        <v>130</v>
      </c>
      <c r="K225">
        <f>RANK(1.7,AI:AI,0)</f>
        <v>456</v>
      </c>
      <c r="L225" s="357">
        <v>0</v>
      </c>
      <c r="M225" s="357">
        <v>0</v>
      </c>
      <c r="N225" s="357">
        <v>0</v>
      </c>
      <c r="O225" s="357">
        <v>0</v>
      </c>
      <c r="P225" s="357">
        <v>0</v>
      </c>
      <c r="Q225" s="358">
        <v>0.14093357271095153</v>
      </c>
      <c r="R225" s="359">
        <v>2.1463414634146343E-2</v>
      </c>
      <c r="S225" s="196">
        <v>4974785000</v>
      </c>
      <c r="T225" s="196">
        <v>402000000</v>
      </c>
      <c r="U225" s="200">
        <f t="shared" si="39"/>
        <v>4140600000.0000005</v>
      </c>
      <c r="V225" s="196">
        <v>49000000</v>
      </c>
      <c r="W225" s="196">
        <v>1803000000</v>
      </c>
      <c r="X225" s="196">
        <v>3998000000</v>
      </c>
      <c r="Y225" s="196">
        <v>6322000000</v>
      </c>
      <c r="Z225" s="196">
        <v>1067000000</v>
      </c>
      <c r="AA225" s="198">
        <v>0.01</v>
      </c>
      <c r="AB225" s="198">
        <v>0.01</v>
      </c>
      <c r="AC225" s="213">
        <f t="shared" si="40"/>
        <v>769</v>
      </c>
      <c r="AD225" s="213">
        <f t="shared" si="41"/>
        <v>680</v>
      </c>
      <c r="AE225" s="213">
        <v>1.08</v>
      </c>
      <c r="AF225" s="196">
        <v>174000000</v>
      </c>
      <c r="AG225" s="104">
        <f t="shared" si="42"/>
        <v>0.43283582089552236</v>
      </c>
      <c r="AH225" s="104">
        <f t="shared" si="43"/>
        <v>3.5510204081632653</v>
      </c>
      <c r="AI225" s="195">
        <v>1.7</v>
      </c>
      <c r="AO225" s="213"/>
      <c r="AP225" s="213"/>
      <c r="AS225" s="213"/>
    </row>
    <row r="226" spans="1:48">
      <c r="A226">
        <v>1903</v>
      </c>
      <c r="C226" s="107">
        <f>VLOOKUP(1903,收盤價!$A:$C,3,0)</f>
        <v>30.5</v>
      </c>
      <c r="D226" s="107">
        <f t="shared" si="33"/>
        <v>0</v>
      </c>
      <c r="E226" s="167">
        <f t="shared" si="34"/>
        <v>0</v>
      </c>
      <c r="F226" s="104">
        <f t="shared" si="35"/>
        <v>97.544774650659321</v>
      </c>
      <c r="G226" s="167">
        <f>RANK(0.56,AE:AE,0)</f>
        <v>1414</v>
      </c>
      <c r="H226" s="365">
        <f t="shared" si="36"/>
        <v>6.5384615384615388E-2</v>
      </c>
      <c r="I226" s="213">
        <f t="shared" si="37"/>
        <v>1109</v>
      </c>
      <c r="J226" s="213">
        <f t="shared" si="38"/>
        <v>768</v>
      </c>
      <c r="K226">
        <f>RANK(0.83,AI:AI,0)</f>
        <v>1098</v>
      </c>
      <c r="L226" s="357">
        <v>0</v>
      </c>
      <c r="M226" s="357">
        <v>0</v>
      </c>
      <c r="N226" s="357">
        <v>0</v>
      </c>
      <c r="O226" s="357">
        <v>0</v>
      </c>
      <c r="P226" s="357">
        <v>0</v>
      </c>
      <c r="Q226" s="358">
        <v>-0.16666666666666666</v>
      </c>
      <c r="R226" s="359">
        <v>0</v>
      </c>
      <c r="S226" s="196">
        <v>81296000</v>
      </c>
      <c r="T226" s="196">
        <v>260000000</v>
      </c>
      <c r="U226" s="200">
        <f t="shared" si="39"/>
        <v>7930000000</v>
      </c>
      <c r="V226" s="196">
        <v>-54000000</v>
      </c>
      <c r="W226" s="196">
        <v>0</v>
      </c>
      <c r="X226" s="196">
        <v>1072000000</v>
      </c>
      <c r="Y226" s="196">
        <v>3065000000</v>
      </c>
      <c r="Z226" s="196">
        <v>1753000000</v>
      </c>
      <c r="AA226" s="198">
        <v>-0.05</v>
      </c>
      <c r="AB226" s="198">
        <v>-0.01</v>
      </c>
      <c r="AC226" s="213">
        <f t="shared" si="40"/>
        <v>1468</v>
      </c>
      <c r="AD226" s="213">
        <f t="shared" si="41"/>
        <v>1294</v>
      </c>
      <c r="AE226" s="213">
        <v>0.56000000000000005</v>
      </c>
      <c r="AF226" s="196">
        <v>-17000000</v>
      </c>
      <c r="AG226" s="104">
        <f t="shared" si="42"/>
        <v>-6.5384615384615388E-2</v>
      </c>
      <c r="AH226" s="104">
        <f t="shared" si="43"/>
        <v>0</v>
      </c>
      <c r="AI226" s="195">
        <v>0.83</v>
      </c>
      <c r="AO226" s="213"/>
      <c r="AP226" s="213"/>
      <c r="AQ226" s="213"/>
      <c r="AR226" s="213"/>
      <c r="AS226" s="213"/>
      <c r="AT226" s="213"/>
      <c r="AU226" s="213"/>
      <c r="AV226" s="213"/>
    </row>
    <row r="227" spans="1:48">
      <c r="A227">
        <v>1904</v>
      </c>
      <c r="C227" s="107">
        <f>VLOOKUP(1904,收盤價!$A:$C,3,0)</f>
        <v>11.55</v>
      </c>
      <c r="D227" s="107">
        <f t="shared" si="33"/>
        <v>6.5748565923720284</v>
      </c>
      <c r="E227" s="167">
        <f t="shared" si="34"/>
        <v>4</v>
      </c>
      <c r="F227" s="104">
        <f t="shared" si="35"/>
        <v>0.3140446256206838</v>
      </c>
      <c r="G227" s="167">
        <f>RANK(1.41,AE:AE,0)</f>
        <v>618</v>
      </c>
      <c r="H227" s="365">
        <f t="shared" si="36"/>
        <v>0.56875986082786489</v>
      </c>
      <c r="I227" s="213">
        <f t="shared" si="37"/>
        <v>562</v>
      </c>
      <c r="J227" s="213">
        <f t="shared" si="38"/>
        <v>388</v>
      </c>
      <c r="K227">
        <f>RANK(1.64,AI:AI,0)</f>
        <v>484</v>
      </c>
      <c r="L227" s="357">
        <v>1</v>
      </c>
      <c r="M227" s="357">
        <v>1</v>
      </c>
      <c r="N227" s="357">
        <v>1</v>
      </c>
      <c r="O227" s="357">
        <v>1</v>
      </c>
      <c r="P227" s="357">
        <v>0</v>
      </c>
      <c r="Q227" s="358">
        <v>0.18888888888888888</v>
      </c>
      <c r="R227" s="359">
        <v>0.43917307692307689</v>
      </c>
      <c r="S227" s="196">
        <v>40761293000</v>
      </c>
      <c r="T227" s="196">
        <v>1108300000</v>
      </c>
      <c r="U227" s="200">
        <f t="shared" si="39"/>
        <v>12800865000</v>
      </c>
      <c r="V227" s="196">
        <v>679000000</v>
      </c>
      <c r="W227" s="196">
        <v>4168000000</v>
      </c>
      <c r="X227" s="196">
        <v>31895000000</v>
      </c>
      <c r="Y227" s="196">
        <v>22624000000</v>
      </c>
      <c r="Z227" s="196">
        <v>9180000000</v>
      </c>
      <c r="AA227" s="198">
        <v>0.02</v>
      </c>
      <c r="AB227" s="198">
        <v>0.02</v>
      </c>
      <c r="AC227" s="213">
        <f t="shared" si="40"/>
        <v>616</v>
      </c>
      <c r="AD227" s="213">
        <f t="shared" si="41"/>
        <v>487</v>
      </c>
      <c r="AE227" s="213">
        <v>1.41</v>
      </c>
      <c r="AF227" s="196">
        <v>997000000</v>
      </c>
      <c r="AG227" s="104">
        <f t="shared" si="42"/>
        <v>0.89957592709555179</v>
      </c>
      <c r="AH227" s="104">
        <f t="shared" si="43"/>
        <v>1.4683357879234167</v>
      </c>
      <c r="AI227" s="195">
        <v>1.64</v>
      </c>
      <c r="AO227" s="213"/>
      <c r="AP227" s="213"/>
      <c r="AQ227" s="213"/>
      <c r="AR227" s="213"/>
      <c r="AS227" s="213"/>
      <c r="AT227" s="213"/>
      <c r="AU227" s="213"/>
      <c r="AV227" s="213"/>
    </row>
    <row r="228" spans="1:48">
      <c r="A228">
        <v>1905</v>
      </c>
      <c r="C228" s="107">
        <f>VLOOKUP(1905,收盤價!$A:$C,3,0)</f>
        <v>9.11</v>
      </c>
      <c r="D228" s="107">
        <f t="shared" si="33"/>
        <v>26.071381578947364</v>
      </c>
      <c r="E228" s="167">
        <f t="shared" si="34"/>
        <v>4</v>
      </c>
      <c r="F228" s="104">
        <f t="shared" si="35"/>
        <v>0.46282333573071621</v>
      </c>
      <c r="G228" s="167">
        <f>RANK(0.84,AE:AE,0)</f>
        <v>946</v>
      </c>
      <c r="H228" s="365">
        <f t="shared" si="36"/>
        <v>11.531845437918182</v>
      </c>
      <c r="I228" s="213">
        <f t="shared" si="37"/>
        <v>480</v>
      </c>
      <c r="J228" s="213">
        <f t="shared" si="38"/>
        <v>25</v>
      </c>
      <c r="K228">
        <f>RANK(3.09,AI:AI,0)</f>
        <v>158</v>
      </c>
      <c r="L228" s="357">
        <v>0</v>
      </c>
      <c r="M228" s="357">
        <v>1</v>
      </c>
      <c r="N228" s="357">
        <v>2</v>
      </c>
      <c r="O228" s="357">
        <v>1</v>
      </c>
      <c r="P228" s="357">
        <v>0</v>
      </c>
      <c r="Q228" s="358">
        <v>7.9404911274421938E-2</v>
      </c>
      <c r="R228" s="359">
        <v>8.7356321839080472E-2</v>
      </c>
      <c r="S228" s="196">
        <v>21707004000</v>
      </c>
      <c r="T228" s="196">
        <v>1102800000</v>
      </c>
      <c r="U228" s="200">
        <f t="shared" si="39"/>
        <v>10046508000</v>
      </c>
      <c r="V228" s="196">
        <v>94000000</v>
      </c>
      <c r="W228" s="196">
        <v>6009000000</v>
      </c>
      <c r="X228" s="196">
        <v>14328000000</v>
      </c>
      <c r="Y228" s="196">
        <v>18244000000</v>
      </c>
      <c r="Z228" s="196">
        <v>3162000000</v>
      </c>
      <c r="AA228" s="198">
        <v>0</v>
      </c>
      <c r="AB228" s="198">
        <v>0</v>
      </c>
      <c r="AC228" s="213">
        <f t="shared" si="40"/>
        <v>945</v>
      </c>
      <c r="AD228" s="213">
        <f t="shared" si="41"/>
        <v>911</v>
      </c>
      <c r="AE228" s="213">
        <v>0.84</v>
      </c>
      <c r="AF228" s="196">
        <v>1185000000</v>
      </c>
      <c r="AG228" s="104">
        <f t="shared" si="42"/>
        <v>1.0745375408052231</v>
      </c>
      <c r="AH228" s="104">
        <f t="shared" si="43"/>
        <v>12.606382978723405</v>
      </c>
      <c r="AI228" s="195">
        <v>3.09</v>
      </c>
    </row>
    <row r="229" spans="1:48">
      <c r="A229">
        <v>1906</v>
      </c>
      <c r="C229" s="107">
        <f>VLOOKUP(1906,收盤價!$A:$C,3,0)</f>
        <v>17.649999999999999</v>
      </c>
      <c r="D229" s="107">
        <f t="shared" si="33"/>
        <v>366.98019801980195</v>
      </c>
      <c r="E229" s="167">
        <f t="shared" si="34"/>
        <v>3</v>
      </c>
      <c r="F229" s="104">
        <f t="shared" si="35"/>
        <v>3.3843389481837982</v>
      </c>
      <c r="G229" s="167">
        <f>RANK(1.69,AE:AE,0)</f>
        <v>534</v>
      </c>
      <c r="H229" s="365">
        <f t="shared" si="36"/>
        <v>14.797185430463577</v>
      </c>
      <c r="I229" s="213">
        <f t="shared" si="37"/>
        <v>591</v>
      </c>
      <c r="J229" s="213">
        <f t="shared" si="38"/>
        <v>21</v>
      </c>
      <c r="K229">
        <f>RANK(2.55,AI:AI,0)</f>
        <v>224</v>
      </c>
      <c r="L229" s="357">
        <v>1</v>
      </c>
      <c r="M229" s="357">
        <v>1</v>
      </c>
      <c r="N229" s="357">
        <v>0</v>
      </c>
      <c r="O229" s="357">
        <v>1</v>
      </c>
      <c r="P229" s="357">
        <v>0</v>
      </c>
      <c r="Q229" s="358">
        <v>0.12941176470588237</v>
      </c>
      <c r="R229" s="359">
        <v>1.2023809523809523E-2</v>
      </c>
      <c r="S229" s="196">
        <v>787495000</v>
      </c>
      <c r="T229" s="196">
        <v>151000000</v>
      </c>
      <c r="U229" s="200">
        <f t="shared" si="39"/>
        <v>2665150000</v>
      </c>
      <c r="V229" s="196">
        <v>8000000</v>
      </c>
      <c r="W229" s="196">
        <v>0</v>
      </c>
      <c r="X229" s="196">
        <v>39000000</v>
      </c>
      <c r="Y229" s="196">
        <v>3540000000</v>
      </c>
      <c r="Z229" s="196">
        <v>1194000000</v>
      </c>
      <c r="AA229" s="198">
        <v>0.21</v>
      </c>
      <c r="AB229" s="198">
        <v>0</v>
      </c>
      <c r="AC229" s="213">
        <f t="shared" si="40"/>
        <v>11</v>
      </c>
      <c r="AD229" s="213">
        <f t="shared" si="41"/>
        <v>911</v>
      </c>
      <c r="AE229" s="213">
        <v>1.69</v>
      </c>
      <c r="AF229" s="196">
        <v>125000000</v>
      </c>
      <c r="AG229" s="104">
        <f t="shared" si="42"/>
        <v>0.82781456953642385</v>
      </c>
      <c r="AH229" s="104">
        <f t="shared" si="43"/>
        <v>15.625</v>
      </c>
      <c r="AI229" s="195">
        <v>2.5499999999999998</v>
      </c>
    </row>
    <row r="230" spans="1:48">
      <c r="A230">
        <v>1907</v>
      </c>
      <c r="C230" s="107">
        <f>VLOOKUP(1907,收盤價!$A:$C,3,0)</f>
        <v>9.52</v>
      </c>
      <c r="D230" s="107">
        <f t="shared" si="33"/>
        <v>0</v>
      </c>
      <c r="E230" s="167">
        <f t="shared" si="34"/>
        <v>3</v>
      </c>
      <c r="F230" s="104">
        <f t="shared" si="35"/>
        <v>0.24995417430059355</v>
      </c>
      <c r="G230" s="167">
        <f>RANK(1.08,AE:AE,0)</f>
        <v>769</v>
      </c>
      <c r="H230" s="365">
        <f t="shared" si="36"/>
        <v>1.1967948577560719</v>
      </c>
      <c r="I230" s="213">
        <f t="shared" si="37"/>
        <v>614</v>
      </c>
      <c r="J230" s="213">
        <f t="shared" si="38"/>
        <v>268</v>
      </c>
      <c r="K230">
        <f>RANK(1.77,AI:AI,0)</f>
        <v>426</v>
      </c>
      <c r="L230" s="357">
        <v>0</v>
      </c>
      <c r="M230" s="357">
        <v>1</v>
      </c>
      <c r="N230" s="357">
        <v>1</v>
      </c>
      <c r="O230" s="357">
        <v>1</v>
      </c>
      <c r="P230" s="357">
        <v>0</v>
      </c>
      <c r="Q230" s="358">
        <v>0.16790903348073277</v>
      </c>
      <c r="R230" s="359">
        <v>0</v>
      </c>
      <c r="S230" s="196">
        <v>63239624000</v>
      </c>
      <c r="T230" s="196">
        <v>1660400000</v>
      </c>
      <c r="U230" s="200">
        <f t="shared" si="39"/>
        <v>15807008000</v>
      </c>
      <c r="V230" s="196">
        <v>660000000</v>
      </c>
      <c r="W230" s="196">
        <v>774000000</v>
      </c>
      <c r="X230" s="196">
        <v>47093000000</v>
      </c>
      <c r="Y230" s="196">
        <v>43182000000</v>
      </c>
      <c r="Z230" s="196">
        <v>25253000000</v>
      </c>
      <c r="AA230" s="198">
        <v>0.01</v>
      </c>
      <c r="AB230" s="198">
        <v>0.01</v>
      </c>
      <c r="AC230" s="213">
        <f t="shared" si="40"/>
        <v>769</v>
      </c>
      <c r="AD230" s="213">
        <f t="shared" si="41"/>
        <v>680</v>
      </c>
      <c r="AE230" s="213">
        <v>1.08</v>
      </c>
      <c r="AF230" s="196">
        <v>1311000000</v>
      </c>
      <c r="AG230" s="104">
        <f t="shared" si="42"/>
        <v>0.78956877860756447</v>
      </c>
      <c r="AH230" s="104">
        <f t="shared" si="43"/>
        <v>1.9863636363636363</v>
      </c>
      <c r="AI230" s="195">
        <v>1.77</v>
      </c>
      <c r="AO230" s="213"/>
      <c r="AP230" s="213"/>
      <c r="AQ230" s="213"/>
      <c r="AR230" s="213"/>
      <c r="AS230" s="213"/>
      <c r="AT230" s="213"/>
      <c r="AU230" s="213"/>
      <c r="AV230" s="213"/>
    </row>
    <row r="231" spans="1:48">
      <c r="A231">
        <v>1909</v>
      </c>
      <c r="C231" s="107">
        <f>VLOOKUP(1909,收盤價!$A:$C,3,0)</f>
        <v>15.25</v>
      </c>
      <c r="D231" s="107">
        <f t="shared" si="33"/>
        <v>5.8819406851751603</v>
      </c>
      <c r="E231" s="167">
        <f t="shared" si="34"/>
        <v>5</v>
      </c>
      <c r="F231" s="104">
        <f t="shared" si="35"/>
        <v>0.43606833129564071</v>
      </c>
      <c r="G231" s="167">
        <f>RANK(2.24,AE:AE,0)</f>
        <v>416</v>
      </c>
      <c r="H231" s="365">
        <f t="shared" si="36"/>
        <v>2.2126333453194293</v>
      </c>
      <c r="I231" s="213">
        <f t="shared" si="37"/>
        <v>1520</v>
      </c>
      <c r="J231" s="213">
        <f t="shared" si="38"/>
        <v>768</v>
      </c>
      <c r="K231">
        <f>RANK(0.68,AI:AI,0)</f>
        <v>1507</v>
      </c>
      <c r="L231" s="357">
        <v>1</v>
      </c>
      <c r="M231" s="357">
        <v>1</v>
      </c>
      <c r="N231" s="357">
        <v>2</v>
      </c>
      <c r="O231" s="357">
        <v>0</v>
      </c>
      <c r="P231" s="357">
        <v>1</v>
      </c>
      <c r="Q231" s="358">
        <v>0.19550151975683891</v>
      </c>
      <c r="R231" s="359">
        <v>0.64817042606516295</v>
      </c>
      <c r="S231" s="196">
        <v>29176792000</v>
      </c>
      <c r="T231" s="196">
        <v>834300000</v>
      </c>
      <c r="U231" s="200">
        <f t="shared" si="39"/>
        <v>12723075000</v>
      </c>
      <c r="V231" s="196">
        <v>976000000</v>
      </c>
      <c r="W231" s="196">
        <v>0</v>
      </c>
      <c r="X231" s="196">
        <v>28420000000</v>
      </c>
      <c r="Y231" s="196">
        <v>15996000000</v>
      </c>
      <c r="Z231" s="196">
        <v>10631000000</v>
      </c>
      <c r="AA231" s="198">
        <v>0.03</v>
      </c>
      <c r="AB231" s="198">
        <v>0.04</v>
      </c>
      <c r="AC231" s="213">
        <f t="shared" si="40"/>
        <v>469</v>
      </c>
      <c r="AD231" s="213">
        <f t="shared" si="41"/>
        <v>228</v>
      </c>
      <c r="AE231" s="213">
        <v>2.2400000000000002</v>
      </c>
      <c r="AF231" s="196">
        <v>-1846000000</v>
      </c>
      <c r="AG231" s="104">
        <f t="shared" si="42"/>
        <v>-2.2126333453194293</v>
      </c>
      <c r="AH231" s="104">
        <f t="shared" si="43"/>
        <v>0</v>
      </c>
      <c r="AI231" s="195">
        <v>0.68</v>
      </c>
    </row>
    <row r="232" spans="1:48">
      <c r="A232">
        <v>2002</v>
      </c>
      <c r="C232" s="107">
        <f>VLOOKUP(2002,收盤價!$A:$C,3,0)</f>
        <v>22.3</v>
      </c>
      <c r="D232" s="107">
        <f t="shared" si="33"/>
        <v>13.926486605776281</v>
      </c>
      <c r="E232" s="167">
        <f t="shared" si="34"/>
        <v>4</v>
      </c>
      <c r="F232" s="104">
        <f t="shared" si="35"/>
        <v>1.3065340136950343</v>
      </c>
      <c r="G232" s="167">
        <f>RANK(1.41,AE:AE,0)</f>
        <v>618</v>
      </c>
      <c r="H232" s="365">
        <f t="shared" si="36"/>
        <v>0.79143375228075707</v>
      </c>
      <c r="I232" s="213">
        <f t="shared" si="37"/>
        <v>467</v>
      </c>
      <c r="J232" s="213">
        <f t="shared" si="38"/>
        <v>282</v>
      </c>
      <c r="K232">
        <f>RANK(2.08,AI:AI,0)</f>
        <v>314</v>
      </c>
      <c r="L232" s="357">
        <v>1</v>
      </c>
      <c r="M232" s="357">
        <v>1</v>
      </c>
      <c r="N232" s="357">
        <v>1</v>
      </c>
      <c r="O232" s="357">
        <v>1</v>
      </c>
      <c r="P232" s="357">
        <v>0</v>
      </c>
      <c r="Q232" s="358">
        <v>0.1619592717017129</v>
      </c>
      <c r="R232" s="359">
        <v>0.40031632943858653</v>
      </c>
      <c r="S232" s="196">
        <v>268564206000</v>
      </c>
      <c r="T232" s="196">
        <v>15734900000</v>
      </c>
      <c r="U232" s="200">
        <f t="shared" si="39"/>
        <v>350888270000</v>
      </c>
      <c r="V232" s="196">
        <v>9212000000</v>
      </c>
      <c r="W232" s="196">
        <v>0</v>
      </c>
      <c r="X232" s="196">
        <v>437709000000</v>
      </c>
      <c r="Y232" s="196">
        <v>317444000000</v>
      </c>
      <c r="Z232" s="196">
        <v>88937000000</v>
      </c>
      <c r="AA232" s="198">
        <v>0.02</v>
      </c>
      <c r="AB232" s="198">
        <v>0.02</v>
      </c>
      <c r="AC232" s="213">
        <f t="shared" si="40"/>
        <v>616</v>
      </c>
      <c r="AD232" s="213">
        <f t="shared" si="41"/>
        <v>487</v>
      </c>
      <c r="AE232" s="213">
        <v>1.41</v>
      </c>
      <c r="AF232" s="196">
        <v>17587000000</v>
      </c>
      <c r="AG232" s="104">
        <f t="shared" si="42"/>
        <v>1.1177064995646619</v>
      </c>
      <c r="AH232" s="104">
        <f t="shared" si="43"/>
        <v>1.909140251845419</v>
      </c>
      <c r="AI232" s="195">
        <v>2.08</v>
      </c>
    </row>
    <row r="233" spans="1:48">
      <c r="A233">
        <v>2006</v>
      </c>
      <c r="C233" s="107">
        <f>VLOOKUP(2006,收盤價!$A:$C,3,0)</f>
        <v>19.8</v>
      </c>
      <c r="D233" s="107">
        <f t="shared" si="33"/>
        <v>8.1789023521026394</v>
      </c>
      <c r="E233" s="167">
        <f t="shared" si="34"/>
        <v>5</v>
      </c>
      <c r="F233" s="104">
        <f t="shared" si="35"/>
        <v>0.72982736522127978</v>
      </c>
      <c r="G233" s="167">
        <f>RANK(1.89,AE:AE,0)</f>
        <v>498</v>
      </c>
      <c r="H233" s="365">
        <f t="shared" si="36"/>
        <v>0.19892088179472334</v>
      </c>
      <c r="I233" s="213">
        <f t="shared" si="37"/>
        <v>772</v>
      </c>
      <c r="J233" s="213">
        <f t="shared" si="38"/>
        <v>639</v>
      </c>
      <c r="K233">
        <f>RANK(1.1,AI:AI,0)</f>
        <v>795</v>
      </c>
      <c r="L233" s="357">
        <v>1</v>
      </c>
      <c r="M233" s="357">
        <v>1</v>
      </c>
      <c r="N233" s="357">
        <v>2</v>
      </c>
      <c r="O233" s="357">
        <v>1</v>
      </c>
      <c r="P233" s="357">
        <v>0</v>
      </c>
      <c r="Q233" s="358">
        <v>0.14399330263708665</v>
      </c>
      <c r="R233" s="359">
        <v>0.60521568627450972</v>
      </c>
      <c r="S233" s="196">
        <v>27080870000</v>
      </c>
      <c r="T233" s="196">
        <v>998200000</v>
      </c>
      <c r="U233" s="200">
        <f t="shared" si="39"/>
        <v>19764360000</v>
      </c>
      <c r="V233" s="196">
        <v>694000000</v>
      </c>
      <c r="W233" s="196">
        <v>2870000000</v>
      </c>
      <c r="X233" s="196">
        <v>16668000000</v>
      </c>
      <c r="Y233" s="196">
        <v>22943000000</v>
      </c>
      <c r="Z233" s="196">
        <v>5144000000</v>
      </c>
      <c r="AA233" s="198">
        <v>0.04</v>
      </c>
      <c r="AB233" s="198">
        <v>0.02</v>
      </c>
      <c r="AC233" s="213">
        <f t="shared" si="40"/>
        <v>337</v>
      </c>
      <c r="AD233" s="213">
        <f t="shared" si="41"/>
        <v>487</v>
      </c>
      <c r="AE233" s="213">
        <v>1.89</v>
      </c>
      <c r="AF233" s="196">
        <v>453000000</v>
      </c>
      <c r="AG233" s="104">
        <f t="shared" si="42"/>
        <v>0.45381687036665996</v>
      </c>
      <c r="AH233" s="104">
        <f t="shared" si="43"/>
        <v>0.6527377521613833</v>
      </c>
      <c r="AI233" s="195">
        <v>1.1000000000000001</v>
      </c>
    </row>
    <row r="234" spans="1:48">
      <c r="A234">
        <v>2007</v>
      </c>
      <c r="C234" s="107">
        <f>VLOOKUP(2007,收盤價!$A:$C,3,0)</f>
        <v>4.8</v>
      </c>
      <c r="D234" s="107">
        <f t="shared" si="33"/>
        <v>0</v>
      </c>
      <c r="E234" s="167">
        <f t="shared" si="34"/>
        <v>2</v>
      </c>
      <c r="F234" s="104">
        <f t="shared" si="35"/>
        <v>0.40483264828425258</v>
      </c>
      <c r="G234" s="167">
        <f>RANK(0.96,AE:AE,0)</f>
        <v>919</v>
      </c>
      <c r="H234" s="365">
        <f t="shared" si="36"/>
        <v>0.25780244173140959</v>
      </c>
      <c r="I234" s="213">
        <f t="shared" si="37"/>
        <v>1053</v>
      </c>
      <c r="J234" s="213">
        <f t="shared" si="38"/>
        <v>727</v>
      </c>
      <c r="K234">
        <f>RANK(0.88,AI:AI,0)</f>
        <v>1021</v>
      </c>
      <c r="L234" s="357">
        <v>0</v>
      </c>
      <c r="M234" s="357">
        <v>1</v>
      </c>
      <c r="N234" s="357">
        <v>1</v>
      </c>
      <c r="O234" s="357">
        <v>0</v>
      </c>
      <c r="P234" s="357">
        <v>0</v>
      </c>
      <c r="Q234" s="358">
        <v>3.2590983161325367E-2</v>
      </c>
      <c r="R234" s="359">
        <v>0</v>
      </c>
      <c r="S234" s="196">
        <v>7478053000</v>
      </c>
      <c r="T234" s="196">
        <v>630700000</v>
      </c>
      <c r="U234" s="200">
        <f t="shared" si="39"/>
        <v>3027360000</v>
      </c>
      <c r="V234" s="196">
        <v>50000000</v>
      </c>
      <c r="W234" s="196">
        <v>0</v>
      </c>
      <c r="X234" s="196">
        <v>11511000000</v>
      </c>
      <c r="Y234" s="196">
        <v>3611000000</v>
      </c>
      <c r="Z234" s="196">
        <v>2108000000</v>
      </c>
      <c r="AA234" s="198">
        <v>0</v>
      </c>
      <c r="AB234" s="198">
        <v>0.01</v>
      </c>
      <c r="AC234" s="213">
        <f t="shared" si="40"/>
        <v>945</v>
      </c>
      <c r="AD234" s="213">
        <f t="shared" si="41"/>
        <v>680</v>
      </c>
      <c r="AE234" s="213">
        <v>0.96</v>
      </c>
      <c r="AF234" s="196">
        <v>14000000</v>
      </c>
      <c r="AG234" s="104">
        <f t="shared" si="42"/>
        <v>2.2197558268590455E-2</v>
      </c>
      <c r="AH234" s="104">
        <f t="shared" si="43"/>
        <v>0.28000000000000003</v>
      </c>
      <c r="AI234" s="195">
        <v>0.88</v>
      </c>
    </row>
    <row r="235" spans="1:48">
      <c r="A235">
        <v>2008</v>
      </c>
      <c r="C235" s="107">
        <f>VLOOKUP(2008,收盤價!$A:$C,3,0)</f>
        <v>9.9</v>
      </c>
      <c r="D235" s="107">
        <f t="shared" si="33"/>
        <v>0</v>
      </c>
      <c r="E235" s="167">
        <f t="shared" si="34"/>
        <v>1</v>
      </c>
      <c r="F235" s="104">
        <f t="shared" si="35"/>
        <v>2.2583126676451237</v>
      </c>
      <c r="G235" s="167">
        <f>RANK(0.71,AE:AE,0)</f>
        <v>1276</v>
      </c>
      <c r="H235" s="365">
        <f t="shared" si="36"/>
        <v>1.6135538523598225E-2</v>
      </c>
      <c r="I235" s="213">
        <f t="shared" si="37"/>
        <v>1081</v>
      </c>
      <c r="J235" s="213">
        <f t="shared" si="38"/>
        <v>768</v>
      </c>
      <c r="K235">
        <f>RANK(0.84,AI:AI,0)</f>
        <v>1076</v>
      </c>
      <c r="L235" s="357">
        <v>0</v>
      </c>
      <c r="M235" s="357">
        <v>0</v>
      </c>
      <c r="N235" s="357">
        <v>1</v>
      </c>
      <c r="O235" s="357">
        <v>0</v>
      </c>
      <c r="P235" s="357">
        <v>0</v>
      </c>
      <c r="Q235" s="358">
        <v>6.7114093959731542E-3</v>
      </c>
      <c r="R235" s="359">
        <v>0</v>
      </c>
      <c r="S235" s="196">
        <v>1086745000</v>
      </c>
      <c r="T235" s="196">
        <v>247900000</v>
      </c>
      <c r="U235" s="200">
        <f t="shared" si="39"/>
        <v>2454210000</v>
      </c>
      <c r="V235" s="196">
        <v>-23000000</v>
      </c>
      <c r="W235" s="196">
        <v>0</v>
      </c>
      <c r="X235" s="196">
        <v>1757000000</v>
      </c>
      <c r="Y235" s="196">
        <v>3177000000</v>
      </c>
      <c r="Z235" s="196">
        <v>1782000000</v>
      </c>
      <c r="AA235" s="198">
        <v>-0.01</v>
      </c>
      <c r="AB235" s="198">
        <v>0</v>
      </c>
      <c r="AC235" s="213">
        <f t="shared" si="40"/>
        <v>1277</v>
      </c>
      <c r="AD235" s="213">
        <f t="shared" si="41"/>
        <v>911</v>
      </c>
      <c r="AE235" s="213">
        <v>0.71</v>
      </c>
      <c r="AF235" s="196">
        <v>-4000000</v>
      </c>
      <c r="AG235" s="104">
        <f t="shared" si="42"/>
        <v>-1.6135538523598225E-2</v>
      </c>
      <c r="AH235" s="104">
        <f t="shared" si="43"/>
        <v>0</v>
      </c>
      <c r="AI235" s="195">
        <v>0.84</v>
      </c>
      <c r="AN235" t="s">
        <v>103</v>
      </c>
      <c r="AO235" s="33">
        <v>10</v>
      </c>
      <c r="AP235" s="33">
        <v>-11</v>
      </c>
      <c r="AQ235" s="33">
        <v>-21</v>
      </c>
      <c r="AR235" s="33">
        <v>2</v>
      </c>
      <c r="AS235" s="33">
        <v>-36</v>
      </c>
      <c r="AT235" s="33">
        <v>15</v>
      </c>
      <c r="AU235" s="33">
        <v>37</v>
      </c>
      <c r="AV235" s="33">
        <v>22</v>
      </c>
    </row>
    <row r="236" spans="1:48">
      <c r="A236">
        <v>2009</v>
      </c>
      <c r="C236" s="107">
        <f>VLOOKUP(2009,收盤價!$A:$C,3,0)</f>
        <v>6.97</v>
      </c>
      <c r="D236" s="107">
        <f t="shared" si="33"/>
        <v>0</v>
      </c>
      <c r="E236" s="167">
        <f t="shared" si="34"/>
        <v>1</v>
      </c>
      <c r="F236" s="104">
        <f t="shared" si="35"/>
        <v>1.0166956494931758</v>
      </c>
      <c r="G236" s="167">
        <f>RANK(0.57,AE:AE,0)</f>
        <v>1389</v>
      </c>
      <c r="H236" s="365">
        <f t="shared" si="36"/>
        <v>-0.16685205784204671</v>
      </c>
      <c r="I236" s="213">
        <f t="shared" si="37"/>
        <v>952</v>
      </c>
      <c r="J236" s="213">
        <f t="shared" si="38"/>
        <v>768</v>
      </c>
      <c r="K236">
        <f>RANK(0.91,AI:AI,0)</f>
        <v>974</v>
      </c>
      <c r="L236" s="357">
        <v>0</v>
      </c>
      <c r="M236" s="357">
        <v>0</v>
      </c>
      <c r="N236" s="357">
        <v>0</v>
      </c>
      <c r="O236" s="357">
        <v>1</v>
      </c>
      <c r="P236" s="357">
        <v>0</v>
      </c>
      <c r="Q236" s="358">
        <v>-8.2828282828282834E-2</v>
      </c>
      <c r="R236" s="359">
        <v>0</v>
      </c>
      <c r="S236" s="196">
        <v>2465253000</v>
      </c>
      <c r="T236" s="196">
        <v>359600000</v>
      </c>
      <c r="U236" s="200">
        <f t="shared" si="39"/>
        <v>2506412000</v>
      </c>
      <c r="V236" s="196">
        <v>-51000000</v>
      </c>
      <c r="W236" s="196">
        <v>357000000</v>
      </c>
      <c r="X236" s="196">
        <v>968000000</v>
      </c>
      <c r="Y236" s="196">
        <v>2731000000</v>
      </c>
      <c r="Z236" s="196">
        <v>1417000000</v>
      </c>
      <c r="AA236" s="198">
        <v>-0.04</v>
      </c>
      <c r="AB236" s="198">
        <v>-0.01</v>
      </c>
      <c r="AC236" s="213">
        <f t="shared" si="40"/>
        <v>1444</v>
      </c>
      <c r="AD236" s="213">
        <f t="shared" si="41"/>
        <v>1294</v>
      </c>
      <c r="AE236" s="213">
        <v>0.56999999999999995</v>
      </c>
      <c r="AF236" s="196">
        <v>60000000</v>
      </c>
      <c r="AG236" s="104">
        <f t="shared" si="42"/>
        <v>0.16685205784204671</v>
      </c>
      <c r="AH236" s="104">
        <f t="shared" si="43"/>
        <v>0</v>
      </c>
      <c r="AI236" s="195">
        <v>0.91</v>
      </c>
      <c r="AO236" s="213"/>
      <c r="AP236" s="213"/>
      <c r="AQ236" s="213"/>
      <c r="AR236" s="213"/>
      <c r="AS236" s="213"/>
      <c r="AT236" s="213"/>
      <c r="AU236" s="213"/>
      <c r="AV236" s="213"/>
    </row>
    <row r="237" spans="1:48">
      <c r="A237">
        <v>2010</v>
      </c>
      <c r="C237" s="107">
        <f>VLOOKUP(2010,收盤價!$A:$C,3,0)</f>
        <v>10.8</v>
      </c>
      <c r="D237" s="107">
        <f t="shared" si="33"/>
        <v>9.5669291338582685</v>
      </c>
      <c r="E237" s="167">
        <f t="shared" si="34"/>
        <v>4</v>
      </c>
      <c r="F237" s="104">
        <f t="shared" si="35"/>
        <v>0.41430124525622597</v>
      </c>
      <c r="G237" s="167">
        <f>RANK(1.41,AE:AE,0)</f>
        <v>618</v>
      </c>
      <c r="H237" s="365">
        <f t="shared" si="36"/>
        <v>0.25554744005415608</v>
      </c>
      <c r="I237" s="213">
        <f t="shared" si="37"/>
        <v>949</v>
      </c>
      <c r="J237" s="213">
        <f t="shared" si="38"/>
        <v>696</v>
      </c>
      <c r="K237">
        <f>RANK(0.95,AI:AI,0)</f>
        <v>930</v>
      </c>
      <c r="L237" s="357">
        <v>0</v>
      </c>
      <c r="M237" s="357">
        <v>1</v>
      </c>
      <c r="N237" s="357">
        <v>2</v>
      </c>
      <c r="O237" s="357">
        <v>1</v>
      </c>
      <c r="P237" s="357">
        <v>0</v>
      </c>
      <c r="Q237" s="358">
        <v>0.10669317428760769</v>
      </c>
      <c r="R237" s="359">
        <v>0.28222222222222221</v>
      </c>
      <c r="S237" s="196">
        <v>16884236000</v>
      </c>
      <c r="T237" s="196">
        <v>647700000</v>
      </c>
      <c r="U237" s="200">
        <f t="shared" si="39"/>
        <v>6995160000</v>
      </c>
      <c r="V237" s="196">
        <v>260000000</v>
      </c>
      <c r="W237" s="196">
        <v>6114000000</v>
      </c>
      <c r="X237" s="196">
        <v>4987000000</v>
      </c>
      <c r="Y237" s="196">
        <v>11184000000</v>
      </c>
      <c r="Z237" s="196">
        <v>831000000</v>
      </c>
      <c r="AA237" s="198">
        <v>0.02</v>
      </c>
      <c r="AB237" s="198">
        <v>0.02</v>
      </c>
      <c r="AC237" s="213">
        <f t="shared" si="40"/>
        <v>616</v>
      </c>
      <c r="AD237" s="213">
        <f t="shared" si="41"/>
        <v>487</v>
      </c>
      <c r="AE237" s="213">
        <v>1.41</v>
      </c>
      <c r="AF237" s="196">
        <v>111000000</v>
      </c>
      <c r="AG237" s="104">
        <f t="shared" si="42"/>
        <v>0.17137563686892079</v>
      </c>
      <c r="AH237" s="104">
        <f t="shared" si="43"/>
        <v>0.42692307692307691</v>
      </c>
      <c r="AI237" s="195">
        <v>0.95</v>
      </c>
    </row>
    <row r="238" spans="1:48">
      <c r="A238">
        <v>2012</v>
      </c>
      <c r="C238" s="107">
        <f>VLOOKUP(2012,收盤價!$A:$C,3,0)</f>
        <v>13.05</v>
      </c>
      <c r="D238" s="107">
        <f t="shared" si="33"/>
        <v>13.917265379434216</v>
      </c>
      <c r="E238" s="167">
        <f t="shared" si="34"/>
        <v>4</v>
      </c>
      <c r="F238" s="104">
        <f t="shared" si="35"/>
        <v>0.44901392535072804</v>
      </c>
      <c r="G238" s="167">
        <f>RANK(1.89,AE:AE,0)</f>
        <v>498</v>
      </c>
      <c r="H238" s="365">
        <f t="shared" si="36"/>
        <v>0.62445708825573309</v>
      </c>
      <c r="I238" s="213">
        <f t="shared" si="37"/>
        <v>619</v>
      </c>
      <c r="J238" s="213">
        <f t="shared" si="38"/>
        <v>404</v>
      </c>
      <c r="K238">
        <f>RANK(1.52,AI:AI,0)</f>
        <v>548</v>
      </c>
      <c r="L238" s="357">
        <v>0</v>
      </c>
      <c r="M238" s="357">
        <v>1</v>
      </c>
      <c r="N238" s="357">
        <v>2</v>
      </c>
      <c r="O238" s="357">
        <v>1</v>
      </c>
      <c r="P238" s="357">
        <v>0</v>
      </c>
      <c r="Q238" s="358">
        <v>0.17269812185066422</v>
      </c>
      <c r="R238" s="359">
        <v>0.23442105263157897</v>
      </c>
      <c r="S238" s="196">
        <v>8364529000</v>
      </c>
      <c r="T238" s="196">
        <v>287800000</v>
      </c>
      <c r="U238" s="200">
        <f t="shared" si="39"/>
        <v>3755790000</v>
      </c>
      <c r="V238" s="196">
        <v>160000000</v>
      </c>
      <c r="W238" s="196">
        <v>886000000</v>
      </c>
      <c r="X238" s="196">
        <v>3422000000</v>
      </c>
      <c r="Y238" s="196">
        <v>3902000000</v>
      </c>
      <c r="Z238" s="196">
        <v>4648000000</v>
      </c>
      <c r="AA238" s="198">
        <v>0.04</v>
      </c>
      <c r="AB238" s="198">
        <v>0.02</v>
      </c>
      <c r="AC238" s="213">
        <f t="shared" si="40"/>
        <v>337</v>
      </c>
      <c r="AD238" s="213">
        <f t="shared" si="41"/>
        <v>487</v>
      </c>
      <c r="AE238" s="213">
        <v>1.89</v>
      </c>
      <c r="AF238" s="196">
        <v>225000000</v>
      </c>
      <c r="AG238" s="104">
        <f t="shared" si="42"/>
        <v>0.78179291174426691</v>
      </c>
      <c r="AH238" s="104">
        <f t="shared" si="43"/>
        <v>1.40625</v>
      </c>
      <c r="AI238" s="195">
        <v>1.52</v>
      </c>
    </row>
    <row r="239" spans="1:48">
      <c r="A239">
        <v>2013</v>
      </c>
      <c r="C239" s="107">
        <f>VLOOKUP(2013,收盤價!$A:$C,3,0)</f>
        <v>21.55</v>
      </c>
      <c r="D239" s="107">
        <f t="shared" si="33"/>
        <v>43.51442307692308</v>
      </c>
      <c r="E239" s="167">
        <f t="shared" si="34"/>
        <v>2</v>
      </c>
      <c r="F239" s="104">
        <f t="shared" si="35"/>
        <v>0.26914116679002825</v>
      </c>
      <c r="G239" s="167">
        <f>RANK(1.2,AE:AE,0)</f>
        <v>710</v>
      </c>
      <c r="H239" s="365">
        <f t="shared" si="36"/>
        <v>0.69</v>
      </c>
      <c r="I239" s="213">
        <f t="shared" si="37"/>
        <v>1389</v>
      </c>
      <c r="J239" s="213">
        <f t="shared" si="38"/>
        <v>768</v>
      </c>
      <c r="K239">
        <f>RANK(0.72,AI:AI,0)</f>
        <v>1381</v>
      </c>
      <c r="L239" s="357">
        <v>0</v>
      </c>
      <c r="M239" s="357">
        <v>1</v>
      </c>
      <c r="N239" s="357">
        <v>1</v>
      </c>
      <c r="O239" s="357">
        <v>0</v>
      </c>
      <c r="P239" s="357">
        <v>0</v>
      </c>
      <c r="Q239" s="358">
        <v>3.1397956640917019E-2</v>
      </c>
      <c r="R239" s="359">
        <v>0.12380952380952381</v>
      </c>
      <c r="S239" s="196">
        <v>16013901000</v>
      </c>
      <c r="T239" s="196">
        <v>200000000</v>
      </c>
      <c r="U239" s="200">
        <f t="shared" si="39"/>
        <v>4310000000</v>
      </c>
      <c r="V239" s="196">
        <v>56000000</v>
      </c>
      <c r="W239" s="196">
        <v>455000000</v>
      </c>
      <c r="X239" s="196">
        <v>2246000000</v>
      </c>
      <c r="Y239" s="196">
        <v>4215000000</v>
      </c>
      <c r="Z239" s="196">
        <v>6120000000</v>
      </c>
      <c r="AA239" s="198">
        <v>0.02</v>
      </c>
      <c r="AB239" s="198">
        <v>0.01</v>
      </c>
      <c r="AC239" s="213">
        <f t="shared" si="40"/>
        <v>616</v>
      </c>
      <c r="AD239" s="213">
        <f t="shared" si="41"/>
        <v>680</v>
      </c>
      <c r="AE239" s="213">
        <v>1.2</v>
      </c>
      <c r="AF239" s="196">
        <v>-138000000</v>
      </c>
      <c r="AG239" s="104">
        <f t="shared" si="42"/>
        <v>-0.69</v>
      </c>
      <c r="AH239" s="104">
        <f t="shared" si="43"/>
        <v>0</v>
      </c>
      <c r="AI239" s="195">
        <v>0.72</v>
      </c>
      <c r="AO239" s="213"/>
      <c r="AP239" s="213"/>
      <c r="AQ239" s="213"/>
      <c r="AR239" s="213"/>
      <c r="AS239" s="213"/>
      <c r="AT239" s="213"/>
      <c r="AU239" s="213"/>
      <c r="AV239" s="213"/>
    </row>
    <row r="240" spans="1:48">
      <c r="A240">
        <v>2014</v>
      </c>
      <c r="C240" s="107">
        <f>VLOOKUP(2014,收盤價!$A:$C,3,0)</f>
        <v>7.24</v>
      </c>
      <c r="D240" s="107">
        <f t="shared" si="33"/>
        <v>3.3274884476083426</v>
      </c>
      <c r="E240" s="167">
        <f t="shared" si="34"/>
        <v>4</v>
      </c>
      <c r="F240" s="104">
        <f t="shared" si="35"/>
        <v>0.34323491331394868</v>
      </c>
      <c r="G240" s="167">
        <f>RANK(3.28,AE:AE,0)</f>
        <v>256</v>
      </c>
      <c r="H240" s="365">
        <f t="shared" si="36"/>
        <v>0.91610066179031713</v>
      </c>
      <c r="I240" s="213">
        <f t="shared" si="37"/>
        <v>405</v>
      </c>
      <c r="J240" s="213">
        <f t="shared" si="38"/>
        <v>228</v>
      </c>
      <c r="K240">
        <f>RANK(2.46,AI:AI,0)</f>
        <v>246</v>
      </c>
      <c r="L240" s="357">
        <v>1</v>
      </c>
      <c r="M240" s="357">
        <v>1</v>
      </c>
      <c r="N240" s="357">
        <v>1</v>
      </c>
      <c r="O240" s="357">
        <v>1</v>
      </c>
      <c r="P240" s="357">
        <v>0</v>
      </c>
      <c r="Q240" s="358">
        <v>0.13287987367909632</v>
      </c>
      <c r="R240" s="359">
        <v>0.54395380434782614</v>
      </c>
      <c r="S240" s="196">
        <v>30279612000</v>
      </c>
      <c r="T240" s="196">
        <v>1435500000</v>
      </c>
      <c r="U240" s="200">
        <f t="shared" si="39"/>
        <v>10393020000</v>
      </c>
      <c r="V240" s="196">
        <v>840000000</v>
      </c>
      <c r="W240" s="196">
        <v>0</v>
      </c>
      <c r="X240" s="196">
        <v>15608000000</v>
      </c>
      <c r="Y240" s="196">
        <v>7794000000</v>
      </c>
      <c r="Z240" s="196">
        <v>11661000000</v>
      </c>
      <c r="AA240" s="198">
        <v>0.05</v>
      </c>
      <c r="AB240" s="198">
        <v>0.04</v>
      </c>
      <c r="AC240" s="213">
        <f t="shared" si="40"/>
        <v>247</v>
      </c>
      <c r="AD240" s="213">
        <f t="shared" si="41"/>
        <v>228</v>
      </c>
      <c r="AE240" s="213">
        <v>3.28</v>
      </c>
      <c r="AF240" s="196">
        <v>1855000000</v>
      </c>
      <c r="AG240" s="104">
        <f t="shared" si="42"/>
        <v>1.2922326715430164</v>
      </c>
      <c r="AH240" s="104">
        <f t="shared" si="43"/>
        <v>2.2083333333333335</v>
      </c>
      <c r="AI240" s="195">
        <v>2.46</v>
      </c>
      <c r="AN240" t="s">
        <v>1913</v>
      </c>
      <c r="AO240" s="213"/>
      <c r="AP240" s="213"/>
      <c r="AQ240" s="213"/>
      <c r="AR240" s="213"/>
      <c r="AS240" s="213"/>
      <c r="AT240" s="213"/>
      <c r="AU240" s="213"/>
      <c r="AV240" s="213"/>
    </row>
    <row r="241" spans="1:48">
      <c r="A241">
        <v>2015</v>
      </c>
      <c r="C241" s="107">
        <f>VLOOKUP(2015,收盤價!$A:$C,3,0)</f>
        <v>42.1</v>
      </c>
      <c r="D241" s="107">
        <f t="shared" si="33"/>
        <v>12.429843548264602</v>
      </c>
      <c r="E241" s="167">
        <f t="shared" si="34"/>
        <v>3</v>
      </c>
      <c r="F241" s="104">
        <f t="shared" si="35"/>
        <v>1.2016758334101802</v>
      </c>
      <c r="G241" s="167">
        <f>RANK(3.28,AE:AE,0)</f>
        <v>256</v>
      </c>
      <c r="H241" s="365">
        <f t="shared" si="36"/>
        <v>-4.5731506343632877E-2</v>
      </c>
      <c r="I241" s="213">
        <f t="shared" si="37"/>
        <v>673</v>
      </c>
      <c r="J241" s="213">
        <f t="shared" si="38"/>
        <v>650</v>
      </c>
      <c r="K241">
        <f>RANK(1.18,AI:AI,0)</f>
        <v>740</v>
      </c>
      <c r="L241" s="357">
        <v>0</v>
      </c>
      <c r="M241" s="357">
        <v>0</v>
      </c>
      <c r="N241" s="357">
        <v>2</v>
      </c>
      <c r="O241" s="357">
        <v>1</v>
      </c>
      <c r="P241" s="357">
        <v>0</v>
      </c>
      <c r="Q241" s="358">
        <v>0.15398886827458255</v>
      </c>
      <c r="R241" s="359">
        <v>0.84675241157556269</v>
      </c>
      <c r="S241" s="196">
        <v>20376011000</v>
      </c>
      <c r="T241" s="196">
        <v>581600000</v>
      </c>
      <c r="U241" s="200">
        <f t="shared" si="39"/>
        <v>24485360000</v>
      </c>
      <c r="V241" s="196">
        <v>626000000</v>
      </c>
      <c r="W241" s="196">
        <v>5400000000</v>
      </c>
      <c r="X241" s="196">
        <v>7673000000</v>
      </c>
      <c r="Y241" s="196">
        <v>15818000000</v>
      </c>
      <c r="Z241" s="196">
        <v>225000000</v>
      </c>
      <c r="AA241" s="198">
        <v>0.05</v>
      </c>
      <c r="AB241" s="198">
        <v>0.04</v>
      </c>
      <c r="AC241" s="213">
        <f t="shared" si="40"/>
        <v>247</v>
      </c>
      <c r="AD241" s="213">
        <f t="shared" si="41"/>
        <v>228</v>
      </c>
      <c r="AE241" s="213">
        <v>3.28</v>
      </c>
      <c r="AF241" s="196">
        <v>375000000</v>
      </c>
      <c r="AG241" s="104">
        <f t="shared" si="42"/>
        <v>0.64477303988995871</v>
      </c>
      <c r="AH241" s="104">
        <f t="shared" si="43"/>
        <v>0.59904153354632583</v>
      </c>
      <c r="AI241" s="195">
        <v>1.18</v>
      </c>
      <c r="AN241" t="s">
        <v>107</v>
      </c>
      <c r="AO241" s="33">
        <v>0</v>
      </c>
      <c r="AP241" s="33">
        <v>0</v>
      </c>
      <c r="AQ241" s="33">
        <v>0</v>
      </c>
      <c r="AR241" s="33">
        <v>0</v>
      </c>
      <c r="AS241" s="33">
        <v>0</v>
      </c>
      <c r="AT241" s="33">
        <v>0</v>
      </c>
      <c r="AU241" s="33">
        <v>0</v>
      </c>
      <c r="AV241" s="33">
        <v>0</v>
      </c>
    </row>
    <row r="242" spans="1:48">
      <c r="A242">
        <v>2017</v>
      </c>
      <c r="C242" s="107">
        <f>VLOOKUP(2017,收盤價!$A:$C,3,0)</f>
        <v>8.35</v>
      </c>
      <c r="D242" s="107">
        <f t="shared" si="33"/>
        <v>4.9625322997416017</v>
      </c>
      <c r="E242" s="167">
        <f t="shared" si="34"/>
        <v>2</v>
      </c>
      <c r="F242" s="104">
        <f t="shared" si="35"/>
        <v>0.63141200061585723</v>
      </c>
      <c r="G242" s="167">
        <f>RANK(2.68,AE:AE,0)</f>
        <v>341</v>
      </c>
      <c r="H242" s="365">
        <f t="shared" si="36"/>
        <v>0.23540201773158057</v>
      </c>
      <c r="I242" s="213">
        <f t="shared" si="37"/>
        <v>1239</v>
      </c>
      <c r="J242" s="213">
        <f t="shared" si="38"/>
        <v>768</v>
      </c>
      <c r="K242">
        <f>RANK(0.78,AI:AI,0)</f>
        <v>1217</v>
      </c>
      <c r="L242" s="357">
        <v>1</v>
      </c>
      <c r="M242" s="357">
        <v>1</v>
      </c>
      <c r="N242" s="357">
        <v>0</v>
      </c>
      <c r="O242" s="357">
        <v>0</v>
      </c>
      <c r="P242" s="357">
        <v>0</v>
      </c>
      <c r="Q242" s="358">
        <v>0.22676282051282051</v>
      </c>
      <c r="R242" s="359">
        <v>0.42065217391304349</v>
      </c>
      <c r="S242" s="196">
        <v>4325678000</v>
      </c>
      <c r="T242" s="196">
        <v>327100000</v>
      </c>
      <c r="U242" s="200">
        <f t="shared" si="39"/>
        <v>2731285000</v>
      </c>
      <c r="V242" s="196">
        <v>192000000</v>
      </c>
      <c r="W242" s="196">
        <v>494000000</v>
      </c>
      <c r="X242" s="196">
        <v>3355000000</v>
      </c>
      <c r="Y242" s="196">
        <v>5023000000</v>
      </c>
      <c r="Z242" s="196">
        <v>1508000000</v>
      </c>
      <c r="AA242" s="198">
        <v>0.05</v>
      </c>
      <c r="AB242" s="198">
        <v>0.03</v>
      </c>
      <c r="AC242" s="213">
        <f t="shared" si="40"/>
        <v>247</v>
      </c>
      <c r="AD242" s="213">
        <f t="shared" si="41"/>
        <v>334</v>
      </c>
      <c r="AE242" s="213">
        <v>2.68</v>
      </c>
      <c r="AF242" s="196">
        <v>-77000000</v>
      </c>
      <c r="AG242" s="104">
        <f t="shared" si="42"/>
        <v>-0.23540201773158057</v>
      </c>
      <c r="AH242" s="104">
        <f t="shared" si="43"/>
        <v>0</v>
      </c>
      <c r="AI242" s="195">
        <v>0.78</v>
      </c>
      <c r="AN242" t="s">
        <v>109</v>
      </c>
      <c r="AO242" s="33">
        <v>0</v>
      </c>
      <c r="AP242" s="33">
        <v>0</v>
      </c>
      <c r="AQ242" s="33">
        <v>0</v>
      </c>
      <c r="AR242" s="33">
        <v>0</v>
      </c>
      <c r="AS242" s="33">
        <v>0</v>
      </c>
      <c r="AT242" s="33">
        <v>0</v>
      </c>
      <c r="AU242" s="33">
        <v>0</v>
      </c>
      <c r="AV242" s="33">
        <v>0</v>
      </c>
    </row>
    <row r="243" spans="1:48">
      <c r="A243">
        <v>2020</v>
      </c>
      <c r="C243" s="107">
        <f>VLOOKUP(2020,收盤價!$A:$C,3,0)</f>
        <v>12.9</v>
      </c>
      <c r="D243" s="107">
        <f t="shared" si="33"/>
        <v>7.1081632653061222</v>
      </c>
      <c r="E243" s="167">
        <f t="shared" si="34"/>
        <v>3</v>
      </c>
      <c r="F243" s="104">
        <f t="shared" si="35"/>
        <v>0.7209040836605598</v>
      </c>
      <c r="G243" s="167">
        <f>RANK(4.04,AE:AE,0)</f>
        <v>208</v>
      </c>
      <c r="H243" s="365">
        <f t="shared" si="36"/>
        <v>0.32882198627838966</v>
      </c>
      <c r="I243" s="213">
        <f t="shared" si="37"/>
        <v>690</v>
      </c>
      <c r="J243" s="213">
        <f t="shared" si="38"/>
        <v>548</v>
      </c>
      <c r="K243">
        <f>RANK(1.26,AI:AI,0)</f>
        <v>696</v>
      </c>
      <c r="L243" s="357">
        <v>1</v>
      </c>
      <c r="M243" s="357">
        <v>1</v>
      </c>
      <c r="N243" s="357">
        <v>0</v>
      </c>
      <c r="O243" s="357">
        <v>1</v>
      </c>
      <c r="P243" s="357">
        <v>0</v>
      </c>
      <c r="Q243" s="358">
        <v>0.20053715308863027</v>
      </c>
      <c r="R243" s="359">
        <v>0.45370370370370372</v>
      </c>
      <c r="S243" s="196">
        <v>4314291000</v>
      </c>
      <c r="T243" s="196">
        <v>241100000</v>
      </c>
      <c r="U243" s="200">
        <f t="shared" si="39"/>
        <v>3110190000</v>
      </c>
      <c r="V243" s="196">
        <v>157000000</v>
      </c>
      <c r="W243" s="196">
        <v>601000000</v>
      </c>
      <c r="X243" s="196">
        <v>1017000000</v>
      </c>
      <c r="Y243" s="196">
        <v>3076000000</v>
      </c>
      <c r="Z243" s="196">
        <v>1659000000</v>
      </c>
      <c r="AA243" s="198">
        <v>0.1</v>
      </c>
      <c r="AB243" s="198">
        <v>0.03</v>
      </c>
      <c r="AC243" s="213">
        <f t="shared" si="40"/>
        <v>52</v>
      </c>
      <c r="AD243" s="213">
        <f t="shared" si="41"/>
        <v>334</v>
      </c>
      <c r="AE243" s="213">
        <v>4.04</v>
      </c>
      <c r="AF243" s="196">
        <v>148000000</v>
      </c>
      <c r="AG243" s="104">
        <f t="shared" si="42"/>
        <v>0.61385317295727915</v>
      </c>
      <c r="AH243" s="104">
        <f t="shared" si="43"/>
        <v>0.9426751592356688</v>
      </c>
      <c r="AI243" s="195">
        <v>1.26</v>
      </c>
      <c r="AN243" t="s">
        <v>111</v>
      </c>
      <c r="AO243" s="33">
        <v>0</v>
      </c>
      <c r="AP243" s="33">
        <v>0</v>
      </c>
      <c r="AQ243" s="33">
        <v>0</v>
      </c>
      <c r="AR243" s="33">
        <v>0</v>
      </c>
      <c r="AS243" s="33">
        <v>0</v>
      </c>
      <c r="AT243" s="33">
        <v>0</v>
      </c>
      <c r="AU243" s="33">
        <v>0</v>
      </c>
      <c r="AV243" s="33">
        <v>0</v>
      </c>
    </row>
    <row r="244" spans="1:48">
      <c r="A244">
        <v>2022</v>
      </c>
      <c r="C244" s="107">
        <f>VLOOKUP(2022,收盤價!$A:$C,3,0)</f>
        <v>4.3</v>
      </c>
      <c r="D244" s="107">
        <f t="shared" si="33"/>
        <v>11.666666666666664</v>
      </c>
      <c r="E244" s="167">
        <f t="shared" si="34"/>
        <v>4</v>
      </c>
      <c r="F244" s="104">
        <f t="shared" si="35"/>
        <v>0.33102274663623971</v>
      </c>
      <c r="G244" s="167">
        <f>RANK(1.2,AE:AE,0)</f>
        <v>710</v>
      </c>
      <c r="H244" s="365">
        <f t="shared" si="36"/>
        <v>1.7417530194170661</v>
      </c>
      <c r="I244" s="213">
        <f t="shared" si="37"/>
        <v>721</v>
      </c>
      <c r="J244" s="213">
        <f t="shared" si="38"/>
        <v>217</v>
      </c>
      <c r="K244">
        <f>RANK(1.66,AI:AI,0)</f>
        <v>476</v>
      </c>
      <c r="L244" s="357">
        <v>1</v>
      </c>
      <c r="M244" s="357">
        <v>1</v>
      </c>
      <c r="N244" s="357">
        <v>2</v>
      </c>
      <c r="O244" s="357">
        <v>0</v>
      </c>
      <c r="P244" s="357">
        <v>0</v>
      </c>
      <c r="Q244" s="358">
        <v>0.11501597444089456</v>
      </c>
      <c r="R244" s="359">
        <v>9.2142857142857151E-2</v>
      </c>
      <c r="S244" s="196">
        <v>7106853000</v>
      </c>
      <c r="T244" s="196">
        <v>547100000</v>
      </c>
      <c r="U244" s="200">
        <f t="shared" si="39"/>
        <v>2352530000</v>
      </c>
      <c r="V244" s="196">
        <v>130000000</v>
      </c>
      <c r="W244" s="196">
        <v>0</v>
      </c>
      <c r="X244" s="196">
        <v>8168000000</v>
      </c>
      <c r="Y244" s="196">
        <v>5807000000</v>
      </c>
      <c r="Z244" s="196">
        <v>3605000000</v>
      </c>
      <c r="AA244" s="198">
        <v>0.02</v>
      </c>
      <c r="AB244" s="198">
        <v>0.01</v>
      </c>
      <c r="AC244" s="213">
        <f t="shared" si="40"/>
        <v>616</v>
      </c>
      <c r="AD244" s="213">
        <f t="shared" si="41"/>
        <v>680</v>
      </c>
      <c r="AE244" s="213">
        <v>1.2</v>
      </c>
      <c r="AF244" s="196">
        <v>297000000</v>
      </c>
      <c r="AG244" s="104">
        <f t="shared" si="42"/>
        <v>0.54286236519831843</v>
      </c>
      <c r="AH244" s="104">
        <f t="shared" si="43"/>
        <v>2.2846153846153845</v>
      </c>
      <c r="AI244" s="195">
        <v>1.66</v>
      </c>
      <c r="AN244" t="s">
        <v>113</v>
      </c>
      <c r="AO244" s="33">
        <v>0</v>
      </c>
      <c r="AP244" s="33" t="s">
        <v>92</v>
      </c>
      <c r="AQ244" s="33" t="s">
        <v>92</v>
      </c>
      <c r="AR244" s="33" t="s">
        <v>92</v>
      </c>
      <c r="AS244" s="33" t="s">
        <v>92</v>
      </c>
      <c r="AT244" s="33" t="s">
        <v>92</v>
      </c>
      <c r="AU244" s="33" t="s">
        <v>92</v>
      </c>
      <c r="AV244" s="33" t="s">
        <v>92</v>
      </c>
    </row>
    <row r="245" spans="1:48">
      <c r="A245">
        <v>2023</v>
      </c>
      <c r="C245" s="107">
        <f>VLOOKUP(2023,收盤價!$A:$C,3,0)</f>
        <v>11.8</v>
      </c>
      <c r="D245" s="107">
        <f t="shared" si="33"/>
        <v>5.0500366568914963</v>
      </c>
      <c r="E245" s="167">
        <f t="shared" si="34"/>
        <v>4</v>
      </c>
      <c r="F245" s="104">
        <f t="shared" si="35"/>
        <v>0.43123326846620202</v>
      </c>
      <c r="G245" s="167">
        <f>RANK(2.32,AE:AE,0)</f>
        <v>360</v>
      </c>
      <c r="H245" s="365">
        <f t="shared" si="36"/>
        <v>0.1005609011178199</v>
      </c>
      <c r="I245" s="213">
        <f t="shared" si="37"/>
        <v>463</v>
      </c>
      <c r="J245" s="213">
        <f t="shared" si="38"/>
        <v>449</v>
      </c>
      <c r="K245">
        <f>RANK(1.71,AI:AI,0)</f>
        <v>449</v>
      </c>
      <c r="L245" s="357">
        <v>1</v>
      </c>
      <c r="M245" s="357">
        <v>1</v>
      </c>
      <c r="N245" s="357">
        <v>1</v>
      </c>
      <c r="O245" s="357">
        <v>1</v>
      </c>
      <c r="P245" s="357">
        <v>0</v>
      </c>
      <c r="Q245" s="358">
        <v>0.16667947437178207</v>
      </c>
      <c r="R245" s="359">
        <v>0.58415417558886507</v>
      </c>
      <c r="S245" s="196">
        <v>47013024000</v>
      </c>
      <c r="T245" s="196">
        <v>1718100000</v>
      </c>
      <c r="U245" s="200">
        <f t="shared" si="39"/>
        <v>20273580000</v>
      </c>
      <c r="V245" s="196">
        <v>1577000000</v>
      </c>
      <c r="W245" s="196">
        <v>0</v>
      </c>
      <c r="X245" s="196">
        <v>37213000000</v>
      </c>
      <c r="Y245" s="196">
        <v>29875000000</v>
      </c>
      <c r="Z245" s="196">
        <v>16866000000</v>
      </c>
      <c r="AA245" s="198">
        <v>0.04</v>
      </c>
      <c r="AB245" s="198">
        <v>0.03</v>
      </c>
      <c r="AC245" s="213">
        <f t="shared" si="40"/>
        <v>337</v>
      </c>
      <c r="AD245" s="213">
        <f t="shared" si="41"/>
        <v>334</v>
      </c>
      <c r="AE245" s="213">
        <v>2.3199999999999998</v>
      </c>
      <c r="AF245" s="196">
        <v>1931000000</v>
      </c>
      <c r="AG245" s="104">
        <f t="shared" si="42"/>
        <v>1.1239159536697514</v>
      </c>
      <c r="AH245" s="104">
        <f t="shared" si="43"/>
        <v>1.2244768547875713</v>
      </c>
      <c r="AI245" s="195">
        <v>1.71</v>
      </c>
      <c r="AN245" t="s">
        <v>117</v>
      </c>
      <c r="AO245" s="33">
        <v>12</v>
      </c>
      <c r="AP245" s="33">
        <v>31</v>
      </c>
      <c r="AQ245" s="33">
        <v>-35</v>
      </c>
      <c r="AR245" s="33">
        <v>14</v>
      </c>
      <c r="AS245" s="33">
        <v>39</v>
      </c>
      <c r="AT245" s="33">
        <v>18</v>
      </c>
      <c r="AU245" s="33">
        <v>21</v>
      </c>
      <c r="AV245" s="33">
        <v>-35</v>
      </c>
    </row>
    <row r="246" spans="1:48">
      <c r="A246">
        <v>2024</v>
      </c>
      <c r="C246" s="107">
        <f>VLOOKUP(2024,收盤價!$A:$C,3,0)</f>
        <v>7.25</v>
      </c>
      <c r="D246" s="107">
        <f t="shared" si="33"/>
        <v>5.4542824074074066</v>
      </c>
      <c r="E246" s="167">
        <f t="shared" si="34"/>
        <v>5</v>
      </c>
      <c r="F246" s="104">
        <f t="shared" si="35"/>
        <v>0.53514122428956334</v>
      </c>
      <c r="G246" s="167">
        <f>RANK(1.64,AE:AE,0)</f>
        <v>539</v>
      </c>
      <c r="H246" s="365">
        <f t="shared" si="36"/>
        <v>1.9098290598290597</v>
      </c>
      <c r="I246" s="213">
        <f t="shared" si="37"/>
        <v>466</v>
      </c>
      <c r="J246" s="213">
        <f t="shared" si="38"/>
        <v>155</v>
      </c>
      <c r="K246">
        <f>RANK(2.51,AI:AI,0)</f>
        <v>235</v>
      </c>
      <c r="L246" s="357">
        <v>1</v>
      </c>
      <c r="M246" s="357">
        <v>1</v>
      </c>
      <c r="N246" s="357">
        <v>2</v>
      </c>
      <c r="O246" s="357">
        <v>1</v>
      </c>
      <c r="P246" s="357">
        <v>0</v>
      </c>
      <c r="Q246" s="358">
        <v>0.15277777777777779</v>
      </c>
      <c r="R246" s="359">
        <v>0.33230769230769236</v>
      </c>
      <c r="S246" s="196">
        <v>1320913000</v>
      </c>
      <c r="T246" s="196">
        <v>97500000</v>
      </c>
      <c r="U246" s="200">
        <f t="shared" si="39"/>
        <v>706875000</v>
      </c>
      <c r="V246" s="196">
        <v>36000000</v>
      </c>
      <c r="W246" s="196">
        <v>273000000</v>
      </c>
      <c r="X246" s="196">
        <v>1211000000</v>
      </c>
      <c r="Y246" s="196">
        <v>1081000000</v>
      </c>
      <c r="Z246" s="196">
        <v>322000000</v>
      </c>
      <c r="AA246" s="198">
        <v>0.02</v>
      </c>
      <c r="AB246" s="198">
        <v>0.03</v>
      </c>
      <c r="AC246" s="213">
        <f t="shared" si="40"/>
        <v>616</v>
      </c>
      <c r="AD246" s="213">
        <f t="shared" si="41"/>
        <v>334</v>
      </c>
      <c r="AE246" s="213">
        <v>1.64</v>
      </c>
      <c r="AF246" s="196">
        <v>109000000</v>
      </c>
      <c r="AG246" s="104">
        <f t="shared" si="42"/>
        <v>1.117948717948718</v>
      </c>
      <c r="AH246" s="104">
        <f t="shared" si="43"/>
        <v>3.0277777777777777</v>
      </c>
      <c r="AI246" s="195">
        <v>2.5099999999999998</v>
      </c>
      <c r="AN246" t="s">
        <v>118</v>
      </c>
      <c r="AO246" s="33">
        <v>-28</v>
      </c>
      <c r="AP246" s="33">
        <v>19</v>
      </c>
      <c r="AQ246" s="33">
        <v>85</v>
      </c>
      <c r="AR246" s="33">
        <v>18</v>
      </c>
      <c r="AS246" s="33">
        <v>75</v>
      </c>
      <c r="AT246" s="33">
        <v>156</v>
      </c>
      <c r="AU246" s="33">
        <v>-190</v>
      </c>
      <c r="AV246" s="33">
        <v>-80</v>
      </c>
    </row>
    <row r="247" spans="1:48">
      <c r="A247">
        <v>2025</v>
      </c>
      <c r="C247" s="107">
        <f>VLOOKUP(2025,收盤價!$A:$C,3,0)</f>
        <v>2.1</v>
      </c>
      <c r="D247" s="107">
        <f t="shared" si="33"/>
        <v>12.25</v>
      </c>
      <c r="E247" s="167">
        <f t="shared" si="34"/>
        <v>1</v>
      </c>
      <c r="F247" s="104">
        <f t="shared" si="35"/>
        <v>0.2553020328350924</v>
      </c>
      <c r="G247" s="167">
        <f>RANK(1.2,AE:AE,0)</f>
        <v>710</v>
      </c>
      <c r="H247" s="365">
        <f t="shared" si="36"/>
        <v>0.72490706319702602</v>
      </c>
      <c r="I247" s="213">
        <f t="shared" si="37"/>
        <v>1393</v>
      </c>
      <c r="J247" s="213">
        <f t="shared" si="38"/>
        <v>768</v>
      </c>
      <c r="K247">
        <f>RANK(0.72,AI:AI,0)</f>
        <v>1381</v>
      </c>
      <c r="L247" s="357">
        <v>0</v>
      </c>
      <c r="M247" s="357">
        <v>1</v>
      </c>
      <c r="N247" s="357">
        <v>0</v>
      </c>
      <c r="O247" s="357">
        <v>0</v>
      </c>
      <c r="P247" s="357">
        <v>0</v>
      </c>
      <c r="Q247" s="358">
        <v>3.2183908045977011E-2</v>
      </c>
      <c r="R247" s="359">
        <v>4.2857142857142858E-2</v>
      </c>
      <c r="S247" s="196">
        <v>2655208000</v>
      </c>
      <c r="T247" s="196">
        <v>322800000</v>
      </c>
      <c r="U247" s="200">
        <f t="shared" si="39"/>
        <v>677880000</v>
      </c>
      <c r="V247" s="196">
        <v>23000000</v>
      </c>
      <c r="W247" s="196">
        <v>0</v>
      </c>
      <c r="X247" s="196">
        <v>1138000000</v>
      </c>
      <c r="Y247" s="196">
        <v>1114000000</v>
      </c>
      <c r="Z247" s="196">
        <v>1304000000</v>
      </c>
      <c r="AA247" s="198">
        <v>0.02</v>
      </c>
      <c r="AB247" s="198">
        <v>0.01</v>
      </c>
      <c r="AC247" s="213">
        <f t="shared" si="40"/>
        <v>616</v>
      </c>
      <c r="AD247" s="213">
        <f t="shared" si="41"/>
        <v>680</v>
      </c>
      <c r="AE247" s="213">
        <v>1.2</v>
      </c>
      <c r="AF247" s="196">
        <v>-234000000</v>
      </c>
      <c r="AG247" s="104">
        <f t="shared" si="42"/>
        <v>-0.72490706319702602</v>
      </c>
      <c r="AH247" s="104">
        <f t="shared" si="43"/>
        <v>0</v>
      </c>
      <c r="AI247" s="195">
        <v>0.72</v>
      </c>
      <c r="AN247" t="s">
        <v>120</v>
      </c>
      <c r="AO247" s="33">
        <v>2</v>
      </c>
      <c r="AP247" s="33">
        <v>17</v>
      </c>
      <c r="AQ247" s="33">
        <v>-34</v>
      </c>
      <c r="AR247" s="33">
        <v>1</v>
      </c>
      <c r="AS247" s="33">
        <v>-13</v>
      </c>
      <c r="AT247" s="33">
        <v>15</v>
      </c>
      <c r="AU247" s="33">
        <v>-10</v>
      </c>
      <c r="AV247" s="33">
        <v>2</v>
      </c>
    </row>
    <row r="248" spans="1:48">
      <c r="A248">
        <v>2027</v>
      </c>
      <c r="C248" s="107">
        <f>VLOOKUP(2027,收盤價!$A:$C,3,0)</f>
        <v>16.05</v>
      </c>
      <c r="D248" s="107">
        <f t="shared" si="33"/>
        <v>9.2066595466133805</v>
      </c>
      <c r="E248" s="167">
        <f t="shared" si="34"/>
        <v>5</v>
      </c>
      <c r="F248" s="104">
        <f t="shared" si="35"/>
        <v>0.26884473929825559</v>
      </c>
      <c r="G248" s="167">
        <f>RANK(2.24,AE:AE,0)</f>
        <v>416</v>
      </c>
      <c r="H248" s="365">
        <f t="shared" si="36"/>
        <v>-2.6049433357528962E-3</v>
      </c>
      <c r="I248" s="213">
        <f t="shared" si="37"/>
        <v>151</v>
      </c>
      <c r="J248" s="213">
        <f t="shared" si="38"/>
        <v>181</v>
      </c>
      <c r="K248">
        <f>RANK(4.69,AI:AI,0)</f>
        <v>75</v>
      </c>
      <c r="L248" s="357">
        <v>1</v>
      </c>
      <c r="M248" s="357">
        <v>1</v>
      </c>
      <c r="N248" s="357">
        <v>2</v>
      </c>
      <c r="O248" s="357">
        <v>1</v>
      </c>
      <c r="P248" s="357">
        <v>0</v>
      </c>
      <c r="Q248" s="358">
        <v>0.16102721472987161</v>
      </c>
      <c r="R248" s="359">
        <v>0.43582582582582585</v>
      </c>
      <c r="S248" s="196">
        <v>48249447000</v>
      </c>
      <c r="T248" s="196">
        <v>808200000</v>
      </c>
      <c r="U248" s="200">
        <f t="shared" si="39"/>
        <v>12971610000</v>
      </c>
      <c r="V248" s="196">
        <v>809000000</v>
      </c>
      <c r="W248" s="196">
        <v>20980000000</v>
      </c>
      <c r="X248" s="196">
        <v>6623000000</v>
      </c>
      <c r="Y248" s="196">
        <v>14448000000</v>
      </c>
      <c r="Z248" s="196">
        <v>8282000000</v>
      </c>
      <c r="AA248" s="198">
        <v>0.03</v>
      </c>
      <c r="AB248" s="198">
        <v>0.04</v>
      </c>
      <c r="AC248" s="213">
        <f t="shared" si="40"/>
        <v>469</v>
      </c>
      <c r="AD248" s="213">
        <f t="shared" si="41"/>
        <v>228</v>
      </c>
      <c r="AE248" s="213">
        <v>2.2400000000000002</v>
      </c>
      <c r="AF248" s="196">
        <v>2129000000</v>
      </c>
      <c r="AG248" s="104">
        <f t="shared" si="42"/>
        <v>2.6342489482801286</v>
      </c>
      <c r="AH248" s="104">
        <f t="shared" si="43"/>
        <v>2.6316440049443757</v>
      </c>
      <c r="AI248" s="195">
        <v>4.6900000000000004</v>
      </c>
      <c r="AN248" t="s">
        <v>121</v>
      </c>
      <c r="AO248" s="33">
        <v>28</v>
      </c>
      <c r="AP248" s="33">
        <v>-13</v>
      </c>
      <c r="AQ248" s="33">
        <v>0</v>
      </c>
      <c r="AR248" s="33">
        <v>0</v>
      </c>
      <c r="AS248" s="33">
        <v>0</v>
      </c>
      <c r="AT248" s="33">
        <v>-22</v>
      </c>
      <c r="AU248" s="33">
        <v>0</v>
      </c>
      <c r="AV248" s="33">
        <v>0</v>
      </c>
    </row>
    <row r="249" spans="1:48">
      <c r="A249">
        <v>2028</v>
      </c>
      <c r="C249" s="107">
        <f>VLOOKUP(2028,收盤價!$A:$C,3,0)</f>
        <v>1.74</v>
      </c>
      <c r="D249" s="107">
        <f t="shared" si="33"/>
        <v>8.8611111111111107</v>
      </c>
      <c r="E249" s="167">
        <f t="shared" si="34"/>
        <v>3</v>
      </c>
      <c r="F249" s="104">
        <f t="shared" si="35"/>
        <v>0.19584532082881287</v>
      </c>
      <c r="G249" s="167">
        <f>RANK(1.8,AE:AE,0)</f>
        <v>533</v>
      </c>
      <c r="H249" s="365">
        <f t="shared" si="36"/>
        <v>3.3155277214956716E-2</v>
      </c>
      <c r="I249" s="213">
        <f t="shared" si="37"/>
        <v>1093</v>
      </c>
      <c r="J249" s="213">
        <f t="shared" si="38"/>
        <v>768</v>
      </c>
      <c r="K249">
        <f>RANK(0.84,AI:AI,0)</f>
        <v>1076</v>
      </c>
      <c r="L249" s="357">
        <v>0</v>
      </c>
      <c r="M249" s="357">
        <v>1</v>
      </c>
      <c r="N249" s="357">
        <v>2</v>
      </c>
      <c r="O249" s="357">
        <v>0</v>
      </c>
      <c r="P249" s="357">
        <v>0</v>
      </c>
      <c r="Q249" s="358">
        <v>3.9171796306659207E-2</v>
      </c>
      <c r="R249" s="359">
        <v>4.9090909090909095E-2</v>
      </c>
      <c r="S249" s="196">
        <v>4823429000</v>
      </c>
      <c r="T249" s="196">
        <v>542900000</v>
      </c>
      <c r="U249" s="200">
        <f t="shared" si="39"/>
        <v>944646000</v>
      </c>
      <c r="V249" s="196">
        <v>45000000</v>
      </c>
      <c r="W249" s="196">
        <v>0</v>
      </c>
      <c r="X249" s="196">
        <v>3992000000</v>
      </c>
      <c r="Y249" s="196">
        <v>771000000</v>
      </c>
      <c r="Z249" s="196">
        <v>0</v>
      </c>
      <c r="AA249" s="198">
        <v>0.01</v>
      </c>
      <c r="AB249" s="198">
        <v>0.06</v>
      </c>
      <c r="AC249" s="213">
        <f t="shared" si="40"/>
        <v>769</v>
      </c>
      <c r="AD249" s="213">
        <f t="shared" si="41"/>
        <v>95</v>
      </c>
      <c r="AE249" s="213">
        <v>1.8</v>
      </c>
      <c r="AF249" s="196">
        <v>-18000000</v>
      </c>
      <c r="AG249" s="104">
        <f t="shared" si="42"/>
        <v>-3.3155277214956716E-2</v>
      </c>
      <c r="AH249" s="104">
        <f t="shared" si="43"/>
        <v>0</v>
      </c>
      <c r="AI249" s="195">
        <v>0.84</v>
      </c>
      <c r="AN249" t="s">
        <v>122</v>
      </c>
      <c r="AO249" s="33">
        <v>0</v>
      </c>
      <c r="AP249" s="33">
        <v>0</v>
      </c>
      <c r="AQ249" s="33">
        <v>0</v>
      </c>
      <c r="AR249" s="33">
        <v>0</v>
      </c>
      <c r="AS249" s="33">
        <v>0</v>
      </c>
      <c r="AT249" s="33">
        <v>0</v>
      </c>
      <c r="AU249" s="33">
        <v>0</v>
      </c>
      <c r="AV249" s="33">
        <v>0</v>
      </c>
    </row>
    <row r="250" spans="1:48">
      <c r="A250">
        <v>2029</v>
      </c>
      <c r="C250" s="107">
        <f>VLOOKUP(2029,收盤價!$A:$C,3,0)</f>
        <v>28.85</v>
      </c>
      <c r="D250" s="107">
        <f t="shared" si="33"/>
        <v>6.4672560035250051</v>
      </c>
      <c r="E250" s="167">
        <f t="shared" si="34"/>
        <v>4</v>
      </c>
      <c r="F250" s="104">
        <f t="shared" si="35"/>
        <v>0.83279006988102489</v>
      </c>
      <c r="G250" s="167">
        <f>RANK(4.81,AE:AE,0)</f>
        <v>170</v>
      </c>
      <c r="H250" s="365">
        <f t="shared" si="36"/>
        <v>-0.45562325137237614</v>
      </c>
      <c r="I250" s="213">
        <f t="shared" si="37"/>
        <v>306</v>
      </c>
      <c r="J250" s="213">
        <f t="shared" si="38"/>
        <v>473</v>
      </c>
      <c r="K250">
        <f>RANK(2,AI:AI,0)</f>
        <v>338</v>
      </c>
      <c r="L250" s="357">
        <v>1</v>
      </c>
      <c r="M250" s="357">
        <v>1</v>
      </c>
      <c r="N250" s="357">
        <v>1</v>
      </c>
      <c r="O250" s="357">
        <v>1</v>
      </c>
      <c r="P250" s="357">
        <v>0</v>
      </c>
      <c r="Q250" s="358">
        <v>0.20080053368912609</v>
      </c>
      <c r="R250" s="359">
        <v>1.1152334152334153</v>
      </c>
      <c r="S250" s="196">
        <v>11127198000</v>
      </c>
      <c r="T250" s="196">
        <v>321200000</v>
      </c>
      <c r="U250" s="200">
        <f t="shared" si="39"/>
        <v>9266620000</v>
      </c>
      <c r="V250" s="196">
        <v>446000000</v>
      </c>
      <c r="W250" s="196">
        <v>4964000000</v>
      </c>
      <c r="X250" s="196">
        <v>2658000000</v>
      </c>
      <c r="Y250" s="196">
        <v>8510000000</v>
      </c>
      <c r="Z250" s="196">
        <v>155000000</v>
      </c>
      <c r="AA250" s="198">
        <v>0.06</v>
      </c>
      <c r="AB250" s="198">
        <v>0.05</v>
      </c>
      <c r="AC250" s="213">
        <f t="shared" si="40"/>
        <v>174</v>
      </c>
      <c r="AD250" s="213">
        <f t="shared" si="41"/>
        <v>150</v>
      </c>
      <c r="AE250" s="213">
        <v>4.8099999999999996</v>
      </c>
      <c r="AF250" s="196">
        <v>523000000</v>
      </c>
      <c r="AG250" s="104">
        <f t="shared" si="42"/>
        <v>1.62826899128269</v>
      </c>
      <c r="AH250" s="104">
        <f t="shared" si="43"/>
        <v>1.1726457399103138</v>
      </c>
      <c r="AI250" s="195">
        <v>2</v>
      </c>
      <c r="AN250" t="s">
        <v>19</v>
      </c>
      <c r="AO250" s="33">
        <v>0</v>
      </c>
      <c r="AP250" s="33">
        <v>0</v>
      </c>
      <c r="AQ250" s="33">
        <v>0</v>
      </c>
      <c r="AR250" s="33">
        <v>0</v>
      </c>
      <c r="AS250" s="33">
        <v>0</v>
      </c>
      <c r="AT250" s="33">
        <v>0</v>
      </c>
      <c r="AU250" s="33">
        <v>0</v>
      </c>
      <c r="AV250" s="33">
        <v>0</v>
      </c>
    </row>
    <row r="251" spans="1:48">
      <c r="A251">
        <v>2030</v>
      </c>
      <c r="C251" s="107">
        <f>VLOOKUP(2030,收盤價!$A:$C,3,0)</f>
        <v>9.4600000000000009</v>
      </c>
      <c r="D251" s="107">
        <f t="shared" si="33"/>
        <v>0</v>
      </c>
      <c r="E251" s="167">
        <f t="shared" si="34"/>
        <v>4</v>
      </c>
      <c r="F251" s="104">
        <f t="shared" si="35"/>
        <v>0.24808611969377919</v>
      </c>
      <c r="G251" s="167">
        <f>RANK(1.2,AE:AE,0)</f>
        <v>710</v>
      </c>
      <c r="H251" s="365">
        <f t="shared" si="36"/>
        <v>1.1275243081525805</v>
      </c>
      <c r="I251" s="213">
        <f t="shared" si="37"/>
        <v>761</v>
      </c>
      <c r="J251" s="213">
        <f t="shared" si="38"/>
        <v>347</v>
      </c>
      <c r="K251">
        <f>RANK(1.41,AI:AI,0)</f>
        <v>613</v>
      </c>
      <c r="L251" s="357">
        <v>0</v>
      </c>
      <c r="M251" s="357">
        <v>1</v>
      </c>
      <c r="N251" s="357">
        <v>2</v>
      </c>
      <c r="O251" s="357">
        <v>1</v>
      </c>
      <c r="P251" s="357">
        <v>0</v>
      </c>
      <c r="Q251" s="358">
        <v>7.5312270389419539E-2</v>
      </c>
      <c r="R251" s="359">
        <v>0</v>
      </c>
      <c r="S251" s="196">
        <v>10924795000</v>
      </c>
      <c r="T251" s="196">
        <v>286500000</v>
      </c>
      <c r="U251" s="200">
        <f t="shared" si="39"/>
        <v>2710290000.0000005</v>
      </c>
      <c r="V251" s="196">
        <v>84000000</v>
      </c>
      <c r="W251" s="196">
        <v>902000000</v>
      </c>
      <c r="X251" s="196">
        <v>4355000000</v>
      </c>
      <c r="Y251" s="196">
        <v>3177000000</v>
      </c>
      <c r="Z251" s="196">
        <v>3957000000</v>
      </c>
      <c r="AA251" s="198">
        <v>0.02</v>
      </c>
      <c r="AB251" s="198">
        <v>0.01</v>
      </c>
      <c r="AC251" s="213">
        <f t="shared" si="40"/>
        <v>616</v>
      </c>
      <c r="AD251" s="213">
        <f t="shared" si="41"/>
        <v>680</v>
      </c>
      <c r="AE251" s="213">
        <v>1.2</v>
      </c>
      <c r="AF251" s="196">
        <v>134000000</v>
      </c>
      <c r="AG251" s="104">
        <f t="shared" si="42"/>
        <v>0.46771378708551481</v>
      </c>
      <c r="AH251" s="104">
        <f t="shared" si="43"/>
        <v>1.5952380952380953</v>
      </c>
      <c r="AI251" s="195">
        <v>1.41</v>
      </c>
      <c r="AN251" t="s">
        <v>18</v>
      </c>
      <c r="AO251" s="33">
        <v>-7</v>
      </c>
      <c r="AP251" s="33">
        <v>-3</v>
      </c>
      <c r="AQ251" s="33">
        <v>-1</v>
      </c>
      <c r="AR251" s="33">
        <v>0</v>
      </c>
      <c r="AS251" s="33">
        <v>-1</v>
      </c>
      <c r="AT251" s="33">
        <v>-3</v>
      </c>
      <c r="AU251" s="33">
        <v>-1</v>
      </c>
      <c r="AV251" s="33">
        <v>-3</v>
      </c>
    </row>
    <row r="252" spans="1:48">
      <c r="A252">
        <v>2031</v>
      </c>
      <c r="C252" s="107">
        <f>VLOOKUP(2031,收盤價!$A:$C,3,0)</f>
        <v>17.3</v>
      </c>
      <c r="D252" s="107">
        <f t="shared" si="33"/>
        <v>8.8705194556258391</v>
      </c>
      <c r="E252" s="167">
        <f t="shared" si="34"/>
        <v>3</v>
      </c>
      <c r="F252" s="104">
        <f t="shared" si="35"/>
        <v>0.8248986240312115</v>
      </c>
      <c r="G252" s="167">
        <f>RANK(1.89,AE:AE,0)</f>
        <v>498</v>
      </c>
      <c r="H252" s="365">
        <f t="shared" si="36"/>
        <v>3.7382501807664497</v>
      </c>
      <c r="I252" s="213">
        <f t="shared" si="37"/>
        <v>1542</v>
      </c>
      <c r="J252" s="213">
        <f t="shared" si="38"/>
        <v>768</v>
      </c>
      <c r="K252">
        <f>RANK(0.67,AI:AI,0)</f>
        <v>1541</v>
      </c>
      <c r="L252" s="357">
        <v>0</v>
      </c>
      <c r="M252" s="357">
        <v>1</v>
      </c>
      <c r="N252" s="357">
        <v>2</v>
      </c>
      <c r="O252" s="357">
        <v>0</v>
      </c>
      <c r="P252" s="357">
        <v>0</v>
      </c>
      <c r="Q252" s="358">
        <v>0.13133940182054615</v>
      </c>
      <c r="R252" s="359">
        <v>0.48757009345794394</v>
      </c>
      <c r="S252" s="196">
        <v>5800931000</v>
      </c>
      <c r="T252" s="196">
        <v>276600000</v>
      </c>
      <c r="U252" s="200">
        <f t="shared" si="39"/>
        <v>4785180000</v>
      </c>
      <c r="V252" s="196">
        <v>163000000</v>
      </c>
      <c r="W252" s="196">
        <v>832000000</v>
      </c>
      <c r="X252" s="196">
        <v>2793000000</v>
      </c>
      <c r="Y252" s="196">
        <v>4555000000</v>
      </c>
      <c r="Z252" s="196">
        <v>4309000000</v>
      </c>
      <c r="AA252" s="198">
        <v>0.04</v>
      </c>
      <c r="AB252" s="198">
        <v>0.02</v>
      </c>
      <c r="AC252" s="213">
        <f t="shared" si="40"/>
        <v>337</v>
      </c>
      <c r="AD252" s="213">
        <f t="shared" si="41"/>
        <v>487</v>
      </c>
      <c r="AE252" s="213">
        <v>1.89</v>
      </c>
      <c r="AF252" s="196">
        <v>-1034000000</v>
      </c>
      <c r="AG252" s="104">
        <f t="shared" si="42"/>
        <v>-3.7382501807664497</v>
      </c>
      <c r="AH252" s="104">
        <f t="shared" si="43"/>
        <v>0</v>
      </c>
      <c r="AI252" s="195">
        <v>0.67</v>
      </c>
      <c r="AN252" t="s">
        <v>124</v>
      </c>
      <c r="AO252" s="33">
        <v>0</v>
      </c>
      <c r="AP252" s="33">
        <v>0</v>
      </c>
      <c r="AQ252" s="33">
        <v>0</v>
      </c>
      <c r="AR252" s="33">
        <v>0</v>
      </c>
      <c r="AS252" s="33">
        <v>0</v>
      </c>
      <c r="AT252" s="33">
        <v>0</v>
      </c>
      <c r="AU252" s="33">
        <v>0</v>
      </c>
      <c r="AV252" s="33">
        <v>0</v>
      </c>
    </row>
    <row r="253" spans="1:48">
      <c r="A253">
        <v>2032</v>
      </c>
      <c r="C253" s="107">
        <f>VLOOKUP(2032,收盤價!$A:$C,3,0)</f>
        <v>9.9</v>
      </c>
      <c r="D253" s="107">
        <f t="shared" si="33"/>
        <v>16.424485125858123</v>
      </c>
      <c r="E253" s="167">
        <f t="shared" si="34"/>
        <v>1</v>
      </c>
      <c r="F253" s="104">
        <f t="shared" si="35"/>
        <v>0.45401975905799202</v>
      </c>
      <c r="G253" s="167">
        <f>RANK(1.08,AE:AE,0)</f>
        <v>769</v>
      </c>
      <c r="H253" s="365">
        <f t="shared" si="36"/>
        <v>0.25287356321839083</v>
      </c>
      <c r="I253" s="213">
        <f t="shared" si="37"/>
        <v>1246</v>
      </c>
      <c r="J253" s="213">
        <f t="shared" si="38"/>
        <v>768</v>
      </c>
      <c r="K253">
        <f>RANK(0.77,AI:AI,0)</f>
        <v>1243</v>
      </c>
      <c r="L253" s="357">
        <v>0</v>
      </c>
      <c r="M253" s="357">
        <v>1</v>
      </c>
      <c r="N253" s="357">
        <v>0</v>
      </c>
      <c r="O253" s="357">
        <v>0</v>
      </c>
      <c r="P253" s="357">
        <v>0</v>
      </c>
      <c r="Q253" s="358">
        <v>7.898658718330849E-2</v>
      </c>
      <c r="R253" s="359">
        <v>0.15068965517241381</v>
      </c>
      <c r="S253" s="196">
        <v>2845581000</v>
      </c>
      <c r="T253" s="196">
        <v>130500000</v>
      </c>
      <c r="U253" s="200">
        <f t="shared" si="39"/>
        <v>1291950000</v>
      </c>
      <c r="V253" s="196">
        <v>23000000</v>
      </c>
      <c r="W253" s="196">
        <v>1021000000</v>
      </c>
      <c r="X253" s="196">
        <v>625000000</v>
      </c>
      <c r="Y253" s="196">
        <v>1633000000</v>
      </c>
      <c r="Z253" s="196">
        <v>0</v>
      </c>
      <c r="AA253" s="198">
        <v>0.01</v>
      </c>
      <c r="AB253" s="198">
        <v>0.01</v>
      </c>
      <c r="AC253" s="213">
        <f t="shared" si="40"/>
        <v>769</v>
      </c>
      <c r="AD253" s="213">
        <f t="shared" si="41"/>
        <v>680</v>
      </c>
      <c r="AE253" s="213">
        <v>1.08</v>
      </c>
      <c r="AF253" s="196">
        <v>-33000000</v>
      </c>
      <c r="AG253" s="104">
        <f t="shared" si="42"/>
        <v>-0.25287356321839083</v>
      </c>
      <c r="AH253" s="104">
        <f t="shared" si="43"/>
        <v>0</v>
      </c>
      <c r="AI253" s="195">
        <v>0.77</v>
      </c>
      <c r="AN253" t="s">
        <v>125</v>
      </c>
      <c r="AO253" s="33">
        <v>21</v>
      </c>
      <c r="AP253" s="33">
        <v>-16</v>
      </c>
      <c r="AQ253" s="33">
        <v>-1</v>
      </c>
      <c r="AR253" s="33">
        <v>0</v>
      </c>
      <c r="AS253" s="33">
        <v>34</v>
      </c>
      <c r="AT253" s="33">
        <v>-25</v>
      </c>
      <c r="AU253" s="33">
        <v>0</v>
      </c>
      <c r="AV253" s="33">
        <v>-3</v>
      </c>
    </row>
    <row r="254" spans="1:48">
      <c r="A254">
        <v>2033</v>
      </c>
      <c r="C254" s="107">
        <f>VLOOKUP(2033,收盤價!$A:$C,3,0)</f>
        <v>8.99</v>
      </c>
      <c r="D254" s="107">
        <f t="shared" si="33"/>
        <v>32.107142857142854</v>
      </c>
      <c r="E254" s="167">
        <f t="shared" si="34"/>
        <v>4</v>
      </c>
      <c r="F254" s="104">
        <f t="shared" si="35"/>
        <v>0.92675913482910677</v>
      </c>
      <c r="G254" s="167">
        <f>RANK(1.08,AE:AE,0)</f>
        <v>769</v>
      </c>
      <c r="H254" s="365">
        <f t="shared" si="36"/>
        <v>2.3692688971499378</v>
      </c>
      <c r="I254" s="213">
        <f t="shared" si="37"/>
        <v>863</v>
      </c>
      <c r="J254" s="213">
        <f t="shared" si="38"/>
        <v>177</v>
      </c>
      <c r="K254">
        <f>RANK(1.5,AI:AI,0)</f>
        <v>562</v>
      </c>
      <c r="L254" s="357">
        <v>0</v>
      </c>
      <c r="M254" s="357">
        <v>1</v>
      </c>
      <c r="N254" s="357">
        <v>2</v>
      </c>
      <c r="O254" s="357">
        <v>1</v>
      </c>
      <c r="P254" s="357">
        <v>0</v>
      </c>
      <c r="Q254" s="358">
        <v>0.15311004784688995</v>
      </c>
      <c r="R254" s="359">
        <v>7.0000000000000007E-2</v>
      </c>
      <c r="S254" s="196">
        <v>782828000</v>
      </c>
      <c r="T254" s="196">
        <v>80700000</v>
      </c>
      <c r="U254" s="200">
        <f t="shared" si="39"/>
        <v>725493000</v>
      </c>
      <c r="V254" s="196">
        <v>9000000</v>
      </c>
      <c r="W254" s="196">
        <v>286000000</v>
      </c>
      <c r="X254" s="196">
        <v>444000000</v>
      </c>
      <c r="Y254" s="196">
        <v>927000000</v>
      </c>
      <c r="Z254" s="196">
        <v>270000000</v>
      </c>
      <c r="AA254" s="198">
        <v>0.01</v>
      </c>
      <c r="AB254" s="198">
        <v>0.01</v>
      </c>
      <c r="AC254" s="213">
        <f t="shared" si="40"/>
        <v>769</v>
      </c>
      <c r="AD254" s="213">
        <f t="shared" si="41"/>
        <v>680</v>
      </c>
      <c r="AE254" s="213">
        <v>1.08</v>
      </c>
      <c r="AF254" s="196">
        <v>24000000</v>
      </c>
      <c r="AG254" s="104">
        <f t="shared" si="42"/>
        <v>0.29739776951672864</v>
      </c>
      <c r="AH254" s="104">
        <f t="shared" si="43"/>
        <v>2.6666666666666665</v>
      </c>
      <c r="AI254" s="195">
        <v>1.5</v>
      </c>
      <c r="AN254" t="s">
        <v>128</v>
      </c>
      <c r="AO254" s="33">
        <v>0</v>
      </c>
      <c r="AP254" s="33">
        <v>0</v>
      </c>
      <c r="AQ254" s="33">
        <v>0</v>
      </c>
      <c r="AR254" s="33">
        <v>0</v>
      </c>
      <c r="AS254" s="33">
        <v>0</v>
      </c>
      <c r="AT254" s="33">
        <v>0</v>
      </c>
      <c r="AU254" s="33">
        <v>0</v>
      </c>
      <c r="AV254" s="33">
        <v>0</v>
      </c>
    </row>
    <row r="255" spans="1:48">
      <c r="A255">
        <v>2034</v>
      </c>
      <c r="C255" s="107">
        <f>VLOOKUP(2034,收盤價!$A:$C,3,0)</f>
        <v>22.3</v>
      </c>
      <c r="D255" s="107">
        <f t="shared" si="33"/>
        <v>11.19588477366255</v>
      </c>
      <c r="E255" s="167">
        <f t="shared" si="34"/>
        <v>2</v>
      </c>
      <c r="F255" s="104">
        <f t="shared" si="35"/>
        <v>0.49982394914231681</v>
      </c>
      <c r="G255" s="167">
        <f>RANK(2.32,AE:AE,0)</f>
        <v>360</v>
      </c>
      <c r="H255" s="365">
        <f t="shared" si="36"/>
        <v>1.145636314509592</v>
      </c>
      <c r="I255" s="213">
        <f t="shared" si="37"/>
        <v>1456</v>
      </c>
      <c r="J255" s="213">
        <f t="shared" si="38"/>
        <v>768</v>
      </c>
      <c r="K255">
        <f>RANK(0.7,AI:AI,0)</f>
        <v>1442</v>
      </c>
      <c r="L255" s="357">
        <v>0</v>
      </c>
      <c r="M255" s="357">
        <v>1</v>
      </c>
      <c r="N255" s="357">
        <v>1</v>
      </c>
      <c r="O255" s="357">
        <v>0</v>
      </c>
      <c r="P255" s="357">
        <v>0</v>
      </c>
      <c r="Q255" s="358">
        <v>0.10091533180778033</v>
      </c>
      <c r="R255" s="359">
        <v>0.49795081967213117</v>
      </c>
      <c r="S255" s="196">
        <v>16512274000</v>
      </c>
      <c r="T255" s="196">
        <v>370100000</v>
      </c>
      <c r="U255" s="200">
        <f t="shared" si="39"/>
        <v>8253230000</v>
      </c>
      <c r="V255" s="196">
        <v>249000000</v>
      </c>
      <c r="W255" s="196">
        <v>3779000000</v>
      </c>
      <c r="X255" s="196">
        <v>2573000000</v>
      </c>
      <c r="Y255" s="196">
        <v>7033000000</v>
      </c>
      <c r="Z255" s="196">
        <v>2196000000</v>
      </c>
      <c r="AA255" s="198">
        <v>0.04</v>
      </c>
      <c r="AB255" s="198">
        <v>0.03</v>
      </c>
      <c r="AC255" s="213">
        <f t="shared" si="40"/>
        <v>337</v>
      </c>
      <c r="AD255" s="213">
        <f t="shared" si="41"/>
        <v>334</v>
      </c>
      <c r="AE255" s="213">
        <v>2.3199999999999998</v>
      </c>
      <c r="AF255" s="196">
        <v>-424000000</v>
      </c>
      <c r="AG255" s="104">
        <f t="shared" si="42"/>
        <v>-1.145636314509592</v>
      </c>
      <c r="AH255" s="104">
        <f t="shared" si="43"/>
        <v>0</v>
      </c>
      <c r="AI255" s="195">
        <v>0.7</v>
      </c>
      <c r="AN255" t="s">
        <v>129</v>
      </c>
      <c r="AO255" s="33">
        <v>-8</v>
      </c>
      <c r="AP255" s="33">
        <v>-56</v>
      </c>
      <c r="AQ255" s="33">
        <v>56</v>
      </c>
      <c r="AR255" s="33">
        <v>-63</v>
      </c>
      <c r="AS255" s="33">
        <v>-18</v>
      </c>
      <c r="AT255" s="33">
        <v>-207</v>
      </c>
      <c r="AU255" s="33">
        <v>291</v>
      </c>
      <c r="AV255" s="33">
        <v>-52</v>
      </c>
    </row>
    <row r="256" spans="1:48">
      <c r="A256">
        <v>2035</v>
      </c>
      <c r="C256" s="107">
        <f>VLOOKUP(2035,收盤價!$A:$C,3,0)</f>
        <v>46.85</v>
      </c>
      <c r="D256" s="107">
        <f t="shared" si="33"/>
        <v>15.400956114152979</v>
      </c>
      <c r="E256" s="167">
        <f t="shared" si="34"/>
        <v>3</v>
      </c>
      <c r="F256" s="104">
        <f t="shared" si="35"/>
        <v>1.3803219418366552</v>
      </c>
      <c r="G256" s="167">
        <f>RANK(4.79,AE:AE,0)</f>
        <v>191</v>
      </c>
      <c r="H256" s="365">
        <f t="shared" si="36"/>
        <v>3.3917050691244233E-2</v>
      </c>
      <c r="I256" s="213">
        <f t="shared" si="37"/>
        <v>885</v>
      </c>
      <c r="J256" s="213">
        <f t="shared" si="38"/>
        <v>722</v>
      </c>
      <c r="K256">
        <f>RANK(0.97,AI:AI,0)</f>
        <v>912</v>
      </c>
      <c r="L256" s="357">
        <v>1</v>
      </c>
      <c r="M256" s="357">
        <v>1</v>
      </c>
      <c r="N256" s="357">
        <v>1</v>
      </c>
      <c r="O256" s="357">
        <v>0</v>
      </c>
      <c r="P256" s="357">
        <v>0</v>
      </c>
      <c r="Q256" s="358">
        <v>0.11447084233261338</v>
      </c>
      <c r="R256" s="359">
        <v>0.76050473186119871</v>
      </c>
      <c r="S256" s="196">
        <v>11879475000</v>
      </c>
      <c r="T256" s="196">
        <v>350000000</v>
      </c>
      <c r="U256" s="200">
        <f t="shared" si="39"/>
        <v>16397500000</v>
      </c>
      <c r="V256" s="196">
        <v>310000000</v>
      </c>
      <c r="W256" s="196">
        <v>0</v>
      </c>
      <c r="X256" s="196">
        <v>3799000000</v>
      </c>
      <c r="Y256" s="196">
        <v>5774000000</v>
      </c>
      <c r="Z256" s="196">
        <v>2914000000</v>
      </c>
      <c r="AA256" s="198">
        <v>0.08</v>
      </c>
      <c r="AB256" s="198">
        <v>0.04</v>
      </c>
      <c r="AC256" s="213">
        <f t="shared" si="40"/>
        <v>97</v>
      </c>
      <c r="AD256" s="213">
        <f t="shared" si="41"/>
        <v>228</v>
      </c>
      <c r="AE256" s="213">
        <v>4.79</v>
      </c>
      <c r="AF256" s="196">
        <v>92000000</v>
      </c>
      <c r="AG256" s="104">
        <f t="shared" si="42"/>
        <v>0.26285714285714284</v>
      </c>
      <c r="AH256" s="104">
        <f t="shared" si="43"/>
        <v>0.29677419354838708</v>
      </c>
      <c r="AI256" s="195">
        <v>0.97</v>
      </c>
      <c r="AN256" t="s">
        <v>130</v>
      </c>
      <c r="AO256" s="33">
        <v>0</v>
      </c>
      <c r="AP256" s="33">
        <v>0</v>
      </c>
      <c r="AQ256" s="33">
        <v>0</v>
      </c>
      <c r="AR256" s="33">
        <v>0</v>
      </c>
      <c r="AS256" s="33">
        <v>0</v>
      </c>
      <c r="AT256" s="33">
        <v>0</v>
      </c>
      <c r="AU256" s="33">
        <v>0</v>
      </c>
      <c r="AV256" s="33">
        <v>0</v>
      </c>
    </row>
    <row r="257" spans="1:48">
      <c r="A257">
        <v>2038</v>
      </c>
      <c r="C257" s="107">
        <f>VLOOKUP(2038,收盤價!$A:$C,3,0)</f>
        <v>6.28</v>
      </c>
      <c r="D257" s="107">
        <f t="shared" si="33"/>
        <v>0</v>
      </c>
      <c r="E257" s="167">
        <f t="shared" si="34"/>
        <v>3</v>
      </c>
      <c r="F257" s="104">
        <f t="shared" si="35"/>
        <v>0.19988857868858112</v>
      </c>
      <c r="G257" s="167">
        <f>RANK(0.84,AE:AE,0)</f>
        <v>946</v>
      </c>
      <c r="H257" s="365">
        <f t="shared" si="36"/>
        <v>18.049577884456216</v>
      </c>
      <c r="I257" s="213">
        <f t="shared" si="37"/>
        <v>316</v>
      </c>
      <c r="J257" s="213">
        <f t="shared" si="38"/>
        <v>15</v>
      </c>
      <c r="K257">
        <f>RANK(4.71,AI:AI,0)</f>
        <v>73</v>
      </c>
      <c r="L257" s="357">
        <v>0</v>
      </c>
      <c r="M257" s="357">
        <v>0</v>
      </c>
      <c r="N257" s="357">
        <v>2</v>
      </c>
      <c r="O257" s="357">
        <v>1</v>
      </c>
      <c r="P257" s="357">
        <v>0</v>
      </c>
      <c r="Q257" s="358">
        <v>3.5369774919614148E-2</v>
      </c>
      <c r="R257" s="359">
        <v>0</v>
      </c>
      <c r="S257" s="196">
        <v>5422661000</v>
      </c>
      <c r="T257" s="196">
        <v>172600000</v>
      </c>
      <c r="U257" s="200">
        <f t="shared" si="39"/>
        <v>1083928000</v>
      </c>
      <c r="V257" s="196">
        <v>14000000</v>
      </c>
      <c r="W257" s="196">
        <v>142000000</v>
      </c>
      <c r="X257" s="196">
        <v>3464000000</v>
      </c>
      <c r="Y257" s="196">
        <v>2944000000</v>
      </c>
      <c r="Z257" s="196">
        <v>1140000000</v>
      </c>
      <c r="AA257" s="198">
        <v>0</v>
      </c>
      <c r="AB257" s="198">
        <v>0</v>
      </c>
      <c r="AC257" s="213">
        <f t="shared" si="40"/>
        <v>945</v>
      </c>
      <c r="AD257" s="213">
        <f t="shared" si="41"/>
        <v>911</v>
      </c>
      <c r="AE257" s="213">
        <v>0.84</v>
      </c>
      <c r="AF257" s="196">
        <v>275000000</v>
      </c>
      <c r="AG257" s="104">
        <f t="shared" si="42"/>
        <v>1.593279258400927</v>
      </c>
      <c r="AH257" s="104">
        <f t="shared" si="43"/>
        <v>19.642857142857142</v>
      </c>
      <c r="AI257" s="195">
        <v>4.71</v>
      </c>
      <c r="AN257" t="s">
        <v>131</v>
      </c>
      <c r="AO257" s="33">
        <v>0</v>
      </c>
      <c r="AP257" s="33">
        <v>0</v>
      </c>
      <c r="AQ257" s="33">
        <v>0</v>
      </c>
      <c r="AR257" s="33">
        <v>0</v>
      </c>
      <c r="AS257" s="33">
        <v>0</v>
      </c>
      <c r="AT257" s="33">
        <v>0</v>
      </c>
      <c r="AU257" s="33">
        <v>0</v>
      </c>
      <c r="AV257" s="33">
        <v>0</v>
      </c>
    </row>
    <row r="258" spans="1:48">
      <c r="A258">
        <v>2049</v>
      </c>
      <c r="C258" s="107">
        <f>VLOOKUP(2049,收盤價!$A:$C,3,0)</f>
        <v>144.5</v>
      </c>
      <c r="D258" s="107">
        <f t="shared" ref="D258:D321" si="44">IF(AND(ISNUMBER(C258),R258&gt;0),C258/(R258*4),0)</f>
        <v>20.425233883422038</v>
      </c>
      <c r="E258" s="167">
        <f t="shared" ref="E258:E321" si="45">SUM(L258:P258)</f>
        <v>4</v>
      </c>
      <c r="F258" s="104">
        <f t="shared" ref="F258:F321" si="46">IF(AND(ISNUMBER(U258),ISNUMBER(S258)),U258/S258,0)</f>
        <v>2.6907168941287951</v>
      </c>
      <c r="G258" s="167">
        <f>RANK(1.94,AE:AE,0)</f>
        <v>435</v>
      </c>
      <c r="H258" s="365">
        <f t="shared" ref="H258:H321" si="47">AH258-AG258</f>
        <v>-2.0933831549338784</v>
      </c>
      <c r="I258" s="213">
        <f t="shared" ref="I258:I321" si="48">RANK(AG258,AG:AG)</f>
        <v>71</v>
      </c>
      <c r="J258" s="213">
        <f t="shared" ref="J258:J321" si="49">RANK(AH258,AH:AH)</f>
        <v>290</v>
      </c>
      <c r="K258">
        <f>RANK(4.32,AI:AI,0)</f>
        <v>91</v>
      </c>
      <c r="L258" s="357">
        <v>0</v>
      </c>
      <c r="M258" s="357">
        <v>1</v>
      </c>
      <c r="N258" s="357">
        <v>1</v>
      </c>
      <c r="O258" s="357">
        <v>1</v>
      </c>
      <c r="P258" s="357">
        <v>1</v>
      </c>
      <c r="Q258" s="358">
        <v>0.34191176470588236</v>
      </c>
      <c r="R258" s="359">
        <v>1.7686455981941309</v>
      </c>
      <c r="S258" s="196">
        <v>14462261000</v>
      </c>
      <c r="T258" s="196">
        <v>269300000</v>
      </c>
      <c r="U258" s="200">
        <f t="shared" ref="U258:U321" si="50">C258*T258</f>
        <v>38913850000</v>
      </c>
      <c r="V258" s="196">
        <v>574000000</v>
      </c>
      <c r="W258" s="196">
        <v>1484000000</v>
      </c>
      <c r="X258" s="196">
        <v>16777000000</v>
      </c>
      <c r="Y258" s="196">
        <v>14352000000</v>
      </c>
      <c r="Z258" s="196">
        <v>8160000000</v>
      </c>
      <c r="AA258" s="198">
        <v>0.03</v>
      </c>
      <c r="AB258" s="198">
        <v>0.03</v>
      </c>
      <c r="AC258" s="213">
        <f t="shared" ref="AC258:AC321" si="51">RANK(AA258,AA:AA)</f>
        <v>469</v>
      </c>
      <c r="AD258" s="213">
        <f t="shared" ref="AD258:AD321" si="52">RANK(AB258,AB:AB)</f>
        <v>334</v>
      </c>
      <c r="AE258" s="213">
        <v>1.94</v>
      </c>
      <c r="AF258" s="196">
        <v>1062000000</v>
      </c>
      <c r="AG258" s="104">
        <f t="shared" ref="AG258:AG321" si="53">AF258/T258</f>
        <v>3.9435573709617526</v>
      </c>
      <c r="AH258" s="104">
        <f t="shared" ref="AH258:AH321" si="54">IF(AND(AF258&gt;0,V258&gt;0),AF258/V258,0)</f>
        <v>1.8501742160278745</v>
      </c>
      <c r="AI258" s="195">
        <v>4.32</v>
      </c>
      <c r="AN258" t="s">
        <v>132</v>
      </c>
      <c r="AO258" s="33">
        <v>0</v>
      </c>
      <c r="AP258" s="33">
        <v>0</v>
      </c>
      <c r="AQ258" s="33">
        <v>0</v>
      </c>
      <c r="AR258" s="33">
        <v>0</v>
      </c>
      <c r="AS258" s="33">
        <v>0</v>
      </c>
      <c r="AT258" s="33">
        <v>0</v>
      </c>
      <c r="AU258" s="33">
        <v>0</v>
      </c>
      <c r="AV258" s="33">
        <v>0</v>
      </c>
    </row>
    <row r="259" spans="1:48">
      <c r="A259">
        <v>2059</v>
      </c>
      <c r="C259" s="107">
        <f>VLOOKUP(2059,收盤價!$A:$C,3,0)</f>
        <v>376.5</v>
      </c>
      <c r="D259" s="107">
        <f t="shared" si="44"/>
        <v>31.635588016675822</v>
      </c>
      <c r="E259" s="167">
        <f t="shared" si="45"/>
        <v>4</v>
      </c>
      <c r="F259" s="104">
        <f t="shared" si="46"/>
        <v>8.3309863062871461</v>
      </c>
      <c r="G259" s="167">
        <f>RANK(5.79,AE:AE,0)</f>
        <v>129</v>
      </c>
      <c r="H259" s="365">
        <f t="shared" si="47"/>
        <v>-3.583312599387718</v>
      </c>
      <c r="I259" s="213">
        <f t="shared" si="48"/>
        <v>55</v>
      </c>
      <c r="J259" s="213">
        <f t="shared" si="49"/>
        <v>566</v>
      </c>
      <c r="K259">
        <f>RANK(2.51,AI:AI,0)</f>
        <v>235</v>
      </c>
      <c r="L259" s="357">
        <v>0</v>
      </c>
      <c r="M259" s="357">
        <v>1</v>
      </c>
      <c r="N259" s="357">
        <v>2</v>
      </c>
      <c r="O259" s="357">
        <v>1</v>
      </c>
      <c r="P259" s="357">
        <v>0</v>
      </c>
      <c r="Q259" s="358">
        <v>0.55890410958904113</v>
      </c>
      <c r="R259" s="359">
        <v>2.9752884615384616</v>
      </c>
      <c r="S259" s="196">
        <v>4306867000</v>
      </c>
      <c r="T259" s="196">
        <v>95300000</v>
      </c>
      <c r="U259" s="200">
        <f t="shared" si="50"/>
        <v>35880450000</v>
      </c>
      <c r="V259" s="196">
        <v>485000000</v>
      </c>
      <c r="W259" s="196">
        <v>6307000000</v>
      </c>
      <c r="X259" s="196">
        <v>1398000000</v>
      </c>
      <c r="Y259" s="196">
        <v>7677000000</v>
      </c>
      <c r="Z259" s="196">
        <v>0</v>
      </c>
      <c r="AA259" s="198">
        <v>0.06</v>
      </c>
      <c r="AB259" s="198">
        <v>0.06</v>
      </c>
      <c r="AC259" s="213">
        <f t="shared" si="51"/>
        <v>174</v>
      </c>
      <c r="AD259" s="213">
        <f t="shared" si="52"/>
        <v>95</v>
      </c>
      <c r="AE259" s="213">
        <v>5.79</v>
      </c>
      <c r="AF259" s="196">
        <v>425000000</v>
      </c>
      <c r="AG259" s="104">
        <f t="shared" si="53"/>
        <v>4.4596012591815324</v>
      </c>
      <c r="AH259" s="104">
        <f t="shared" si="54"/>
        <v>0.87628865979381443</v>
      </c>
      <c r="AI259" s="195">
        <v>2.5099999999999998</v>
      </c>
      <c r="AN259" t="s">
        <v>134</v>
      </c>
      <c r="AO259" s="33">
        <v>0</v>
      </c>
      <c r="AP259" s="33">
        <v>-1</v>
      </c>
      <c r="AQ259" s="33">
        <v>1</v>
      </c>
      <c r="AR259" s="33">
        <v>0</v>
      </c>
      <c r="AS259" s="33">
        <v>0</v>
      </c>
      <c r="AT259" s="33">
        <v>0</v>
      </c>
      <c r="AU259" s="33">
        <v>0</v>
      </c>
      <c r="AV259" s="33">
        <v>0</v>
      </c>
    </row>
    <row r="260" spans="1:48">
      <c r="A260">
        <v>2061</v>
      </c>
      <c r="C260" s="107">
        <f>VLOOKUP(2061,收盤價!$A:$C,3,0)</f>
        <v>7.77</v>
      </c>
      <c r="D260" s="107">
        <f t="shared" si="44"/>
        <v>0</v>
      </c>
      <c r="E260" s="167">
        <f t="shared" si="45"/>
        <v>1</v>
      </c>
      <c r="F260" s="104">
        <f t="shared" si="46"/>
        <v>0.51813850401234474</v>
      </c>
      <c r="G260" s="167">
        <f>RANK(0.61,AE:AE,0)</f>
        <v>1295</v>
      </c>
      <c r="H260" s="365">
        <f t="shared" si="47"/>
        <v>0.86956521739130432</v>
      </c>
      <c r="I260" s="213">
        <f t="shared" si="48"/>
        <v>1425</v>
      </c>
      <c r="J260" s="213">
        <f t="shared" si="49"/>
        <v>768</v>
      </c>
      <c r="K260">
        <f>RANK(0.71,AI:AI,0)</f>
        <v>1412</v>
      </c>
      <c r="L260" s="357">
        <v>0</v>
      </c>
      <c r="M260" s="357">
        <v>1</v>
      </c>
      <c r="N260" s="357">
        <v>0</v>
      </c>
      <c r="O260" s="357">
        <v>0</v>
      </c>
      <c r="P260" s="357">
        <v>0</v>
      </c>
      <c r="Q260" s="358">
        <v>3.8277511961722487E-2</v>
      </c>
      <c r="R260" s="359">
        <v>0</v>
      </c>
      <c r="S260" s="196">
        <v>931251000</v>
      </c>
      <c r="T260" s="196">
        <v>62100000</v>
      </c>
      <c r="U260" s="200">
        <f t="shared" si="50"/>
        <v>482517000</v>
      </c>
      <c r="V260" s="196">
        <v>-7000000</v>
      </c>
      <c r="W260" s="196">
        <v>408000000</v>
      </c>
      <c r="X260" s="196">
        <v>201000000</v>
      </c>
      <c r="Y260" s="196">
        <v>611000000</v>
      </c>
      <c r="Z260" s="196">
        <v>219000000</v>
      </c>
      <c r="AA260" s="198">
        <v>-0.01</v>
      </c>
      <c r="AB260" s="198">
        <v>-0.01</v>
      </c>
      <c r="AC260" s="213">
        <f t="shared" si="51"/>
        <v>1277</v>
      </c>
      <c r="AD260" s="213">
        <f t="shared" si="52"/>
        <v>1294</v>
      </c>
      <c r="AE260" s="213">
        <v>0.61</v>
      </c>
      <c r="AF260" s="196">
        <v>-54000000</v>
      </c>
      <c r="AG260" s="104">
        <f t="shared" si="53"/>
        <v>-0.86956521739130432</v>
      </c>
      <c r="AH260" s="104">
        <f t="shared" si="54"/>
        <v>0</v>
      </c>
      <c r="AI260" s="195">
        <v>0.71</v>
      </c>
      <c r="AN260" t="s">
        <v>135</v>
      </c>
      <c r="AO260" s="33">
        <v>-8</v>
      </c>
      <c r="AP260" s="33">
        <v>-57</v>
      </c>
      <c r="AQ260" s="33">
        <v>39</v>
      </c>
      <c r="AR260" s="33">
        <v>-63</v>
      </c>
      <c r="AS260" s="33">
        <v>-18</v>
      </c>
      <c r="AT260" s="33">
        <v>-207</v>
      </c>
      <c r="AU260" s="33">
        <v>228</v>
      </c>
      <c r="AV260" s="33">
        <v>-52</v>
      </c>
    </row>
    <row r="261" spans="1:48">
      <c r="A261">
        <v>2062</v>
      </c>
      <c r="C261" s="107">
        <f>VLOOKUP(2062,收盤價!$A:$C,3,0)</f>
        <v>41</v>
      </c>
      <c r="D261" s="107">
        <f t="shared" si="44"/>
        <v>16.562256977447507</v>
      </c>
      <c r="E261" s="167">
        <f t="shared" si="45"/>
        <v>2</v>
      </c>
      <c r="F261" s="104">
        <f t="shared" si="46"/>
        <v>1.0214326340386684</v>
      </c>
      <c r="G261" s="167">
        <f>RANK(1.64,AE:AE,0)</f>
        <v>539</v>
      </c>
      <c r="H261" s="365">
        <f t="shared" si="47"/>
        <v>-7.3498717872264585E-3</v>
      </c>
      <c r="I261" s="213">
        <f t="shared" si="48"/>
        <v>116</v>
      </c>
      <c r="J261" s="213">
        <f t="shared" si="49"/>
        <v>156</v>
      </c>
      <c r="K261">
        <f>RANK(5.73,AI:AI,0)</f>
        <v>52</v>
      </c>
      <c r="L261" s="357">
        <v>0</v>
      </c>
      <c r="M261" s="357">
        <v>1</v>
      </c>
      <c r="N261" s="357">
        <v>0</v>
      </c>
      <c r="O261" s="357">
        <v>1</v>
      </c>
      <c r="P261" s="357">
        <v>0</v>
      </c>
      <c r="Q261" s="358">
        <v>0.23917525773195877</v>
      </c>
      <c r="R261" s="359">
        <v>0.6188770053475936</v>
      </c>
      <c r="S261" s="196">
        <v>6566855000</v>
      </c>
      <c r="T261" s="196">
        <v>163600000</v>
      </c>
      <c r="U261" s="200">
        <f t="shared" si="50"/>
        <v>6707600000</v>
      </c>
      <c r="V261" s="196">
        <v>164000000</v>
      </c>
      <c r="W261" s="196">
        <v>628000000</v>
      </c>
      <c r="X261" s="196">
        <v>6080000000</v>
      </c>
      <c r="Y261" s="196">
        <v>5194000000</v>
      </c>
      <c r="Z261" s="196">
        <v>1357000000</v>
      </c>
      <c r="AA261" s="198">
        <v>0.02</v>
      </c>
      <c r="AB261" s="198">
        <v>0.03</v>
      </c>
      <c r="AC261" s="213">
        <f t="shared" si="51"/>
        <v>616</v>
      </c>
      <c r="AD261" s="213">
        <f t="shared" si="52"/>
        <v>334</v>
      </c>
      <c r="AE261" s="213">
        <v>1.64</v>
      </c>
      <c r="AF261" s="196">
        <v>493000000</v>
      </c>
      <c r="AG261" s="104">
        <f t="shared" si="53"/>
        <v>3.013447432762836</v>
      </c>
      <c r="AH261" s="104">
        <f t="shared" si="54"/>
        <v>3.0060975609756095</v>
      </c>
      <c r="AI261" s="195">
        <v>5.73</v>
      </c>
      <c r="AN261" t="s">
        <v>136</v>
      </c>
      <c r="AO261" s="33">
        <v>0</v>
      </c>
      <c r="AP261" s="33">
        <v>0</v>
      </c>
      <c r="AQ261" s="33">
        <v>0</v>
      </c>
      <c r="AR261" s="33">
        <v>0</v>
      </c>
      <c r="AS261" s="33">
        <v>0</v>
      </c>
      <c r="AT261" s="33">
        <v>0</v>
      </c>
      <c r="AU261" s="33">
        <v>0</v>
      </c>
      <c r="AV261" s="33">
        <v>0</v>
      </c>
    </row>
    <row r="262" spans="1:48">
      <c r="A262">
        <v>2063</v>
      </c>
      <c r="C262" s="107">
        <f>VLOOKUP(2063,收盤價!$A:$C,3,0)</f>
        <v>28.65</v>
      </c>
      <c r="D262" s="107">
        <f t="shared" si="44"/>
        <v>11.285451680672267</v>
      </c>
      <c r="E262" s="167">
        <f t="shared" si="45"/>
        <v>3</v>
      </c>
      <c r="F262" s="104">
        <f t="shared" si="46"/>
        <v>1.7228451675980756</v>
      </c>
      <c r="G262" s="167">
        <f>RANK(3.28,AE:AE,0)</f>
        <v>256</v>
      </c>
      <c r="H262" s="365">
        <f t="shared" si="47"/>
        <v>0.32332563510392609</v>
      </c>
      <c r="I262" s="213">
        <f t="shared" si="48"/>
        <v>1278</v>
      </c>
      <c r="J262" s="213">
        <f t="shared" si="49"/>
        <v>768</v>
      </c>
      <c r="K262">
        <f>RANK(0.76,AI:AI,0)</f>
        <v>1269</v>
      </c>
      <c r="L262" s="357">
        <v>0</v>
      </c>
      <c r="M262" s="357">
        <v>1</v>
      </c>
      <c r="N262" s="357">
        <v>2</v>
      </c>
      <c r="O262" s="357">
        <v>0</v>
      </c>
      <c r="P262" s="357">
        <v>0</v>
      </c>
      <c r="Q262" s="358">
        <v>0.29468599033816423</v>
      </c>
      <c r="R262" s="359">
        <v>0.63466666666666671</v>
      </c>
      <c r="S262" s="196">
        <v>720056000</v>
      </c>
      <c r="T262" s="196">
        <v>43300000</v>
      </c>
      <c r="U262" s="200">
        <f t="shared" si="50"/>
        <v>1240545000</v>
      </c>
      <c r="V262" s="196">
        <v>37000000</v>
      </c>
      <c r="W262" s="196">
        <v>177000000</v>
      </c>
      <c r="X262" s="196">
        <v>608000000</v>
      </c>
      <c r="Y262" s="196">
        <v>609000000</v>
      </c>
      <c r="Z262" s="196">
        <v>294000000</v>
      </c>
      <c r="AA262" s="198">
        <v>0.05</v>
      </c>
      <c r="AB262" s="198">
        <v>0.04</v>
      </c>
      <c r="AC262" s="213">
        <f t="shared" si="51"/>
        <v>247</v>
      </c>
      <c r="AD262" s="213">
        <f t="shared" si="52"/>
        <v>228</v>
      </c>
      <c r="AE262" s="213">
        <v>3.28</v>
      </c>
      <c r="AF262" s="196">
        <v>-14000000</v>
      </c>
      <c r="AG262" s="104">
        <f t="shared" si="53"/>
        <v>-0.32332563510392609</v>
      </c>
      <c r="AH262" s="104">
        <f t="shared" si="54"/>
        <v>0</v>
      </c>
      <c r="AI262" s="195">
        <v>0.76</v>
      </c>
      <c r="AN262" t="s">
        <v>137</v>
      </c>
      <c r="AO262" s="33">
        <v>48</v>
      </c>
      <c r="AP262" s="33">
        <v>-13</v>
      </c>
      <c r="AQ262" s="33">
        <v>-29</v>
      </c>
      <c r="AR262" s="33">
        <v>20</v>
      </c>
      <c r="AS262" s="33">
        <v>28</v>
      </c>
      <c r="AT262" s="33">
        <v>15</v>
      </c>
      <c r="AU262" s="33">
        <v>-78</v>
      </c>
      <c r="AV262" s="33">
        <v>25</v>
      </c>
    </row>
    <row r="263" spans="1:48">
      <c r="A263">
        <v>2064</v>
      </c>
      <c r="C263" s="107">
        <f>VLOOKUP(2064,收盤價!$A:$C,3,0)</f>
        <v>0</v>
      </c>
      <c r="D263" s="107">
        <f t="shared" si="44"/>
        <v>0</v>
      </c>
      <c r="E263" s="167">
        <f t="shared" si="45"/>
        <v>3</v>
      </c>
      <c r="F263" s="104">
        <f t="shared" si="46"/>
        <v>0</v>
      </c>
      <c r="G263" s="167">
        <f>RANK(1.63,AE:AE,0)</f>
        <v>551</v>
      </c>
      <c r="H263" s="365">
        <f t="shared" si="47"/>
        <v>1.1216027874564463</v>
      </c>
      <c r="I263" s="213">
        <f t="shared" si="48"/>
        <v>320</v>
      </c>
      <c r="J263" s="213">
        <f t="shared" si="49"/>
        <v>170</v>
      </c>
      <c r="K263">
        <f>RANK(3.18,AI:AI,0)</f>
        <v>152</v>
      </c>
      <c r="L263" s="357">
        <v>0</v>
      </c>
      <c r="M263" s="357">
        <v>1</v>
      </c>
      <c r="N263" s="357">
        <v>2</v>
      </c>
      <c r="O263" s="357">
        <v>0</v>
      </c>
      <c r="P263" s="357">
        <v>0</v>
      </c>
      <c r="Q263" s="358">
        <v>0.11926605504587157</v>
      </c>
      <c r="R263" s="359">
        <v>0.44115384615384617</v>
      </c>
      <c r="S263" s="196">
        <v>2030723000</v>
      </c>
      <c r="T263" s="196">
        <v>70000000</v>
      </c>
      <c r="U263" s="200">
        <f t="shared" si="50"/>
        <v>0</v>
      </c>
      <c r="V263" s="196">
        <v>41000000</v>
      </c>
      <c r="W263" s="196">
        <v>376000000</v>
      </c>
      <c r="X263" s="196">
        <v>1183000000</v>
      </c>
      <c r="Y263" s="196">
        <v>1444000000</v>
      </c>
      <c r="Z263" s="196">
        <v>856000000</v>
      </c>
      <c r="AA263" s="198">
        <v>0.03</v>
      </c>
      <c r="AB263" s="198">
        <v>0.02</v>
      </c>
      <c r="AC263" s="213">
        <f t="shared" si="51"/>
        <v>469</v>
      </c>
      <c r="AD263" s="213">
        <f t="shared" si="52"/>
        <v>487</v>
      </c>
      <c r="AE263" s="213">
        <v>1.63</v>
      </c>
      <c r="AF263" s="196">
        <v>111000000</v>
      </c>
      <c r="AG263" s="104">
        <f t="shared" si="53"/>
        <v>1.5857142857142856</v>
      </c>
      <c r="AH263" s="104">
        <f t="shared" si="54"/>
        <v>2.7073170731707319</v>
      </c>
      <c r="AI263" s="195">
        <v>3.18</v>
      </c>
      <c r="AN263" t="s">
        <v>139</v>
      </c>
      <c r="AO263" s="33">
        <v>113</v>
      </c>
      <c r="AP263" s="33">
        <v>65</v>
      </c>
      <c r="AQ263" s="33">
        <v>78</v>
      </c>
      <c r="AR263" s="33">
        <v>107</v>
      </c>
      <c r="AS263" s="33">
        <v>87</v>
      </c>
      <c r="AT263" s="33">
        <v>60</v>
      </c>
      <c r="AU263" s="33">
        <v>44</v>
      </c>
      <c r="AV263" s="33">
        <v>122</v>
      </c>
    </row>
    <row r="264" spans="1:48">
      <c r="A264">
        <v>2066</v>
      </c>
      <c r="C264" s="107">
        <f>VLOOKUP(2066,收盤價!$A:$C,3,0)</f>
        <v>114.5</v>
      </c>
      <c r="D264" s="107">
        <f t="shared" si="44"/>
        <v>20.065486072680315</v>
      </c>
      <c r="E264" s="167">
        <f t="shared" si="45"/>
        <v>3</v>
      </c>
      <c r="F264" s="104">
        <f t="shared" si="46"/>
        <v>3.3012496445385322</v>
      </c>
      <c r="G264" s="167">
        <f>RANK(11.71,AE:AE,0)</f>
        <v>60</v>
      </c>
      <c r="H264" s="365">
        <f t="shared" si="47"/>
        <v>-0.52476290832455208</v>
      </c>
      <c r="I264" s="213">
        <f t="shared" si="48"/>
        <v>524</v>
      </c>
      <c r="J264" s="213">
        <f t="shared" si="49"/>
        <v>690</v>
      </c>
      <c r="K264">
        <f>RANK(1.28,AI:AI,0)</f>
        <v>685</v>
      </c>
      <c r="L264" s="357">
        <v>0</v>
      </c>
      <c r="M264" s="357">
        <v>1</v>
      </c>
      <c r="N264" s="357">
        <v>1</v>
      </c>
      <c r="O264" s="357">
        <v>1</v>
      </c>
      <c r="P264" s="357">
        <v>0</v>
      </c>
      <c r="Q264" s="358">
        <v>0.34234234234234234</v>
      </c>
      <c r="R264" s="359">
        <v>1.4265789473684212</v>
      </c>
      <c r="S264" s="196">
        <v>1265960000</v>
      </c>
      <c r="T264" s="196">
        <v>36500000</v>
      </c>
      <c r="U264" s="200">
        <f t="shared" si="50"/>
        <v>4179250000</v>
      </c>
      <c r="V264" s="196">
        <v>78000000</v>
      </c>
      <c r="W264" s="196">
        <v>580000000</v>
      </c>
      <c r="X264" s="196">
        <v>335000000</v>
      </c>
      <c r="Y264" s="196">
        <v>953000000</v>
      </c>
      <c r="Z264" s="196">
        <v>200000000</v>
      </c>
      <c r="AA264" s="198">
        <v>0.09</v>
      </c>
      <c r="AB264" s="198">
        <v>7.0000000000000007E-2</v>
      </c>
      <c r="AC264" s="213">
        <f t="shared" si="51"/>
        <v>69</v>
      </c>
      <c r="AD264" s="213">
        <f t="shared" si="52"/>
        <v>64</v>
      </c>
      <c r="AE264" s="213">
        <v>11.71</v>
      </c>
      <c r="AF264" s="196">
        <v>36000000</v>
      </c>
      <c r="AG264" s="104">
        <f t="shared" si="53"/>
        <v>0.98630136986301364</v>
      </c>
      <c r="AH264" s="104">
        <f t="shared" si="54"/>
        <v>0.46153846153846156</v>
      </c>
      <c r="AI264" s="195">
        <v>1.28</v>
      </c>
      <c r="AN264" t="s">
        <v>140</v>
      </c>
      <c r="AO264" s="33">
        <v>0</v>
      </c>
      <c r="AP264" s="33">
        <v>0</v>
      </c>
      <c r="AQ264" s="33">
        <v>0</v>
      </c>
      <c r="AR264" s="33">
        <v>1</v>
      </c>
      <c r="AS264" s="33">
        <v>1</v>
      </c>
      <c r="AT264" s="33">
        <v>1</v>
      </c>
      <c r="AU264" s="33">
        <v>1</v>
      </c>
      <c r="AV264" s="33">
        <v>0</v>
      </c>
    </row>
    <row r="265" spans="1:48">
      <c r="A265">
        <v>2067</v>
      </c>
      <c r="C265" s="107">
        <f>VLOOKUP(2067,收盤價!$A:$C,3,0)</f>
        <v>16</v>
      </c>
      <c r="D265" s="107">
        <f t="shared" si="44"/>
        <v>0</v>
      </c>
      <c r="E265" s="167">
        <f t="shared" si="45"/>
        <v>5</v>
      </c>
      <c r="F265" s="104">
        <f t="shared" si="46"/>
        <v>0.51925370091029532</v>
      </c>
      <c r="G265" s="167">
        <f>RANK(0.84,AE:AE,0)</f>
        <v>946</v>
      </c>
      <c r="H265" s="365">
        <f t="shared" si="47"/>
        <v>-0.625</v>
      </c>
      <c r="I265" s="213">
        <f t="shared" si="48"/>
        <v>683</v>
      </c>
      <c r="J265" s="213">
        <f t="shared" si="49"/>
        <v>768</v>
      </c>
      <c r="K265">
        <f>RANK(1.07,AI:AI,0)</f>
        <v>826</v>
      </c>
      <c r="L265" s="357">
        <v>1</v>
      </c>
      <c r="M265" s="357">
        <v>1</v>
      </c>
      <c r="N265" s="357">
        <v>2</v>
      </c>
      <c r="O265" s="357">
        <v>1</v>
      </c>
      <c r="P265" s="357">
        <v>0</v>
      </c>
      <c r="Q265" s="358">
        <v>0.18253968253968253</v>
      </c>
      <c r="R265" s="359">
        <v>0</v>
      </c>
      <c r="S265" s="196">
        <v>936729000</v>
      </c>
      <c r="T265" s="196">
        <v>30400000</v>
      </c>
      <c r="U265" s="200">
        <f t="shared" si="50"/>
        <v>486400000</v>
      </c>
      <c r="V265" s="196">
        <v>-1000000</v>
      </c>
      <c r="W265" s="196">
        <v>0</v>
      </c>
      <c r="X265" s="196">
        <v>551000000</v>
      </c>
      <c r="Y265" s="196">
        <v>423000000</v>
      </c>
      <c r="Z265" s="196">
        <v>451000000</v>
      </c>
      <c r="AA265" s="198">
        <v>0</v>
      </c>
      <c r="AB265" s="198">
        <v>0</v>
      </c>
      <c r="AC265" s="213">
        <f t="shared" si="51"/>
        <v>945</v>
      </c>
      <c r="AD265" s="213">
        <f t="shared" si="52"/>
        <v>911</v>
      </c>
      <c r="AE265" s="213">
        <v>0.84</v>
      </c>
      <c r="AF265" s="196">
        <v>19000000</v>
      </c>
      <c r="AG265" s="104">
        <f t="shared" si="53"/>
        <v>0.625</v>
      </c>
      <c r="AH265" s="104">
        <f t="shared" si="54"/>
        <v>0</v>
      </c>
      <c r="AI265" s="195">
        <v>1.07</v>
      </c>
      <c r="AN265" t="s">
        <v>142</v>
      </c>
      <c r="AO265" s="33"/>
      <c r="AP265" s="33"/>
      <c r="AQ265" s="33"/>
      <c r="AR265" s="33"/>
      <c r="AS265" s="33"/>
      <c r="AT265" s="33"/>
      <c r="AU265" s="33"/>
      <c r="AV265" s="33"/>
    </row>
    <row r="266" spans="1:48">
      <c r="A266">
        <v>2069</v>
      </c>
      <c r="C266" s="107">
        <f>VLOOKUP(2069,收盤價!$A:$C,3,0)</f>
        <v>18.75</v>
      </c>
      <c r="D266" s="107">
        <f t="shared" si="44"/>
        <v>7.2115384615384599</v>
      </c>
      <c r="E266" s="167">
        <f t="shared" si="45"/>
        <v>0</v>
      </c>
      <c r="F266" s="104">
        <f t="shared" si="46"/>
        <v>0.32710058045484824</v>
      </c>
      <c r="G266" s="167">
        <f>RANK(2.32,AE:AE,0)</f>
        <v>360</v>
      </c>
      <c r="H266" s="365">
        <f t="shared" si="47"/>
        <v>0.37007240547063558</v>
      </c>
      <c r="I266" s="213">
        <f t="shared" si="48"/>
        <v>1298</v>
      </c>
      <c r="J266" s="213">
        <f t="shared" si="49"/>
        <v>768</v>
      </c>
      <c r="K266">
        <f>RANK(0.75,AI:AI,0)</f>
        <v>1296</v>
      </c>
      <c r="L266" s="357">
        <v>0</v>
      </c>
      <c r="M266" s="357">
        <v>0</v>
      </c>
      <c r="N266" s="357">
        <v>0</v>
      </c>
      <c r="O266" s="357">
        <v>0</v>
      </c>
      <c r="P266" s="357">
        <v>0</v>
      </c>
      <c r="Q266" s="358">
        <v>0.10199556541019955</v>
      </c>
      <c r="R266" s="359">
        <v>0.65000000000000013</v>
      </c>
      <c r="S266" s="196">
        <v>7125102000</v>
      </c>
      <c r="T266" s="196">
        <v>124300000</v>
      </c>
      <c r="U266" s="200">
        <f t="shared" si="50"/>
        <v>2330625000</v>
      </c>
      <c r="V266" s="196">
        <v>110000000</v>
      </c>
      <c r="W266" s="196">
        <v>526000000</v>
      </c>
      <c r="X266" s="196">
        <v>1989000000</v>
      </c>
      <c r="Y266" s="196">
        <v>2442000000</v>
      </c>
      <c r="Z266" s="196">
        <v>1421000000</v>
      </c>
      <c r="AA266" s="198">
        <v>0.04</v>
      </c>
      <c r="AB266" s="198">
        <v>0.03</v>
      </c>
      <c r="AC266" s="213">
        <f t="shared" si="51"/>
        <v>337</v>
      </c>
      <c r="AD266" s="213">
        <f t="shared" si="52"/>
        <v>334</v>
      </c>
      <c r="AE266" s="213">
        <v>2.3199999999999998</v>
      </c>
      <c r="AF266" s="196">
        <v>-46000000</v>
      </c>
      <c r="AG266" s="104">
        <f t="shared" si="53"/>
        <v>-0.37007240547063558</v>
      </c>
      <c r="AH266" s="104">
        <f t="shared" si="54"/>
        <v>0</v>
      </c>
      <c r="AI266" s="195">
        <v>0.75</v>
      </c>
      <c r="AN266" t="s">
        <v>143</v>
      </c>
      <c r="AO266" s="33"/>
      <c r="AP266" s="33"/>
      <c r="AQ266" s="33"/>
      <c r="AR266" s="33"/>
      <c r="AS266" s="33"/>
      <c r="AT266" s="33"/>
      <c r="AU266" s="33"/>
      <c r="AV266" s="33"/>
    </row>
    <row r="267" spans="1:48">
      <c r="A267">
        <v>2101</v>
      </c>
      <c r="C267" s="107">
        <f>VLOOKUP(2101,收盤價!$A:$C,3,0)</f>
        <v>29.45</v>
      </c>
      <c r="D267" s="107">
        <f t="shared" si="44"/>
        <v>23.119662330836945</v>
      </c>
      <c r="E267" s="167">
        <f t="shared" si="45"/>
        <v>5</v>
      </c>
      <c r="F267" s="104">
        <f t="shared" si="46"/>
        <v>2.3834850496658966</v>
      </c>
      <c r="G267" s="167">
        <f>RANK(1.63,AE:AE,0)</f>
        <v>551</v>
      </c>
      <c r="H267" s="365">
        <f t="shared" si="47"/>
        <v>0.54192440094281114</v>
      </c>
      <c r="I267" s="213">
        <f t="shared" si="48"/>
        <v>735</v>
      </c>
      <c r="J267" s="213">
        <f t="shared" si="49"/>
        <v>514</v>
      </c>
      <c r="K267">
        <f>RANK(1.25,AI:AI,0)</f>
        <v>709</v>
      </c>
      <c r="L267" s="357">
        <v>1</v>
      </c>
      <c r="M267" s="357">
        <v>1</v>
      </c>
      <c r="N267" s="357">
        <v>1</v>
      </c>
      <c r="O267" s="357">
        <v>1</v>
      </c>
      <c r="P267" s="357">
        <v>1</v>
      </c>
      <c r="Q267" s="358">
        <v>0.2421539478031054</v>
      </c>
      <c r="R267" s="359">
        <v>0.31845188284518827</v>
      </c>
      <c r="S267" s="196">
        <v>10303549000</v>
      </c>
      <c r="T267" s="196">
        <v>833900000</v>
      </c>
      <c r="U267" s="200">
        <f t="shared" si="50"/>
        <v>24558355000</v>
      </c>
      <c r="V267" s="196">
        <v>409000000</v>
      </c>
      <c r="W267" s="196">
        <v>4253000000</v>
      </c>
      <c r="X267" s="196">
        <v>8535000000</v>
      </c>
      <c r="Y267" s="196">
        <v>11987000000</v>
      </c>
      <c r="Z267" s="196">
        <v>6985000000</v>
      </c>
      <c r="AA267" s="198">
        <v>0.03</v>
      </c>
      <c r="AB267" s="198">
        <v>0.02</v>
      </c>
      <c r="AC267" s="213">
        <f t="shared" si="51"/>
        <v>469</v>
      </c>
      <c r="AD267" s="213">
        <f t="shared" si="52"/>
        <v>487</v>
      </c>
      <c r="AE267" s="213">
        <v>1.63</v>
      </c>
      <c r="AF267" s="196">
        <v>435000000</v>
      </c>
      <c r="AG267" s="104">
        <f t="shared" si="53"/>
        <v>0.52164528120877807</v>
      </c>
      <c r="AH267" s="104">
        <f t="shared" si="54"/>
        <v>1.0635696821515892</v>
      </c>
      <c r="AI267" s="195">
        <v>1.25</v>
      </c>
      <c r="AN267" t="s">
        <v>104</v>
      </c>
      <c r="AO267" s="33"/>
      <c r="AP267" s="33"/>
      <c r="AQ267" s="33"/>
      <c r="AR267" s="33"/>
      <c r="AS267" s="33"/>
      <c r="AT267" s="33"/>
      <c r="AU267" s="33"/>
      <c r="AV267" s="33"/>
    </row>
    <row r="268" spans="1:48">
      <c r="A268">
        <v>2102</v>
      </c>
      <c r="C268" s="107">
        <f>VLOOKUP(2102,收盤價!$A:$C,3,0)</f>
        <v>13.6</v>
      </c>
      <c r="D268" s="107">
        <f t="shared" si="44"/>
        <v>574.48275862068965</v>
      </c>
      <c r="E268" s="167">
        <f t="shared" si="45"/>
        <v>1</v>
      </c>
      <c r="F268" s="104">
        <f t="shared" si="46"/>
        <v>1.0024011625210236</v>
      </c>
      <c r="G268" s="167">
        <f>RANK(0.84,AE:AE,0)</f>
        <v>946</v>
      </c>
      <c r="H268" s="365">
        <f t="shared" si="47"/>
        <v>20.998301985370951</v>
      </c>
      <c r="I268" s="213">
        <f t="shared" si="48"/>
        <v>311</v>
      </c>
      <c r="J268" s="213">
        <f t="shared" si="49"/>
        <v>12</v>
      </c>
      <c r="K268">
        <f>RANK(4.82,AI:AI,0)</f>
        <v>70</v>
      </c>
      <c r="L268" s="357">
        <v>0</v>
      </c>
      <c r="M268" s="357">
        <v>0</v>
      </c>
      <c r="N268" s="357">
        <v>0</v>
      </c>
      <c r="O268" s="357">
        <v>1</v>
      </c>
      <c r="P268" s="357">
        <v>0</v>
      </c>
      <c r="Q268" s="358">
        <v>0.18959372772630079</v>
      </c>
      <c r="R268" s="359">
        <v>5.9183673469387754E-3</v>
      </c>
      <c r="S268" s="196">
        <v>6295284000</v>
      </c>
      <c r="T268" s="196">
        <v>464000000</v>
      </c>
      <c r="U268" s="200">
        <f t="shared" si="50"/>
        <v>6310400000</v>
      </c>
      <c r="V268" s="196">
        <v>33000000</v>
      </c>
      <c r="W268" s="196">
        <v>3126000000</v>
      </c>
      <c r="X268" s="196">
        <v>6749000000</v>
      </c>
      <c r="Y268" s="196">
        <v>10078000000</v>
      </c>
      <c r="Z268" s="196">
        <v>397000000</v>
      </c>
      <c r="AA268" s="198">
        <v>0</v>
      </c>
      <c r="AB268" s="198">
        <v>0</v>
      </c>
      <c r="AC268" s="213">
        <f t="shared" si="51"/>
        <v>945</v>
      </c>
      <c r="AD268" s="213">
        <f t="shared" si="52"/>
        <v>911</v>
      </c>
      <c r="AE268" s="213">
        <v>0.84</v>
      </c>
      <c r="AF268" s="196">
        <v>746000000</v>
      </c>
      <c r="AG268" s="104">
        <f t="shared" si="53"/>
        <v>1.6077586206896552</v>
      </c>
      <c r="AH268" s="104">
        <f t="shared" si="54"/>
        <v>22.606060606060606</v>
      </c>
      <c r="AI268" s="195">
        <v>4.82</v>
      </c>
      <c r="AN268" t="s">
        <v>105</v>
      </c>
      <c r="AO268" s="33"/>
      <c r="AP268" s="33"/>
      <c r="AQ268" s="33"/>
      <c r="AR268" s="33"/>
      <c r="AS268" s="33"/>
      <c r="AT268" s="33"/>
      <c r="AU268" s="33"/>
      <c r="AV268" s="33"/>
    </row>
    <row r="269" spans="1:48">
      <c r="A269">
        <v>2103</v>
      </c>
      <c r="C269" s="107">
        <f>VLOOKUP(2103,收盤價!$A:$C,3,0)</f>
        <v>33.35</v>
      </c>
      <c r="D269" s="107">
        <f t="shared" si="44"/>
        <v>15.915178571428571</v>
      </c>
      <c r="E269" s="167">
        <f t="shared" si="45"/>
        <v>5</v>
      </c>
      <c r="F269" s="104">
        <f t="shared" si="46"/>
        <v>1.0603712145153563</v>
      </c>
      <c r="G269" s="167">
        <f>RANK(3.07,AE:AE,0)</f>
        <v>293</v>
      </c>
      <c r="H269" s="365">
        <f t="shared" si="47"/>
        <v>0.11310858481328057</v>
      </c>
      <c r="I269" s="213">
        <f t="shared" si="48"/>
        <v>542</v>
      </c>
      <c r="J269" s="213">
        <f t="shared" si="49"/>
        <v>517</v>
      </c>
      <c r="K269">
        <f>RANK(1.47,AI:AI,0)</f>
        <v>572</v>
      </c>
      <c r="L269" s="357">
        <v>1</v>
      </c>
      <c r="M269" s="357">
        <v>1</v>
      </c>
      <c r="N269" s="357">
        <v>2</v>
      </c>
      <c r="O269" s="357">
        <v>1</v>
      </c>
      <c r="P269" s="357">
        <v>0</v>
      </c>
      <c r="Q269" s="358">
        <v>0.17557251908396945</v>
      </c>
      <c r="R269" s="359">
        <v>0.52387096774193553</v>
      </c>
      <c r="S269" s="196">
        <v>25969297000</v>
      </c>
      <c r="T269" s="196">
        <v>825700000</v>
      </c>
      <c r="U269" s="200">
        <f t="shared" si="50"/>
        <v>27537095000</v>
      </c>
      <c r="V269" s="196">
        <v>737000000</v>
      </c>
      <c r="W269" s="196">
        <v>3535000000</v>
      </c>
      <c r="X269" s="196">
        <v>9384000000</v>
      </c>
      <c r="Y269" s="196">
        <v>17301000000</v>
      </c>
      <c r="Z269" s="196">
        <v>5875000000</v>
      </c>
      <c r="AA269" s="198">
        <v>0.06</v>
      </c>
      <c r="AB269" s="198">
        <v>0.03</v>
      </c>
      <c r="AC269" s="213">
        <f t="shared" si="51"/>
        <v>174</v>
      </c>
      <c r="AD269" s="213">
        <f t="shared" si="52"/>
        <v>334</v>
      </c>
      <c r="AE269" s="213">
        <v>3.07</v>
      </c>
      <c r="AF269" s="196">
        <v>776000000</v>
      </c>
      <c r="AG269" s="104">
        <f t="shared" si="53"/>
        <v>0.93980864720842916</v>
      </c>
      <c r="AH269" s="104">
        <f t="shared" si="54"/>
        <v>1.0529172320217097</v>
      </c>
      <c r="AI269" s="195">
        <v>1.47</v>
      </c>
      <c r="AN269" t="s">
        <v>180</v>
      </c>
      <c r="AO269" s="33">
        <v>923</v>
      </c>
      <c r="AP269" s="33">
        <v>913</v>
      </c>
      <c r="AQ269" s="33">
        <v>929</v>
      </c>
      <c r="AR269" s="33">
        <v>950</v>
      </c>
      <c r="AS269" s="33">
        <v>968</v>
      </c>
      <c r="AT269" s="33">
        <v>999</v>
      </c>
      <c r="AU269" s="33">
        <v>1056</v>
      </c>
      <c r="AV269" s="33">
        <v>1018</v>
      </c>
    </row>
    <row r="270" spans="1:48">
      <c r="A270">
        <v>2104</v>
      </c>
      <c r="C270" s="107">
        <f>VLOOKUP(2104,收盤價!$A:$C,3,0)</f>
        <v>25.2</v>
      </c>
      <c r="D270" s="107">
        <f t="shared" si="44"/>
        <v>10.872483221476511</v>
      </c>
      <c r="E270" s="167">
        <f t="shared" si="45"/>
        <v>4</v>
      </c>
      <c r="F270" s="104">
        <f t="shared" si="46"/>
        <v>0.96383051469404502</v>
      </c>
      <c r="G270" s="167">
        <f>RANK(2.32,AE:AE,0)</f>
        <v>360</v>
      </c>
      <c r="H270" s="365">
        <f t="shared" si="47"/>
        <v>-1.4198916870654124E-2</v>
      </c>
      <c r="I270" s="213">
        <f t="shared" si="48"/>
        <v>974</v>
      </c>
      <c r="J270" s="213">
        <f t="shared" si="49"/>
        <v>752</v>
      </c>
      <c r="K270">
        <f>RANK(0.9,AI:AI,0)</f>
        <v>988</v>
      </c>
      <c r="L270" s="357">
        <v>0</v>
      </c>
      <c r="M270" s="357">
        <v>1</v>
      </c>
      <c r="N270" s="357">
        <v>2</v>
      </c>
      <c r="O270" s="357">
        <v>1</v>
      </c>
      <c r="P270" s="357">
        <v>0</v>
      </c>
      <c r="Q270" s="358">
        <v>0.24861460957178841</v>
      </c>
      <c r="R270" s="359">
        <v>0.57944444444444443</v>
      </c>
      <c r="S270" s="196">
        <v>15653416000</v>
      </c>
      <c r="T270" s="196">
        <v>598700000</v>
      </c>
      <c r="U270" s="200">
        <f t="shared" si="50"/>
        <v>15087240000</v>
      </c>
      <c r="V270" s="196">
        <v>673000000</v>
      </c>
      <c r="W270" s="196">
        <v>6746000000</v>
      </c>
      <c r="X270" s="196">
        <v>9653000000</v>
      </c>
      <c r="Y270" s="196">
        <v>18068000000</v>
      </c>
      <c r="Z270" s="196">
        <v>5961000000</v>
      </c>
      <c r="AA270" s="198">
        <v>0.04</v>
      </c>
      <c r="AB270" s="198">
        <v>0.03</v>
      </c>
      <c r="AC270" s="213">
        <f t="shared" si="51"/>
        <v>337</v>
      </c>
      <c r="AD270" s="213">
        <f t="shared" si="52"/>
        <v>334</v>
      </c>
      <c r="AE270" s="213">
        <v>2.3199999999999998</v>
      </c>
      <c r="AF270" s="196">
        <v>77000000</v>
      </c>
      <c r="AG270" s="104">
        <f t="shared" si="53"/>
        <v>0.12861199265074327</v>
      </c>
      <c r="AH270" s="104">
        <f t="shared" si="54"/>
        <v>0.11441307578008915</v>
      </c>
      <c r="AI270" s="195">
        <v>0.9</v>
      </c>
      <c r="AN270" t="s">
        <v>188</v>
      </c>
      <c r="AO270" s="33">
        <v>902</v>
      </c>
      <c r="AP270" s="33">
        <v>902</v>
      </c>
      <c r="AQ270" s="33">
        <v>902</v>
      </c>
      <c r="AR270" s="33">
        <v>902</v>
      </c>
      <c r="AS270" s="33">
        <v>902</v>
      </c>
      <c r="AT270" s="33">
        <v>902</v>
      </c>
      <c r="AU270" s="33">
        <v>902</v>
      </c>
      <c r="AV270" s="33">
        <v>902</v>
      </c>
    </row>
    <row r="271" spans="1:48">
      <c r="A271">
        <v>2105</v>
      </c>
      <c r="C271" s="107">
        <f>VLOOKUP(2105,收盤價!$A:$C,3,0)</f>
        <v>65.900000000000006</v>
      </c>
      <c r="D271" s="107">
        <f t="shared" si="44"/>
        <v>13.394308943089433</v>
      </c>
      <c r="E271" s="167">
        <f t="shared" si="45"/>
        <v>4</v>
      </c>
      <c r="F271" s="104">
        <f t="shared" si="46"/>
        <v>1.8196696984235594</v>
      </c>
      <c r="G271" s="167">
        <f>RANK(0.84,AE:AE,0)</f>
        <v>946</v>
      </c>
      <c r="H271" s="365">
        <f t="shared" si="47"/>
        <v>-2.2632195964706607</v>
      </c>
      <c r="I271" s="213">
        <f t="shared" si="48"/>
        <v>192</v>
      </c>
      <c r="J271" s="213">
        <f t="shared" si="49"/>
        <v>768</v>
      </c>
      <c r="K271">
        <f>RANK(1.62,AI:AI,0)</f>
        <v>493</v>
      </c>
      <c r="L271" s="357">
        <v>0</v>
      </c>
      <c r="M271" s="357">
        <v>1</v>
      </c>
      <c r="N271" s="357">
        <v>2</v>
      </c>
      <c r="O271" s="357">
        <v>1</v>
      </c>
      <c r="P271" s="357">
        <v>0</v>
      </c>
      <c r="Q271" s="358">
        <v>0.32922858708616742</v>
      </c>
      <c r="R271" s="359">
        <v>1.23</v>
      </c>
      <c r="S271" s="196">
        <v>117388480000</v>
      </c>
      <c r="T271" s="196">
        <v>3241400000</v>
      </c>
      <c r="U271" s="200">
        <f t="shared" si="50"/>
        <v>213608260000.00003</v>
      </c>
      <c r="V271" s="196">
        <v>0</v>
      </c>
      <c r="W271" s="196">
        <v>12357000000</v>
      </c>
      <c r="X271" s="196">
        <v>104296000000</v>
      </c>
      <c r="Y271" s="196">
        <v>86153000000</v>
      </c>
      <c r="Z271" s="196">
        <v>20150000000</v>
      </c>
      <c r="AA271" s="198">
        <v>0</v>
      </c>
      <c r="AB271" s="198">
        <v>0</v>
      </c>
      <c r="AC271" s="213">
        <f t="shared" si="51"/>
        <v>945</v>
      </c>
      <c r="AD271" s="213">
        <f t="shared" si="52"/>
        <v>911</v>
      </c>
      <c r="AE271" s="213">
        <v>0.84</v>
      </c>
      <c r="AF271" s="196">
        <v>7336000000</v>
      </c>
      <c r="AG271" s="104">
        <f t="shared" si="53"/>
        <v>2.2632195964706607</v>
      </c>
      <c r="AH271" s="104">
        <f t="shared" si="54"/>
        <v>0</v>
      </c>
      <c r="AI271" s="195">
        <v>1.62</v>
      </c>
      <c r="AN271" t="s">
        <v>191</v>
      </c>
      <c r="AO271" s="33">
        <v>54</v>
      </c>
      <c r="AP271" s="87">
        <v>54</v>
      </c>
      <c r="AQ271" s="33">
        <v>54</v>
      </c>
      <c r="AR271" s="33">
        <v>54</v>
      </c>
      <c r="AS271" s="33">
        <v>52</v>
      </c>
      <c r="AT271" s="33">
        <v>52</v>
      </c>
      <c r="AU271" s="33">
        <v>52</v>
      </c>
      <c r="AV271" s="33">
        <v>52</v>
      </c>
    </row>
    <row r="272" spans="1:48">
      <c r="A272">
        <v>2106</v>
      </c>
      <c r="C272" s="107">
        <f>VLOOKUP(2106,收盤價!$A:$C,3,0)</f>
        <v>48.75</v>
      </c>
      <c r="D272" s="107">
        <f t="shared" si="44"/>
        <v>12.066831683168317</v>
      </c>
      <c r="E272" s="167">
        <f t="shared" si="45"/>
        <v>4</v>
      </c>
      <c r="F272" s="104">
        <f t="shared" si="46"/>
        <v>1.3842066528164443</v>
      </c>
      <c r="G272" s="167">
        <f>RANK(0.84,AE:AE,0)</f>
        <v>946</v>
      </c>
      <c r="H272" s="365">
        <f t="shared" si="47"/>
        <v>-1.8523270733698822</v>
      </c>
      <c r="I272" s="213">
        <f t="shared" si="48"/>
        <v>255</v>
      </c>
      <c r="J272" s="213">
        <f t="shared" si="49"/>
        <v>768</v>
      </c>
      <c r="K272">
        <f>RANK(1.52,AI:AI,0)</f>
        <v>548</v>
      </c>
      <c r="L272" s="357">
        <v>0</v>
      </c>
      <c r="M272" s="357">
        <v>1</v>
      </c>
      <c r="N272" s="357">
        <v>2</v>
      </c>
      <c r="O272" s="357">
        <v>1</v>
      </c>
      <c r="P272" s="357">
        <v>0</v>
      </c>
      <c r="Q272" s="358">
        <v>0.28659534298300821</v>
      </c>
      <c r="R272" s="359">
        <v>1.01</v>
      </c>
      <c r="S272" s="196">
        <v>30193017000</v>
      </c>
      <c r="T272" s="196">
        <v>857300000</v>
      </c>
      <c r="U272" s="200">
        <f t="shared" si="50"/>
        <v>41793375000</v>
      </c>
      <c r="V272" s="196">
        <v>0</v>
      </c>
      <c r="W272" s="196">
        <v>19143000000</v>
      </c>
      <c r="X272" s="196">
        <v>10441000000</v>
      </c>
      <c r="Y272" s="196">
        <v>20657000000</v>
      </c>
      <c r="Z272" s="196">
        <v>2378000000</v>
      </c>
      <c r="AA272" s="198">
        <v>0</v>
      </c>
      <c r="AB272" s="198">
        <v>0</v>
      </c>
      <c r="AC272" s="213">
        <f t="shared" si="51"/>
        <v>945</v>
      </c>
      <c r="AD272" s="213">
        <f t="shared" si="52"/>
        <v>911</v>
      </c>
      <c r="AE272" s="213">
        <v>0.84</v>
      </c>
      <c r="AF272" s="196">
        <v>1588000000</v>
      </c>
      <c r="AG272" s="104">
        <f t="shared" si="53"/>
        <v>1.8523270733698822</v>
      </c>
      <c r="AH272" s="104">
        <f t="shared" si="54"/>
        <v>0</v>
      </c>
      <c r="AI272" s="195">
        <v>1.52</v>
      </c>
      <c r="AN272" t="s">
        <v>192</v>
      </c>
      <c r="AO272" s="33">
        <v>11</v>
      </c>
      <c r="AP272" s="33">
        <v>11</v>
      </c>
      <c r="AQ272" s="33">
        <v>11</v>
      </c>
      <c r="AR272" s="33">
        <v>11</v>
      </c>
      <c r="AS272" s="33">
        <v>11</v>
      </c>
      <c r="AT272" s="33">
        <v>11</v>
      </c>
      <c r="AU272" s="33">
        <v>11</v>
      </c>
      <c r="AV272" s="33">
        <v>11</v>
      </c>
    </row>
    <row r="273" spans="1:48">
      <c r="A273">
        <v>2107</v>
      </c>
      <c r="C273" s="107">
        <f>VLOOKUP(2107,收盤價!$A:$C,3,0)</f>
        <v>14.9</v>
      </c>
      <c r="D273" s="107">
        <f t="shared" si="44"/>
        <v>49.91013071895425</v>
      </c>
      <c r="E273" s="167">
        <f t="shared" si="45"/>
        <v>1</v>
      </c>
      <c r="F273" s="104">
        <f t="shared" si="46"/>
        <v>4.1798516665676848</v>
      </c>
      <c r="G273" s="167">
        <f>RANK(1.08,AE:AE,0)</f>
        <v>769</v>
      </c>
      <c r="H273" s="365">
        <f t="shared" si="47"/>
        <v>0.15981735159817351</v>
      </c>
      <c r="I273" s="213">
        <f t="shared" si="48"/>
        <v>1183</v>
      </c>
      <c r="J273" s="213">
        <f t="shared" si="49"/>
        <v>768</v>
      </c>
      <c r="K273">
        <f>RANK(0.8,AI:AI,0)</f>
        <v>1168</v>
      </c>
      <c r="L273" s="357">
        <v>0</v>
      </c>
      <c r="M273" s="357">
        <v>1</v>
      </c>
      <c r="N273" s="357">
        <v>0</v>
      </c>
      <c r="O273" s="357">
        <v>0</v>
      </c>
      <c r="P273" s="357">
        <v>0</v>
      </c>
      <c r="Q273" s="358">
        <v>0.33333333333333331</v>
      </c>
      <c r="R273" s="359">
        <v>7.4634146341463412E-2</v>
      </c>
      <c r="S273" s="196">
        <v>1717482000</v>
      </c>
      <c r="T273" s="196">
        <v>481800000</v>
      </c>
      <c r="U273" s="200">
        <f t="shared" si="50"/>
        <v>7178820000</v>
      </c>
      <c r="V273" s="196">
        <v>74000000</v>
      </c>
      <c r="W273" s="196">
        <v>7204000000</v>
      </c>
      <c r="X273" s="196">
        <v>868000000</v>
      </c>
      <c r="Y273" s="196">
        <v>11458000000</v>
      </c>
      <c r="Z273" s="196">
        <v>1922000000</v>
      </c>
      <c r="AA273" s="198">
        <v>0.01</v>
      </c>
      <c r="AB273" s="198">
        <v>0.01</v>
      </c>
      <c r="AC273" s="213">
        <f t="shared" si="51"/>
        <v>769</v>
      </c>
      <c r="AD273" s="213">
        <f t="shared" si="52"/>
        <v>680</v>
      </c>
      <c r="AE273" s="213">
        <v>1.08</v>
      </c>
      <c r="AF273" s="196">
        <v>-77000000</v>
      </c>
      <c r="AG273" s="104">
        <f t="shared" si="53"/>
        <v>-0.15981735159817351</v>
      </c>
      <c r="AH273" s="104">
        <f t="shared" si="54"/>
        <v>0</v>
      </c>
      <c r="AI273" s="195">
        <v>0.8</v>
      </c>
      <c r="AN273" t="s">
        <v>193</v>
      </c>
      <c r="AO273" s="33">
        <v>-52</v>
      </c>
      <c r="AP273" s="33">
        <v>-62</v>
      </c>
      <c r="AQ273" s="33">
        <v>-48</v>
      </c>
      <c r="AR273" s="33">
        <v>-27</v>
      </c>
      <c r="AS273" s="33">
        <v>-9</v>
      </c>
      <c r="AT273" s="33">
        <v>27</v>
      </c>
      <c r="AU273" s="33">
        <v>83</v>
      </c>
      <c r="AV273" s="33">
        <v>44</v>
      </c>
    </row>
    <row r="274" spans="1:48">
      <c r="A274">
        <v>2108</v>
      </c>
      <c r="C274" s="107">
        <f>VLOOKUP(2108,收盤價!$A:$C,3,0)</f>
        <v>23.95</v>
      </c>
      <c r="D274" s="107">
        <f t="shared" si="44"/>
        <v>10.433378398678082</v>
      </c>
      <c r="E274" s="167">
        <f t="shared" si="45"/>
        <v>2</v>
      </c>
      <c r="F274" s="104">
        <f t="shared" si="46"/>
        <v>1.0820120056112421</v>
      </c>
      <c r="G274" s="167">
        <f>RANK(3.92,AE:AE,0)</f>
        <v>209</v>
      </c>
      <c r="H274" s="365">
        <f t="shared" si="47"/>
        <v>1.8718049430766576E-2</v>
      </c>
      <c r="I274" s="213">
        <f t="shared" si="48"/>
        <v>1033</v>
      </c>
      <c r="J274" s="213">
        <f t="shared" si="49"/>
        <v>762</v>
      </c>
      <c r="K274">
        <f>RANK(0.87,AI:AI,0)</f>
        <v>1035</v>
      </c>
      <c r="L274" s="357">
        <v>0</v>
      </c>
      <c r="M274" s="357">
        <v>1</v>
      </c>
      <c r="N274" s="357">
        <v>0</v>
      </c>
      <c r="O274" s="357">
        <v>1</v>
      </c>
      <c r="P274" s="357">
        <v>0</v>
      </c>
      <c r="Q274" s="358">
        <v>0.24064625850340135</v>
      </c>
      <c r="R274" s="359">
        <v>0.57387931034482764</v>
      </c>
      <c r="S274" s="196">
        <v>9416097000</v>
      </c>
      <c r="T274" s="196">
        <v>425400000</v>
      </c>
      <c r="U274" s="200">
        <f t="shared" si="50"/>
        <v>10188330000</v>
      </c>
      <c r="V274" s="196">
        <v>316000000</v>
      </c>
      <c r="W274" s="196">
        <v>3396000000</v>
      </c>
      <c r="X274" s="196">
        <v>2851000000</v>
      </c>
      <c r="Y274" s="196">
        <v>6700000000</v>
      </c>
      <c r="Z274" s="196">
        <v>127000000</v>
      </c>
      <c r="AA274" s="198">
        <v>0.05</v>
      </c>
      <c r="AB274" s="198">
        <v>0.05</v>
      </c>
      <c r="AC274" s="213">
        <f t="shared" si="51"/>
        <v>247</v>
      </c>
      <c r="AD274" s="213">
        <f t="shared" si="52"/>
        <v>150</v>
      </c>
      <c r="AE274" s="213">
        <v>3.92</v>
      </c>
      <c r="AF274" s="196">
        <v>23000000</v>
      </c>
      <c r="AG274" s="104">
        <f t="shared" si="53"/>
        <v>5.4066760695815702E-2</v>
      </c>
      <c r="AH274" s="104">
        <f t="shared" si="54"/>
        <v>7.2784810126582278E-2</v>
      </c>
      <c r="AI274" s="195">
        <v>0.87</v>
      </c>
      <c r="AN274" t="s">
        <v>194</v>
      </c>
      <c r="AO274" s="33">
        <v>0</v>
      </c>
      <c r="AP274" s="87">
        <v>0</v>
      </c>
      <c r="AQ274" s="213">
        <v>0</v>
      </c>
      <c r="AR274" s="213">
        <v>0</v>
      </c>
      <c r="AS274" s="33">
        <v>0</v>
      </c>
      <c r="AT274" s="213">
        <v>0</v>
      </c>
      <c r="AU274" s="213">
        <v>0</v>
      </c>
      <c r="AV274" s="213">
        <v>0</v>
      </c>
    </row>
    <row r="275" spans="1:48">
      <c r="A275">
        <v>2109</v>
      </c>
      <c r="C275" s="107">
        <f>VLOOKUP(2109,收盤價!$A:$C,3,0)</f>
        <v>10.199999999999999</v>
      </c>
      <c r="D275" s="107">
        <f t="shared" si="44"/>
        <v>16.19047619047619</v>
      </c>
      <c r="E275" s="167">
        <f t="shared" si="45"/>
        <v>1</v>
      </c>
      <c r="F275" s="104">
        <f t="shared" si="46"/>
        <v>0.54878438469006574</v>
      </c>
      <c r="G275" s="167">
        <f>RANK(1.41,AE:AE,0)</f>
        <v>618</v>
      </c>
      <c r="H275" s="365">
        <f t="shared" si="47"/>
        <v>0.76311802704422704</v>
      </c>
      <c r="I275" s="213">
        <f t="shared" si="48"/>
        <v>810</v>
      </c>
      <c r="J275" s="213">
        <f t="shared" si="49"/>
        <v>489</v>
      </c>
      <c r="K275">
        <f>RANK(1.2,AI:AI,0)</f>
        <v>733</v>
      </c>
      <c r="L275" s="357">
        <v>0</v>
      </c>
      <c r="M275" s="357">
        <v>0</v>
      </c>
      <c r="N275" s="357">
        <v>0</v>
      </c>
      <c r="O275" s="357">
        <v>1</v>
      </c>
      <c r="P275" s="357">
        <v>0</v>
      </c>
      <c r="Q275" s="358">
        <v>0.3015463917525773</v>
      </c>
      <c r="R275" s="359">
        <v>0.1575</v>
      </c>
      <c r="S275" s="196">
        <v>6055493000</v>
      </c>
      <c r="T275" s="196">
        <v>325800000</v>
      </c>
      <c r="U275" s="200">
        <f t="shared" si="50"/>
        <v>3323160000</v>
      </c>
      <c r="V275" s="196">
        <v>109000000</v>
      </c>
      <c r="W275" s="196">
        <v>2235000000</v>
      </c>
      <c r="X275" s="196">
        <v>3776000000</v>
      </c>
      <c r="Y275" s="196">
        <v>5082000000</v>
      </c>
      <c r="Z275" s="196">
        <v>844000000</v>
      </c>
      <c r="AA275" s="198">
        <v>0.02</v>
      </c>
      <c r="AB275" s="198">
        <v>0.02</v>
      </c>
      <c r="AC275" s="213">
        <f t="shared" si="51"/>
        <v>616</v>
      </c>
      <c r="AD275" s="213">
        <f t="shared" si="52"/>
        <v>487</v>
      </c>
      <c r="AE275" s="213">
        <v>1.41</v>
      </c>
      <c r="AF275" s="196">
        <v>125000000</v>
      </c>
      <c r="AG275" s="104">
        <f t="shared" si="53"/>
        <v>0.38367096378146104</v>
      </c>
      <c r="AH275" s="104">
        <f t="shared" si="54"/>
        <v>1.1467889908256881</v>
      </c>
      <c r="AI275" s="195">
        <v>1.2</v>
      </c>
      <c r="AN275" t="s">
        <v>181</v>
      </c>
      <c r="AO275" s="33">
        <v>0</v>
      </c>
      <c r="AP275" s="33">
        <v>0</v>
      </c>
      <c r="AQ275" s="33">
        <v>0</v>
      </c>
      <c r="AR275" s="33">
        <v>0</v>
      </c>
      <c r="AS275" s="33">
        <v>0</v>
      </c>
      <c r="AT275" s="33">
        <v>0</v>
      </c>
      <c r="AU275" s="33">
        <v>0</v>
      </c>
      <c r="AV275" s="33">
        <v>0</v>
      </c>
    </row>
    <row r="276" spans="1:48">
      <c r="A276">
        <v>2114</v>
      </c>
      <c r="C276" s="107">
        <f>VLOOKUP(2114,收盤價!$A:$C,3,0)</f>
        <v>78.7</v>
      </c>
      <c r="D276" s="107">
        <f t="shared" si="44"/>
        <v>13.953900709219859</v>
      </c>
      <c r="E276" s="167">
        <f t="shared" si="45"/>
        <v>4</v>
      </c>
      <c r="F276" s="104">
        <f t="shared" si="46"/>
        <v>3.300891422435809</v>
      </c>
      <c r="G276" s="167">
        <f>RANK(0.84,AE:AE,0)</f>
        <v>946</v>
      </c>
      <c r="H276" s="365">
        <f t="shared" si="47"/>
        <v>-1.037037037037037</v>
      </c>
      <c r="I276" s="213">
        <f t="shared" si="48"/>
        <v>499</v>
      </c>
      <c r="J276" s="213">
        <f t="shared" si="49"/>
        <v>768</v>
      </c>
      <c r="K276">
        <f>RANK(1.23,AI:AI,0)</f>
        <v>720</v>
      </c>
      <c r="L276" s="357">
        <v>0</v>
      </c>
      <c r="M276" s="357">
        <v>1</v>
      </c>
      <c r="N276" s="357">
        <v>2</v>
      </c>
      <c r="O276" s="357">
        <v>1</v>
      </c>
      <c r="P276" s="357">
        <v>0</v>
      </c>
      <c r="Q276" s="358">
        <v>0.39694656488549618</v>
      </c>
      <c r="R276" s="359">
        <v>1.41</v>
      </c>
      <c r="S276" s="196">
        <v>1609338000</v>
      </c>
      <c r="T276" s="196">
        <v>67500000</v>
      </c>
      <c r="U276" s="200">
        <f t="shared" si="50"/>
        <v>5312250000</v>
      </c>
      <c r="V276" s="196">
        <v>0</v>
      </c>
      <c r="W276" s="196">
        <v>870000000</v>
      </c>
      <c r="X276" s="196">
        <v>1075000000</v>
      </c>
      <c r="Y276" s="196">
        <v>2062000000</v>
      </c>
      <c r="Z276" s="196">
        <v>0</v>
      </c>
      <c r="AA276" s="198">
        <v>0</v>
      </c>
      <c r="AB276" s="198">
        <v>0</v>
      </c>
      <c r="AC276" s="213">
        <f t="shared" si="51"/>
        <v>945</v>
      </c>
      <c r="AD276" s="213">
        <f t="shared" si="52"/>
        <v>911</v>
      </c>
      <c r="AE276" s="213">
        <v>0.84</v>
      </c>
      <c r="AF276" s="196">
        <v>70000000</v>
      </c>
      <c r="AG276" s="104">
        <f t="shared" si="53"/>
        <v>1.037037037037037</v>
      </c>
      <c r="AH276" s="104">
        <f t="shared" si="54"/>
        <v>0</v>
      </c>
      <c r="AI276" s="195">
        <v>1.23</v>
      </c>
      <c r="AN276" t="s">
        <v>182</v>
      </c>
      <c r="AO276" s="33">
        <v>1137</v>
      </c>
      <c r="AP276" s="33">
        <v>1100</v>
      </c>
      <c r="AQ276" s="33">
        <v>1165</v>
      </c>
      <c r="AR276" s="33">
        <v>1213</v>
      </c>
      <c r="AS276" s="33">
        <v>1241</v>
      </c>
      <c r="AT276" s="33">
        <v>1352</v>
      </c>
      <c r="AU276" s="33">
        <v>1576</v>
      </c>
      <c r="AV276" s="33">
        <v>1467</v>
      </c>
    </row>
    <row r="277" spans="1:48">
      <c r="A277">
        <v>2115</v>
      </c>
      <c r="C277" s="107">
        <f>VLOOKUP(2115,收盤價!$A:$C,3,0)</f>
        <v>58.6</v>
      </c>
      <c r="D277" s="107">
        <f t="shared" si="44"/>
        <v>13.933917790091805</v>
      </c>
      <c r="E277" s="167">
        <f t="shared" si="45"/>
        <v>5</v>
      </c>
      <c r="F277" s="104">
        <f t="shared" si="46"/>
        <v>1.7706289815020233</v>
      </c>
      <c r="G277" s="167">
        <f>RANK(3.92,AE:AE,0)</f>
        <v>209</v>
      </c>
      <c r="H277" s="365">
        <f t="shared" si="47"/>
        <v>-0.33138353549658273</v>
      </c>
      <c r="I277" s="213">
        <f t="shared" si="48"/>
        <v>493</v>
      </c>
      <c r="J277" s="213">
        <f t="shared" si="49"/>
        <v>622</v>
      </c>
      <c r="K277">
        <f>RANK(1.4,AI:AI,0)</f>
        <v>622</v>
      </c>
      <c r="L277" s="357">
        <v>1</v>
      </c>
      <c r="M277" s="357">
        <v>1</v>
      </c>
      <c r="N277" s="357">
        <v>2</v>
      </c>
      <c r="O277" s="357">
        <v>1</v>
      </c>
      <c r="P277" s="357">
        <v>0</v>
      </c>
      <c r="Q277" s="358">
        <v>0.25602409638554219</v>
      </c>
      <c r="R277" s="359">
        <v>1.051391304347826</v>
      </c>
      <c r="S277" s="196">
        <v>2465621000</v>
      </c>
      <c r="T277" s="196">
        <v>74500000</v>
      </c>
      <c r="U277" s="200">
        <f t="shared" si="50"/>
        <v>4365700000</v>
      </c>
      <c r="V277" s="196">
        <v>109000000</v>
      </c>
      <c r="W277" s="196">
        <v>1577000000</v>
      </c>
      <c r="X277" s="196">
        <v>638000000</v>
      </c>
      <c r="Y277" s="196">
        <v>1970000000</v>
      </c>
      <c r="Z277" s="196">
        <v>161000000</v>
      </c>
      <c r="AA277" s="198">
        <v>0.05</v>
      </c>
      <c r="AB277" s="198">
        <v>0.05</v>
      </c>
      <c r="AC277" s="213">
        <f t="shared" si="51"/>
        <v>247</v>
      </c>
      <c r="AD277" s="213">
        <f t="shared" si="52"/>
        <v>150</v>
      </c>
      <c r="AE277" s="213">
        <v>3.92</v>
      </c>
      <c r="AF277" s="196">
        <v>78000000</v>
      </c>
      <c r="AG277" s="104">
        <f t="shared" si="53"/>
        <v>1.0469798657718121</v>
      </c>
      <c r="AH277" s="104">
        <f t="shared" si="54"/>
        <v>0.7155963302752294</v>
      </c>
      <c r="AI277" s="195">
        <v>1.4</v>
      </c>
      <c r="AN277" t="s">
        <v>104</v>
      </c>
      <c r="AO277" s="33"/>
      <c r="AP277" s="33"/>
      <c r="AQ277" s="33"/>
      <c r="AR277" s="33"/>
      <c r="AS277" s="33"/>
      <c r="AT277" s="33"/>
      <c r="AU277" s="33"/>
      <c r="AV277" s="33"/>
    </row>
    <row r="278" spans="1:48">
      <c r="A278">
        <v>2201</v>
      </c>
      <c r="C278" s="107">
        <f>VLOOKUP(2201,收盤價!$A:$C,3,0)</f>
        <v>27.8</v>
      </c>
      <c r="D278" s="107">
        <f t="shared" si="44"/>
        <v>27.140207419226165</v>
      </c>
      <c r="E278" s="167">
        <f t="shared" si="45"/>
        <v>1</v>
      </c>
      <c r="F278" s="104">
        <f t="shared" si="46"/>
        <v>0.37009619444584779</v>
      </c>
      <c r="G278" s="167">
        <f>RANK(1.02,AE:AE,0)</f>
        <v>912</v>
      </c>
      <c r="H278" s="365">
        <f t="shared" si="47"/>
        <v>1.8500858287240129</v>
      </c>
      <c r="I278" s="213">
        <f t="shared" si="48"/>
        <v>1504</v>
      </c>
      <c r="J278" s="213">
        <f t="shared" si="49"/>
        <v>768</v>
      </c>
      <c r="K278">
        <f>RANK(0.69,AI:AI,0)</f>
        <v>1474</v>
      </c>
      <c r="L278" s="357">
        <v>0</v>
      </c>
      <c r="M278" s="357">
        <v>1</v>
      </c>
      <c r="N278" s="357">
        <v>0</v>
      </c>
      <c r="O278" s="357">
        <v>0</v>
      </c>
      <c r="P278" s="357">
        <v>0</v>
      </c>
      <c r="Q278" s="358">
        <v>0.1672759499279938</v>
      </c>
      <c r="R278" s="359">
        <v>0.25607763023493363</v>
      </c>
      <c r="S278" s="196">
        <v>118149337000</v>
      </c>
      <c r="T278" s="196">
        <v>1572900000</v>
      </c>
      <c r="U278" s="200">
        <f t="shared" si="50"/>
        <v>43726620000</v>
      </c>
      <c r="V278" s="196">
        <v>640000000</v>
      </c>
      <c r="W278" s="196">
        <v>2602000000</v>
      </c>
      <c r="X278" s="196">
        <v>34248000000</v>
      </c>
      <c r="Y278" s="196">
        <v>79335000000</v>
      </c>
      <c r="Z278" s="196">
        <v>91447000000</v>
      </c>
      <c r="AA278" s="198">
        <v>0.02</v>
      </c>
      <c r="AB278" s="198">
        <v>0</v>
      </c>
      <c r="AC278" s="213">
        <f t="shared" si="51"/>
        <v>616</v>
      </c>
      <c r="AD278" s="213">
        <f t="shared" si="52"/>
        <v>911</v>
      </c>
      <c r="AE278" s="213">
        <v>1.02</v>
      </c>
      <c r="AF278" s="196">
        <v>-2910000000</v>
      </c>
      <c r="AG278" s="104">
        <f t="shared" si="53"/>
        <v>-1.8500858287240129</v>
      </c>
      <c r="AH278" s="104">
        <f t="shared" si="54"/>
        <v>0</v>
      </c>
      <c r="AI278" s="195">
        <v>0.69</v>
      </c>
    </row>
    <row r="279" spans="1:48">
      <c r="A279">
        <v>2204</v>
      </c>
      <c r="C279" s="107">
        <f>VLOOKUP(2204,收盤價!$A:$C,3,0)</f>
        <v>24.65</v>
      </c>
      <c r="D279" s="107">
        <f t="shared" si="44"/>
        <v>13.312169312169313</v>
      </c>
      <c r="E279" s="167">
        <f t="shared" si="45"/>
        <v>2</v>
      </c>
      <c r="F279" s="104">
        <f t="shared" si="46"/>
        <v>0.88575229466859795</v>
      </c>
      <c r="G279" s="167">
        <f>RANK(1.53,AE:AE,0)</f>
        <v>613</v>
      </c>
      <c r="H279" s="365">
        <f t="shared" si="47"/>
        <v>0.58550875786122769</v>
      </c>
      <c r="I279" s="213">
        <f t="shared" si="48"/>
        <v>622</v>
      </c>
      <c r="J279" s="213">
        <f t="shared" si="49"/>
        <v>416</v>
      </c>
      <c r="K279">
        <f>RANK(1.5,AI:AI,0)</f>
        <v>562</v>
      </c>
      <c r="L279" s="357">
        <v>0</v>
      </c>
      <c r="M279" s="357">
        <v>0</v>
      </c>
      <c r="N279" s="357">
        <v>1</v>
      </c>
      <c r="O279" s="357">
        <v>1</v>
      </c>
      <c r="P279" s="357">
        <v>0</v>
      </c>
      <c r="Q279" s="358">
        <v>0.19294469916721249</v>
      </c>
      <c r="R279" s="359">
        <v>0.46292229729729722</v>
      </c>
      <c r="S279" s="196">
        <v>38518743000</v>
      </c>
      <c r="T279" s="196">
        <v>1384100000</v>
      </c>
      <c r="U279" s="200">
        <f t="shared" si="50"/>
        <v>34118064999.999996</v>
      </c>
      <c r="V279" s="196">
        <v>786000000</v>
      </c>
      <c r="W279" s="196">
        <v>14840000000</v>
      </c>
      <c r="X279" s="196">
        <v>6516000000</v>
      </c>
      <c r="Y279" s="196">
        <v>52471000000</v>
      </c>
      <c r="Z279" s="196">
        <v>791000000</v>
      </c>
      <c r="AA279" s="198">
        <v>0.04</v>
      </c>
      <c r="AB279" s="198">
        <v>0.01</v>
      </c>
      <c r="AC279" s="213">
        <f t="shared" si="51"/>
        <v>337</v>
      </c>
      <c r="AD279" s="213">
        <f t="shared" si="52"/>
        <v>680</v>
      </c>
      <c r="AE279" s="213">
        <v>1.53</v>
      </c>
      <c r="AF279" s="196">
        <v>1065000000</v>
      </c>
      <c r="AG279" s="104">
        <f t="shared" si="53"/>
        <v>0.7694530741998411</v>
      </c>
      <c r="AH279" s="104">
        <f t="shared" si="54"/>
        <v>1.3549618320610688</v>
      </c>
      <c r="AI279" s="195">
        <v>1.5</v>
      </c>
    </row>
    <row r="280" spans="1:48">
      <c r="A280">
        <v>2206</v>
      </c>
      <c r="C280" s="107">
        <f>VLOOKUP(2206,收盤價!$A:$C,3,0)</f>
        <v>20.25</v>
      </c>
      <c r="D280" s="107">
        <f t="shared" si="44"/>
        <v>91.305803571428555</v>
      </c>
      <c r="E280" s="167">
        <f t="shared" si="45"/>
        <v>3</v>
      </c>
      <c r="F280" s="104">
        <f t="shared" si="46"/>
        <v>0.54833986720390027</v>
      </c>
      <c r="G280" s="167">
        <f>RANK(1.2,AE:AE,0)</f>
        <v>710</v>
      </c>
      <c r="H280" s="365">
        <f t="shared" si="47"/>
        <v>1.9806818181818182</v>
      </c>
      <c r="I280" s="213">
        <f t="shared" si="48"/>
        <v>503</v>
      </c>
      <c r="J280" s="213">
        <f t="shared" si="49"/>
        <v>157</v>
      </c>
      <c r="K280">
        <f>RANK(2.36,AI:AI,0)</f>
        <v>265</v>
      </c>
      <c r="L280" s="357">
        <v>0</v>
      </c>
      <c r="M280" s="357">
        <v>1</v>
      </c>
      <c r="N280" s="357">
        <v>1</v>
      </c>
      <c r="O280" s="357">
        <v>1</v>
      </c>
      <c r="P280" s="357">
        <v>0</v>
      </c>
      <c r="Q280" s="358">
        <v>0.17626767850983097</v>
      </c>
      <c r="R280" s="359">
        <v>5.5445544554455453E-2</v>
      </c>
      <c r="S280" s="196">
        <v>32498093000</v>
      </c>
      <c r="T280" s="196">
        <v>880000000</v>
      </c>
      <c r="U280" s="200">
        <f t="shared" si="50"/>
        <v>17820000000</v>
      </c>
      <c r="V280" s="196">
        <v>299000000</v>
      </c>
      <c r="W280" s="196">
        <v>6903000000</v>
      </c>
      <c r="X280" s="196">
        <v>11080000000</v>
      </c>
      <c r="Y280" s="196">
        <v>17466000000</v>
      </c>
      <c r="Z280" s="196">
        <v>8508000000</v>
      </c>
      <c r="AA280" s="198">
        <v>0.02</v>
      </c>
      <c r="AB280" s="198">
        <v>0.01</v>
      </c>
      <c r="AC280" s="213">
        <f t="shared" si="51"/>
        <v>616</v>
      </c>
      <c r="AD280" s="213">
        <f t="shared" si="52"/>
        <v>680</v>
      </c>
      <c r="AE280" s="213">
        <v>1.2</v>
      </c>
      <c r="AF280" s="196">
        <v>897000000</v>
      </c>
      <c r="AG280" s="104">
        <f t="shared" si="53"/>
        <v>1.0193181818181818</v>
      </c>
      <c r="AH280" s="104">
        <f t="shared" si="54"/>
        <v>3</v>
      </c>
      <c r="AI280" s="195">
        <v>2.36</v>
      </c>
      <c r="AO280" s="213"/>
      <c r="AP280" s="213"/>
      <c r="AQ280" s="213"/>
      <c r="AR280" s="213"/>
      <c r="AS280" s="213"/>
      <c r="AT280" s="213"/>
      <c r="AU280" s="213"/>
      <c r="AV280" s="213"/>
    </row>
    <row r="281" spans="1:48">
      <c r="A281">
        <v>2207</v>
      </c>
      <c r="C281" s="107">
        <f>VLOOKUP(2207,收盤價!$A:$C,3,0)</f>
        <v>363</v>
      </c>
      <c r="D281" s="107">
        <f t="shared" si="44"/>
        <v>16.805555555555554</v>
      </c>
      <c r="E281" s="167">
        <f t="shared" si="45"/>
        <v>4</v>
      </c>
      <c r="F281" s="104">
        <f t="shared" si="46"/>
        <v>1.212226335856907</v>
      </c>
      <c r="G281" s="167">
        <f>RANK(0.84,AE:AE,0)</f>
        <v>946</v>
      </c>
      <c r="H281" s="365">
        <f t="shared" si="47"/>
        <v>-4.8462101794214574</v>
      </c>
      <c r="I281" s="213">
        <f t="shared" si="48"/>
        <v>42</v>
      </c>
      <c r="J281" s="213">
        <f t="shared" si="49"/>
        <v>768</v>
      </c>
      <c r="K281">
        <f>RANK(1.92,AI:AI,0)</f>
        <v>372</v>
      </c>
      <c r="L281" s="357">
        <v>1</v>
      </c>
      <c r="M281" s="357">
        <v>1</v>
      </c>
      <c r="N281" s="357">
        <v>1</v>
      </c>
      <c r="O281" s="357">
        <v>1</v>
      </c>
      <c r="P281" s="357">
        <v>0</v>
      </c>
      <c r="Q281" s="358">
        <v>0.12747917283376325</v>
      </c>
      <c r="R281" s="359">
        <v>5.4</v>
      </c>
      <c r="S281" s="196">
        <v>163559060000</v>
      </c>
      <c r="T281" s="196">
        <v>546200000</v>
      </c>
      <c r="U281" s="200">
        <f t="shared" si="50"/>
        <v>198270600000</v>
      </c>
      <c r="V281" s="196">
        <v>0</v>
      </c>
      <c r="W281" s="196">
        <v>5265000000</v>
      </c>
      <c r="X281" s="196">
        <v>34485000000</v>
      </c>
      <c r="Y281" s="196">
        <v>45789000000</v>
      </c>
      <c r="Z281" s="196">
        <v>85016000000</v>
      </c>
      <c r="AA281" s="198">
        <v>0</v>
      </c>
      <c r="AB281" s="198">
        <v>0</v>
      </c>
      <c r="AC281" s="213">
        <f t="shared" si="51"/>
        <v>945</v>
      </c>
      <c r="AD281" s="213">
        <f t="shared" si="52"/>
        <v>911</v>
      </c>
      <c r="AE281" s="213">
        <v>0.84</v>
      </c>
      <c r="AF281" s="196">
        <v>2647000000</v>
      </c>
      <c r="AG281" s="104">
        <f t="shared" si="53"/>
        <v>4.8462101794214574</v>
      </c>
      <c r="AH281" s="104">
        <f t="shared" si="54"/>
        <v>0</v>
      </c>
      <c r="AI281" s="195">
        <v>1.92</v>
      </c>
    </row>
    <row r="282" spans="1:48">
      <c r="A282">
        <v>2208</v>
      </c>
      <c r="C282" s="107">
        <f>VLOOKUP(2208,收盤價!$A:$C,3,0)</f>
        <v>13.4</v>
      </c>
      <c r="D282" s="107">
        <f t="shared" si="44"/>
        <v>0</v>
      </c>
      <c r="E282" s="167">
        <f t="shared" si="45"/>
        <v>2</v>
      </c>
      <c r="F282" s="104">
        <f t="shared" si="46"/>
        <v>0.50830951773893207</v>
      </c>
      <c r="G282" s="167">
        <f>RANK(0.84,AE:AE,0)</f>
        <v>946</v>
      </c>
      <c r="H282" s="365">
        <f t="shared" si="47"/>
        <v>-1.1229155459924691</v>
      </c>
      <c r="I282" s="213">
        <f t="shared" si="48"/>
        <v>464</v>
      </c>
      <c r="J282" s="213">
        <f t="shared" si="49"/>
        <v>768</v>
      </c>
      <c r="K282">
        <f>RANK(1.26,AI:AI,0)</f>
        <v>696</v>
      </c>
      <c r="L282" s="357">
        <v>0</v>
      </c>
      <c r="M282" s="357">
        <v>0</v>
      </c>
      <c r="N282" s="357">
        <v>1</v>
      </c>
      <c r="O282" s="357">
        <v>1</v>
      </c>
      <c r="P282" s="357">
        <v>0</v>
      </c>
      <c r="Q282" s="358">
        <v>1.6714317132175062E-2</v>
      </c>
      <c r="R282" s="359">
        <v>0</v>
      </c>
      <c r="S282" s="196">
        <v>19602702000</v>
      </c>
      <c r="T282" s="196">
        <v>743600000</v>
      </c>
      <c r="U282" s="200">
        <f t="shared" si="50"/>
        <v>9964240000</v>
      </c>
      <c r="V282" s="196">
        <v>-33000000</v>
      </c>
      <c r="W282" s="196">
        <v>2663000000</v>
      </c>
      <c r="X282" s="196">
        <v>10764000000</v>
      </c>
      <c r="Y282" s="196">
        <v>13517000000</v>
      </c>
      <c r="Z282" s="196">
        <v>2169000000</v>
      </c>
      <c r="AA282" s="198">
        <v>0</v>
      </c>
      <c r="AB282" s="198">
        <v>0</v>
      </c>
      <c r="AC282" s="213">
        <f t="shared" si="51"/>
        <v>945</v>
      </c>
      <c r="AD282" s="213">
        <f t="shared" si="52"/>
        <v>911</v>
      </c>
      <c r="AE282" s="213">
        <v>0.84</v>
      </c>
      <c r="AF282" s="196">
        <v>835000000</v>
      </c>
      <c r="AG282" s="104">
        <f t="shared" si="53"/>
        <v>1.1229155459924691</v>
      </c>
      <c r="AH282" s="104">
        <f t="shared" si="54"/>
        <v>0</v>
      </c>
      <c r="AI282" s="195">
        <v>1.26</v>
      </c>
    </row>
    <row r="283" spans="1:48">
      <c r="A283">
        <v>2221</v>
      </c>
      <c r="C283" s="107">
        <f>VLOOKUP(2221,收盤價!$A:$C,3,0)</f>
        <v>17.25</v>
      </c>
      <c r="D283" s="107">
        <f t="shared" si="44"/>
        <v>25.367647058823529</v>
      </c>
      <c r="E283" s="167">
        <f t="shared" si="45"/>
        <v>2</v>
      </c>
      <c r="F283" s="104">
        <f t="shared" si="46"/>
        <v>0.85120942964080215</v>
      </c>
      <c r="G283" s="167">
        <f>RANK(0.84,AE:AE,0)</f>
        <v>946</v>
      </c>
      <c r="H283" s="365">
        <f t="shared" si="47"/>
        <v>-1.1320754716981132</v>
      </c>
      <c r="I283" s="213">
        <f t="shared" si="48"/>
        <v>459</v>
      </c>
      <c r="J283" s="213">
        <f t="shared" si="49"/>
        <v>768</v>
      </c>
      <c r="K283">
        <f>RANK(1.27,AI:AI,0)</f>
        <v>690</v>
      </c>
      <c r="L283" s="357">
        <v>0</v>
      </c>
      <c r="M283" s="357">
        <v>0</v>
      </c>
      <c r="N283" s="357">
        <v>1</v>
      </c>
      <c r="O283" s="357">
        <v>1</v>
      </c>
      <c r="P283" s="357">
        <v>0</v>
      </c>
      <c r="Q283" s="358">
        <v>0.16483516483516483</v>
      </c>
      <c r="R283" s="359">
        <v>0.17</v>
      </c>
      <c r="S283" s="196">
        <v>859248000</v>
      </c>
      <c r="T283" s="196">
        <v>42400000</v>
      </c>
      <c r="U283" s="200">
        <f t="shared" si="50"/>
        <v>731400000</v>
      </c>
      <c r="V283" s="196">
        <v>0</v>
      </c>
      <c r="W283" s="196">
        <v>408000000</v>
      </c>
      <c r="X283" s="196">
        <v>419000000</v>
      </c>
      <c r="Y283" s="196">
        <v>603000000</v>
      </c>
      <c r="Z283" s="196">
        <v>92000000</v>
      </c>
      <c r="AA283" s="198">
        <v>0</v>
      </c>
      <c r="AB283" s="198">
        <v>0</v>
      </c>
      <c r="AC283" s="213">
        <f t="shared" si="51"/>
        <v>945</v>
      </c>
      <c r="AD283" s="213">
        <f t="shared" si="52"/>
        <v>911</v>
      </c>
      <c r="AE283" s="213">
        <v>0.84</v>
      </c>
      <c r="AF283" s="196">
        <v>48000000</v>
      </c>
      <c r="AG283" s="104">
        <f t="shared" si="53"/>
        <v>1.1320754716981132</v>
      </c>
      <c r="AH283" s="104">
        <f t="shared" si="54"/>
        <v>0</v>
      </c>
      <c r="AI283" s="195">
        <v>1.27</v>
      </c>
      <c r="AO283" s="213"/>
      <c r="AP283" s="213"/>
      <c r="AQ283" s="213"/>
      <c r="AR283" s="213"/>
      <c r="AS283" s="213"/>
      <c r="AT283" s="213"/>
      <c r="AU283" s="213"/>
      <c r="AV283" s="213"/>
    </row>
    <row r="284" spans="1:48">
      <c r="A284">
        <v>2227</v>
      </c>
      <c r="C284" s="107">
        <f>VLOOKUP(2227,收盤價!$A:$C,3,0)</f>
        <v>198.5</v>
      </c>
      <c r="D284" s="107">
        <f t="shared" si="44"/>
        <v>47.417765939455435</v>
      </c>
      <c r="E284" s="167">
        <f t="shared" si="45"/>
        <v>2</v>
      </c>
      <c r="F284" s="104">
        <f t="shared" si="46"/>
        <v>1.7764160676072633</v>
      </c>
      <c r="G284" s="167">
        <f>RANK(1.89,AE:AE,0)</f>
        <v>498</v>
      </c>
      <c r="H284" s="365">
        <f t="shared" si="47"/>
        <v>-0.18417962003454236</v>
      </c>
      <c r="I284" s="213">
        <f t="shared" si="48"/>
        <v>593</v>
      </c>
      <c r="J284" s="213">
        <f t="shared" si="49"/>
        <v>645</v>
      </c>
      <c r="K284">
        <f>RANK(1.26,AI:AI,0)</f>
        <v>696</v>
      </c>
      <c r="L284" s="357">
        <v>0</v>
      </c>
      <c r="M284" s="357">
        <v>1</v>
      </c>
      <c r="N284" s="357">
        <v>0</v>
      </c>
      <c r="O284" s="357">
        <v>1</v>
      </c>
      <c r="P284" s="357">
        <v>0</v>
      </c>
      <c r="Q284" s="358">
        <v>0.14798206278026907</v>
      </c>
      <c r="R284" s="359">
        <v>1.0465486725663717</v>
      </c>
      <c r="S284" s="196">
        <v>33522552000</v>
      </c>
      <c r="T284" s="196">
        <v>300000000</v>
      </c>
      <c r="U284" s="200">
        <f t="shared" si="50"/>
        <v>59550000000</v>
      </c>
      <c r="V284" s="196">
        <v>386000000</v>
      </c>
      <c r="W284" s="196">
        <v>7393000000</v>
      </c>
      <c r="X284" s="196">
        <v>1625000000</v>
      </c>
      <c r="Y284" s="196">
        <v>20015000000</v>
      </c>
      <c r="Z284" s="196">
        <v>3630000000</v>
      </c>
      <c r="AA284" s="198">
        <v>0.04</v>
      </c>
      <c r="AB284" s="198">
        <v>0.02</v>
      </c>
      <c r="AC284" s="213">
        <f t="shared" si="51"/>
        <v>337</v>
      </c>
      <c r="AD284" s="213">
        <f t="shared" si="52"/>
        <v>487</v>
      </c>
      <c r="AE284" s="213">
        <v>1.89</v>
      </c>
      <c r="AF284" s="196">
        <v>248000000</v>
      </c>
      <c r="AG284" s="104">
        <f t="shared" si="53"/>
        <v>0.82666666666666666</v>
      </c>
      <c r="AH284" s="104">
        <f t="shared" si="54"/>
        <v>0.6424870466321243</v>
      </c>
      <c r="AI284" s="195">
        <v>1.26</v>
      </c>
      <c r="AO284" s="213"/>
      <c r="AP284" s="213"/>
      <c r="AQ284" s="213"/>
      <c r="AR284" s="213"/>
      <c r="AS284" s="213"/>
      <c r="AT284" s="213"/>
      <c r="AU284" s="213"/>
      <c r="AV284" s="213"/>
    </row>
    <row r="285" spans="1:48">
      <c r="A285">
        <v>2228</v>
      </c>
      <c r="C285" s="107">
        <f>VLOOKUP(2228,收盤價!$A:$C,3,0)</f>
        <v>192</v>
      </c>
      <c r="D285" s="107">
        <f t="shared" si="44"/>
        <v>20.960698689956331</v>
      </c>
      <c r="E285" s="167">
        <f t="shared" si="45"/>
        <v>3</v>
      </c>
      <c r="F285" s="104">
        <f t="shared" si="46"/>
        <v>3.3364767371284962</v>
      </c>
      <c r="G285" s="167">
        <f>RANK(0.84,AE:AE,0)</f>
        <v>946</v>
      </c>
      <c r="H285" s="365">
        <f t="shared" si="47"/>
        <v>-3.4478203434610304</v>
      </c>
      <c r="I285" s="213">
        <f t="shared" si="48"/>
        <v>94</v>
      </c>
      <c r="J285" s="213">
        <f t="shared" si="49"/>
        <v>768</v>
      </c>
      <c r="K285">
        <f>RANK(1.81,AI:AI,0)</f>
        <v>410</v>
      </c>
      <c r="L285" s="357">
        <v>0</v>
      </c>
      <c r="M285" s="357">
        <v>1</v>
      </c>
      <c r="N285" s="357">
        <v>1</v>
      </c>
      <c r="O285" s="357">
        <v>1</v>
      </c>
      <c r="P285" s="357">
        <v>0</v>
      </c>
      <c r="Q285" s="358">
        <v>0.31150442477876106</v>
      </c>
      <c r="R285" s="359">
        <v>2.29</v>
      </c>
      <c r="S285" s="196">
        <v>4356212000</v>
      </c>
      <c r="T285" s="196">
        <v>75700000</v>
      </c>
      <c r="U285" s="200">
        <f t="shared" si="50"/>
        <v>14534400000</v>
      </c>
      <c r="V285" s="196">
        <v>0</v>
      </c>
      <c r="W285" s="196">
        <v>1771000000</v>
      </c>
      <c r="X285" s="196">
        <v>1392000000</v>
      </c>
      <c r="Y285" s="196">
        <v>3344000000</v>
      </c>
      <c r="Z285" s="196">
        <v>0</v>
      </c>
      <c r="AA285" s="198">
        <v>0</v>
      </c>
      <c r="AB285" s="198">
        <v>0</v>
      </c>
      <c r="AC285" s="213">
        <f t="shared" si="51"/>
        <v>945</v>
      </c>
      <c r="AD285" s="213">
        <f t="shared" si="52"/>
        <v>911</v>
      </c>
      <c r="AE285" s="213">
        <v>0.84</v>
      </c>
      <c r="AF285" s="196">
        <v>261000000</v>
      </c>
      <c r="AG285" s="104">
        <f t="shared" si="53"/>
        <v>3.4478203434610304</v>
      </c>
      <c r="AH285" s="104">
        <f t="shared" si="54"/>
        <v>0</v>
      </c>
      <c r="AI285" s="195">
        <v>1.81</v>
      </c>
      <c r="AO285" s="213"/>
      <c r="AP285" s="213"/>
      <c r="AQ285" s="213"/>
      <c r="AR285" s="213"/>
      <c r="AS285" s="213"/>
      <c r="AT285" s="213"/>
      <c r="AU285" s="213"/>
      <c r="AV285" s="213"/>
    </row>
    <row r="286" spans="1:48">
      <c r="A286">
        <v>2230</v>
      </c>
      <c r="C286" s="107">
        <f>VLOOKUP(2230,收盤價!$A:$C,3,0)</f>
        <v>14</v>
      </c>
      <c r="D286" s="107">
        <f t="shared" si="44"/>
        <v>0</v>
      </c>
      <c r="E286" s="167">
        <f t="shared" si="45"/>
        <v>2</v>
      </c>
      <c r="F286" s="104">
        <f t="shared" si="46"/>
        <v>1.3825126119363904</v>
      </c>
      <c r="G286" s="167">
        <f>RANK(0.61,AE:AE,0)</f>
        <v>1295</v>
      </c>
      <c r="H286" s="365">
        <f t="shared" si="47"/>
        <v>-0.35353535353535354</v>
      </c>
      <c r="I286" s="213">
        <f t="shared" si="48"/>
        <v>828</v>
      </c>
      <c r="J286" s="213">
        <f t="shared" si="49"/>
        <v>768</v>
      </c>
      <c r="K286">
        <f>RANK(0.98,AI:AI,0)</f>
        <v>903</v>
      </c>
      <c r="L286" s="357">
        <v>0</v>
      </c>
      <c r="M286" s="357">
        <v>0</v>
      </c>
      <c r="N286" s="357">
        <v>1</v>
      </c>
      <c r="O286" s="357">
        <v>1</v>
      </c>
      <c r="P286" s="357">
        <v>0</v>
      </c>
      <c r="Q286" s="358">
        <v>0.17391304347826086</v>
      </c>
      <c r="R286" s="359">
        <v>0</v>
      </c>
      <c r="S286" s="196">
        <v>401009000</v>
      </c>
      <c r="T286" s="196">
        <v>39600000</v>
      </c>
      <c r="U286" s="200">
        <f t="shared" si="50"/>
        <v>554400000</v>
      </c>
      <c r="V286" s="196">
        <v>-6000000</v>
      </c>
      <c r="W286" s="196">
        <v>393000000</v>
      </c>
      <c r="X286" s="196">
        <v>287000000</v>
      </c>
      <c r="Y286" s="196">
        <v>543000000</v>
      </c>
      <c r="Z286" s="196">
        <v>32000000</v>
      </c>
      <c r="AA286" s="198">
        <v>-0.01</v>
      </c>
      <c r="AB286" s="198">
        <v>-0.01</v>
      </c>
      <c r="AC286" s="213">
        <f t="shared" si="51"/>
        <v>1277</v>
      </c>
      <c r="AD286" s="213">
        <f t="shared" si="52"/>
        <v>1294</v>
      </c>
      <c r="AE286" s="213">
        <v>0.61</v>
      </c>
      <c r="AF286" s="196">
        <v>14000000</v>
      </c>
      <c r="AG286" s="104">
        <f t="shared" si="53"/>
        <v>0.35353535353535354</v>
      </c>
      <c r="AH286" s="104">
        <f t="shared" si="54"/>
        <v>0</v>
      </c>
      <c r="AI286" s="195">
        <v>0.98</v>
      </c>
    </row>
    <row r="287" spans="1:48">
      <c r="A287">
        <v>2231</v>
      </c>
      <c r="C287" s="107">
        <f>VLOOKUP(2231,收盤價!$A:$C,3,0)</f>
        <v>312</v>
      </c>
      <c r="D287" s="107">
        <f t="shared" si="44"/>
        <v>23.283582089552237</v>
      </c>
      <c r="E287" s="167">
        <f t="shared" si="45"/>
        <v>1</v>
      </c>
      <c r="F287" s="104">
        <f t="shared" si="46"/>
        <v>8.0920042316486374</v>
      </c>
      <c r="G287" s="167">
        <f>RANK(0.84,AE:AE,0)</f>
        <v>946</v>
      </c>
      <c r="H287" s="365">
        <f t="shared" si="47"/>
        <v>-1.8779904306220097</v>
      </c>
      <c r="I287" s="213">
        <f t="shared" si="48"/>
        <v>250</v>
      </c>
      <c r="J287" s="213">
        <f t="shared" si="49"/>
        <v>768</v>
      </c>
      <c r="K287">
        <f>RANK(1.53,AI:AI,0)</f>
        <v>541</v>
      </c>
      <c r="L287" s="357">
        <v>0</v>
      </c>
      <c r="M287" s="357">
        <v>0</v>
      </c>
      <c r="N287" s="357">
        <v>0</v>
      </c>
      <c r="O287" s="357">
        <v>1</v>
      </c>
      <c r="P287" s="357">
        <v>0</v>
      </c>
      <c r="Q287" s="358">
        <v>0.56192660550458717</v>
      </c>
      <c r="R287" s="359">
        <v>3.35</v>
      </c>
      <c r="S287" s="196">
        <v>3223330000</v>
      </c>
      <c r="T287" s="196">
        <v>83600000</v>
      </c>
      <c r="U287" s="200">
        <f t="shared" si="50"/>
        <v>26083200000</v>
      </c>
      <c r="V287" s="196">
        <v>0</v>
      </c>
      <c r="W287" s="196">
        <v>1603000000</v>
      </c>
      <c r="X287" s="196">
        <v>1118000000</v>
      </c>
      <c r="Y287" s="196">
        <v>2515000000</v>
      </c>
      <c r="Z287" s="196">
        <v>528000000</v>
      </c>
      <c r="AA287" s="198">
        <v>0</v>
      </c>
      <c r="AB287" s="198">
        <v>0</v>
      </c>
      <c r="AC287" s="213">
        <f t="shared" si="51"/>
        <v>945</v>
      </c>
      <c r="AD287" s="213">
        <f t="shared" si="52"/>
        <v>911</v>
      </c>
      <c r="AE287" s="213">
        <v>0.84</v>
      </c>
      <c r="AF287" s="196">
        <v>157000000</v>
      </c>
      <c r="AG287" s="104">
        <f t="shared" si="53"/>
        <v>1.8779904306220097</v>
      </c>
      <c r="AH287" s="104">
        <f t="shared" si="54"/>
        <v>0</v>
      </c>
      <c r="AI287" s="195">
        <v>1.53</v>
      </c>
    </row>
    <row r="288" spans="1:48">
      <c r="A288">
        <v>2233</v>
      </c>
      <c r="C288" s="107">
        <f>VLOOKUP(2233,收盤價!$A:$C,3,0)</f>
        <v>85.4</v>
      </c>
      <c r="D288" s="107">
        <f t="shared" si="44"/>
        <v>15.34721280347213</v>
      </c>
      <c r="E288" s="167">
        <f t="shared" si="45"/>
        <v>4</v>
      </c>
      <c r="F288" s="104">
        <f t="shared" si="46"/>
        <v>2.0841801063201304</v>
      </c>
      <c r="G288" s="167">
        <f>RANK(3.28,AE:AE,0)</f>
        <v>256</v>
      </c>
      <c r="H288" s="365">
        <f t="shared" si="47"/>
        <v>-0.74011913386460604</v>
      </c>
      <c r="I288" s="213">
        <f t="shared" si="48"/>
        <v>362</v>
      </c>
      <c r="J288" s="213">
        <f t="shared" si="49"/>
        <v>627</v>
      </c>
      <c r="K288">
        <f>RANK(1.58,AI:AI,0)</f>
        <v>513</v>
      </c>
      <c r="L288" s="357">
        <v>1</v>
      </c>
      <c r="M288" s="357">
        <v>1</v>
      </c>
      <c r="N288" s="357">
        <v>2</v>
      </c>
      <c r="O288" s="357">
        <v>0</v>
      </c>
      <c r="P288" s="357">
        <v>0</v>
      </c>
      <c r="Q288" s="358">
        <v>0.34629629629629627</v>
      </c>
      <c r="R288" s="359">
        <v>1.391132075471698</v>
      </c>
      <c r="S288" s="196">
        <v>2015987000</v>
      </c>
      <c r="T288" s="196">
        <v>49200000</v>
      </c>
      <c r="U288" s="200">
        <f t="shared" si="50"/>
        <v>4201680000.0000005</v>
      </c>
      <c r="V288" s="196">
        <v>101000000</v>
      </c>
      <c r="W288" s="196">
        <v>1038000000</v>
      </c>
      <c r="X288" s="196">
        <v>1063000000</v>
      </c>
      <c r="Y288" s="196">
        <v>2119000000</v>
      </c>
      <c r="Z288" s="196">
        <v>261000000</v>
      </c>
      <c r="AA288" s="198">
        <v>0.05</v>
      </c>
      <c r="AB288" s="198">
        <v>0.04</v>
      </c>
      <c r="AC288" s="213">
        <f t="shared" si="51"/>
        <v>247</v>
      </c>
      <c r="AD288" s="213">
        <f t="shared" si="52"/>
        <v>228</v>
      </c>
      <c r="AE288" s="213">
        <v>3.28</v>
      </c>
      <c r="AF288" s="196">
        <v>71000000</v>
      </c>
      <c r="AG288" s="104">
        <f t="shared" si="53"/>
        <v>1.443089430894309</v>
      </c>
      <c r="AH288" s="104">
        <f t="shared" si="54"/>
        <v>0.70297029702970293</v>
      </c>
      <c r="AI288" s="195">
        <v>1.58</v>
      </c>
    </row>
    <row r="289" spans="1:48">
      <c r="A289">
        <v>2235</v>
      </c>
      <c r="C289" s="107">
        <f>VLOOKUP(2235,收盤價!$A:$C,3,0)</f>
        <v>120.5</v>
      </c>
      <c r="D289" s="107">
        <f t="shared" si="44"/>
        <v>24.863070228091235</v>
      </c>
      <c r="E289" s="167">
        <f t="shared" si="45"/>
        <v>2</v>
      </c>
      <c r="F289" s="104">
        <f t="shared" si="46"/>
        <v>4.3301525148217284</v>
      </c>
      <c r="G289" s="167">
        <f>RANK(4.3,AE:AE,0)</f>
        <v>200</v>
      </c>
      <c r="H289" s="365">
        <f t="shared" si="47"/>
        <v>-0.79860533555114843</v>
      </c>
      <c r="I289" s="213">
        <f t="shared" si="48"/>
        <v>188</v>
      </c>
      <c r="J289" s="213">
        <f t="shared" si="49"/>
        <v>384</v>
      </c>
      <c r="K289">
        <f>RANK(2.72,AI:AI,0)</f>
        <v>197</v>
      </c>
      <c r="L289" s="357">
        <v>0</v>
      </c>
      <c r="M289" s="357">
        <v>0</v>
      </c>
      <c r="N289" s="357">
        <v>0</v>
      </c>
      <c r="O289" s="357">
        <v>1</v>
      </c>
      <c r="P289" s="357">
        <v>1</v>
      </c>
      <c r="Q289" s="358">
        <v>0.32608695652173914</v>
      </c>
      <c r="R289" s="359">
        <v>1.2116363636363636</v>
      </c>
      <c r="S289" s="196">
        <v>887717000</v>
      </c>
      <c r="T289" s="196">
        <v>31900000</v>
      </c>
      <c r="U289" s="200">
        <f t="shared" si="50"/>
        <v>3843950000</v>
      </c>
      <c r="V289" s="196">
        <v>49000000</v>
      </c>
      <c r="W289" s="196">
        <v>0</v>
      </c>
      <c r="X289" s="196">
        <v>697000000</v>
      </c>
      <c r="Y289" s="196">
        <v>904000000</v>
      </c>
      <c r="Z289" s="196">
        <v>243000000</v>
      </c>
      <c r="AA289" s="198">
        <v>7.0000000000000007E-2</v>
      </c>
      <c r="AB289" s="198">
        <v>0.04</v>
      </c>
      <c r="AC289" s="213">
        <f t="shared" si="51"/>
        <v>134</v>
      </c>
      <c r="AD289" s="213">
        <f t="shared" si="52"/>
        <v>228</v>
      </c>
      <c r="AE289" s="213">
        <v>4.3</v>
      </c>
      <c r="AF289" s="196">
        <v>73000000</v>
      </c>
      <c r="AG289" s="104">
        <f t="shared" si="53"/>
        <v>2.2884012539184955</v>
      </c>
      <c r="AH289" s="104">
        <f t="shared" si="54"/>
        <v>1.489795918367347</v>
      </c>
      <c r="AI289" s="195">
        <v>2.72</v>
      </c>
      <c r="AO289" s="213"/>
      <c r="AP289" s="213"/>
      <c r="AQ289" s="213"/>
      <c r="AR289" s="213"/>
      <c r="AS289" s="213"/>
      <c r="AT289" s="213"/>
      <c r="AU289" s="213"/>
      <c r="AV289" s="213"/>
    </row>
    <row r="290" spans="1:48">
      <c r="A290">
        <v>2236</v>
      </c>
      <c r="C290" s="107">
        <f>VLOOKUP(2236,收盤價!$A:$C,3,0)</f>
        <v>56</v>
      </c>
      <c r="D290" s="107">
        <f t="shared" si="44"/>
        <v>13.651365136513652</v>
      </c>
      <c r="E290" s="167">
        <f t="shared" si="45"/>
        <v>3</v>
      </c>
      <c r="F290" s="104">
        <f t="shared" si="46"/>
        <v>1.0564538344031988</v>
      </c>
      <c r="G290" s="167">
        <f>RANK(4.81,AE:AE,0)</f>
        <v>170</v>
      </c>
      <c r="H290" s="365">
        <f t="shared" si="47"/>
        <v>-0.17751171264966162</v>
      </c>
      <c r="I290" s="213">
        <f t="shared" si="48"/>
        <v>827</v>
      </c>
      <c r="J290" s="213">
        <f t="shared" si="49"/>
        <v>740</v>
      </c>
      <c r="K290">
        <f>RANK(0.99,AI:AI,0)</f>
        <v>893</v>
      </c>
      <c r="L290" s="357">
        <v>0</v>
      </c>
      <c r="M290" s="357">
        <v>1</v>
      </c>
      <c r="N290" s="357">
        <v>1</v>
      </c>
      <c r="O290" s="357">
        <v>1</v>
      </c>
      <c r="P290" s="357">
        <v>0</v>
      </c>
      <c r="Q290" s="358">
        <v>0.28329809725158561</v>
      </c>
      <c r="R290" s="359">
        <v>1.0255384615384615</v>
      </c>
      <c r="S290" s="196">
        <v>1796955000</v>
      </c>
      <c r="T290" s="196">
        <v>33900000</v>
      </c>
      <c r="U290" s="200">
        <f t="shared" si="50"/>
        <v>1898400000</v>
      </c>
      <c r="V290" s="196">
        <v>68000000</v>
      </c>
      <c r="W290" s="196">
        <v>865000000</v>
      </c>
      <c r="X290" s="196">
        <v>349000000</v>
      </c>
      <c r="Y290" s="196">
        <v>1354000000</v>
      </c>
      <c r="Z290" s="196">
        <v>106000000</v>
      </c>
      <c r="AA290" s="198">
        <v>0.06</v>
      </c>
      <c r="AB290" s="198">
        <v>0.05</v>
      </c>
      <c r="AC290" s="213">
        <f t="shared" si="51"/>
        <v>174</v>
      </c>
      <c r="AD290" s="213">
        <f t="shared" si="52"/>
        <v>150</v>
      </c>
      <c r="AE290" s="213">
        <v>4.8099999999999996</v>
      </c>
      <c r="AF290" s="196">
        <v>12000000</v>
      </c>
      <c r="AG290" s="104">
        <f t="shared" si="53"/>
        <v>0.35398230088495575</v>
      </c>
      <c r="AH290" s="104">
        <f t="shared" si="54"/>
        <v>0.17647058823529413</v>
      </c>
      <c r="AI290" s="195">
        <v>0.99</v>
      </c>
    </row>
    <row r="291" spans="1:48">
      <c r="A291">
        <v>2239</v>
      </c>
      <c r="C291" s="107">
        <f>VLOOKUP(2239,收盤價!$A:$C,3,0)</f>
        <v>182</v>
      </c>
      <c r="D291" s="107">
        <f t="shared" si="44"/>
        <v>11.652439024390244</v>
      </c>
      <c r="E291" s="167">
        <f t="shared" si="45"/>
        <v>4</v>
      </c>
      <c r="F291" s="104">
        <f t="shared" si="46"/>
        <v>1.5310319216331905</v>
      </c>
      <c r="G291" s="167">
        <f>RANK(10.6,AE:AE,0)</f>
        <v>74</v>
      </c>
      <c r="H291" s="365">
        <f t="shared" si="47"/>
        <v>-3.9433433864713483</v>
      </c>
      <c r="I291" s="213">
        <f t="shared" si="48"/>
        <v>43</v>
      </c>
      <c r="J291" s="213">
        <f t="shared" si="49"/>
        <v>585</v>
      </c>
      <c r="K291">
        <f>RANK(2.48,AI:AI,0)</f>
        <v>241</v>
      </c>
      <c r="L291" s="357">
        <v>0</v>
      </c>
      <c r="M291" s="357">
        <v>1</v>
      </c>
      <c r="N291" s="357">
        <v>2</v>
      </c>
      <c r="O291" s="357">
        <v>1</v>
      </c>
      <c r="P291" s="357">
        <v>0</v>
      </c>
      <c r="Q291" s="358">
        <v>0.24043179587831207</v>
      </c>
      <c r="R291" s="359">
        <v>3.9047619047619047</v>
      </c>
      <c r="S291" s="196">
        <v>13076148000</v>
      </c>
      <c r="T291" s="196">
        <v>110000000</v>
      </c>
      <c r="U291" s="200">
        <f t="shared" si="50"/>
        <v>20020000000</v>
      </c>
      <c r="V291" s="196">
        <v>633000000</v>
      </c>
      <c r="W291" s="196">
        <v>782000000</v>
      </c>
      <c r="X291" s="196">
        <v>5757000000</v>
      </c>
      <c r="Y291" s="196">
        <v>9062000000</v>
      </c>
      <c r="Z291" s="196">
        <v>2159000000</v>
      </c>
      <c r="AA291" s="198">
        <v>0.1</v>
      </c>
      <c r="AB291" s="198">
        <v>0.06</v>
      </c>
      <c r="AC291" s="213">
        <f t="shared" si="51"/>
        <v>52</v>
      </c>
      <c r="AD291" s="213">
        <f t="shared" si="52"/>
        <v>95</v>
      </c>
      <c r="AE291" s="213">
        <v>10.6</v>
      </c>
      <c r="AF291" s="196">
        <v>525000000</v>
      </c>
      <c r="AG291" s="104">
        <f t="shared" si="53"/>
        <v>4.7727272727272725</v>
      </c>
      <c r="AH291" s="104">
        <f t="shared" si="54"/>
        <v>0.82938388625592419</v>
      </c>
      <c r="AI291" s="195">
        <v>2.48</v>
      </c>
      <c r="AO291" s="213"/>
      <c r="AP291" s="213"/>
      <c r="AQ291" s="213"/>
      <c r="AR291" s="213"/>
      <c r="AS291" s="213"/>
      <c r="AT291" s="213"/>
      <c r="AU291" s="213"/>
      <c r="AV291" s="213"/>
    </row>
    <row r="292" spans="1:48">
      <c r="A292">
        <v>2301</v>
      </c>
      <c r="C292" s="107">
        <f>VLOOKUP(2301,收盤價!$A:$C,3,0)</f>
        <v>45.85</v>
      </c>
      <c r="D292" s="107">
        <f t="shared" si="44"/>
        <v>14.620535714285714</v>
      </c>
      <c r="E292" s="167">
        <f t="shared" si="45"/>
        <v>3</v>
      </c>
      <c r="F292" s="104">
        <f t="shared" si="46"/>
        <v>0.48869966784633667</v>
      </c>
      <c r="G292" s="167">
        <f>RANK(2.32,AE:AE,0)</f>
        <v>360</v>
      </c>
      <c r="H292" s="365">
        <f t="shared" si="47"/>
        <v>-1.0926579307028478E-2</v>
      </c>
      <c r="I292" s="213">
        <f t="shared" si="48"/>
        <v>957</v>
      </c>
      <c r="J292" s="213">
        <f t="shared" si="49"/>
        <v>745</v>
      </c>
      <c r="K292">
        <f>RANK(0.92,AI:AI,0)</f>
        <v>958</v>
      </c>
      <c r="L292" s="357">
        <v>0</v>
      </c>
      <c r="M292" s="357">
        <v>1</v>
      </c>
      <c r="N292" s="357">
        <v>2</v>
      </c>
      <c r="O292" s="357">
        <v>0</v>
      </c>
      <c r="P292" s="357">
        <v>0</v>
      </c>
      <c r="Q292" s="358">
        <v>0.12682890553830709</v>
      </c>
      <c r="R292" s="359">
        <v>0.78400000000000003</v>
      </c>
      <c r="S292" s="196">
        <v>219061260000</v>
      </c>
      <c r="T292" s="196">
        <v>2334900000</v>
      </c>
      <c r="U292" s="200">
        <f t="shared" si="50"/>
        <v>107055165000</v>
      </c>
      <c r="V292" s="196">
        <v>2502000000</v>
      </c>
      <c r="W292" s="196">
        <v>38125000000</v>
      </c>
      <c r="X292" s="196">
        <v>30137000000</v>
      </c>
      <c r="Y292" s="196">
        <v>76213000000</v>
      </c>
      <c r="Z292" s="196">
        <v>23650000000</v>
      </c>
      <c r="AA292" s="198">
        <v>0.04</v>
      </c>
      <c r="AB292" s="198">
        <v>0.03</v>
      </c>
      <c r="AC292" s="213">
        <f t="shared" si="51"/>
        <v>337</v>
      </c>
      <c r="AD292" s="213">
        <f t="shared" si="52"/>
        <v>334</v>
      </c>
      <c r="AE292" s="213">
        <v>2.3199999999999998</v>
      </c>
      <c r="AF292" s="196">
        <v>382000000</v>
      </c>
      <c r="AG292" s="104">
        <f t="shared" si="53"/>
        <v>0.16360443702085742</v>
      </c>
      <c r="AH292" s="104">
        <f t="shared" si="54"/>
        <v>0.15267785771382894</v>
      </c>
      <c r="AI292" s="195">
        <v>0.92</v>
      </c>
    </row>
    <row r="293" spans="1:48">
      <c r="A293">
        <v>2302</v>
      </c>
      <c r="C293" s="107">
        <f>VLOOKUP(2302,收盤價!$A:$C,3,0)</f>
        <v>6.93</v>
      </c>
      <c r="D293" s="107">
        <f t="shared" si="44"/>
        <v>0</v>
      </c>
      <c r="E293" s="167">
        <f t="shared" si="45"/>
        <v>3</v>
      </c>
      <c r="F293" s="104">
        <f t="shared" si="46"/>
        <v>2.1331128267110393</v>
      </c>
      <c r="G293" s="167">
        <f>RANK(0.84,AE:AE,0)</f>
        <v>946</v>
      </c>
      <c r="H293" s="365">
        <f t="shared" si="47"/>
        <v>3.6079374624173183E-2</v>
      </c>
      <c r="I293" s="213">
        <f t="shared" si="48"/>
        <v>1095</v>
      </c>
      <c r="J293" s="213">
        <f t="shared" si="49"/>
        <v>768</v>
      </c>
      <c r="K293">
        <f>RANK(0.84,AI:AI,0)</f>
        <v>1076</v>
      </c>
      <c r="L293" s="357">
        <v>0</v>
      </c>
      <c r="M293" s="357">
        <v>1</v>
      </c>
      <c r="N293" s="357">
        <v>2</v>
      </c>
      <c r="O293" s="357">
        <v>0</v>
      </c>
      <c r="P293" s="357">
        <v>0</v>
      </c>
      <c r="Q293" s="358">
        <v>0.32608695652173914</v>
      </c>
      <c r="R293" s="359">
        <v>0</v>
      </c>
      <c r="S293" s="196">
        <v>540271000</v>
      </c>
      <c r="T293" s="196">
        <v>166300000</v>
      </c>
      <c r="U293" s="200">
        <f t="shared" si="50"/>
        <v>1152459000</v>
      </c>
      <c r="V293" s="196">
        <v>0</v>
      </c>
      <c r="W293" s="196">
        <v>160000000</v>
      </c>
      <c r="X293" s="196">
        <v>487000000</v>
      </c>
      <c r="Y293" s="196">
        <v>1704000000</v>
      </c>
      <c r="Z293" s="196">
        <v>126000000</v>
      </c>
      <c r="AA293" s="198">
        <v>0</v>
      </c>
      <c r="AB293" s="198">
        <v>0</v>
      </c>
      <c r="AC293" s="213">
        <f t="shared" si="51"/>
        <v>945</v>
      </c>
      <c r="AD293" s="213">
        <f t="shared" si="52"/>
        <v>911</v>
      </c>
      <c r="AE293" s="213">
        <v>0.84</v>
      </c>
      <c r="AF293" s="196">
        <v>-6000000</v>
      </c>
      <c r="AG293" s="104">
        <f t="shared" si="53"/>
        <v>-3.6079374624173183E-2</v>
      </c>
      <c r="AH293" s="104">
        <f t="shared" si="54"/>
        <v>0</v>
      </c>
      <c r="AI293" s="195">
        <v>0.84</v>
      </c>
    </row>
    <row r="294" spans="1:48">
      <c r="A294">
        <v>2303</v>
      </c>
      <c r="C294" s="107">
        <f>VLOOKUP(2303,收盤價!$A:$C,3,0)</f>
        <v>11.65</v>
      </c>
      <c r="D294" s="107">
        <f t="shared" si="44"/>
        <v>10.188001905539677</v>
      </c>
      <c r="E294" s="167">
        <f t="shared" si="45"/>
        <v>2</v>
      </c>
      <c r="F294" s="104">
        <f t="shared" si="46"/>
        <v>1.0478180181522405</v>
      </c>
      <c r="G294" s="167">
        <f>RANK(1.08,AE:AE,0)</f>
        <v>769</v>
      </c>
      <c r="H294" s="365">
        <f t="shared" si="47"/>
        <v>1.612221198189052</v>
      </c>
      <c r="I294" s="213">
        <f t="shared" si="48"/>
        <v>779</v>
      </c>
      <c r="J294" s="213">
        <f t="shared" si="49"/>
        <v>256</v>
      </c>
      <c r="K294">
        <f>RANK(1.51,AI:AI,0)</f>
        <v>558</v>
      </c>
      <c r="L294" s="357">
        <v>0</v>
      </c>
      <c r="M294" s="357">
        <v>1</v>
      </c>
      <c r="N294" s="357">
        <v>0</v>
      </c>
      <c r="O294" s="357">
        <v>1</v>
      </c>
      <c r="P294" s="357">
        <v>0</v>
      </c>
      <c r="Q294" s="358">
        <v>0.22393707597913345</v>
      </c>
      <c r="R294" s="359">
        <v>0.28587548638132293</v>
      </c>
      <c r="S294" s="196">
        <v>140361296000</v>
      </c>
      <c r="T294" s="196">
        <v>12624300000</v>
      </c>
      <c r="U294" s="200">
        <f t="shared" si="50"/>
        <v>147073095000</v>
      </c>
      <c r="V294" s="196">
        <v>2711000000</v>
      </c>
      <c r="W294" s="196">
        <v>14852000000</v>
      </c>
      <c r="X294" s="196">
        <v>207826000000</v>
      </c>
      <c r="Y294" s="196">
        <v>219527000000</v>
      </c>
      <c r="Z294" s="196">
        <v>33485000000</v>
      </c>
      <c r="AA294" s="198">
        <v>0.01</v>
      </c>
      <c r="AB294" s="198">
        <v>0.01</v>
      </c>
      <c r="AC294" s="213">
        <f t="shared" si="51"/>
        <v>769</v>
      </c>
      <c r="AD294" s="213">
        <f t="shared" si="52"/>
        <v>680</v>
      </c>
      <c r="AE294" s="213">
        <v>1.08</v>
      </c>
      <c r="AF294" s="196">
        <v>5566000000</v>
      </c>
      <c r="AG294" s="104">
        <f t="shared" si="53"/>
        <v>0.4408957328327115</v>
      </c>
      <c r="AH294" s="104">
        <f t="shared" si="54"/>
        <v>2.0531169310217634</v>
      </c>
      <c r="AI294" s="195">
        <v>1.51</v>
      </c>
      <c r="AO294" s="213"/>
      <c r="AP294" s="213"/>
      <c r="AQ294" s="213"/>
      <c r="AR294" s="213"/>
      <c r="AS294" s="213"/>
      <c r="AT294" s="213"/>
      <c r="AU294" s="213"/>
      <c r="AV294" s="213"/>
    </row>
    <row r="295" spans="1:48">
      <c r="A295">
        <v>2305</v>
      </c>
      <c r="C295" s="107">
        <f>VLOOKUP(2305,收盤價!$A:$C,3,0)</f>
        <v>7.93</v>
      </c>
      <c r="D295" s="107">
        <f t="shared" si="44"/>
        <v>0</v>
      </c>
      <c r="E295" s="167">
        <f t="shared" si="45"/>
        <v>3</v>
      </c>
      <c r="F295" s="104">
        <f t="shared" si="46"/>
        <v>2.0994847822197737</v>
      </c>
      <c r="G295" s="167">
        <f>RANK(0.84,AE:AE,0)</f>
        <v>946</v>
      </c>
      <c r="H295" s="365">
        <f t="shared" si="47"/>
        <v>-0.39863879436071947</v>
      </c>
      <c r="I295" s="213">
        <f t="shared" si="48"/>
        <v>806</v>
      </c>
      <c r="J295" s="213">
        <f t="shared" si="49"/>
        <v>768</v>
      </c>
      <c r="K295">
        <f>RANK(0.99,AI:AI,0)</f>
        <v>893</v>
      </c>
      <c r="L295" s="357">
        <v>0</v>
      </c>
      <c r="M295" s="357">
        <v>0</v>
      </c>
      <c r="N295" s="357">
        <v>2</v>
      </c>
      <c r="O295" s="357">
        <v>1</v>
      </c>
      <c r="P295" s="357">
        <v>0</v>
      </c>
      <c r="Q295" s="358">
        <v>0.40306122448979592</v>
      </c>
      <c r="R295" s="359">
        <v>0</v>
      </c>
      <c r="S295" s="196">
        <v>776953000</v>
      </c>
      <c r="T295" s="196">
        <v>205700000</v>
      </c>
      <c r="U295" s="200">
        <f t="shared" si="50"/>
        <v>1631201000</v>
      </c>
      <c r="V295" s="196">
        <v>-8000000</v>
      </c>
      <c r="W295" s="196">
        <v>1511000000</v>
      </c>
      <c r="X295" s="196">
        <v>199000000</v>
      </c>
      <c r="Y295" s="196">
        <v>2426000000</v>
      </c>
      <c r="Z295" s="196">
        <v>168000000</v>
      </c>
      <c r="AA295" s="198">
        <v>0</v>
      </c>
      <c r="AB295" s="198">
        <v>0</v>
      </c>
      <c r="AC295" s="213">
        <f t="shared" si="51"/>
        <v>945</v>
      </c>
      <c r="AD295" s="213">
        <f t="shared" si="52"/>
        <v>911</v>
      </c>
      <c r="AE295" s="213">
        <v>0.84</v>
      </c>
      <c r="AF295" s="196">
        <v>82000000</v>
      </c>
      <c r="AG295" s="104">
        <f t="shared" si="53"/>
        <v>0.39863879436071947</v>
      </c>
      <c r="AH295" s="104">
        <f t="shared" si="54"/>
        <v>0</v>
      </c>
      <c r="AI295" s="195">
        <v>0.99</v>
      </c>
      <c r="AO295" s="213"/>
      <c r="AP295" s="213"/>
      <c r="AQ295" s="213"/>
      <c r="AR295" s="213"/>
      <c r="AS295" s="213"/>
      <c r="AT295" s="213"/>
      <c r="AU295" s="213"/>
      <c r="AV295" s="213"/>
    </row>
    <row r="296" spans="1:48">
      <c r="A296">
        <v>2308</v>
      </c>
      <c r="C296" s="107">
        <f>VLOOKUP(2308,收盤價!$A:$C,3,0)</f>
        <v>166</v>
      </c>
      <c r="D296" s="107">
        <f t="shared" si="44"/>
        <v>28.235633288487413</v>
      </c>
      <c r="E296" s="167">
        <f t="shared" si="45"/>
        <v>3</v>
      </c>
      <c r="F296" s="104">
        <f t="shared" si="46"/>
        <v>2.0293765295569299</v>
      </c>
      <c r="G296" s="167">
        <f>RANK(3.88,AE:AE,0)</f>
        <v>240</v>
      </c>
      <c r="H296" s="365">
        <f t="shared" si="47"/>
        <v>-1.7003209483964292</v>
      </c>
      <c r="I296" s="213">
        <f t="shared" si="48"/>
        <v>97</v>
      </c>
      <c r="J296" s="213">
        <f t="shared" si="49"/>
        <v>341</v>
      </c>
      <c r="K296">
        <f>RANK(3.56,AI:AI,0)</f>
        <v>123</v>
      </c>
      <c r="L296" s="357">
        <v>0</v>
      </c>
      <c r="M296" s="357">
        <v>1</v>
      </c>
      <c r="N296" s="357">
        <v>1</v>
      </c>
      <c r="O296" s="357">
        <v>1</v>
      </c>
      <c r="P296" s="357">
        <v>0</v>
      </c>
      <c r="Q296" s="358">
        <v>0.28050355067785671</v>
      </c>
      <c r="R296" s="359">
        <v>1.4697740112994349</v>
      </c>
      <c r="S296" s="196">
        <v>212471660000</v>
      </c>
      <c r="T296" s="196">
        <v>2597500000</v>
      </c>
      <c r="U296" s="200">
        <f t="shared" si="50"/>
        <v>431185000000</v>
      </c>
      <c r="V296" s="196">
        <v>5301000000</v>
      </c>
      <c r="W296" s="196">
        <v>46841000000</v>
      </c>
      <c r="X296" s="196">
        <v>41363000000</v>
      </c>
      <c r="Y296" s="196">
        <v>121523000000</v>
      </c>
      <c r="Z296" s="196">
        <v>16119000000</v>
      </c>
      <c r="AA296" s="198">
        <v>0.06</v>
      </c>
      <c r="AB296" s="198">
        <v>0.04</v>
      </c>
      <c r="AC296" s="213">
        <f t="shared" si="51"/>
        <v>174</v>
      </c>
      <c r="AD296" s="213">
        <f t="shared" si="52"/>
        <v>228</v>
      </c>
      <c r="AE296" s="213">
        <v>3.88</v>
      </c>
      <c r="AF296" s="196">
        <v>8660000000</v>
      </c>
      <c r="AG296" s="104">
        <f t="shared" si="53"/>
        <v>3.3339749759384025</v>
      </c>
      <c r="AH296" s="104">
        <f t="shared" si="54"/>
        <v>1.6336540275419733</v>
      </c>
      <c r="AI296" s="195">
        <v>3.56</v>
      </c>
    </row>
    <row r="297" spans="1:48">
      <c r="A297">
        <v>2311</v>
      </c>
      <c r="C297" s="107">
        <f>VLOOKUP(2311,收盤價!$A:$C,3,0)</f>
        <v>37.799999999999997</v>
      </c>
      <c r="D297" s="107">
        <f t="shared" si="44"/>
        <v>15.491803278688524</v>
      </c>
      <c r="E297" s="167">
        <f t="shared" si="45"/>
        <v>2</v>
      </c>
      <c r="F297" s="104">
        <f t="shared" si="46"/>
        <v>1.0951444524126626</v>
      </c>
      <c r="G297" s="167">
        <f>RANK(0.84,AE:AE,0)</f>
        <v>946</v>
      </c>
      <c r="H297" s="365">
        <f t="shared" si="47"/>
        <v>-1.2373868128259853</v>
      </c>
      <c r="I297" s="213">
        <f t="shared" si="48"/>
        <v>422</v>
      </c>
      <c r="J297" s="213">
        <f t="shared" si="49"/>
        <v>768</v>
      </c>
      <c r="K297">
        <f>RANK(1.31,AI:AI,0)</f>
        <v>671</v>
      </c>
      <c r="L297" s="357">
        <v>0</v>
      </c>
      <c r="M297" s="357">
        <v>1</v>
      </c>
      <c r="N297" s="357">
        <v>0</v>
      </c>
      <c r="O297" s="357">
        <v>1</v>
      </c>
      <c r="P297" s="357">
        <v>0</v>
      </c>
      <c r="Q297" s="358">
        <v>0.1957636459481478</v>
      </c>
      <c r="R297" s="359">
        <v>0.61</v>
      </c>
      <c r="S297" s="196">
        <v>273308000000</v>
      </c>
      <c r="T297" s="196">
        <v>7918300000</v>
      </c>
      <c r="U297" s="200">
        <f t="shared" si="50"/>
        <v>299311740000</v>
      </c>
      <c r="V297" s="196">
        <v>0</v>
      </c>
      <c r="W297" s="196">
        <v>16203000000</v>
      </c>
      <c r="X297" s="196">
        <v>147650000000</v>
      </c>
      <c r="Y297" s="196">
        <v>160229000000</v>
      </c>
      <c r="Z297" s="196">
        <v>46084000000</v>
      </c>
      <c r="AA297" s="198">
        <v>0</v>
      </c>
      <c r="AB297" s="198">
        <v>0</v>
      </c>
      <c r="AC297" s="213">
        <f t="shared" si="51"/>
        <v>945</v>
      </c>
      <c r="AD297" s="213">
        <f t="shared" si="52"/>
        <v>911</v>
      </c>
      <c r="AE297" s="213">
        <v>0.84</v>
      </c>
      <c r="AF297" s="196">
        <v>9798000000</v>
      </c>
      <c r="AG297" s="104">
        <f t="shared" si="53"/>
        <v>1.2373868128259853</v>
      </c>
      <c r="AH297" s="104">
        <f t="shared" si="54"/>
        <v>0</v>
      </c>
      <c r="AI297" s="195">
        <v>1.31</v>
      </c>
    </row>
    <row r="298" spans="1:48">
      <c r="A298">
        <v>2312</v>
      </c>
      <c r="C298" s="107">
        <f>VLOOKUP(2312,收盤價!$A:$C,3,0)</f>
        <v>11.9</v>
      </c>
      <c r="D298" s="107">
        <f t="shared" si="44"/>
        <v>0</v>
      </c>
      <c r="E298" s="167">
        <f t="shared" si="45"/>
        <v>2</v>
      </c>
      <c r="F298" s="104">
        <f t="shared" si="46"/>
        <v>0.20701832840649653</v>
      </c>
      <c r="G298" s="167">
        <f>RANK(1.2,AE:AE,0)</f>
        <v>710</v>
      </c>
      <c r="H298" s="365">
        <f t="shared" si="47"/>
        <v>2.6734474970904927</v>
      </c>
      <c r="I298" s="213">
        <f t="shared" si="48"/>
        <v>270</v>
      </c>
      <c r="J298" s="213">
        <f t="shared" si="49"/>
        <v>95</v>
      </c>
      <c r="K298">
        <f>RANK(4.27,AI:AI,0)</f>
        <v>92</v>
      </c>
      <c r="L298" s="357">
        <v>0</v>
      </c>
      <c r="M298" s="357">
        <v>0</v>
      </c>
      <c r="N298" s="357">
        <v>0</v>
      </c>
      <c r="O298" s="357">
        <v>1</v>
      </c>
      <c r="P298" s="357">
        <v>1</v>
      </c>
      <c r="Q298" s="358">
        <v>5.9334386007530666E-2</v>
      </c>
      <c r="R298" s="359">
        <v>0</v>
      </c>
      <c r="S298" s="196">
        <v>83677760000</v>
      </c>
      <c r="T298" s="196">
        <v>1455700000</v>
      </c>
      <c r="U298" s="200">
        <f t="shared" si="50"/>
        <v>17322830000</v>
      </c>
      <c r="V298" s="196">
        <v>581000000</v>
      </c>
      <c r="W298" s="196">
        <v>837000000</v>
      </c>
      <c r="X298" s="196">
        <v>23847000000</v>
      </c>
      <c r="Y298" s="196">
        <v>27433000000</v>
      </c>
      <c r="Z298" s="196">
        <v>19424000000</v>
      </c>
      <c r="AA298" s="198">
        <v>0.02</v>
      </c>
      <c r="AB298" s="198">
        <v>0.01</v>
      </c>
      <c r="AC298" s="213">
        <f t="shared" si="51"/>
        <v>616</v>
      </c>
      <c r="AD298" s="213">
        <f t="shared" si="52"/>
        <v>680</v>
      </c>
      <c r="AE298" s="213">
        <v>1.2</v>
      </c>
      <c r="AF298" s="196">
        <v>2585000000</v>
      </c>
      <c r="AG298" s="104">
        <f t="shared" si="53"/>
        <v>1.7757779762313664</v>
      </c>
      <c r="AH298" s="104">
        <f t="shared" si="54"/>
        <v>4.4492254733218592</v>
      </c>
      <c r="AI298" s="195">
        <v>4.2699999999999996</v>
      </c>
    </row>
    <row r="299" spans="1:48">
      <c r="A299">
        <v>2313</v>
      </c>
      <c r="C299" s="107">
        <f>VLOOKUP(2313,收盤價!$A:$C,3,0)</f>
        <v>17.149999999999999</v>
      </c>
      <c r="D299" s="107">
        <f t="shared" si="44"/>
        <v>214.37499999999997</v>
      </c>
      <c r="E299" s="167">
        <f t="shared" si="45"/>
        <v>1</v>
      </c>
      <c r="F299" s="104">
        <f t="shared" si="46"/>
        <v>0.45532687941795136</v>
      </c>
      <c r="G299" s="167">
        <f>RANK(0.84,AE:AE,0)</f>
        <v>946</v>
      </c>
      <c r="H299" s="365">
        <f t="shared" si="47"/>
        <v>0.53364658499748285</v>
      </c>
      <c r="I299" s="213">
        <f t="shared" si="48"/>
        <v>1357</v>
      </c>
      <c r="J299" s="213">
        <f t="shared" si="49"/>
        <v>768</v>
      </c>
      <c r="K299">
        <f>RANK(0.73,AI:AI,0)</f>
        <v>1352</v>
      </c>
      <c r="L299" s="357">
        <v>0</v>
      </c>
      <c r="M299" s="357">
        <v>0</v>
      </c>
      <c r="N299" s="357">
        <v>1</v>
      </c>
      <c r="O299" s="357">
        <v>0</v>
      </c>
      <c r="P299" s="357">
        <v>0</v>
      </c>
      <c r="Q299" s="358">
        <v>0.11834763948497853</v>
      </c>
      <c r="R299" s="359">
        <v>0.02</v>
      </c>
      <c r="S299" s="196">
        <v>44889443000</v>
      </c>
      <c r="T299" s="196">
        <v>1191800000</v>
      </c>
      <c r="U299" s="200">
        <f t="shared" si="50"/>
        <v>20439370000</v>
      </c>
      <c r="V299" s="196">
        <v>0</v>
      </c>
      <c r="W299" s="196">
        <v>6909000000</v>
      </c>
      <c r="X299" s="196">
        <v>23134000000</v>
      </c>
      <c r="Y299" s="196">
        <v>19408000000</v>
      </c>
      <c r="Z299" s="196">
        <v>3861000000</v>
      </c>
      <c r="AA299" s="198">
        <v>0</v>
      </c>
      <c r="AB299" s="198">
        <v>0</v>
      </c>
      <c r="AC299" s="213">
        <f t="shared" si="51"/>
        <v>945</v>
      </c>
      <c r="AD299" s="213">
        <f t="shared" si="52"/>
        <v>911</v>
      </c>
      <c r="AE299" s="213">
        <v>0.84</v>
      </c>
      <c r="AF299" s="196">
        <v>-636000000</v>
      </c>
      <c r="AG299" s="104">
        <f t="shared" si="53"/>
        <v>-0.53364658499748285</v>
      </c>
      <c r="AH299" s="104">
        <f t="shared" si="54"/>
        <v>0</v>
      </c>
      <c r="AI299" s="195">
        <v>0.73</v>
      </c>
    </row>
    <row r="300" spans="1:48">
      <c r="A300">
        <v>2314</v>
      </c>
      <c r="C300" s="107">
        <f>VLOOKUP(2314,收盤價!$A:$C,3,0)</f>
        <v>25.65</v>
      </c>
      <c r="D300" s="107">
        <f t="shared" si="44"/>
        <v>46.63636363636364</v>
      </c>
      <c r="E300" s="167">
        <f t="shared" si="45"/>
        <v>3</v>
      </c>
      <c r="F300" s="104">
        <f t="shared" si="46"/>
        <v>1.3866389754240223</v>
      </c>
      <c r="G300" s="167">
        <f>RANK(1.89,AE:AE,0)</f>
        <v>498</v>
      </c>
      <c r="H300" s="365">
        <f t="shared" si="47"/>
        <v>1.0327209186220667</v>
      </c>
      <c r="I300" s="213">
        <f t="shared" si="48"/>
        <v>964</v>
      </c>
      <c r="J300" s="213">
        <f t="shared" si="49"/>
        <v>468</v>
      </c>
      <c r="K300">
        <f>RANK(1.09,AI:AI,0)</f>
        <v>803</v>
      </c>
      <c r="L300" s="357">
        <v>0</v>
      </c>
      <c r="M300" s="357">
        <v>1</v>
      </c>
      <c r="N300" s="357">
        <v>1</v>
      </c>
      <c r="O300" s="357">
        <v>1</v>
      </c>
      <c r="P300" s="357">
        <v>0</v>
      </c>
      <c r="Q300" s="358">
        <v>0.15792379900607401</v>
      </c>
      <c r="R300" s="359">
        <v>0.13749999999999998</v>
      </c>
      <c r="S300" s="196">
        <v>7410285000</v>
      </c>
      <c r="T300" s="196">
        <v>400600000</v>
      </c>
      <c r="U300" s="200">
        <f t="shared" si="50"/>
        <v>10275390000</v>
      </c>
      <c r="V300" s="196">
        <v>50000000</v>
      </c>
      <c r="W300" s="196">
        <v>655000000</v>
      </c>
      <c r="X300" s="196">
        <v>593000000</v>
      </c>
      <c r="Y300" s="196">
        <v>2050000000</v>
      </c>
      <c r="Z300" s="196">
        <v>1117000000</v>
      </c>
      <c r="AA300" s="198">
        <v>0.04</v>
      </c>
      <c r="AB300" s="198">
        <v>0.02</v>
      </c>
      <c r="AC300" s="213">
        <f t="shared" si="51"/>
        <v>337</v>
      </c>
      <c r="AD300" s="213">
        <f t="shared" si="52"/>
        <v>487</v>
      </c>
      <c r="AE300" s="213">
        <v>1.89</v>
      </c>
      <c r="AF300" s="196">
        <v>59000000</v>
      </c>
      <c r="AG300" s="104">
        <f t="shared" si="53"/>
        <v>0.14727908137793311</v>
      </c>
      <c r="AH300" s="104">
        <f t="shared" si="54"/>
        <v>1.18</v>
      </c>
      <c r="AI300" s="195">
        <v>1.0900000000000001</v>
      </c>
    </row>
    <row r="301" spans="1:48">
      <c r="A301">
        <v>2316</v>
      </c>
      <c r="C301" s="107">
        <f>VLOOKUP(2316,收盤價!$A:$C,3,0)</f>
        <v>17.95</v>
      </c>
      <c r="D301" s="107">
        <f t="shared" si="44"/>
        <v>0</v>
      </c>
      <c r="E301" s="167">
        <f t="shared" si="45"/>
        <v>2</v>
      </c>
      <c r="F301" s="104">
        <f t="shared" si="46"/>
        <v>1.0095239238926699</v>
      </c>
      <c r="G301" s="167">
        <f>RANK(0.84,AE:AE,0)</f>
        <v>946</v>
      </c>
      <c r="H301" s="365">
        <f t="shared" si="47"/>
        <v>5.027499191200258</v>
      </c>
      <c r="I301" s="213">
        <f t="shared" si="48"/>
        <v>788</v>
      </c>
      <c r="J301" s="213">
        <f t="shared" si="49"/>
        <v>76</v>
      </c>
      <c r="K301">
        <f>RANK(1.8,AI:AI,0)</f>
        <v>414</v>
      </c>
      <c r="L301" s="357">
        <v>0</v>
      </c>
      <c r="M301" s="357">
        <v>1</v>
      </c>
      <c r="N301" s="357">
        <v>1</v>
      </c>
      <c r="O301" s="357">
        <v>0</v>
      </c>
      <c r="P301" s="357">
        <v>0</v>
      </c>
      <c r="Q301" s="358">
        <v>9.4957983193277307E-2</v>
      </c>
      <c r="R301" s="359">
        <v>0</v>
      </c>
      <c r="S301" s="196">
        <v>4996365000</v>
      </c>
      <c r="T301" s="196">
        <v>281000000</v>
      </c>
      <c r="U301" s="200">
        <f t="shared" si="50"/>
        <v>5043950000</v>
      </c>
      <c r="V301" s="196">
        <v>22000000</v>
      </c>
      <c r="W301" s="196">
        <v>5980000000</v>
      </c>
      <c r="X301" s="196">
        <v>1716000000</v>
      </c>
      <c r="Y301" s="196">
        <v>7986000000</v>
      </c>
      <c r="Z301" s="196">
        <v>956000000</v>
      </c>
      <c r="AA301" s="198">
        <v>0</v>
      </c>
      <c r="AB301" s="198">
        <v>0</v>
      </c>
      <c r="AC301" s="213">
        <f t="shared" si="51"/>
        <v>945</v>
      </c>
      <c r="AD301" s="213">
        <f t="shared" si="52"/>
        <v>911</v>
      </c>
      <c r="AE301" s="213">
        <v>0.84</v>
      </c>
      <c r="AF301" s="196">
        <v>120000000</v>
      </c>
      <c r="AG301" s="104">
        <f t="shared" si="53"/>
        <v>0.42704626334519574</v>
      </c>
      <c r="AH301" s="104">
        <f t="shared" si="54"/>
        <v>5.4545454545454541</v>
      </c>
      <c r="AI301" s="195">
        <v>1.8</v>
      </c>
      <c r="AO301" s="213"/>
      <c r="AP301" s="213"/>
      <c r="AQ301" s="213"/>
      <c r="AR301" s="213"/>
      <c r="AS301" s="213"/>
      <c r="AT301" s="213"/>
      <c r="AU301" s="213"/>
      <c r="AV301" s="213"/>
    </row>
    <row r="302" spans="1:48">
      <c r="A302">
        <v>2317</v>
      </c>
      <c r="C302" s="107">
        <f>VLOOKUP(2317,收盤價!$A:$C,3,0)</f>
        <v>84.2</v>
      </c>
      <c r="D302" s="107">
        <f t="shared" si="44"/>
        <v>30.96282024480141</v>
      </c>
      <c r="E302" s="167">
        <f t="shared" si="45"/>
        <v>2</v>
      </c>
      <c r="F302" s="104">
        <f t="shared" si="46"/>
        <v>0.30216918243165347</v>
      </c>
      <c r="G302" s="167">
        <f>RANK(1.63,AE:AE,0)</f>
        <v>551</v>
      </c>
      <c r="H302" s="365">
        <f t="shared" si="47"/>
        <v>-1.2101077885272169</v>
      </c>
      <c r="I302" s="213">
        <f t="shared" si="48"/>
        <v>118</v>
      </c>
      <c r="J302" s="213">
        <f t="shared" si="49"/>
        <v>301</v>
      </c>
      <c r="K302">
        <f>RANK(3.72,AI:AI,0)</f>
        <v>113</v>
      </c>
      <c r="L302" s="357">
        <v>0</v>
      </c>
      <c r="M302" s="357">
        <v>0</v>
      </c>
      <c r="N302" s="357">
        <v>1</v>
      </c>
      <c r="O302" s="357">
        <v>1</v>
      </c>
      <c r="P302" s="357">
        <v>0</v>
      </c>
      <c r="Q302" s="358">
        <v>6.0175440308761062E-2</v>
      </c>
      <c r="R302" s="359">
        <v>0.67984763124199743</v>
      </c>
      <c r="S302" s="196">
        <v>4357641138000</v>
      </c>
      <c r="T302" s="196">
        <v>15638300000</v>
      </c>
      <c r="U302" s="200">
        <f t="shared" si="50"/>
        <v>1316744860000</v>
      </c>
      <c r="V302" s="196">
        <v>26155000000</v>
      </c>
      <c r="W302" s="196">
        <v>662307000000</v>
      </c>
      <c r="X302" s="196">
        <v>317172000000</v>
      </c>
      <c r="Y302" s="196">
        <v>1025068000000</v>
      </c>
      <c r="Z302" s="196">
        <v>167037000000</v>
      </c>
      <c r="AA302" s="198">
        <v>0.03</v>
      </c>
      <c r="AB302" s="198">
        <v>0.02</v>
      </c>
      <c r="AC302" s="213">
        <f t="shared" si="51"/>
        <v>469</v>
      </c>
      <c r="AD302" s="213">
        <f t="shared" si="52"/>
        <v>487</v>
      </c>
      <c r="AE302" s="213">
        <v>1.63</v>
      </c>
      <c r="AF302" s="196">
        <v>47064000000</v>
      </c>
      <c r="AG302" s="104">
        <f t="shared" si="53"/>
        <v>3.009534284417104</v>
      </c>
      <c r="AH302" s="104">
        <f t="shared" si="54"/>
        <v>1.7994264958898871</v>
      </c>
      <c r="AI302" s="195">
        <v>3.72</v>
      </c>
    </row>
    <row r="303" spans="1:48">
      <c r="A303">
        <v>2321</v>
      </c>
      <c r="C303" s="107">
        <f>VLOOKUP(2321,收盤價!$A:$C,3,0)</f>
        <v>2.09</v>
      </c>
      <c r="D303" s="107">
        <f t="shared" si="44"/>
        <v>0</v>
      </c>
      <c r="E303" s="167">
        <f t="shared" si="45"/>
        <v>3</v>
      </c>
      <c r="F303" s="104">
        <f t="shared" si="46"/>
        <v>0.14554000507340628</v>
      </c>
      <c r="G303" s="167">
        <f>RANK(2.89,AE:AE,0)</f>
        <v>301</v>
      </c>
      <c r="H303" s="365">
        <f t="shared" si="47"/>
        <v>0.21863437605112682</v>
      </c>
      <c r="I303" s="213">
        <f t="shared" si="48"/>
        <v>1221</v>
      </c>
      <c r="J303" s="213">
        <f t="shared" si="49"/>
        <v>768</v>
      </c>
      <c r="K303">
        <f>RANK(0.78,AI:AI,0)</f>
        <v>1217</v>
      </c>
      <c r="L303" s="357">
        <v>1</v>
      </c>
      <c r="M303" s="357">
        <v>1</v>
      </c>
      <c r="N303" s="357">
        <v>1</v>
      </c>
      <c r="O303" s="357">
        <v>0</v>
      </c>
      <c r="P303" s="357">
        <v>0</v>
      </c>
      <c r="Q303" s="358">
        <v>0.1236816874400767</v>
      </c>
      <c r="R303" s="359">
        <v>0</v>
      </c>
      <c r="S303" s="196">
        <v>4269321000</v>
      </c>
      <c r="T303" s="196">
        <v>297300000</v>
      </c>
      <c r="U303" s="200">
        <f t="shared" si="50"/>
        <v>621357000</v>
      </c>
      <c r="V303" s="196">
        <v>28000000</v>
      </c>
      <c r="W303" s="196">
        <v>101000000</v>
      </c>
      <c r="X303" s="196">
        <v>187000000</v>
      </c>
      <c r="Y303" s="196">
        <v>525000000</v>
      </c>
      <c r="Z303" s="196">
        <v>1165000000</v>
      </c>
      <c r="AA303" s="198">
        <v>0.1</v>
      </c>
      <c r="AB303" s="198">
        <v>0.02</v>
      </c>
      <c r="AC303" s="213">
        <f t="shared" si="51"/>
        <v>52</v>
      </c>
      <c r="AD303" s="213">
        <f t="shared" si="52"/>
        <v>487</v>
      </c>
      <c r="AE303" s="213">
        <v>2.89</v>
      </c>
      <c r="AF303" s="196">
        <v>-65000000</v>
      </c>
      <c r="AG303" s="104">
        <f t="shared" si="53"/>
        <v>-0.21863437605112682</v>
      </c>
      <c r="AH303" s="104">
        <f t="shared" si="54"/>
        <v>0</v>
      </c>
      <c r="AI303" s="195">
        <v>0.78</v>
      </c>
    </row>
    <row r="304" spans="1:48">
      <c r="A304">
        <v>2323</v>
      </c>
      <c r="C304" s="107">
        <f>VLOOKUP(2323,收盤價!$A:$C,3,0)</f>
        <v>3.74</v>
      </c>
      <c r="D304" s="107">
        <f t="shared" si="44"/>
        <v>0</v>
      </c>
      <c r="E304" s="167">
        <f t="shared" si="45"/>
        <v>3</v>
      </c>
      <c r="F304" s="104">
        <f t="shared" si="46"/>
        <v>0.62930832625493682</v>
      </c>
      <c r="G304" s="167">
        <f>RANK(0.61,AE:AE,0)</f>
        <v>1295</v>
      </c>
      <c r="H304" s="365">
        <f t="shared" si="47"/>
        <v>-0.24183546920214966</v>
      </c>
      <c r="I304" s="213">
        <f t="shared" si="48"/>
        <v>894</v>
      </c>
      <c r="J304" s="213">
        <f t="shared" si="49"/>
        <v>768</v>
      </c>
      <c r="K304">
        <f>RANK(0.94,AI:AI,0)</f>
        <v>936</v>
      </c>
      <c r="L304" s="357">
        <v>0</v>
      </c>
      <c r="M304" s="357">
        <v>1</v>
      </c>
      <c r="N304" s="357">
        <v>1</v>
      </c>
      <c r="O304" s="357">
        <v>1</v>
      </c>
      <c r="P304" s="357">
        <v>0</v>
      </c>
      <c r="Q304" s="358">
        <v>6.2247644683714673E-2</v>
      </c>
      <c r="R304" s="359">
        <v>0</v>
      </c>
      <c r="S304" s="196">
        <v>11500957000</v>
      </c>
      <c r="T304" s="196">
        <v>1935200000</v>
      </c>
      <c r="U304" s="200">
        <f t="shared" si="50"/>
        <v>7237648000</v>
      </c>
      <c r="V304" s="196">
        <v>-198000000</v>
      </c>
      <c r="W304" s="196">
        <v>6295000000</v>
      </c>
      <c r="X304" s="196">
        <v>16037000000</v>
      </c>
      <c r="Y304" s="196">
        <v>22895000000</v>
      </c>
      <c r="Z304" s="196">
        <v>2825000000</v>
      </c>
      <c r="AA304" s="198">
        <v>-0.01</v>
      </c>
      <c r="AB304" s="198">
        <v>-0.01</v>
      </c>
      <c r="AC304" s="213">
        <f t="shared" si="51"/>
        <v>1277</v>
      </c>
      <c r="AD304" s="213">
        <f t="shared" si="52"/>
        <v>1294</v>
      </c>
      <c r="AE304" s="213">
        <v>0.61</v>
      </c>
      <c r="AF304" s="196">
        <v>468000000</v>
      </c>
      <c r="AG304" s="104">
        <f t="shared" si="53"/>
        <v>0.24183546920214966</v>
      </c>
      <c r="AH304" s="104">
        <f t="shared" si="54"/>
        <v>0</v>
      </c>
      <c r="AI304" s="195">
        <v>0.94</v>
      </c>
    </row>
    <row r="305" spans="1:48">
      <c r="A305">
        <v>2324</v>
      </c>
      <c r="C305" s="107">
        <f>VLOOKUP(2324,收盤價!$A:$C,3,0)</f>
        <v>19.05</v>
      </c>
      <c r="D305" s="107">
        <f t="shared" si="44"/>
        <v>14.404788389900663</v>
      </c>
      <c r="E305" s="167">
        <f t="shared" si="45"/>
        <v>1</v>
      </c>
      <c r="F305" s="104">
        <f t="shared" si="46"/>
        <v>0.10585838650872607</v>
      </c>
      <c r="G305" s="167">
        <f>RANK(1.63,AE:AE,0)</f>
        <v>551</v>
      </c>
      <c r="H305" s="365">
        <f t="shared" si="47"/>
        <v>5.4023092392163949</v>
      </c>
      <c r="I305" s="213">
        <f t="shared" si="48"/>
        <v>1545</v>
      </c>
      <c r="J305" s="213">
        <f t="shared" si="49"/>
        <v>768</v>
      </c>
      <c r="K305">
        <f>RANK(0.67,AI:AI,0)</f>
        <v>1541</v>
      </c>
      <c r="L305" s="357">
        <v>0</v>
      </c>
      <c r="M305" s="357">
        <v>1</v>
      </c>
      <c r="N305" s="357">
        <v>0</v>
      </c>
      <c r="O305" s="357">
        <v>0</v>
      </c>
      <c r="P305" s="357">
        <v>0</v>
      </c>
      <c r="Q305" s="358">
        <v>4.409749327782115E-2</v>
      </c>
      <c r="R305" s="359">
        <v>0.33061922682175848</v>
      </c>
      <c r="S305" s="196">
        <v>796437465000</v>
      </c>
      <c r="T305" s="196">
        <v>4425700000</v>
      </c>
      <c r="U305" s="200">
        <f t="shared" si="50"/>
        <v>84309585000</v>
      </c>
      <c r="V305" s="196">
        <v>2658000000</v>
      </c>
      <c r="W305" s="196">
        <v>76938000000</v>
      </c>
      <c r="X305" s="196">
        <v>22654000000</v>
      </c>
      <c r="Y305" s="196">
        <v>107268000000</v>
      </c>
      <c r="Z305" s="196">
        <v>45469000000</v>
      </c>
      <c r="AA305" s="198">
        <v>0.03</v>
      </c>
      <c r="AB305" s="198">
        <v>0.02</v>
      </c>
      <c r="AC305" s="213">
        <f t="shared" si="51"/>
        <v>469</v>
      </c>
      <c r="AD305" s="213">
        <f t="shared" si="52"/>
        <v>487</v>
      </c>
      <c r="AE305" s="213">
        <v>1.63</v>
      </c>
      <c r="AF305" s="196">
        <v>-23909000000</v>
      </c>
      <c r="AG305" s="104">
        <f t="shared" si="53"/>
        <v>-5.4023092392163949</v>
      </c>
      <c r="AH305" s="104">
        <f t="shared" si="54"/>
        <v>0</v>
      </c>
      <c r="AI305" s="195">
        <v>0.67</v>
      </c>
      <c r="AO305" s="213"/>
      <c r="AP305" s="213"/>
      <c r="AQ305" s="213"/>
      <c r="AR305" s="213"/>
      <c r="AS305" s="213"/>
      <c r="AT305" s="213"/>
      <c r="AU305" s="213"/>
      <c r="AV305" s="213"/>
    </row>
    <row r="306" spans="1:48">
      <c r="A306">
        <v>2325</v>
      </c>
      <c r="C306" s="107">
        <f>VLOOKUP(2325,收盤價!$A:$C,3,0)</f>
        <v>47.5</v>
      </c>
      <c r="D306" s="107">
        <f t="shared" si="44"/>
        <v>14.862707535121327</v>
      </c>
      <c r="E306" s="167">
        <f t="shared" si="45"/>
        <v>3</v>
      </c>
      <c r="F306" s="104">
        <f t="shared" si="46"/>
        <v>1.7891285034909212</v>
      </c>
      <c r="G306" s="167">
        <f>RANK(2.76,AE:AE,0)</f>
        <v>305</v>
      </c>
      <c r="H306" s="365">
        <f t="shared" si="47"/>
        <v>4.0634271885315654E-2</v>
      </c>
      <c r="I306" s="213">
        <f t="shared" si="48"/>
        <v>484</v>
      </c>
      <c r="J306" s="213">
        <f t="shared" si="49"/>
        <v>500</v>
      </c>
      <c r="K306">
        <f>RANK(1.58,AI:AI,0)</f>
        <v>513</v>
      </c>
      <c r="L306" s="357">
        <v>0</v>
      </c>
      <c r="M306" s="357">
        <v>1</v>
      </c>
      <c r="N306" s="357">
        <v>1</v>
      </c>
      <c r="O306" s="357">
        <v>1</v>
      </c>
      <c r="P306" s="357">
        <v>0</v>
      </c>
      <c r="Q306" s="358">
        <v>0.23519372693726937</v>
      </c>
      <c r="R306" s="359">
        <v>0.79897959183673473</v>
      </c>
      <c r="S306" s="196">
        <v>82738048000</v>
      </c>
      <c r="T306" s="196">
        <v>3116400000</v>
      </c>
      <c r="U306" s="200">
        <f t="shared" si="50"/>
        <v>148029000000</v>
      </c>
      <c r="V306" s="196">
        <v>3002000000</v>
      </c>
      <c r="W306" s="196">
        <v>6268000000</v>
      </c>
      <c r="X306" s="196">
        <v>66052000000</v>
      </c>
      <c r="Y306" s="196">
        <v>62879000000</v>
      </c>
      <c r="Z306" s="196">
        <v>8842000000</v>
      </c>
      <c r="AA306" s="198">
        <v>0.04</v>
      </c>
      <c r="AB306" s="198">
        <v>0.04</v>
      </c>
      <c r="AC306" s="213">
        <f t="shared" si="51"/>
        <v>337</v>
      </c>
      <c r="AD306" s="213">
        <f t="shared" si="52"/>
        <v>228</v>
      </c>
      <c r="AE306" s="213">
        <v>2.76</v>
      </c>
      <c r="AF306" s="196">
        <v>3323000000</v>
      </c>
      <c r="AG306" s="104">
        <f t="shared" si="53"/>
        <v>1.0662944423052241</v>
      </c>
      <c r="AH306" s="104">
        <f t="shared" si="54"/>
        <v>1.1069287141905397</v>
      </c>
      <c r="AI306" s="195">
        <v>1.58</v>
      </c>
      <c r="AO306" s="213"/>
      <c r="AP306" s="213"/>
      <c r="AQ306" s="213"/>
      <c r="AR306" s="213"/>
      <c r="AS306" s="213"/>
      <c r="AT306" s="213"/>
      <c r="AU306" s="213"/>
      <c r="AV306" s="213"/>
    </row>
    <row r="307" spans="1:48">
      <c r="A307">
        <v>2327</v>
      </c>
      <c r="C307" s="107">
        <f>VLOOKUP(2327,收盤價!$A:$C,3,0)</f>
        <v>64.099999999999994</v>
      </c>
      <c r="D307" s="107">
        <f t="shared" si="44"/>
        <v>0</v>
      </c>
      <c r="E307" s="167">
        <f t="shared" si="45"/>
        <v>4</v>
      </c>
      <c r="F307" s="104">
        <f t="shared" si="46"/>
        <v>1.1499391380372197</v>
      </c>
      <c r="G307" s="167">
        <f>RANK(3.07,AE:AE,0)</f>
        <v>293</v>
      </c>
      <c r="H307" s="365">
        <f t="shared" si="47"/>
        <v>-1.5907598642137619</v>
      </c>
      <c r="I307" s="213">
        <f t="shared" si="48"/>
        <v>117</v>
      </c>
      <c r="J307" s="213">
        <f t="shared" si="49"/>
        <v>400</v>
      </c>
      <c r="K307">
        <f>RANK(3.01,AI:AI,0)</f>
        <v>164</v>
      </c>
      <c r="L307" s="357">
        <v>0</v>
      </c>
      <c r="M307" s="357">
        <v>1</v>
      </c>
      <c r="N307" s="357">
        <v>2</v>
      </c>
      <c r="O307" s="357">
        <v>1</v>
      </c>
      <c r="P307" s="357">
        <v>0</v>
      </c>
      <c r="Q307" s="358">
        <v>0.2421207264957265</v>
      </c>
      <c r="R307" s="359">
        <v>0</v>
      </c>
      <c r="S307" s="196">
        <v>28668152000</v>
      </c>
      <c r="T307" s="196">
        <v>514300000</v>
      </c>
      <c r="U307" s="200">
        <f t="shared" si="50"/>
        <v>32966629999.999996</v>
      </c>
      <c r="V307" s="196">
        <v>1090000000</v>
      </c>
      <c r="W307" s="196">
        <v>3320000000</v>
      </c>
      <c r="X307" s="196">
        <v>13469000000</v>
      </c>
      <c r="Y307" s="196">
        <v>22891000000</v>
      </c>
      <c r="Z307" s="196">
        <v>11918000000</v>
      </c>
      <c r="AA307" s="198">
        <v>0.06</v>
      </c>
      <c r="AB307" s="198">
        <v>0.03</v>
      </c>
      <c r="AC307" s="213">
        <f t="shared" si="51"/>
        <v>174</v>
      </c>
      <c r="AD307" s="213">
        <f t="shared" si="52"/>
        <v>334</v>
      </c>
      <c r="AE307" s="213">
        <v>3.07</v>
      </c>
      <c r="AF307" s="196">
        <v>1549000000</v>
      </c>
      <c r="AG307" s="104">
        <f t="shared" si="53"/>
        <v>3.0118607816449545</v>
      </c>
      <c r="AH307" s="104">
        <f t="shared" si="54"/>
        <v>1.4211009174311926</v>
      </c>
      <c r="AI307" s="195">
        <v>3.01</v>
      </c>
      <c r="AO307" s="213"/>
      <c r="AP307" s="213"/>
      <c r="AQ307" s="213"/>
      <c r="AR307" s="213"/>
      <c r="AS307" s="213"/>
      <c r="AT307" s="213"/>
      <c r="AU307" s="213"/>
      <c r="AV307" s="213"/>
    </row>
    <row r="308" spans="1:48">
      <c r="A308">
        <v>2328</v>
      </c>
      <c r="C308" s="107">
        <f>VLOOKUP(2328,收盤價!$A:$C,3,0)</f>
        <v>27.7</v>
      </c>
      <c r="D308" s="107">
        <f t="shared" si="44"/>
        <v>0</v>
      </c>
      <c r="E308" s="167">
        <f t="shared" si="45"/>
        <v>3</v>
      </c>
      <c r="F308" s="104">
        <f t="shared" si="46"/>
        <v>0.7806343823725268</v>
      </c>
      <c r="G308" s="167">
        <f>RANK(0.71,AE:AE,0)</f>
        <v>1276</v>
      </c>
      <c r="H308" s="365">
        <f t="shared" si="47"/>
        <v>-1.6399768473856839</v>
      </c>
      <c r="I308" s="213">
        <f t="shared" si="48"/>
        <v>305</v>
      </c>
      <c r="J308" s="213">
        <f t="shared" si="49"/>
        <v>768</v>
      </c>
      <c r="K308">
        <f>RANK(1.45,AI:AI,0)</f>
        <v>582</v>
      </c>
      <c r="L308" s="357">
        <v>0</v>
      </c>
      <c r="M308" s="357">
        <v>1</v>
      </c>
      <c r="N308" s="357">
        <v>1</v>
      </c>
      <c r="O308" s="357">
        <v>1</v>
      </c>
      <c r="P308" s="357">
        <v>0</v>
      </c>
      <c r="Q308" s="358">
        <v>6.9577080491132329E-2</v>
      </c>
      <c r="R308" s="359">
        <v>0</v>
      </c>
      <c r="S308" s="196">
        <v>18391337000</v>
      </c>
      <c r="T308" s="196">
        <v>518300000</v>
      </c>
      <c r="U308" s="200">
        <f t="shared" si="50"/>
        <v>14356910000</v>
      </c>
      <c r="V308" s="196">
        <v>-43000000</v>
      </c>
      <c r="W308" s="196">
        <v>5552000000</v>
      </c>
      <c r="X308" s="196">
        <v>2488000000</v>
      </c>
      <c r="Y308" s="196">
        <v>11499000000</v>
      </c>
      <c r="Z308" s="196">
        <v>1284000000</v>
      </c>
      <c r="AA308" s="198">
        <v>-0.01</v>
      </c>
      <c r="AB308" s="198">
        <v>0</v>
      </c>
      <c r="AC308" s="213">
        <f t="shared" si="51"/>
        <v>1277</v>
      </c>
      <c r="AD308" s="213">
        <f t="shared" si="52"/>
        <v>911</v>
      </c>
      <c r="AE308" s="213">
        <v>0.71</v>
      </c>
      <c r="AF308" s="196">
        <v>850000000</v>
      </c>
      <c r="AG308" s="104">
        <f t="shared" si="53"/>
        <v>1.6399768473856839</v>
      </c>
      <c r="AH308" s="104">
        <f t="shared" si="54"/>
        <v>0</v>
      </c>
      <c r="AI308" s="195">
        <v>1.45</v>
      </c>
    </row>
    <row r="309" spans="1:48">
      <c r="A309">
        <v>2329</v>
      </c>
      <c r="C309" s="107">
        <f>VLOOKUP(2329,收盤價!$A:$C,3,0)</f>
        <v>11.4</v>
      </c>
      <c r="D309" s="107">
        <f t="shared" si="44"/>
        <v>9.1046979865771824</v>
      </c>
      <c r="E309" s="167">
        <f t="shared" si="45"/>
        <v>3</v>
      </c>
      <c r="F309" s="104">
        <f t="shared" si="46"/>
        <v>0.55909058881212781</v>
      </c>
      <c r="G309" s="167">
        <f>RANK(2.32,AE:AE,0)</f>
        <v>360</v>
      </c>
      <c r="H309" s="365">
        <f t="shared" si="47"/>
        <v>1.0483722825080553</v>
      </c>
      <c r="I309" s="213">
        <f t="shared" si="48"/>
        <v>630</v>
      </c>
      <c r="J309" s="213">
        <f t="shared" si="49"/>
        <v>305</v>
      </c>
      <c r="K309">
        <f>RANK(1.67,AI:AI,0)</f>
        <v>471</v>
      </c>
      <c r="L309" s="357">
        <v>0</v>
      </c>
      <c r="M309" s="357">
        <v>0</v>
      </c>
      <c r="N309" s="357">
        <v>2</v>
      </c>
      <c r="O309" s="357">
        <v>1</v>
      </c>
      <c r="P309" s="357">
        <v>0</v>
      </c>
      <c r="Q309" s="358">
        <v>0.13615697535295526</v>
      </c>
      <c r="R309" s="359">
        <v>0.31302521008403361</v>
      </c>
      <c r="S309" s="196">
        <v>16434546000</v>
      </c>
      <c r="T309" s="196">
        <v>806000000</v>
      </c>
      <c r="U309" s="200">
        <f t="shared" si="50"/>
        <v>9188400000</v>
      </c>
      <c r="V309" s="196">
        <v>335000000</v>
      </c>
      <c r="W309" s="196">
        <v>0</v>
      </c>
      <c r="X309" s="196">
        <v>8771000000</v>
      </c>
      <c r="Y309" s="196">
        <v>6575000000</v>
      </c>
      <c r="Z309" s="196">
        <v>4707000000</v>
      </c>
      <c r="AA309" s="198">
        <v>0.04</v>
      </c>
      <c r="AB309" s="198">
        <v>0.03</v>
      </c>
      <c r="AC309" s="213">
        <f t="shared" si="51"/>
        <v>337</v>
      </c>
      <c r="AD309" s="213">
        <f t="shared" si="52"/>
        <v>334</v>
      </c>
      <c r="AE309" s="213">
        <v>2.3199999999999998</v>
      </c>
      <c r="AF309" s="196">
        <v>601000000</v>
      </c>
      <c r="AG309" s="104">
        <f t="shared" si="53"/>
        <v>0.74565756823821339</v>
      </c>
      <c r="AH309" s="104">
        <f t="shared" si="54"/>
        <v>1.7940298507462686</v>
      </c>
      <c r="AI309" s="195">
        <v>1.67</v>
      </c>
      <c r="AO309" s="213"/>
      <c r="AP309" s="213"/>
      <c r="AQ309" s="213"/>
      <c r="AR309" s="213"/>
      <c r="AS309" s="213"/>
      <c r="AT309" s="213"/>
      <c r="AU309" s="213"/>
      <c r="AV309" s="213"/>
    </row>
    <row r="310" spans="1:48">
      <c r="A310">
        <v>2330</v>
      </c>
      <c r="C310" s="107">
        <f>VLOOKUP(2330,收盤價!$A:$C,3,0)</f>
        <v>191</v>
      </c>
      <c r="D310" s="107">
        <f t="shared" si="44"/>
        <v>17.442930901513812</v>
      </c>
      <c r="E310" s="167">
        <f t="shared" si="45"/>
        <v>3</v>
      </c>
      <c r="F310" s="104">
        <f t="shared" si="46"/>
        <v>5.9188559114285795</v>
      </c>
      <c r="G310" s="167">
        <f>RANK(7.87,AE:AE,0)</f>
        <v>100</v>
      </c>
      <c r="H310" s="365">
        <f t="shared" si="47"/>
        <v>-2.9562135304238799</v>
      </c>
      <c r="I310" s="213">
        <f t="shared" si="48"/>
        <v>63</v>
      </c>
      <c r="J310" s="213">
        <f t="shared" si="49"/>
        <v>483</v>
      </c>
      <c r="K310">
        <f>RANK(2.85,AI:AI,0)</f>
        <v>182</v>
      </c>
      <c r="L310" s="357">
        <v>0</v>
      </c>
      <c r="M310" s="357">
        <v>1</v>
      </c>
      <c r="N310" s="357">
        <v>1</v>
      </c>
      <c r="O310" s="357">
        <v>1</v>
      </c>
      <c r="P310" s="357">
        <v>0</v>
      </c>
      <c r="Q310" s="358">
        <v>0.51549073531400746</v>
      </c>
      <c r="R310" s="359">
        <v>2.737498661756204</v>
      </c>
      <c r="S310" s="196">
        <v>836767523000</v>
      </c>
      <c r="T310" s="196">
        <v>25930400000</v>
      </c>
      <c r="U310" s="200">
        <f t="shared" si="50"/>
        <v>4952706400000</v>
      </c>
      <c r="V310" s="196">
        <v>92143000000</v>
      </c>
      <c r="W310" s="196">
        <v>453786000000</v>
      </c>
      <c r="X310" s="196">
        <v>875870000000</v>
      </c>
      <c r="Y310" s="196">
        <v>1197331000000</v>
      </c>
      <c r="Z310" s="196">
        <v>60750000000</v>
      </c>
      <c r="AA310" s="198">
        <v>7.0000000000000007E-2</v>
      </c>
      <c r="AB310" s="198">
        <v>7.0000000000000007E-2</v>
      </c>
      <c r="AC310" s="213">
        <f t="shared" si="51"/>
        <v>134</v>
      </c>
      <c r="AD310" s="213">
        <f t="shared" si="52"/>
        <v>64</v>
      </c>
      <c r="AE310" s="213">
        <v>7.87</v>
      </c>
      <c r="AF310" s="196">
        <v>106676000000</v>
      </c>
      <c r="AG310" s="104">
        <f t="shared" si="53"/>
        <v>4.1139357665134364</v>
      </c>
      <c r="AH310" s="104">
        <f t="shared" si="54"/>
        <v>1.1577222360895565</v>
      </c>
      <c r="AI310" s="195">
        <v>2.85</v>
      </c>
      <c r="AO310" s="213"/>
      <c r="AP310" s="213"/>
      <c r="AQ310" s="213"/>
      <c r="AR310" s="213"/>
      <c r="AS310" s="213"/>
      <c r="AT310" s="213"/>
      <c r="AU310" s="213"/>
      <c r="AV310" s="213"/>
    </row>
    <row r="311" spans="1:48">
      <c r="A311">
        <v>2331</v>
      </c>
      <c r="C311" s="107">
        <f>VLOOKUP(2331,收盤價!$A:$C,3,0)</f>
        <v>14.5</v>
      </c>
      <c r="D311" s="107">
        <f t="shared" si="44"/>
        <v>0</v>
      </c>
      <c r="E311" s="167">
        <f t="shared" si="45"/>
        <v>0</v>
      </c>
      <c r="F311" s="104">
        <f t="shared" si="46"/>
        <v>0.22838311294747704</v>
      </c>
      <c r="G311" s="167">
        <f>RANK(0.5,AE:AE,0)</f>
        <v>1545</v>
      </c>
      <c r="H311" s="365">
        <f t="shared" si="47"/>
        <v>-1.1158952278435594</v>
      </c>
      <c r="I311" s="213">
        <f t="shared" si="48"/>
        <v>468</v>
      </c>
      <c r="J311" s="213">
        <f t="shared" si="49"/>
        <v>768</v>
      </c>
      <c r="K311">
        <f>RANK(1.26,AI:AI,0)</f>
        <v>696</v>
      </c>
      <c r="L311" s="357">
        <v>0</v>
      </c>
      <c r="M311" s="357">
        <v>0</v>
      </c>
      <c r="N311" s="357">
        <v>0</v>
      </c>
      <c r="O311" s="357">
        <v>0</v>
      </c>
      <c r="P311" s="357">
        <v>0</v>
      </c>
      <c r="Q311" s="358">
        <v>0.13567095724219558</v>
      </c>
      <c r="R311" s="359">
        <v>0</v>
      </c>
      <c r="S311" s="196">
        <v>35389219000</v>
      </c>
      <c r="T311" s="196">
        <v>557400000</v>
      </c>
      <c r="U311" s="200">
        <f t="shared" si="50"/>
        <v>8082300000</v>
      </c>
      <c r="V311" s="196">
        <v>-2647000000</v>
      </c>
      <c r="W311" s="196">
        <v>4357000000</v>
      </c>
      <c r="X311" s="196">
        <v>3535000000</v>
      </c>
      <c r="Y311" s="196">
        <v>11490000000</v>
      </c>
      <c r="Z311" s="196">
        <v>1807000000</v>
      </c>
      <c r="AA311" s="198">
        <v>-0.34</v>
      </c>
      <c r="AB311" s="198">
        <v>-0.2</v>
      </c>
      <c r="AC311" s="213">
        <f t="shared" si="51"/>
        <v>1550</v>
      </c>
      <c r="AD311" s="213">
        <f t="shared" si="52"/>
        <v>1552</v>
      </c>
      <c r="AE311" s="213">
        <v>0.5</v>
      </c>
      <c r="AF311" s="196">
        <v>622000000</v>
      </c>
      <c r="AG311" s="104">
        <f t="shared" si="53"/>
        <v>1.1158952278435594</v>
      </c>
      <c r="AH311" s="104">
        <f t="shared" si="54"/>
        <v>0</v>
      </c>
      <c r="AI311" s="195">
        <v>1.26</v>
      </c>
      <c r="AO311" s="213"/>
      <c r="AP311" s="213"/>
      <c r="AQ311" s="213"/>
      <c r="AR311" s="213"/>
      <c r="AS311" s="213"/>
      <c r="AT311" s="213"/>
      <c r="AU311" s="213"/>
      <c r="AV311" s="213"/>
    </row>
    <row r="312" spans="1:48">
      <c r="A312">
        <v>2332</v>
      </c>
      <c r="C312" s="107">
        <f>VLOOKUP(2332,收盤價!$A:$C,3,0)</f>
        <v>10.35</v>
      </c>
      <c r="D312" s="107">
        <f t="shared" si="44"/>
        <v>0</v>
      </c>
      <c r="E312" s="167">
        <f t="shared" si="45"/>
        <v>2</v>
      </c>
      <c r="F312" s="104">
        <f t="shared" si="46"/>
        <v>0.27499862260255414</v>
      </c>
      <c r="G312" s="167">
        <f>RANK(0.52,AE:AE,0)</f>
        <v>1493</v>
      </c>
      <c r="H312" s="365">
        <f t="shared" si="47"/>
        <v>-0.37423312883435583</v>
      </c>
      <c r="I312" s="213">
        <f t="shared" si="48"/>
        <v>817</v>
      </c>
      <c r="J312" s="213">
        <f t="shared" si="49"/>
        <v>768</v>
      </c>
      <c r="K312">
        <f>RANK(0.98,AI:AI,0)</f>
        <v>903</v>
      </c>
      <c r="L312" s="357">
        <v>0</v>
      </c>
      <c r="M312" s="357">
        <v>0</v>
      </c>
      <c r="N312" s="357">
        <v>1</v>
      </c>
      <c r="O312" s="357">
        <v>1</v>
      </c>
      <c r="P312" s="357">
        <v>0</v>
      </c>
      <c r="Q312" s="358">
        <v>0.2383595988538682</v>
      </c>
      <c r="R312" s="359">
        <v>0</v>
      </c>
      <c r="S312" s="196">
        <v>24539032000</v>
      </c>
      <c r="T312" s="196">
        <v>652000000</v>
      </c>
      <c r="U312" s="200">
        <f t="shared" si="50"/>
        <v>6748200000</v>
      </c>
      <c r="V312" s="196">
        <v>-483000000</v>
      </c>
      <c r="W312" s="196">
        <v>3905000000</v>
      </c>
      <c r="X312" s="196">
        <v>1283000000</v>
      </c>
      <c r="Y312" s="196">
        <v>10219000000</v>
      </c>
      <c r="Z312" s="196">
        <v>1717000000</v>
      </c>
      <c r="AA312" s="198">
        <v>-0.09</v>
      </c>
      <c r="AB312" s="198">
        <v>-0.04</v>
      </c>
      <c r="AC312" s="213">
        <f t="shared" si="51"/>
        <v>1514</v>
      </c>
      <c r="AD312" s="213">
        <f t="shared" si="52"/>
        <v>1483</v>
      </c>
      <c r="AE312" s="213">
        <v>0.52</v>
      </c>
      <c r="AF312" s="196">
        <v>244000000</v>
      </c>
      <c r="AG312" s="104">
        <f t="shared" si="53"/>
        <v>0.37423312883435583</v>
      </c>
      <c r="AH312" s="104">
        <f t="shared" si="54"/>
        <v>0</v>
      </c>
      <c r="AI312" s="195">
        <v>0.98</v>
      </c>
    </row>
    <row r="313" spans="1:48">
      <c r="A313">
        <v>2337</v>
      </c>
      <c r="C313" s="107">
        <f>VLOOKUP(2337,收盤價!$A:$C,3,0)</f>
        <v>4.62</v>
      </c>
      <c r="D313" s="107">
        <f t="shared" si="44"/>
        <v>0</v>
      </c>
      <c r="E313" s="167">
        <f t="shared" si="45"/>
        <v>5</v>
      </c>
      <c r="F313" s="104">
        <f t="shared" si="46"/>
        <v>0.76594277209322803</v>
      </c>
      <c r="G313" s="167">
        <f>RANK(0.55,AE:AE,0)</f>
        <v>1436</v>
      </c>
      <c r="H313" s="365">
        <f t="shared" si="47"/>
        <v>-0.20217385291921344</v>
      </c>
      <c r="I313" s="213">
        <f t="shared" si="48"/>
        <v>931</v>
      </c>
      <c r="J313" s="213">
        <f t="shared" si="49"/>
        <v>768</v>
      </c>
      <c r="K313">
        <f>RANK(0.92,AI:AI,0)</f>
        <v>958</v>
      </c>
      <c r="L313" s="357">
        <v>1</v>
      </c>
      <c r="M313" s="357">
        <v>1</v>
      </c>
      <c r="N313" s="357">
        <v>2</v>
      </c>
      <c r="O313" s="357">
        <v>1</v>
      </c>
      <c r="P313" s="357">
        <v>0</v>
      </c>
      <c r="Q313" s="358">
        <v>0.13646014282956959</v>
      </c>
      <c r="R313" s="359">
        <v>0</v>
      </c>
      <c r="S313" s="196">
        <v>21809115000</v>
      </c>
      <c r="T313" s="196">
        <v>3615700000</v>
      </c>
      <c r="U313" s="200">
        <f t="shared" si="50"/>
        <v>16704534000</v>
      </c>
      <c r="V313" s="196">
        <v>-761000000</v>
      </c>
      <c r="W313" s="196">
        <v>6335000000</v>
      </c>
      <c r="X313" s="196">
        <v>16198000000</v>
      </c>
      <c r="Y313" s="196">
        <v>16722000000</v>
      </c>
      <c r="Z313" s="196">
        <v>6274000000</v>
      </c>
      <c r="AA313" s="198">
        <v>-0.03</v>
      </c>
      <c r="AB313" s="198">
        <v>-0.03</v>
      </c>
      <c r="AC313" s="213">
        <f t="shared" si="51"/>
        <v>1405</v>
      </c>
      <c r="AD313" s="213">
        <f t="shared" si="52"/>
        <v>1444</v>
      </c>
      <c r="AE313" s="213">
        <v>0.55000000000000004</v>
      </c>
      <c r="AF313" s="196">
        <v>731000000</v>
      </c>
      <c r="AG313" s="104">
        <f t="shared" si="53"/>
        <v>0.20217385291921344</v>
      </c>
      <c r="AH313" s="104">
        <f t="shared" si="54"/>
        <v>0</v>
      </c>
      <c r="AI313" s="195">
        <v>0.92</v>
      </c>
      <c r="AO313" s="213"/>
      <c r="AP313" s="213"/>
      <c r="AQ313" s="213"/>
      <c r="AR313" s="213"/>
      <c r="AS313" s="213"/>
      <c r="AT313" s="213"/>
      <c r="AU313" s="213"/>
      <c r="AV313" s="213"/>
    </row>
    <row r="314" spans="1:48">
      <c r="A314">
        <v>2338</v>
      </c>
      <c r="C314" s="107">
        <f>VLOOKUP(2338,收盤價!$A:$C,3,0)</f>
        <v>8.18</v>
      </c>
      <c r="D314" s="107">
        <f t="shared" si="44"/>
        <v>0</v>
      </c>
      <c r="E314" s="167">
        <f t="shared" si="45"/>
        <v>2</v>
      </c>
      <c r="F314" s="104">
        <f t="shared" si="46"/>
        <v>1.5767859771814159</v>
      </c>
      <c r="G314" s="167">
        <f>RANK(0.61,AE:AE,0)</f>
        <v>1295</v>
      </c>
      <c r="H314" s="365">
        <f t="shared" si="47"/>
        <v>0.14641867827463395</v>
      </c>
      <c r="I314" s="213">
        <f t="shared" si="48"/>
        <v>1171</v>
      </c>
      <c r="J314" s="213">
        <f t="shared" si="49"/>
        <v>768</v>
      </c>
      <c r="K314">
        <f>RANK(0.8,AI:AI,0)</f>
        <v>1168</v>
      </c>
      <c r="L314" s="357">
        <v>0</v>
      </c>
      <c r="M314" s="357">
        <v>1</v>
      </c>
      <c r="N314" s="357">
        <v>1</v>
      </c>
      <c r="O314" s="357">
        <v>0</v>
      </c>
      <c r="P314" s="357">
        <v>0</v>
      </c>
      <c r="Q314" s="358">
        <v>8.7774294670846395E-2</v>
      </c>
      <c r="R314" s="359">
        <v>0</v>
      </c>
      <c r="S314" s="196">
        <v>1310949000</v>
      </c>
      <c r="T314" s="196">
        <v>252700000</v>
      </c>
      <c r="U314" s="200">
        <f t="shared" si="50"/>
        <v>2067086000</v>
      </c>
      <c r="V314" s="196">
        <v>-23000000</v>
      </c>
      <c r="W314" s="196">
        <v>1632000000</v>
      </c>
      <c r="X314" s="196">
        <v>1000000000</v>
      </c>
      <c r="Y314" s="196">
        <v>3352000000</v>
      </c>
      <c r="Z314" s="196">
        <v>8000000</v>
      </c>
      <c r="AA314" s="198">
        <v>-0.01</v>
      </c>
      <c r="AB314" s="198">
        <v>-0.01</v>
      </c>
      <c r="AC314" s="213">
        <f t="shared" si="51"/>
        <v>1277</v>
      </c>
      <c r="AD314" s="213">
        <f t="shared" si="52"/>
        <v>1294</v>
      </c>
      <c r="AE314" s="213">
        <v>0.61</v>
      </c>
      <c r="AF314" s="196">
        <v>-37000000</v>
      </c>
      <c r="AG314" s="104">
        <f t="shared" si="53"/>
        <v>-0.14641867827463395</v>
      </c>
      <c r="AH314" s="104">
        <f t="shared" si="54"/>
        <v>0</v>
      </c>
      <c r="AI314" s="195">
        <v>0.8</v>
      </c>
    </row>
    <row r="315" spans="1:48">
      <c r="A315">
        <v>2340</v>
      </c>
      <c r="C315" s="107">
        <f>VLOOKUP(2340,收盤價!$A:$C,3,0)</f>
        <v>13.65</v>
      </c>
      <c r="D315" s="107">
        <f t="shared" si="44"/>
        <v>6.8250000000000002</v>
      </c>
      <c r="E315" s="167">
        <f t="shared" si="45"/>
        <v>2</v>
      </c>
      <c r="F315" s="104">
        <f t="shared" si="46"/>
        <v>1.3198000527650349</v>
      </c>
      <c r="G315" s="167">
        <f>RANK(0.84,AE:AE,0)</f>
        <v>946</v>
      </c>
      <c r="H315" s="365">
        <f t="shared" si="47"/>
        <v>0.40498442367601245</v>
      </c>
      <c r="I315" s="213">
        <f t="shared" si="48"/>
        <v>1316</v>
      </c>
      <c r="J315" s="213">
        <f t="shared" si="49"/>
        <v>768</v>
      </c>
      <c r="K315">
        <f>RANK(0.75,AI:AI,0)</f>
        <v>1296</v>
      </c>
      <c r="L315" s="357">
        <v>1</v>
      </c>
      <c r="M315" s="357">
        <v>1</v>
      </c>
      <c r="N315" s="357">
        <v>0</v>
      </c>
      <c r="O315" s="357">
        <v>0</v>
      </c>
      <c r="P315" s="357">
        <v>0</v>
      </c>
      <c r="Q315" s="358">
        <v>0.29407566024268378</v>
      </c>
      <c r="R315" s="359">
        <v>0.5</v>
      </c>
      <c r="S315" s="196">
        <v>5643889000</v>
      </c>
      <c r="T315" s="196">
        <v>545700000</v>
      </c>
      <c r="U315" s="200">
        <f t="shared" si="50"/>
        <v>7448805000</v>
      </c>
      <c r="V315" s="196">
        <v>0</v>
      </c>
      <c r="W315" s="196">
        <v>4532000000</v>
      </c>
      <c r="X315" s="196">
        <v>3033000000</v>
      </c>
      <c r="Y315" s="196">
        <v>7525000000</v>
      </c>
      <c r="Z315" s="196">
        <v>864000000</v>
      </c>
      <c r="AA315" s="198">
        <v>0</v>
      </c>
      <c r="AB315" s="198">
        <v>0</v>
      </c>
      <c r="AC315" s="213">
        <f t="shared" si="51"/>
        <v>945</v>
      </c>
      <c r="AD315" s="213">
        <f t="shared" si="52"/>
        <v>911</v>
      </c>
      <c r="AE315" s="213">
        <v>0.84</v>
      </c>
      <c r="AF315" s="196">
        <v>-221000000</v>
      </c>
      <c r="AG315" s="104">
        <f t="shared" si="53"/>
        <v>-0.40498442367601245</v>
      </c>
      <c r="AH315" s="104">
        <f t="shared" si="54"/>
        <v>0</v>
      </c>
      <c r="AI315" s="195">
        <v>0.75</v>
      </c>
      <c r="AO315" s="213"/>
      <c r="AP315" s="213"/>
      <c r="AQ315" s="213"/>
      <c r="AR315" s="213"/>
      <c r="AS315" s="213"/>
      <c r="AT315" s="213"/>
      <c r="AU315" s="213"/>
      <c r="AV315" s="213"/>
    </row>
    <row r="316" spans="1:48">
      <c r="A316">
        <v>2342</v>
      </c>
      <c r="C316" s="107">
        <f>VLOOKUP(2342,收盤價!$A:$C,3,0)</f>
        <v>2.31</v>
      </c>
      <c r="D316" s="107">
        <f t="shared" si="44"/>
        <v>0</v>
      </c>
      <c r="E316" s="167">
        <f t="shared" si="45"/>
        <v>3</v>
      </c>
      <c r="F316" s="104">
        <f t="shared" si="46"/>
        <v>0.64379362384455763</v>
      </c>
      <c r="G316" s="167">
        <f>RANK(0.93,AE:AE,0)</f>
        <v>920</v>
      </c>
      <c r="H316" s="365">
        <f t="shared" si="47"/>
        <v>4.2051341084378953</v>
      </c>
      <c r="I316" s="213">
        <f t="shared" si="48"/>
        <v>1013</v>
      </c>
      <c r="J316" s="213">
        <f t="shared" si="49"/>
        <v>101</v>
      </c>
      <c r="K316">
        <f>RANK(1.4,AI:AI,0)</f>
        <v>622</v>
      </c>
      <c r="L316" s="357">
        <v>1</v>
      </c>
      <c r="M316" s="357">
        <v>1</v>
      </c>
      <c r="N316" s="357">
        <v>0</v>
      </c>
      <c r="O316" s="357">
        <v>1</v>
      </c>
      <c r="P316" s="357">
        <v>0</v>
      </c>
      <c r="Q316" s="358">
        <v>0.14571428571428571</v>
      </c>
      <c r="R316" s="359">
        <v>0</v>
      </c>
      <c r="S316" s="196">
        <v>1335852000</v>
      </c>
      <c r="T316" s="196">
        <v>372300000</v>
      </c>
      <c r="U316" s="200">
        <f t="shared" si="50"/>
        <v>860013000</v>
      </c>
      <c r="V316" s="196">
        <v>7000000</v>
      </c>
      <c r="W316" s="196">
        <v>0</v>
      </c>
      <c r="X316" s="196">
        <v>497000000</v>
      </c>
      <c r="Y316" s="196">
        <v>836000000</v>
      </c>
      <c r="Z316" s="196">
        <v>1065000000</v>
      </c>
      <c r="AA316" s="198">
        <v>0.01</v>
      </c>
      <c r="AB316" s="198">
        <v>0</v>
      </c>
      <c r="AC316" s="213">
        <f t="shared" si="51"/>
        <v>769</v>
      </c>
      <c r="AD316" s="213">
        <f t="shared" si="52"/>
        <v>911</v>
      </c>
      <c r="AE316" s="213">
        <v>0.93</v>
      </c>
      <c r="AF316" s="196">
        <v>30000000</v>
      </c>
      <c r="AG316" s="104">
        <f t="shared" si="53"/>
        <v>8.0580177276390011E-2</v>
      </c>
      <c r="AH316" s="104">
        <f t="shared" si="54"/>
        <v>4.2857142857142856</v>
      </c>
      <c r="AI316" s="195">
        <v>1.4</v>
      </c>
    </row>
    <row r="317" spans="1:48">
      <c r="A317">
        <v>2344</v>
      </c>
      <c r="C317" s="107">
        <f>VLOOKUP(2344,收盤價!$A:$C,3,0)</f>
        <v>10.199999999999999</v>
      </c>
      <c r="D317" s="107">
        <f t="shared" si="44"/>
        <v>14.19864559819413</v>
      </c>
      <c r="E317" s="167">
        <f t="shared" si="45"/>
        <v>2</v>
      </c>
      <c r="F317" s="104">
        <f t="shared" si="46"/>
        <v>0.90407516410996891</v>
      </c>
      <c r="G317" s="167">
        <f>RANK(1.41,AE:AE,0)</f>
        <v>618</v>
      </c>
      <c r="H317" s="365">
        <f t="shared" si="47"/>
        <v>1.9697656254657976</v>
      </c>
      <c r="I317" s="213">
        <f t="shared" si="48"/>
        <v>651</v>
      </c>
      <c r="J317" s="213">
        <f t="shared" si="49"/>
        <v>176</v>
      </c>
      <c r="K317">
        <f>RANK(1.88,AI:AI,0)</f>
        <v>389</v>
      </c>
      <c r="L317" s="357">
        <v>0</v>
      </c>
      <c r="M317" s="357">
        <v>0</v>
      </c>
      <c r="N317" s="357">
        <v>1</v>
      </c>
      <c r="O317" s="357">
        <v>1</v>
      </c>
      <c r="P317" s="357">
        <v>0</v>
      </c>
      <c r="Q317" s="358">
        <v>0.28246165571115556</v>
      </c>
      <c r="R317" s="359">
        <v>0.17959459459459459</v>
      </c>
      <c r="S317" s="196">
        <v>40390447000</v>
      </c>
      <c r="T317" s="196">
        <v>3580000000</v>
      </c>
      <c r="U317" s="200">
        <f t="shared" si="50"/>
        <v>36516000000</v>
      </c>
      <c r="V317" s="196">
        <v>937000000</v>
      </c>
      <c r="W317" s="196">
        <v>14649000000</v>
      </c>
      <c r="X317" s="196">
        <v>30608000000</v>
      </c>
      <c r="Y317" s="196">
        <v>41994000000</v>
      </c>
      <c r="Z317" s="196">
        <v>3661000000</v>
      </c>
      <c r="AA317" s="198">
        <v>0.02</v>
      </c>
      <c r="AB317" s="198">
        <v>0.02</v>
      </c>
      <c r="AC317" s="213">
        <f t="shared" si="51"/>
        <v>616</v>
      </c>
      <c r="AD317" s="213">
        <f t="shared" si="52"/>
        <v>487</v>
      </c>
      <c r="AE317" s="213">
        <v>1.41</v>
      </c>
      <c r="AF317" s="196">
        <v>2500000000</v>
      </c>
      <c r="AG317" s="104">
        <f t="shared" si="53"/>
        <v>0.6983240223463687</v>
      </c>
      <c r="AH317" s="104">
        <f t="shared" si="54"/>
        <v>2.6680896478121663</v>
      </c>
      <c r="AI317" s="195">
        <v>1.88</v>
      </c>
    </row>
    <row r="318" spans="1:48">
      <c r="A318">
        <v>2345</v>
      </c>
      <c r="C318" s="107">
        <f>VLOOKUP(2345,收盤價!$A:$C,3,0)</f>
        <v>46.95</v>
      </c>
      <c r="D318" s="107">
        <f t="shared" si="44"/>
        <v>15.122161233969907</v>
      </c>
      <c r="E318" s="167">
        <f t="shared" si="45"/>
        <v>5</v>
      </c>
      <c r="F318" s="104">
        <f t="shared" si="46"/>
        <v>0.92387070298266671</v>
      </c>
      <c r="G318" s="167">
        <f>RANK(9.68,AE:AE,0)</f>
        <v>76</v>
      </c>
      <c r="H318" s="365">
        <f t="shared" si="47"/>
        <v>-4.0947963092230699E-2</v>
      </c>
      <c r="I318" s="213">
        <f t="shared" si="48"/>
        <v>590</v>
      </c>
      <c r="J318" s="213">
        <f t="shared" si="49"/>
        <v>601</v>
      </c>
      <c r="K318">
        <f>RANK(1.31,AI:AI,0)</f>
        <v>671</v>
      </c>
      <c r="L318" s="357">
        <v>1</v>
      </c>
      <c r="M318" s="357">
        <v>1</v>
      </c>
      <c r="N318" s="357">
        <v>1</v>
      </c>
      <c r="O318" s="357">
        <v>1</v>
      </c>
      <c r="P318" s="357">
        <v>1</v>
      </c>
      <c r="Q318" s="358">
        <v>0.1935309973045822</v>
      </c>
      <c r="R318" s="359">
        <v>0.77617873651771951</v>
      </c>
      <c r="S318" s="196">
        <v>27345596000</v>
      </c>
      <c r="T318" s="196">
        <v>538100000</v>
      </c>
      <c r="U318" s="200">
        <f t="shared" si="50"/>
        <v>25263795000</v>
      </c>
      <c r="V318" s="196">
        <v>566000000</v>
      </c>
      <c r="W318" s="196">
        <v>6311000000</v>
      </c>
      <c r="X318" s="196">
        <v>987000000</v>
      </c>
      <c r="Y318" s="196">
        <v>7859000000</v>
      </c>
      <c r="Z318" s="196">
        <v>0</v>
      </c>
      <c r="AA318" s="198">
        <v>0.08</v>
      </c>
      <c r="AB318" s="198">
        <v>7.0000000000000007E-2</v>
      </c>
      <c r="AC318" s="213">
        <f t="shared" si="51"/>
        <v>97</v>
      </c>
      <c r="AD318" s="213">
        <f t="shared" si="52"/>
        <v>64</v>
      </c>
      <c r="AE318" s="213">
        <v>9.68</v>
      </c>
      <c r="AF318" s="196">
        <v>447000000</v>
      </c>
      <c r="AG318" s="104">
        <f t="shared" si="53"/>
        <v>0.83070061326890909</v>
      </c>
      <c r="AH318" s="104">
        <f t="shared" si="54"/>
        <v>0.78975265017667839</v>
      </c>
      <c r="AI318" s="195">
        <v>1.31</v>
      </c>
    </row>
    <row r="319" spans="1:48">
      <c r="A319">
        <v>2347</v>
      </c>
      <c r="C319" s="107">
        <f>VLOOKUP(2347,收盤價!$A:$C,3,0)</f>
        <v>34</v>
      </c>
      <c r="D319" s="107">
        <f t="shared" si="44"/>
        <v>16.030825323168713</v>
      </c>
      <c r="E319" s="167">
        <f t="shared" si="45"/>
        <v>3</v>
      </c>
      <c r="F319" s="104">
        <f t="shared" si="46"/>
        <v>0.15766276184249159</v>
      </c>
      <c r="G319" s="167">
        <f>RANK(1.68,AE:AE,0)</f>
        <v>535</v>
      </c>
      <c r="H319" s="365">
        <f t="shared" si="47"/>
        <v>1.6715381631054598</v>
      </c>
      <c r="I319" s="213">
        <f t="shared" si="48"/>
        <v>109</v>
      </c>
      <c r="J319" s="213">
        <f t="shared" si="49"/>
        <v>86</v>
      </c>
      <c r="K319">
        <f>RANK(7.99,AI:AI,0)</f>
        <v>26</v>
      </c>
      <c r="L319" s="357">
        <v>0</v>
      </c>
      <c r="M319" s="357">
        <v>0</v>
      </c>
      <c r="N319" s="357">
        <v>2</v>
      </c>
      <c r="O319" s="357">
        <v>1</v>
      </c>
      <c r="P319" s="357">
        <v>0</v>
      </c>
      <c r="Q319" s="358">
        <v>3.3663911186611002E-2</v>
      </c>
      <c r="R319" s="359">
        <v>0.53022847100175741</v>
      </c>
      <c r="S319" s="196">
        <v>342560281000</v>
      </c>
      <c r="T319" s="196">
        <v>1588500000</v>
      </c>
      <c r="U319" s="200">
        <f t="shared" si="50"/>
        <v>54009000000</v>
      </c>
      <c r="V319" s="196">
        <v>1032000000</v>
      </c>
      <c r="W319" s="196">
        <v>13845000000</v>
      </c>
      <c r="X319" s="196">
        <v>6934000000</v>
      </c>
      <c r="Y319" s="196">
        <v>42725000000</v>
      </c>
      <c r="Z319" s="196">
        <v>42826000000</v>
      </c>
      <c r="AA319" s="198">
        <v>0.05</v>
      </c>
      <c r="AB319" s="198">
        <v>0.01</v>
      </c>
      <c r="AC319" s="213">
        <f t="shared" si="51"/>
        <v>247</v>
      </c>
      <c r="AD319" s="213">
        <f t="shared" si="52"/>
        <v>680</v>
      </c>
      <c r="AE319" s="213">
        <v>1.68</v>
      </c>
      <c r="AF319" s="196">
        <v>4924000000</v>
      </c>
      <c r="AG319" s="104">
        <f t="shared" si="53"/>
        <v>3.0997796663519042</v>
      </c>
      <c r="AH319" s="104">
        <f t="shared" si="54"/>
        <v>4.7713178294573639</v>
      </c>
      <c r="AI319" s="195">
        <v>7.99</v>
      </c>
    </row>
    <row r="320" spans="1:48">
      <c r="A320">
        <v>2348</v>
      </c>
      <c r="C320" s="107">
        <f>VLOOKUP(2348,收盤價!$A:$C,3,0)</f>
        <v>20.6</v>
      </c>
      <c r="D320" s="107">
        <f t="shared" si="44"/>
        <v>125.88888888888891</v>
      </c>
      <c r="E320" s="167">
        <f t="shared" si="45"/>
        <v>2</v>
      </c>
      <c r="F320" s="104">
        <f t="shared" si="46"/>
        <v>2.5834164751109414</v>
      </c>
      <c r="G320" s="167">
        <f>RANK(1.2,AE:AE,0)</f>
        <v>710</v>
      </c>
      <c r="H320" s="365">
        <f t="shared" si="47"/>
        <v>0.35098650051921076</v>
      </c>
      <c r="I320" s="213">
        <f t="shared" si="48"/>
        <v>993</v>
      </c>
      <c r="J320" s="213">
        <f t="shared" si="49"/>
        <v>694</v>
      </c>
      <c r="K320">
        <f>RANK(0.92,AI:AI,0)</f>
        <v>958</v>
      </c>
      <c r="L320" s="357">
        <v>0</v>
      </c>
      <c r="M320" s="357">
        <v>1</v>
      </c>
      <c r="N320" s="357">
        <v>1</v>
      </c>
      <c r="O320" s="357">
        <v>0</v>
      </c>
      <c r="P320" s="357">
        <v>0</v>
      </c>
      <c r="Q320" s="358">
        <v>0.39622641509433965</v>
      </c>
      <c r="R320" s="359">
        <v>4.0909090909090902E-2</v>
      </c>
      <c r="S320" s="196">
        <v>682569000</v>
      </c>
      <c r="T320" s="196">
        <v>85600000</v>
      </c>
      <c r="U320" s="200">
        <f t="shared" si="50"/>
        <v>1763360000.0000002</v>
      </c>
      <c r="V320" s="196">
        <v>18000000</v>
      </c>
      <c r="W320" s="196">
        <v>1124000000</v>
      </c>
      <c r="X320" s="196">
        <v>1000000</v>
      </c>
      <c r="Y320" s="196">
        <v>1122000000</v>
      </c>
      <c r="Z320" s="196">
        <v>477000000</v>
      </c>
      <c r="AA320" s="198">
        <v>0.02</v>
      </c>
      <c r="AB320" s="198">
        <v>0.01</v>
      </c>
      <c r="AC320" s="213">
        <f t="shared" si="51"/>
        <v>616</v>
      </c>
      <c r="AD320" s="213">
        <f t="shared" si="52"/>
        <v>680</v>
      </c>
      <c r="AE320" s="213">
        <v>1.2</v>
      </c>
      <c r="AF320" s="196">
        <v>8000000</v>
      </c>
      <c r="AG320" s="104">
        <f t="shared" si="53"/>
        <v>9.3457943925233641E-2</v>
      </c>
      <c r="AH320" s="104">
        <f t="shared" si="54"/>
        <v>0.44444444444444442</v>
      </c>
      <c r="AI320" s="195">
        <v>0.92</v>
      </c>
    </row>
    <row r="321" spans="1:48">
      <c r="A321">
        <v>2349</v>
      </c>
      <c r="C321" s="107">
        <f>VLOOKUP(2349,收盤價!$A:$C,3,0)</f>
        <v>5.55</v>
      </c>
      <c r="D321" s="107">
        <f t="shared" si="44"/>
        <v>0</v>
      </c>
      <c r="E321" s="167">
        <f t="shared" si="45"/>
        <v>3</v>
      </c>
      <c r="F321" s="104">
        <f t="shared" si="46"/>
        <v>1.3194920496154514</v>
      </c>
      <c r="G321" s="167">
        <f>RANK(0.59,AE:AE,0)</f>
        <v>1348</v>
      </c>
      <c r="H321" s="365">
        <f t="shared" si="47"/>
        <v>-0.13969153048337096</v>
      </c>
      <c r="I321" s="213">
        <f t="shared" si="48"/>
        <v>968</v>
      </c>
      <c r="J321" s="213">
        <f t="shared" si="49"/>
        <v>768</v>
      </c>
      <c r="K321">
        <f>RANK(0.9,AI:AI,0)</f>
        <v>988</v>
      </c>
      <c r="L321" s="357">
        <v>0</v>
      </c>
      <c r="M321" s="357">
        <v>1</v>
      </c>
      <c r="N321" s="357">
        <v>2</v>
      </c>
      <c r="O321" s="357">
        <v>0</v>
      </c>
      <c r="P321" s="357">
        <v>0</v>
      </c>
      <c r="Q321" s="358">
        <v>5.1079136690647481E-2</v>
      </c>
      <c r="R321" s="359">
        <v>0</v>
      </c>
      <c r="S321" s="196">
        <v>10990286000</v>
      </c>
      <c r="T321" s="196">
        <v>2612900000</v>
      </c>
      <c r="U321" s="200">
        <f t="shared" si="50"/>
        <v>14501595000</v>
      </c>
      <c r="V321" s="196">
        <v>-295000000</v>
      </c>
      <c r="W321" s="196">
        <v>2745000000</v>
      </c>
      <c r="X321" s="196">
        <v>16795000000</v>
      </c>
      <c r="Y321" s="196">
        <v>18862000000</v>
      </c>
      <c r="Z321" s="196">
        <v>2758000000</v>
      </c>
      <c r="AA321" s="198">
        <v>-0.02</v>
      </c>
      <c r="AB321" s="198">
        <v>-0.01</v>
      </c>
      <c r="AC321" s="213">
        <f t="shared" si="51"/>
        <v>1353</v>
      </c>
      <c r="AD321" s="213">
        <f t="shared" si="52"/>
        <v>1294</v>
      </c>
      <c r="AE321" s="213">
        <v>0.59</v>
      </c>
      <c r="AF321" s="196">
        <v>365000000</v>
      </c>
      <c r="AG321" s="104">
        <f t="shared" si="53"/>
        <v>0.13969153048337096</v>
      </c>
      <c r="AH321" s="104">
        <f t="shared" si="54"/>
        <v>0</v>
      </c>
      <c r="AI321" s="195">
        <v>0.9</v>
      </c>
      <c r="AO321" s="213"/>
      <c r="AP321" s="213"/>
      <c r="AQ321" s="213"/>
      <c r="AR321" s="213"/>
      <c r="AS321" s="213"/>
      <c r="AT321" s="213"/>
      <c r="AU321" s="213"/>
      <c r="AV321" s="213"/>
    </row>
    <row r="322" spans="1:48">
      <c r="A322">
        <v>2351</v>
      </c>
      <c r="C322" s="107">
        <f>VLOOKUP(2351,收盤價!$A:$C,3,0)</f>
        <v>39.9</v>
      </c>
      <c r="D322" s="107">
        <f t="shared" ref="D322:D385" si="55">IF(AND(ISNUMBER(C322),R322&gt;0),C322/(R322*4),0)</f>
        <v>10.178571428571429</v>
      </c>
      <c r="E322" s="167">
        <f t="shared" ref="E322:E385" si="56">SUM(L322:P322)</f>
        <v>4</v>
      </c>
      <c r="F322" s="104">
        <f t="shared" ref="F322:F385" si="57">IF(AND(ISNUMBER(U322),ISNUMBER(S322)),U322/S322,0)</f>
        <v>0.85450115553864114</v>
      </c>
      <c r="G322" s="167">
        <f>RANK(0.84,AE:AE,0)</f>
        <v>946</v>
      </c>
      <c r="H322" s="365">
        <f t="shared" ref="H322:H385" si="58">AH322-AG322</f>
        <v>-2.0208676551345413</v>
      </c>
      <c r="I322" s="213">
        <f t="shared" ref="I322:I385" si="59">RANK(AG322,AG:AG)</f>
        <v>227</v>
      </c>
      <c r="J322" s="213">
        <f t="shared" ref="J322:J385" si="60">RANK(AH322,AH:AH)</f>
        <v>768</v>
      </c>
      <c r="K322">
        <f>RANK(1.57,AI:AI,0)</f>
        <v>517</v>
      </c>
      <c r="L322" s="357">
        <v>0</v>
      </c>
      <c r="M322" s="357">
        <v>1</v>
      </c>
      <c r="N322" s="357">
        <v>2</v>
      </c>
      <c r="O322" s="357">
        <v>1</v>
      </c>
      <c r="P322" s="357">
        <v>0</v>
      </c>
      <c r="Q322" s="358">
        <v>0.21138952164009112</v>
      </c>
      <c r="R322" s="359">
        <v>0.98</v>
      </c>
      <c r="S322" s="196">
        <v>8502961000</v>
      </c>
      <c r="T322" s="196">
        <v>182100000</v>
      </c>
      <c r="U322" s="200">
        <f t="shared" ref="U322:U385" si="61">C322*T322</f>
        <v>7265790000</v>
      </c>
      <c r="V322" s="196">
        <v>0</v>
      </c>
      <c r="W322" s="196">
        <v>1945000000</v>
      </c>
      <c r="X322" s="196">
        <v>4445000000</v>
      </c>
      <c r="Y322" s="196">
        <v>5023000000</v>
      </c>
      <c r="Z322" s="196">
        <v>1155000000</v>
      </c>
      <c r="AA322" s="198">
        <v>0</v>
      </c>
      <c r="AB322" s="198">
        <v>0</v>
      </c>
      <c r="AC322" s="213">
        <f t="shared" ref="AC322:AC385" si="62">RANK(AA322,AA:AA)</f>
        <v>945</v>
      </c>
      <c r="AD322" s="213">
        <f t="shared" ref="AD322:AD385" si="63">RANK(AB322,AB:AB)</f>
        <v>911</v>
      </c>
      <c r="AE322" s="213">
        <v>0.84</v>
      </c>
      <c r="AF322" s="196">
        <v>368000000</v>
      </c>
      <c r="AG322" s="104">
        <f t="shared" ref="AG322:AG385" si="64">AF322/T322</f>
        <v>2.0208676551345413</v>
      </c>
      <c r="AH322" s="104">
        <f t="shared" ref="AH322:AH385" si="65">IF(AND(AF322&gt;0,V322&gt;0),AF322/V322,0)</f>
        <v>0</v>
      </c>
      <c r="AI322" s="195">
        <v>1.57</v>
      </c>
    </row>
    <row r="323" spans="1:48">
      <c r="A323">
        <v>2352</v>
      </c>
      <c r="C323" s="107">
        <f>VLOOKUP(2352,收盤價!$A:$C,3,0)</f>
        <v>13.15</v>
      </c>
      <c r="D323" s="107">
        <f t="shared" si="55"/>
        <v>5.6541482898489113</v>
      </c>
      <c r="E323" s="167">
        <f t="shared" si="56"/>
        <v>3</v>
      </c>
      <c r="F323" s="104">
        <f t="shared" si="57"/>
        <v>0.19818921463731898</v>
      </c>
      <c r="G323" s="167">
        <f>RANK(3.33,AE:AE,0)</f>
        <v>253</v>
      </c>
      <c r="H323" s="365">
        <f t="shared" si="58"/>
        <v>0.26267227068818821</v>
      </c>
      <c r="I323" s="213">
        <f t="shared" si="59"/>
        <v>557</v>
      </c>
      <c r="J323" s="213">
        <f t="shared" si="60"/>
        <v>471</v>
      </c>
      <c r="K323">
        <f>RANK(1.52,AI:AI,0)</f>
        <v>548</v>
      </c>
      <c r="L323" s="357">
        <v>1</v>
      </c>
      <c r="M323" s="357">
        <v>1</v>
      </c>
      <c r="N323" s="357">
        <v>1</v>
      </c>
      <c r="O323" s="357">
        <v>0</v>
      </c>
      <c r="P323" s="357">
        <v>0</v>
      </c>
      <c r="Q323" s="358">
        <v>0.1316899844548079</v>
      </c>
      <c r="R323" s="359">
        <v>0.58143151390319259</v>
      </c>
      <c r="S323" s="196">
        <v>130498625000</v>
      </c>
      <c r="T323" s="196">
        <v>1966800000</v>
      </c>
      <c r="U323" s="200">
        <f t="shared" si="61"/>
        <v>25863420000</v>
      </c>
      <c r="V323" s="196">
        <v>1528000000</v>
      </c>
      <c r="W323" s="196">
        <v>2245000000</v>
      </c>
      <c r="X323" s="196">
        <v>19304000000</v>
      </c>
      <c r="Y323" s="196">
        <v>30670000000</v>
      </c>
      <c r="Z323" s="196">
        <v>13685000000</v>
      </c>
      <c r="AA323" s="198">
        <v>7.0000000000000007E-2</v>
      </c>
      <c r="AB323" s="198">
        <v>0.03</v>
      </c>
      <c r="AC323" s="213">
        <f t="shared" si="62"/>
        <v>134</v>
      </c>
      <c r="AD323" s="213">
        <f t="shared" si="63"/>
        <v>334</v>
      </c>
      <c r="AE323" s="213">
        <v>3.33</v>
      </c>
      <c r="AF323" s="196">
        <v>1799000000</v>
      </c>
      <c r="AG323" s="104">
        <f t="shared" si="64"/>
        <v>0.91468375025422011</v>
      </c>
      <c r="AH323" s="104">
        <f t="shared" si="65"/>
        <v>1.1773560209424083</v>
      </c>
      <c r="AI323" s="195">
        <v>1.52</v>
      </c>
    </row>
    <row r="324" spans="1:48">
      <c r="A324">
        <v>2353</v>
      </c>
      <c r="C324" s="107">
        <f>VLOOKUP(2353,收盤價!$A:$C,3,0)</f>
        <v>14.45</v>
      </c>
      <c r="D324" s="107">
        <f t="shared" si="55"/>
        <v>20.069444444444443</v>
      </c>
      <c r="E324" s="167">
        <f t="shared" si="56"/>
        <v>4</v>
      </c>
      <c r="F324" s="104">
        <f t="shared" si="57"/>
        <v>0.17950279582858428</v>
      </c>
      <c r="G324" s="167">
        <f>RANK(0.84,AE:AE,0)</f>
        <v>946</v>
      </c>
      <c r="H324" s="365">
        <f t="shared" si="58"/>
        <v>-1.8623823433950015</v>
      </c>
      <c r="I324" s="213">
        <f t="shared" si="59"/>
        <v>253</v>
      </c>
      <c r="J324" s="213">
        <f t="shared" si="60"/>
        <v>768</v>
      </c>
      <c r="K324">
        <f>RANK(1.53,AI:AI,0)</f>
        <v>541</v>
      </c>
      <c r="L324" s="357">
        <v>0</v>
      </c>
      <c r="M324" s="357">
        <v>1</v>
      </c>
      <c r="N324" s="357">
        <v>2</v>
      </c>
      <c r="O324" s="357">
        <v>1</v>
      </c>
      <c r="P324" s="357">
        <v>0</v>
      </c>
      <c r="Q324" s="358">
        <v>9.6150421993518753E-2</v>
      </c>
      <c r="R324" s="359">
        <v>0.18</v>
      </c>
      <c r="S324" s="196">
        <v>248020928000</v>
      </c>
      <c r="T324" s="196">
        <v>3081000000</v>
      </c>
      <c r="U324" s="200">
        <f t="shared" si="61"/>
        <v>44520450000</v>
      </c>
      <c r="V324" s="196">
        <v>0</v>
      </c>
      <c r="W324" s="196">
        <v>34577000000</v>
      </c>
      <c r="X324" s="196">
        <v>4597000000</v>
      </c>
      <c r="Y324" s="196">
        <v>63901000000</v>
      </c>
      <c r="Z324" s="196">
        <v>20000000</v>
      </c>
      <c r="AA324" s="198">
        <v>0</v>
      </c>
      <c r="AB324" s="198">
        <v>0</v>
      </c>
      <c r="AC324" s="213">
        <f t="shared" si="62"/>
        <v>945</v>
      </c>
      <c r="AD324" s="213">
        <f t="shared" si="63"/>
        <v>911</v>
      </c>
      <c r="AE324" s="213">
        <v>0.84</v>
      </c>
      <c r="AF324" s="196">
        <v>5738000000</v>
      </c>
      <c r="AG324" s="104">
        <f t="shared" si="64"/>
        <v>1.8623823433950015</v>
      </c>
      <c r="AH324" s="104">
        <f t="shared" si="65"/>
        <v>0</v>
      </c>
      <c r="AI324" s="195">
        <v>1.53</v>
      </c>
    </row>
    <row r="325" spans="1:48">
      <c r="A325">
        <v>2354</v>
      </c>
      <c r="C325" s="107">
        <f>VLOOKUP(2354,收盤價!$A:$C,3,0)</f>
        <v>94.9</v>
      </c>
      <c r="D325" s="107">
        <f t="shared" si="55"/>
        <v>13.745015908816304</v>
      </c>
      <c r="E325" s="167">
        <f t="shared" si="56"/>
        <v>2</v>
      </c>
      <c r="F325" s="104">
        <f t="shared" si="57"/>
        <v>1.515424579531794</v>
      </c>
      <c r="G325" s="167">
        <f>RANK(2.76,AE:AE,0)</f>
        <v>305</v>
      </c>
      <c r="H325" s="365">
        <f t="shared" si="58"/>
        <v>-0.21781551499610935</v>
      </c>
      <c r="I325" s="213">
        <f t="shared" si="59"/>
        <v>823</v>
      </c>
      <c r="J325" s="213">
        <f t="shared" si="60"/>
        <v>748</v>
      </c>
      <c r="K325">
        <f>RANK(0.99,AI:AI,0)</f>
        <v>893</v>
      </c>
      <c r="L325" s="357">
        <v>0</v>
      </c>
      <c r="M325" s="357">
        <v>1</v>
      </c>
      <c r="N325" s="357">
        <v>1</v>
      </c>
      <c r="O325" s="357">
        <v>0</v>
      </c>
      <c r="P325" s="357">
        <v>0</v>
      </c>
      <c r="Q325" s="358">
        <v>0.21012684549802454</v>
      </c>
      <c r="R325" s="359">
        <v>1.7260802139037432</v>
      </c>
      <c r="S325" s="196">
        <v>87358686000</v>
      </c>
      <c r="T325" s="196">
        <v>1395000000</v>
      </c>
      <c r="U325" s="200">
        <f t="shared" si="61"/>
        <v>132385500000.00002</v>
      </c>
      <c r="V325" s="196">
        <v>3556000000</v>
      </c>
      <c r="W325" s="196">
        <v>71630000000</v>
      </c>
      <c r="X325" s="196">
        <v>10363000000</v>
      </c>
      <c r="Y325" s="196">
        <v>89447000000</v>
      </c>
      <c r="Z325" s="196">
        <v>6434000000</v>
      </c>
      <c r="AA325" s="198">
        <v>0.04</v>
      </c>
      <c r="AB325" s="198">
        <v>0.04</v>
      </c>
      <c r="AC325" s="213">
        <f t="shared" si="62"/>
        <v>337</v>
      </c>
      <c r="AD325" s="213">
        <f t="shared" si="63"/>
        <v>228</v>
      </c>
      <c r="AE325" s="213">
        <v>2.76</v>
      </c>
      <c r="AF325" s="196">
        <v>500000000</v>
      </c>
      <c r="AG325" s="104">
        <f t="shared" si="64"/>
        <v>0.35842293906810035</v>
      </c>
      <c r="AH325" s="104">
        <f t="shared" si="65"/>
        <v>0.14060742407199101</v>
      </c>
      <c r="AI325" s="195">
        <v>0.99</v>
      </c>
    </row>
    <row r="326" spans="1:48">
      <c r="A326">
        <v>2355</v>
      </c>
      <c r="C326" s="107">
        <f>VLOOKUP(2355,收盤價!$A:$C,3,0)</f>
        <v>63.4</v>
      </c>
      <c r="D326" s="107">
        <f t="shared" si="55"/>
        <v>12.338903018204025</v>
      </c>
      <c r="E326" s="167">
        <f t="shared" si="56"/>
        <v>2</v>
      </c>
      <c r="F326" s="104">
        <f t="shared" si="57"/>
        <v>1.0633471619307919</v>
      </c>
      <c r="G326" s="167">
        <f>RANK(3.28,AE:AE,0)</f>
        <v>256</v>
      </c>
      <c r="H326" s="365">
        <f t="shared" si="58"/>
        <v>-1.1178231716825198</v>
      </c>
      <c r="I326" s="213">
        <f t="shared" si="59"/>
        <v>170</v>
      </c>
      <c r="J326" s="213">
        <f t="shared" si="60"/>
        <v>418</v>
      </c>
      <c r="K326">
        <f>RANK(2.65,AI:AI,0)</f>
        <v>206</v>
      </c>
      <c r="L326" s="357">
        <v>0</v>
      </c>
      <c r="M326" s="357">
        <v>1</v>
      </c>
      <c r="N326" s="357">
        <v>0</v>
      </c>
      <c r="O326" s="357">
        <v>1</v>
      </c>
      <c r="P326" s="357">
        <v>0</v>
      </c>
      <c r="Q326" s="358">
        <v>0.17663136317048173</v>
      </c>
      <c r="R326" s="359">
        <v>1.2845550351288058</v>
      </c>
      <c r="S326" s="196">
        <v>23700162000</v>
      </c>
      <c r="T326" s="196">
        <v>397500000</v>
      </c>
      <c r="U326" s="200">
        <f t="shared" si="61"/>
        <v>25201500000</v>
      </c>
      <c r="V326" s="196">
        <v>726000000</v>
      </c>
      <c r="W326" s="196">
        <v>6224000000</v>
      </c>
      <c r="X326" s="196">
        <v>8617000000</v>
      </c>
      <c r="Y326" s="196">
        <v>15753000000</v>
      </c>
      <c r="Z326" s="196">
        <v>1674000000</v>
      </c>
      <c r="AA326" s="198">
        <v>0.05</v>
      </c>
      <c r="AB326" s="198">
        <v>0.04</v>
      </c>
      <c r="AC326" s="213">
        <f t="shared" si="62"/>
        <v>247</v>
      </c>
      <c r="AD326" s="213">
        <f t="shared" si="63"/>
        <v>228</v>
      </c>
      <c r="AE326" s="213">
        <v>3.28</v>
      </c>
      <c r="AF326" s="196">
        <v>982000000</v>
      </c>
      <c r="AG326" s="104">
        <f t="shared" si="64"/>
        <v>2.4704402515723269</v>
      </c>
      <c r="AH326" s="104">
        <f t="shared" si="65"/>
        <v>1.3526170798898072</v>
      </c>
      <c r="AI326" s="195">
        <v>2.65</v>
      </c>
    </row>
    <row r="327" spans="1:48">
      <c r="A327">
        <v>2356</v>
      </c>
      <c r="C327" s="107">
        <f>VLOOKUP(2356,收盤價!$A:$C,3,0)</f>
        <v>24.85</v>
      </c>
      <c r="D327" s="107">
        <f t="shared" si="55"/>
        <v>15.53125</v>
      </c>
      <c r="E327" s="167">
        <f t="shared" si="56"/>
        <v>4</v>
      </c>
      <c r="F327" s="104">
        <f t="shared" si="57"/>
        <v>0.21136684771705644</v>
      </c>
      <c r="G327" s="167">
        <f>RANK(0.84,AE:AE,0)</f>
        <v>946</v>
      </c>
      <c r="H327" s="365">
        <f t="shared" si="58"/>
        <v>-1.4898954703832752</v>
      </c>
      <c r="I327" s="213">
        <f t="shared" si="59"/>
        <v>350</v>
      </c>
      <c r="J327" s="213">
        <f t="shared" si="60"/>
        <v>768</v>
      </c>
      <c r="K327">
        <f>RANK(1.39,AI:AI,0)</f>
        <v>634</v>
      </c>
      <c r="L327" s="357">
        <v>0</v>
      </c>
      <c r="M327" s="357">
        <v>1</v>
      </c>
      <c r="N327" s="357">
        <v>2</v>
      </c>
      <c r="O327" s="357">
        <v>1</v>
      </c>
      <c r="P327" s="357">
        <v>0</v>
      </c>
      <c r="Q327" s="358">
        <v>5.5395039277769058E-2</v>
      </c>
      <c r="R327" s="359">
        <v>0.4</v>
      </c>
      <c r="S327" s="196">
        <v>421775581000</v>
      </c>
      <c r="T327" s="196">
        <v>3587500000</v>
      </c>
      <c r="U327" s="200">
        <f t="shared" si="61"/>
        <v>89149375000</v>
      </c>
      <c r="V327" s="196">
        <v>0</v>
      </c>
      <c r="W327" s="196">
        <v>20522000000</v>
      </c>
      <c r="X327" s="196">
        <v>39092000000</v>
      </c>
      <c r="Y327" s="196">
        <v>59475000000</v>
      </c>
      <c r="Z327" s="196">
        <v>6021000000</v>
      </c>
      <c r="AA327" s="198">
        <v>0</v>
      </c>
      <c r="AB327" s="198">
        <v>0</v>
      </c>
      <c r="AC327" s="213">
        <f t="shared" si="62"/>
        <v>945</v>
      </c>
      <c r="AD327" s="213">
        <f t="shared" si="63"/>
        <v>911</v>
      </c>
      <c r="AE327" s="213">
        <v>0.84</v>
      </c>
      <c r="AF327" s="196">
        <v>5345000000</v>
      </c>
      <c r="AG327" s="104">
        <f t="shared" si="64"/>
        <v>1.4898954703832752</v>
      </c>
      <c r="AH327" s="104">
        <f t="shared" si="65"/>
        <v>0</v>
      </c>
      <c r="AI327" s="195">
        <v>1.39</v>
      </c>
    </row>
    <row r="328" spans="1:48">
      <c r="A328">
        <v>2357</v>
      </c>
      <c r="C328" s="107">
        <f>VLOOKUP(2357,收盤價!$A:$C,3,0)</f>
        <v>280.5</v>
      </c>
      <c r="D328" s="107">
        <f t="shared" si="55"/>
        <v>12.635135135135135</v>
      </c>
      <c r="E328" s="167">
        <f t="shared" si="56"/>
        <v>2</v>
      </c>
      <c r="F328" s="104">
        <f t="shared" si="57"/>
        <v>0.44015457532297941</v>
      </c>
      <c r="G328" s="167">
        <f>RANK(0.84,AE:AE,0)</f>
        <v>946</v>
      </c>
      <c r="H328" s="365">
        <f t="shared" si="58"/>
        <v>-10.298869143780291</v>
      </c>
      <c r="I328" s="213">
        <f t="shared" si="59"/>
        <v>5</v>
      </c>
      <c r="J328" s="213">
        <f t="shared" si="60"/>
        <v>768</v>
      </c>
      <c r="K328">
        <f>RANK(2.02,AI:AI,0)</f>
        <v>330</v>
      </c>
      <c r="L328" s="357">
        <v>0</v>
      </c>
      <c r="M328" s="357">
        <v>1</v>
      </c>
      <c r="N328" s="357">
        <v>0</v>
      </c>
      <c r="O328" s="357">
        <v>1</v>
      </c>
      <c r="P328" s="357">
        <v>0</v>
      </c>
      <c r="Q328" s="358">
        <v>0.14045460263394716</v>
      </c>
      <c r="R328" s="359">
        <v>5.55</v>
      </c>
      <c r="S328" s="196">
        <v>473368702000</v>
      </c>
      <c r="T328" s="196">
        <v>742800000</v>
      </c>
      <c r="U328" s="200">
        <f t="shared" si="61"/>
        <v>208355400000</v>
      </c>
      <c r="V328" s="196">
        <v>0</v>
      </c>
      <c r="W328" s="196">
        <v>92147000000</v>
      </c>
      <c r="X328" s="196">
        <v>9518000000</v>
      </c>
      <c r="Y328" s="196">
        <v>167039000000</v>
      </c>
      <c r="Z328" s="196">
        <v>2468000000</v>
      </c>
      <c r="AA328" s="198">
        <v>0</v>
      </c>
      <c r="AB328" s="198">
        <v>0</v>
      </c>
      <c r="AC328" s="213">
        <f t="shared" si="62"/>
        <v>945</v>
      </c>
      <c r="AD328" s="213">
        <f t="shared" si="63"/>
        <v>911</v>
      </c>
      <c r="AE328" s="213">
        <v>0.84</v>
      </c>
      <c r="AF328" s="196">
        <v>7650000000</v>
      </c>
      <c r="AG328" s="104">
        <f t="shared" si="64"/>
        <v>10.298869143780291</v>
      </c>
      <c r="AH328" s="104">
        <f t="shared" si="65"/>
        <v>0</v>
      </c>
      <c r="AI328" s="195">
        <v>2.02</v>
      </c>
      <c r="AO328" s="213"/>
      <c r="AP328" s="213"/>
      <c r="AQ328" s="213"/>
      <c r="AR328" s="213"/>
      <c r="AS328" s="213"/>
      <c r="AT328" s="213"/>
      <c r="AU328" s="213"/>
      <c r="AV328" s="213"/>
    </row>
    <row r="329" spans="1:48">
      <c r="A329">
        <v>2358</v>
      </c>
      <c r="C329" s="107" t="e">
        <f>VLOOKUP(2358,收盤價!$A:$C,3,0)</f>
        <v>#N/A</v>
      </c>
      <c r="D329" s="107">
        <f t="shared" si="55"/>
        <v>0</v>
      </c>
      <c r="E329" s="167">
        <f t="shared" si="56"/>
        <v>3</v>
      </c>
      <c r="F329" s="104">
        <f t="shared" si="57"/>
        <v>0</v>
      </c>
      <c r="G329" s="167">
        <f>RANK(0.84,AE:AE,0)</f>
        <v>946</v>
      </c>
      <c r="H329" s="365">
        <f t="shared" si="58"/>
        <v>0.23529411764705882</v>
      </c>
      <c r="I329" s="213">
        <f t="shared" si="59"/>
        <v>1238</v>
      </c>
      <c r="J329" s="213">
        <f t="shared" si="60"/>
        <v>768</v>
      </c>
      <c r="K329">
        <f>RANK(0.78,AI:AI,0)</f>
        <v>1217</v>
      </c>
      <c r="L329" s="357">
        <v>0</v>
      </c>
      <c r="M329" s="357">
        <v>1</v>
      </c>
      <c r="N329" s="357">
        <v>2</v>
      </c>
      <c r="O329" s="357">
        <v>0</v>
      </c>
      <c r="P329" s="357">
        <v>0</v>
      </c>
      <c r="Q329" s="358">
        <v>2.0316027088036117E-2</v>
      </c>
      <c r="R329" s="359">
        <v>-0.16</v>
      </c>
      <c r="S329" s="196">
        <v>1653282000</v>
      </c>
      <c r="T329" s="196">
        <v>85000000</v>
      </c>
      <c r="U329" s="200" t="e">
        <f t="shared" si="61"/>
        <v>#N/A</v>
      </c>
      <c r="V329" s="196">
        <v>0</v>
      </c>
      <c r="W329" s="196">
        <v>171000000</v>
      </c>
      <c r="X329" s="196">
        <v>96000000</v>
      </c>
      <c r="Y329" s="196">
        <v>427000000</v>
      </c>
      <c r="Z329" s="196">
        <v>88000000</v>
      </c>
      <c r="AA329" s="198">
        <v>0</v>
      </c>
      <c r="AB329" s="198">
        <v>0</v>
      </c>
      <c r="AC329" s="213">
        <f t="shared" si="62"/>
        <v>945</v>
      </c>
      <c r="AD329" s="213">
        <f t="shared" si="63"/>
        <v>911</v>
      </c>
      <c r="AE329" s="213">
        <v>0.84</v>
      </c>
      <c r="AF329" s="196">
        <v>-20000000</v>
      </c>
      <c r="AG329" s="104">
        <f t="shared" si="64"/>
        <v>-0.23529411764705882</v>
      </c>
      <c r="AH329" s="104">
        <f t="shared" si="65"/>
        <v>0</v>
      </c>
      <c r="AI329" s="195">
        <v>0.78</v>
      </c>
    </row>
    <row r="330" spans="1:48">
      <c r="A330">
        <v>2359</v>
      </c>
      <c r="C330" s="107">
        <f>VLOOKUP(2359,收盤價!$A:$C,3,0)</f>
        <v>14.55</v>
      </c>
      <c r="D330" s="107">
        <f t="shared" si="55"/>
        <v>16.53409090909091</v>
      </c>
      <c r="E330" s="167">
        <f t="shared" si="56"/>
        <v>3</v>
      </c>
      <c r="F330" s="104">
        <f t="shared" si="57"/>
        <v>0.59159957410378405</v>
      </c>
      <c r="G330" s="167">
        <f>RANK(0.84,AE:AE,0)</f>
        <v>946</v>
      </c>
      <c r="H330" s="365">
        <f t="shared" si="58"/>
        <v>-0.1282798833819242</v>
      </c>
      <c r="I330" s="213">
        <f t="shared" si="59"/>
        <v>976</v>
      </c>
      <c r="J330" s="213">
        <f t="shared" si="60"/>
        <v>768</v>
      </c>
      <c r="K330">
        <f>RANK(0.89,AI:AI,0)</f>
        <v>1004</v>
      </c>
      <c r="L330" s="357">
        <v>0</v>
      </c>
      <c r="M330" s="357">
        <v>1</v>
      </c>
      <c r="N330" s="357">
        <v>1</v>
      </c>
      <c r="O330" s="357">
        <v>1</v>
      </c>
      <c r="P330" s="357">
        <v>0</v>
      </c>
      <c r="Q330" s="358">
        <v>0.19587628865979381</v>
      </c>
      <c r="R330" s="359">
        <v>0.22</v>
      </c>
      <c r="S330" s="196">
        <v>4217929000</v>
      </c>
      <c r="T330" s="196">
        <v>171500000</v>
      </c>
      <c r="U330" s="200">
        <f t="shared" si="61"/>
        <v>2495325000</v>
      </c>
      <c r="V330" s="196">
        <v>0</v>
      </c>
      <c r="W330" s="196">
        <v>2961000000</v>
      </c>
      <c r="X330" s="196">
        <v>494000000</v>
      </c>
      <c r="Y330" s="196">
        <v>4829000000</v>
      </c>
      <c r="Z330" s="196">
        <v>48000000</v>
      </c>
      <c r="AA330" s="198">
        <v>0</v>
      </c>
      <c r="AB330" s="198">
        <v>0</v>
      </c>
      <c r="AC330" s="213">
        <f t="shared" si="62"/>
        <v>945</v>
      </c>
      <c r="AD330" s="213">
        <f t="shared" si="63"/>
        <v>911</v>
      </c>
      <c r="AE330" s="213">
        <v>0.84</v>
      </c>
      <c r="AF330" s="196">
        <v>22000000</v>
      </c>
      <c r="AG330" s="104">
        <f t="shared" si="64"/>
        <v>0.1282798833819242</v>
      </c>
      <c r="AH330" s="104">
        <f t="shared" si="65"/>
        <v>0</v>
      </c>
      <c r="AI330" s="195">
        <v>0.89</v>
      </c>
      <c r="AO330" s="213"/>
      <c r="AP330" s="213"/>
      <c r="AQ330" s="213"/>
      <c r="AR330" s="213"/>
      <c r="AS330" s="213"/>
      <c r="AT330" s="213"/>
      <c r="AU330" s="213"/>
      <c r="AV330" s="213"/>
    </row>
    <row r="331" spans="1:48">
      <c r="A331">
        <v>2360</v>
      </c>
      <c r="C331" s="107">
        <f>VLOOKUP(2360,收盤價!$A:$C,3,0)</f>
        <v>86.3</v>
      </c>
      <c r="D331" s="107">
        <f t="shared" si="55"/>
        <v>19.708159118768155</v>
      </c>
      <c r="E331" s="167">
        <f t="shared" si="56"/>
        <v>1</v>
      </c>
      <c r="F331" s="104">
        <f t="shared" si="57"/>
        <v>2.9348869815252674</v>
      </c>
      <c r="G331" s="167">
        <f>RANK(4.81,AE:AE,0)</f>
        <v>170</v>
      </c>
      <c r="H331" s="365">
        <f t="shared" si="58"/>
        <v>-0.14424798930329613</v>
      </c>
      <c r="I331" s="213">
        <f t="shared" si="59"/>
        <v>725</v>
      </c>
      <c r="J331" s="213">
        <f t="shared" si="60"/>
        <v>704</v>
      </c>
      <c r="K331">
        <f>RANK(1.09,AI:AI,0)</f>
        <v>803</v>
      </c>
      <c r="L331" s="357">
        <v>0</v>
      </c>
      <c r="M331" s="357">
        <v>1</v>
      </c>
      <c r="N331" s="357">
        <v>0</v>
      </c>
      <c r="O331" s="357">
        <v>0</v>
      </c>
      <c r="P331" s="357">
        <v>0</v>
      </c>
      <c r="Q331" s="358">
        <v>0.49328859060402686</v>
      </c>
      <c r="R331" s="359">
        <v>1.0947242647058824</v>
      </c>
      <c r="S331" s="196">
        <v>11165033000</v>
      </c>
      <c r="T331" s="196">
        <v>379700000</v>
      </c>
      <c r="U331" s="200">
        <f t="shared" si="61"/>
        <v>32768110000</v>
      </c>
      <c r="V331" s="196">
        <v>520000000</v>
      </c>
      <c r="W331" s="196">
        <v>6045000000</v>
      </c>
      <c r="X331" s="196">
        <v>2766000000</v>
      </c>
      <c r="Y331" s="196">
        <v>9466000000</v>
      </c>
      <c r="Z331" s="196">
        <v>709000000</v>
      </c>
      <c r="AA331" s="198">
        <v>0.06</v>
      </c>
      <c r="AB331" s="198">
        <v>0.05</v>
      </c>
      <c r="AC331" s="213">
        <f t="shared" si="62"/>
        <v>174</v>
      </c>
      <c r="AD331" s="213">
        <f t="shared" si="63"/>
        <v>150</v>
      </c>
      <c r="AE331" s="213">
        <v>4.8099999999999996</v>
      </c>
      <c r="AF331" s="196">
        <v>203000000</v>
      </c>
      <c r="AG331" s="104">
        <f t="shared" si="64"/>
        <v>0.53463260468791152</v>
      </c>
      <c r="AH331" s="104">
        <f t="shared" si="65"/>
        <v>0.39038461538461539</v>
      </c>
      <c r="AI331" s="195">
        <v>1.0900000000000001</v>
      </c>
      <c r="AO331" s="213"/>
      <c r="AP331" s="213"/>
      <c r="AS331" s="213"/>
    </row>
    <row r="332" spans="1:48">
      <c r="A332">
        <v>2362</v>
      </c>
      <c r="C332" s="107">
        <f>VLOOKUP(2362,收盤價!$A:$C,3,0)</f>
        <v>28.9</v>
      </c>
      <c r="D332" s="107">
        <f t="shared" si="55"/>
        <v>0</v>
      </c>
      <c r="E332" s="167">
        <f t="shared" si="56"/>
        <v>2</v>
      </c>
      <c r="F332" s="104">
        <f t="shared" si="57"/>
        <v>1.0080786265875294</v>
      </c>
      <c r="G332" s="167">
        <f>RANK(2.21,AE:AE,0)</f>
        <v>428</v>
      </c>
      <c r="H332" s="365">
        <f t="shared" si="58"/>
        <v>-1.5124621209564704E-2</v>
      </c>
      <c r="I332" s="213">
        <f t="shared" si="59"/>
        <v>529</v>
      </c>
      <c r="J332" s="213">
        <f t="shared" si="60"/>
        <v>541</v>
      </c>
      <c r="K332">
        <f>RANK(1.46,AI:AI,0)</f>
        <v>578</v>
      </c>
      <c r="L332" s="357">
        <v>0</v>
      </c>
      <c r="M332" s="357">
        <v>1</v>
      </c>
      <c r="N332" s="357">
        <v>0</v>
      </c>
      <c r="O332" s="357">
        <v>1</v>
      </c>
      <c r="P332" s="357">
        <v>0</v>
      </c>
      <c r="Q332" s="358">
        <v>0.3190652475705692</v>
      </c>
      <c r="R332" s="359">
        <v>0</v>
      </c>
      <c r="S332" s="196">
        <v>19586250000</v>
      </c>
      <c r="T332" s="196">
        <v>683200000</v>
      </c>
      <c r="U332" s="200">
        <f t="shared" si="61"/>
        <v>19744480000</v>
      </c>
      <c r="V332" s="196">
        <v>694000000</v>
      </c>
      <c r="W332" s="196">
        <v>0</v>
      </c>
      <c r="X332" s="196">
        <v>5305000000</v>
      </c>
      <c r="Y332" s="196">
        <v>45763000000</v>
      </c>
      <c r="Z332" s="196">
        <v>16990000000</v>
      </c>
      <c r="AA332" s="198">
        <v>0.13</v>
      </c>
      <c r="AB332" s="198">
        <v>0.01</v>
      </c>
      <c r="AC332" s="213">
        <f t="shared" si="62"/>
        <v>26</v>
      </c>
      <c r="AD332" s="213">
        <f t="shared" si="63"/>
        <v>680</v>
      </c>
      <c r="AE332" s="213">
        <v>2.21</v>
      </c>
      <c r="AF332" s="196">
        <v>664000000</v>
      </c>
      <c r="AG332" s="104">
        <f t="shared" si="64"/>
        <v>0.97189695550351285</v>
      </c>
      <c r="AH332" s="104">
        <f t="shared" si="65"/>
        <v>0.95677233429394815</v>
      </c>
      <c r="AI332" s="195">
        <v>1.46</v>
      </c>
    </row>
    <row r="333" spans="1:48">
      <c r="A333">
        <v>2363</v>
      </c>
      <c r="C333" s="107">
        <f>VLOOKUP(2363,收盤價!$A:$C,3,0)</f>
        <v>6.48</v>
      </c>
      <c r="D333" s="107">
        <f t="shared" si="55"/>
        <v>0</v>
      </c>
      <c r="E333" s="167">
        <f t="shared" si="56"/>
        <v>1</v>
      </c>
      <c r="F333" s="104">
        <f t="shared" si="57"/>
        <v>19.576316255982984</v>
      </c>
      <c r="G333" s="167">
        <f>RANK(0.58,AE:AE,0)</f>
        <v>1374</v>
      </c>
      <c r="H333" s="365">
        <f t="shared" si="58"/>
        <v>1.4669926650366748E-2</v>
      </c>
      <c r="I333" s="213">
        <f t="shared" si="59"/>
        <v>1079</v>
      </c>
      <c r="J333" s="213">
        <f t="shared" si="60"/>
        <v>768</v>
      </c>
      <c r="K333">
        <f>RANK(0.84,AI:AI,0)</f>
        <v>1076</v>
      </c>
      <c r="L333" s="357">
        <v>0</v>
      </c>
      <c r="M333" s="357">
        <v>0</v>
      </c>
      <c r="N333" s="357">
        <v>1</v>
      </c>
      <c r="O333" s="357">
        <v>0</v>
      </c>
      <c r="P333" s="357">
        <v>0</v>
      </c>
      <c r="Q333" s="358">
        <v>0.54166666666666663</v>
      </c>
      <c r="R333" s="359">
        <v>0</v>
      </c>
      <c r="S333" s="196">
        <v>203076000</v>
      </c>
      <c r="T333" s="196">
        <v>613500000</v>
      </c>
      <c r="U333" s="200">
        <f t="shared" si="61"/>
        <v>3975480000.0000005</v>
      </c>
      <c r="V333" s="196">
        <v>-72000000</v>
      </c>
      <c r="W333" s="196">
        <v>1530000000</v>
      </c>
      <c r="X333" s="196">
        <v>773000000</v>
      </c>
      <c r="Y333" s="196">
        <v>7104000000</v>
      </c>
      <c r="Z333" s="196">
        <v>0</v>
      </c>
      <c r="AA333" s="198">
        <v>-0.03</v>
      </c>
      <c r="AB333" s="198">
        <v>-0.01</v>
      </c>
      <c r="AC333" s="213">
        <f t="shared" si="62"/>
        <v>1405</v>
      </c>
      <c r="AD333" s="213">
        <f t="shared" si="63"/>
        <v>1294</v>
      </c>
      <c r="AE333" s="213">
        <v>0.57999999999999996</v>
      </c>
      <c r="AF333" s="196">
        <v>-9000000</v>
      </c>
      <c r="AG333" s="104">
        <f t="shared" si="64"/>
        <v>-1.4669926650366748E-2</v>
      </c>
      <c r="AH333" s="104">
        <f t="shared" si="65"/>
        <v>0</v>
      </c>
      <c r="AI333" s="195">
        <v>0.84</v>
      </c>
    </row>
    <row r="334" spans="1:48">
      <c r="A334">
        <v>2364</v>
      </c>
      <c r="C334" s="107">
        <f>VLOOKUP(2364,收盤價!$A:$C,3,0)</f>
        <v>2.79</v>
      </c>
      <c r="D334" s="107">
        <f t="shared" si="55"/>
        <v>0</v>
      </c>
      <c r="E334" s="167">
        <f t="shared" si="56"/>
        <v>1</v>
      </c>
      <c r="F334" s="104">
        <f t="shared" si="57"/>
        <v>0.54482391649811446</v>
      </c>
      <c r="G334" s="167">
        <f>RANK(0.53,AE:AE,0)</f>
        <v>1475</v>
      </c>
      <c r="H334" s="365">
        <f t="shared" si="58"/>
        <v>8.4166228300894264E-2</v>
      </c>
      <c r="I334" s="213">
        <f t="shared" si="59"/>
        <v>1127</v>
      </c>
      <c r="J334" s="213">
        <f t="shared" si="60"/>
        <v>768</v>
      </c>
      <c r="K334">
        <f>RANK(0.82,AI:AI,0)</f>
        <v>1121</v>
      </c>
      <c r="L334" s="357">
        <v>0</v>
      </c>
      <c r="M334" s="357">
        <v>1</v>
      </c>
      <c r="N334" s="357">
        <v>0</v>
      </c>
      <c r="O334" s="357">
        <v>0</v>
      </c>
      <c r="P334" s="357">
        <v>0</v>
      </c>
      <c r="Q334" s="358">
        <v>0.21702127659574469</v>
      </c>
      <c r="R334" s="359">
        <v>0</v>
      </c>
      <c r="S334" s="196">
        <v>973487000</v>
      </c>
      <c r="T334" s="196">
        <v>190100000</v>
      </c>
      <c r="U334" s="200">
        <f t="shared" si="61"/>
        <v>530379000</v>
      </c>
      <c r="V334" s="196">
        <v>-31000000</v>
      </c>
      <c r="W334" s="196">
        <v>0</v>
      </c>
      <c r="X334" s="196">
        <v>472000000</v>
      </c>
      <c r="Y334" s="196">
        <v>494000000</v>
      </c>
      <c r="Z334" s="196">
        <v>590000000</v>
      </c>
      <c r="AA334" s="198">
        <v>-7.0000000000000007E-2</v>
      </c>
      <c r="AB334" s="198">
        <v>-0.03</v>
      </c>
      <c r="AC334" s="213">
        <f t="shared" si="62"/>
        <v>1502</v>
      </c>
      <c r="AD334" s="213">
        <f t="shared" si="63"/>
        <v>1444</v>
      </c>
      <c r="AE334" s="213">
        <v>0.53</v>
      </c>
      <c r="AF334" s="196">
        <v>-16000000</v>
      </c>
      <c r="AG334" s="104">
        <f t="shared" si="64"/>
        <v>-8.4166228300894264E-2</v>
      </c>
      <c r="AH334" s="104">
        <f t="shared" si="65"/>
        <v>0</v>
      </c>
      <c r="AI334" s="195">
        <v>0.82</v>
      </c>
    </row>
    <row r="335" spans="1:48">
      <c r="A335">
        <v>2365</v>
      </c>
      <c r="C335" s="107">
        <f>VLOOKUP(2365,收盤價!$A:$C,3,0)</f>
        <v>8.9499999999999993</v>
      </c>
      <c r="D335" s="107">
        <f t="shared" si="55"/>
        <v>0</v>
      </c>
      <c r="E335" s="167">
        <f t="shared" si="56"/>
        <v>3</v>
      </c>
      <c r="F335" s="104">
        <f t="shared" si="57"/>
        <v>0.58870833670754896</v>
      </c>
      <c r="G335" s="167">
        <f>RANK(0.61,AE:AE,0)</f>
        <v>1295</v>
      </c>
      <c r="H335" s="365">
        <f t="shared" si="58"/>
        <v>-0.45610425240054869</v>
      </c>
      <c r="I335" s="213">
        <f t="shared" si="59"/>
        <v>770</v>
      </c>
      <c r="J335" s="213">
        <f t="shared" si="60"/>
        <v>768</v>
      </c>
      <c r="K335">
        <f>RANK(1.01,AI:AI,0)</f>
        <v>874</v>
      </c>
      <c r="L335" s="357">
        <v>0</v>
      </c>
      <c r="M335" s="357">
        <v>1</v>
      </c>
      <c r="N335" s="357">
        <v>2</v>
      </c>
      <c r="O335" s="357">
        <v>0</v>
      </c>
      <c r="P335" s="357">
        <v>0</v>
      </c>
      <c r="Q335" s="358">
        <v>0.20523560209424083</v>
      </c>
      <c r="R335" s="359">
        <v>0</v>
      </c>
      <c r="S335" s="196">
        <v>4433129000</v>
      </c>
      <c r="T335" s="196">
        <v>291600000</v>
      </c>
      <c r="U335" s="200">
        <f t="shared" si="61"/>
        <v>2609820000</v>
      </c>
      <c r="V335" s="196">
        <v>-26000000</v>
      </c>
      <c r="W335" s="196">
        <v>1649000000</v>
      </c>
      <c r="X335" s="196">
        <v>1074000000</v>
      </c>
      <c r="Y335" s="196">
        <v>4020000000</v>
      </c>
      <c r="Z335" s="196">
        <v>343000000</v>
      </c>
      <c r="AA335" s="198">
        <v>-0.01</v>
      </c>
      <c r="AB335" s="198">
        <v>-0.01</v>
      </c>
      <c r="AC335" s="213">
        <f t="shared" si="62"/>
        <v>1277</v>
      </c>
      <c r="AD335" s="213">
        <f t="shared" si="63"/>
        <v>1294</v>
      </c>
      <c r="AE335" s="213">
        <v>0.61</v>
      </c>
      <c r="AF335" s="196">
        <v>133000000</v>
      </c>
      <c r="AG335" s="104">
        <f t="shared" si="64"/>
        <v>0.45610425240054869</v>
      </c>
      <c r="AH335" s="104">
        <f t="shared" si="65"/>
        <v>0</v>
      </c>
      <c r="AI335" s="195">
        <v>1.01</v>
      </c>
      <c r="AO335" s="213"/>
      <c r="AP335" s="213"/>
      <c r="AQ335" s="213"/>
      <c r="AR335" s="213"/>
      <c r="AS335" s="213"/>
      <c r="AT335" s="213"/>
      <c r="AU335" s="213"/>
      <c r="AV335" s="213"/>
    </row>
    <row r="336" spans="1:48">
      <c r="A336">
        <v>2367</v>
      </c>
      <c r="C336" s="107">
        <f>VLOOKUP(2367,收盤價!$A:$C,3,0)</f>
        <v>9.99</v>
      </c>
      <c r="D336" s="107">
        <f t="shared" si="55"/>
        <v>0</v>
      </c>
      <c r="E336" s="167">
        <f t="shared" si="56"/>
        <v>2</v>
      </c>
      <c r="F336" s="104">
        <f t="shared" si="57"/>
        <v>0.445259861175542</v>
      </c>
      <c r="G336" s="167">
        <f>RANK(0.84,AE:AE,0)</f>
        <v>946</v>
      </c>
      <c r="H336" s="365">
        <f t="shared" si="58"/>
        <v>-1.3615107913669064</v>
      </c>
      <c r="I336" s="213">
        <f t="shared" si="59"/>
        <v>384</v>
      </c>
      <c r="J336" s="213">
        <f t="shared" si="60"/>
        <v>768</v>
      </c>
      <c r="K336">
        <f>RANK(1.35,AI:AI,0)</f>
        <v>650</v>
      </c>
      <c r="L336" s="357">
        <v>0</v>
      </c>
      <c r="M336" s="357">
        <v>0</v>
      </c>
      <c r="N336" s="357">
        <v>1</v>
      </c>
      <c r="O336" s="357">
        <v>1</v>
      </c>
      <c r="P336" s="357">
        <v>0</v>
      </c>
      <c r="Q336" s="358">
        <v>-4.1059094397544127E-2</v>
      </c>
      <c r="R336" s="359">
        <v>-1.07</v>
      </c>
      <c r="S336" s="196">
        <v>12474603000</v>
      </c>
      <c r="T336" s="196">
        <v>556000000</v>
      </c>
      <c r="U336" s="200">
        <f t="shared" si="61"/>
        <v>5554440000</v>
      </c>
      <c r="V336" s="196">
        <v>0</v>
      </c>
      <c r="W336" s="196">
        <v>292000000</v>
      </c>
      <c r="X336" s="196">
        <v>10436000000</v>
      </c>
      <c r="Y336" s="196">
        <v>8414000000</v>
      </c>
      <c r="Z336" s="196">
        <v>1766000000</v>
      </c>
      <c r="AA336" s="198">
        <v>0</v>
      </c>
      <c r="AB336" s="198">
        <v>0</v>
      </c>
      <c r="AC336" s="213">
        <f t="shared" si="62"/>
        <v>945</v>
      </c>
      <c r="AD336" s="213">
        <f t="shared" si="63"/>
        <v>911</v>
      </c>
      <c r="AE336" s="213">
        <v>0.84</v>
      </c>
      <c r="AF336" s="196">
        <v>757000000</v>
      </c>
      <c r="AG336" s="104">
        <f t="shared" si="64"/>
        <v>1.3615107913669064</v>
      </c>
      <c r="AH336" s="104">
        <f t="shared" si="65"/>
        <v>0</v>
      </c>
      <c r="AI336" s="195">
        <v>1.35</v>
      </c>
    </row>
    <row r="337" spans="1:48">
      <c r="A337">
        <v>2368</v>
      </c>
      <c r="C337" s="107">
        <f>VLOOKUP(2368,收盤價!$A:$C,3,0)</f>
        <v>10.95</v>
      </c>
      <c r="D337" s="107">
        <f t="shared" si="55"/>
        <v>0</v>
      </c>
      <c r="E337" s="167">
        <f t="shared" si="56"/>
        <v>5</v>
      </c>
      <c r="F337" s="104">
        <f t="shared" si="57"/>
        <v>0.32941092705164665</v>
      </c>
      <c r="G337" s="167">
        <f>RANK(1.63,AE:AE,0)</f>
        <v>551</v>
      </c>
      <c r="H337" s="365">
        <f t="shared" si="58"/>
        <v>0.30820669191874789</v>
      </c>
      <c r="I337" s="213">
        <f t="shared" si="59"/>
        <v>826</v>
      </c>
      <c r="J337" s="213">
        <f t="shared" si="60"/>
        <v>635</v>
      </c>
      <c r="K337">
        <f>RANK(1.07,AI:AI,0)</f>
        <v>826</v>
      </c>
      <c r="L337" s="357">
        <v>1</v>
      </c>
      <c r="M337" s="357">
        <v>1</v>
      </c>
      <c r="N337" s="357">
        <v>2</v>
      </c>
      <c r="O337" s="357">
        <v>1</v>
      </c>
      <c r="P337" s="357">
        <v>0</v>
      </c>
      <c r="Q337" s="358">
        <v>0.14496729267778014</v>
      </c>
      <c r="R337" s="359">
        <v>0</v>
      </c>
      <c r="S337" s="196">
        <v>18777929000</v>
      </c>
      <c r="T337" s="196">
        <v>564900000</v>
      </c>
      <c r="U337" s="200">
        <f t="shared" si="61"/>
        <v>6185655000</v>
      </c>
      <c r="V337" s="196">
        <v>302000000</v>
      </c>
      <c r="W337" s="196">
        <v>2346000000</v>
      </c>
      <c r="X337" s="196">
        <v>7400000000</v>
      </c>
      <c r="Y337" s="196">
        <v>6955000000</v>
      </c>
      <c r="Z337" s="196">
        <v>5353000000</v>
      </c>
      <c r="AA337" s="198">
        <v>0.03</v>
      </c>
      <c r="AB337" s="198">
        <v>0.02</v>
      </c>
      <c r="AC337" s="213">
        <f t="shared" si="62"/>
        <v>469</v>
      </c>
      <c r="AD337" s="213">
        <f t="shared" si="63"/>
        <v>487</v>
      </c>
      <c r="AE337" s="213">
        <v>1.63</v>
      </c>
      <c r="AF337" s="196">
        <v>200000000</v>
      </c>
      <c r="AG337" s="104">
        <f t="shared" si="64"/>
        <v>0.35404496371039124</v>
      </c>
      <c r="AH337" s="104">
        <f t="shared" si="65"/>
        <v>0.66225165562913912</v>
      </c>
      <c r="AI337" s="195">
        <v>1.07</v>
      </c>
    </row>
    <row r="338" spans="1:48">
      <c r="A338">
        <v>2369</v>
      </c>
      <c r="C338" s="107">
        <f>VLOOKUP(2369,收盤價!$A:$C,3,0)</f>
        <v>11.6</v>
      </c>
      <c r="D338" s="107">
        <f t="shared" si="55"/>
        <v>55.238095238095234</v>
      </c>
      <c r="E338" s="167">
        <f t="shared" si="56"/>
        <v>5</v>
      </c>
      <c r="F338" s="104">
        <f t="shared" si="57"/>
        <v>0.80570378842463675</v>
      </c>
      <c r="G338" s="167">
        <f>RANK(0.84,AE:AE,0)</f>
        <v>946</v>
      </c>
      <c r="H338" s="365">
        <f t="shared" si="58"/>
        <v>6.2103476058931859</v>
      </c>
      <c r="I338" s="213">
        <f t="shared" si="59"/>
        <v>714</v>
      </c>
      <c r="J338" s="213">
        <f t="shared" si="60"/>
        <v>62</v>
      </c>
      <c r="K338">
        <f>RANK(2.01,AI:AI,0)</f>
        <v>332</v>
      </c>
      <c r="L338" s="357">
        <v>1</v>
      </c>
      <c r="M338" s="357">
        <v>1</v>
      </c>
      <c r="N338" s="357">
        <v>2</v>
      </c>
      <c r="O338" s="357">
        <v>1</v>
      </c>
      <c r="P338" s="357">
        <v>0</v>
      </c>
      <c r="Q338" s="358">
        <v>0.11438848920863309</v>
      </c>
      <c r="R338" s="359">
        <v>5.2500000000000005E-2</v>
      </c>
      <c r="S338" s="196">
        <v>5472433000</v>
      </c>
      <c r="T338" s="196">
        <v>380100000</v>
      </c>
      <c r="U338" s="200">
        <f t="shared" si="61"/>
        <v>4409160000</v>
      </c>
      <c r="V338" s="196">
        <v>32000000</v>
      </c>
      <c r="W338" s="196">
        <v>2158000000</v>
      </c>
      <c r="X338" s="196">
        <v>5268000000</v>
      </c>
      <c r="Y338" s="196">
        <v>6116000000</v>
      </c>
      <c r="Z338" s="196">
        <v>719000000</v>
      </c>
      <c r="AA338" s="198">
        <v>0</v>
      </c>
      <c r="AB338" s="198">
        <v>0</v>
      </c>
      <c r="AC338" s="213">
        <f t="shared" si="62"/>
        <v>945</v>
      </c>
      <c r="AD338" s="213">
        <f t="shared" si="63"/>
        <v>911</v>
      </c>
      <c r="AE338" s="213">
        <v>0.84</v>
      </c>
      <c r="AF338" s="196">
        <v>217000000</v>
      </c>
      <c r="AG338" s="104">
        <f t="shared" si="64"/>
        <v>0.57090239410681398</v>
      </c>
      <c r="AH338" s="104">
        <f t="shared" si="65"/>
        <v>6.78125</v>
      </c>
      <c r="AI338" s="195">
        <v>2.0099999999999998</v>
      </c>
    </row>
    <row r="339" spans="1:48">
      <c r="A339">
        <v>2371</v>
      </c>
      <c r="C339" s="107">
        <f>VLOOKUP(2371,收盤價!$A:$C,3,0)</f>
        <v>8.02</v>
      </c>
      <c r="D339" s="107">
        <f t="shared" si="55"/>
        <v>0</v>
      </c>
      <c r="E339" s="167">
        <f t="shared" si="56"/>
        <v>3</v>
      </c>
      <c r="F339" s="104">
        <f t="shared" si="57"/>
        <v>0.2076683460324415</v>
      </c>
      <c r="G339" s="167">
        <f>RANK(0.93,AE:AE,0)</f>
        <v>920</v>
      </c>
      <c r="H339" s="365">
        <f t="shared" si="58"/>
        <v>0.54242359478521052</v>
      </c>
      <c r="I339" s="213">
        <f t="shared" si="59"/>
        <v>1362</v>
      </c>
      <c r="J339" s="213">
        <f t="shared" si="60"/>
        <v>768</v>
      </c>
      <c r="K339">
        <f>RANK(0.73,AI:AI,0)</f>
        <v>1352</v>
      </c>
      <c r="L339" s="357">
        <v>0</v>
      </c>
      <c r="M339" s="357">
        <v>1</v>
      </c>
      <c r="N339" s="357">
        <v>2</v>
      </c>
      <c r="O339" s="357">
        <v>0</v>
      </c>
      <c r="P339" s="357">
        <v>0</v>
      </c>
      <c r="Q339" s="358">
        <v>0.11548844657973004</v>
      </c>
      <c r="R339" s="359">
        <v>0</v>
      </c>
      <c r="S339" s="196">
        <v>90349783000</v>
      </c>
      <c r="T339" s="196">
        <v>2339500000</v>
      </c>
      <c r="U339" s="200">
        <f t="shared" si="61"/>
        <v>18762790000</v>
      </c>
      <c r="V339" s="196">
        <v>388000000</v>
      </c>
      <c r="W339" s="196">
        <v>0</v>
      </c>
      <c r="X339" s="196">
        <v>76421000000</v>
      </c>
      <c r="Y339" s="196">
        <v>44662000000</v>
      </c>
      <c r="Z339" s="196">
        <v>86557000000</v>
      </c>
      <c r="AA339" s="198">
        <v>0.01</v>
      </c>
      <c r="AB339" s="198">
        <v>0</v>
      </c>
      <c r="AC339" s="213">
        <f t="shared" si="62"/>
        <v>769</v>
      </c>
      <c r="AD339" s="213">
        <f t="shared" si="63"/>
        <v>911</v>
      </c>
      <c r="AE339" s="213">
        <v>0.93</v>
      </c>
      <c r="AF339" s="196">
        <v>-1269000000</v>
      </c>
      <c r="AG339" s="104">
        <f t="shared" si="64"/>
        <v>-0.54242359478521052</v>
      </c>
      <c r="AH339" s="104">
        <f t="shared" si="65"/>
        <v>0</v>
      </c>
      <c r="AI339" s="195">
        <v>0.73</v>
      </c>
    </row>
    <row r="340" spans="1:48">
      <c r="A340">
        <v>2373</v>
      </c>
      <c r="C340" s="107">
        <f>VLOOKUP(2373,收盤價!$A:$C,3,0)</f>
        <v>51.2</v>
      </c>
      <c r="D340" s="107">
        <f t="shared" si="55"/>
        <v>17.7373920945025</v>
      </c>
      <c r="E340" s="167">
        <f t="shared" si="56"/>
        <v>2</v>
      </c>
      <c r="F340" s="104">
        <f t="shared" si="57"/>
        <v>1.2207913482428503</v>
      </c>
      <c r="G340" s="167">
        <f>RANK(3.07,AE:AE,0)</f>
        <v>293</v>
      </c>
      <c r="H340" s="365">
        <f t="shared" si="58"/>
        <v>0.19517759621280173</v>
      </c>
      <c r="I340" s="213">
        <f t="shared" si="59"/>
        <v>425</v>
      </c>
      <c r="J340" s="213">
        <f t="shared" si="60"/>
        <v>401</v>
      </c>
      <c r="K340">
        <f>RANK(1.89,AI:AI,0)</f>
        <v>384</v>
      </c>
      <c r="L340" s="357">
        <v>0</v>
      </c>
      <c r="M340" s="357">
        <v>0</v>
      </c>
      <c r="N340" s="357">
        <v>1</v>
      </c>
      <c r="O340" s="357">
        <v>1</v>
      </c>
      <c r="P340" s="357">
        <v>0</v>
      </c>
      <c r="Q340" s="358">
        <v>0.42805655669531467</v>
      </c>
      <c r="R340" s="359">
        <v>0.72163934426229515</v>
      </c>
      <c r="S340" s="196">
        <v>14150559000</v>
      </c>
      <c r="T340" s="196">
        <v>337400000</v>
      </c>
      <c r="U340" s="200">
        <f t="shared" si="61"/>
        <v>17274880000</v>
      </c>
      <c r="V340" s="196">
        <v>291000000</v>
      </c>
      <c r="W340" s="196">
        <v>3431000000</v>
      </c>
      <c r="X340" s="196">
        <v>1689000000</v>
      </c>
      <c r="Y340" s="196">
        <v>7449000000</v>
      </c>
      <c r="Z340" s="196">
        <v>1615000000</v>
      </c>
      <c r="AA340" s="198">
        <v>0.06</v>
      </c>
      <c r="AB340" s="198">
        <v>0.03</v>
      </c>
      <c r="AC340" s="213">
        <f t="shared" si="62"/>
        <v>174</v>
      </c>
      <c r="AD340" s="213">
        <f t="shared" si="63"/>
        <v>334</v>
      </c>
      <c r="AE340" s="213">
        <v>3.07</v>
      </c>
      <c r="AF340" s="196">
        <v>413000000</v>
      </c>
      <c r="AG340" s="104">
        <f t="shared" si="64"/>
        <v>1.2240663900414939</v>
      </c>
      <c r="AH340" s="104">
        <f t="shared" si="65"/>
        <v>1.4192439862542956</v>
      </c>
      <c r="AI340" s="195">
        <v>1.89</v>
      </c>
    </row>
    <row r="341" spans="1:48">
      <c r="A341">
        <v>2374</v>
      </c>
      <c r="C341" s="107">
        <f>VLOOKUP(2374,收盤價!$A:$C,3,0)</f>
        <v>15.8</v>
      </c>
      <c r="D341" s="107">
        <f t="shared" si="55"/>
        <v>40.377777777777787</v>
      </c>
      <c r="E341" s="167">
        <f t="shared" si="56"/>
        <v>2</v>
      </c>
      <c r="F341" s="104">
        <f t="shared" si="57"/>
        <v>0.3078455355992335</v>
      </c>
      <c r="G341" s="167">
        <f>RANK(1.08,AE:AE,0)</f>
        <v>769</v>
      </c>
      <c r="H341" s="365">
        <f t="shared" si="58"/>
        <v>0.53078556263269638</v>
      </c>
      <c r="I341" s="213">
        <f t="shared" si="59"/>
        <v>1354</v>
      </c>
      <c r="J341" s="213">
        <f t="shared" si="60"/>
        <v>768</v>
      </c>
      <c r="K341">
        <f>RANK(0.73,AI:AI,0)</f>
        <v>1352</v>
      </c>
      <c r="L341" s="357">
        <v>0</v>
      </c>
      <c r="M341" s="357">
        <v>1</v>
      </c>
      <c r="N341" s="357">
        <v>1</v>
      </c>
      <c r="O341" s="357">
        <v>0</v>
      </c>
      <c r="P341" s="357">
        <v>0</v>
      </c>
      <c r="Q341" s="358">
        <v>0.13639410187667561</v>
      </c>
      <c r="R341" s="359">
        <v>9.7826086956521729E-2</v>
      </c>
      <c r="S341" s="196">
        <v>14504287000</v>
      </c>
      <c r="T341" s="196">
        <v>282600000</v>
      </c>
      <c r="U341" s="200">
        <f t="shared" si="61"/>
        <v>4465080000</v>
      </c>
      <c r="V341" s="196">
        <v>51000000</v>
      </c>
      <c r="W341" s="196">
        <v>3277000000</v>
      </c>
      <c r="X341" s="196">
        <v>3455000000</v>
      </c>
      <c r="Y341" s="196">
        <v>8404000000</v>
      </c>
      <c r="Z341" s="196">
        <v>399000000</v>
      </c>
      <c r="AA341" s="198">
        <v>0.01</v>
      </c>
      <c r="AB341" s="198">
        <v>0.01</v>
      </c>
      <c r="AC341" s="213">
        <f t="shared" si="62"/>
        <v>769</v>
      </c>
      <c r="AD341" s="213">
        <f t="shared" si="63"/>
        <v>680</v>
      </c>
      <c r="AE341" s="213">
        <v>1.08</v>
      </c>
      <c r="AF341" s="196">
        <v>-150000000</v>
      </c>
      <c r="AG341" s="104">
        <f t="shared" si="64"/>
        <v>-0.53078556263269638</v>
      </c>
      <c r="AH341" s="104">
        <f t="shared" si="65"/>
        <v>0</v>
      </c>
      <c r="AI341" s="195">
        <v>0.73</v>
      </c>
    </row>
    <row r="342" spans="1:48">
      <c r="A342">
        <v>2375</v>
      </c>
      <c r="C342" s="107">
        <f>VLOOKUP(2375,收盤價!$A:$C,3,0)</f>
        <v>17.100000000000001</v>
      </c>
      <c r="D342" s="107">
        <f t="shared" si="55"/>
        <v>0</v>
      </c>
      <c r="E342" s="167">
        <f t="shared" si="56"/>
        <v>5</v>
      </c>
      <c r="F342" s="104">
        <f t="shared" si="57"/>
        <v>0.55027337072460902</v>
      </c>
      <c r="G342" s="167">
        <f>RANK(0.56,AE:AE,0)</f>
        <v>1414</v>
      </c>
      <c r="H342" s="365">
        <f t="shared" si="58"/>
        <v>-1.4146341463414633</v>
      </c>
      <c r="I342" s="213">
        <f t="shared" si="59"/>
        <v>370</v>
      </c>
      <c r="J342" s="213">
        <f t="shared" si="60"/>
        <v>768</v>
      </c>
      <c r="K342">
        <f>RANK(1.37,AI:AI,0)</f>
        <v>643</v>
      </c>
      <c r="L342" s="357">
        <v>0</v>
      </c>
      <c r="M342" s="357">
        <v>1</v>
      </c>
      <c r="N342" s="357">
        <v>2</v>
      </c>
      <c r="O342" s="357">
        <v>1</v>
      </c>
      <c r="P342" s="357">
        <v>1</v>
      </c>
      <c r="Q342" s="358">
        <v>8.9850249584026626E-2</v>
      </c>
      <c r="R342" s="359">
        <v>0</v>
      </c>
      <c r="S342" s="196">
        <v>1911141000</v>
      </c>
      <c r="T342" s="196">
        <v>61500000</v>
      </c>
      <c r="U342" s="200">
        <f t="shared" si="61"/>
        <v>1051650000.0000001</v>
      </c>
      <c r="V342" s="196">
        <v>-77000000</v>
      </c>
      <c r="W342" s="196">
        <v>1240000000</v>
      </c>
      <c r="X342" s="196">
        <v>1039000000</v>
      </c>
      <c r="Y342" s="196">
        <v>2467000000</v>
      </c>
      <c r="Z342" s="196">
        <v>674000000</v>
      </c>
      <c r="AA342" s="198">
        <v>-0.03</v>
      </c>
      <c r="AB342" s="198">
        <v>-0.02</v>
      </c>
      <c r="AC342" s="213">
        <f t="shared" si="62"/>
        <v>1405</v>
      </c>
      <c r="AD342" s="213">
        <f t="shared" si="63"/>
        <v>1388</v>
      </c>
      <c r="AE342" s="213">
        <v>0.56000000000000005</v>
      </c>
      <c r="AF342" s="196">
        <v>87000000</v>
      </c>
      <c r="AG342" s="104">
        <f t="shared" si="64"/>
        <v>1.4146341463414633</v>
      </c>
      <c r="AH342" s="104">
        <f t="shared" si="65"/>
        <v>0</v>
      </c>
      <c r="AI342" s="195">
        <v>1.37</v>
      </c>
    </row>
    <row r="343" spans="1:48">
      <c r="A343">
        <v>2376</v>
      </c>
      <c r="C343" s="107">
        <f>VLOOKUP(2376,收盤價!$A:$C,3,0)</f>
        <v>41.35</v>
      </c>
      <c r="D343" s="107">
        <f t="shared" si="55"/>
        <v>20.395245908280668</v>
      </c>
      <c r="E343" s="167">
        <f t="shared" si="56"/>
        <v>3</v>
      </c>
      <c r="F343" s="104">
        <f t="shared" si="57"/>
        <v>0.50504011426404971</v>
      </c>
      <c r="G343" s="167">
        <f>RANK(1.41,AE:AE,0)</f>
        <v>618</v>
      </c>
      <c r="H343" s="365">
        <f t="shared" si="58"/>
        <v>2.1087996444978399</v>
      </c>
      <c r="I343" s="213">
        <f t="shared" si="59"/>
        <v>129</v>
      </c>
      <c r="J343" s="213">
        <f t="shared" si="60"/>
        <v>82</v>
      </c>
      <c r="K343">
        <f>RANK(7.38,AI:AI,0)</f>
        <v>28</v>
      </c>
      <c r="L343" s="357">
        <v>0</v>
      </c>
      <c r="M343" s="357">
        <v>1</v>
      </c>
      <c r="N343" s="357">
        <v>1</v>
      </c>
      <c r="O343" s="357">
        <v>1</v>
      </c>
      <c r="P343" s="357">
        <v>0</v>
      </c>
      <c r="Q343" s="358">
        <v>0.1749438482655353</v>
      </c>
      <c r="R343" s="359">
        <v>0.50685831622176591</v>
      </c>
      <c r="S343" s="196">
        <v>51507364000</v>
      </c>
      <c r="T343" s="196">
        <v>629100000</v>
      </c>
      <c r="U343" s="200">
        <f t="shared" si="61"/>
        <v>26013285000</v>
      </c>
      <c r="V343" s="196">
        <v>362000000</v>
      </c>
      <c r="W343" s="196">
        <v>17114000000</v>
      </c>
      <c r="X343" s="196">
        <v>3754000000</v>
      </c>
      <c r="Y343" s="196">
        <v>21828000000</v>
      </c>
      <c r="Z343" s="196">
        <v>0</v>
      </c>
      <c r="AA343" s="198">
        <v>0.02</v>
      </c>
      <c r="AB343" s="198">
        <v>0.02</v>
      </c>
      <c r="AC343" s="213">
        <f t="shared" si="62"/>
        <v>616</v>
      </c>
      <c r="AD343" s="213">
        <f t="shared" si="63"/>
        <v>487</v>
      </c>
      <c r="AE343" s="213">
        <v>1.41</v>
      </c>
      <c r="AF343" s="196">
        <v>1798000000</v>
      </c>
      <c r="AG343" s="104">
        <f t="shared" si="64"/>
        <v>2.8580511842314418</v>
      </c>
      <c r="AH343" s="104">
        <f t="shared" si="65"/>
        <v>4.9668508287292816</v>
      </c>
      <c r="AI343" s="195">
        <v>7.38</v>
      </c>
    </row>
    <row r="344" spans="1:48">
      <c r="A344">
        <v>2377</v>
      </c>
      <c r="C344" s="107">
        <f>VLOOKUP(2377,收盤價!$A:$C,3,0)</f>
        <v>82.8</v>
      </c>
      <c r="D344" s="107">
        <f t="shared" si="55"/>
        <v>21.089341692789965</v>
      </c>
      <c r="E344" s="167">
        <f t="shared" si="56"/>
        <v>3</v>
      </c>
      <c r="F344" s="104">
        <f t="shared" si="57"/>
        <v>0.74049890209732938</v>
      </c>
      <c r="G344" s="167">
        <f>RANK(2.76,AE:AE,0)</f>
        <v>305</v>
      </c>
      <c r="H344" s="365">
        <f t="shared" si="58"/>
        <v>-0.36652368572489724</v>
      </c>
      <c r="I344" s="213">
        <f t="shared" si="59"/>
        <v>157</v>
      </c>
      <c r="J344" s="213">
        <f t="shared" si="60"/>
        <v>230</v>
      </c>
      <c r="K344">
        <f>RANK(4.03,AI:AI,0)</f>
        <v>99</v>
      </c>
      <c r="L344" s="357">
        <v>0</v>
      </c>
      <c r="M344" s="357">
        <v>1</v>
      </c>
      <c r="N344" s="357">
        <v>1</v>
      </c>
      <c r="O344" s="357">
        <v>1</v>
      </c>
      <c r="P344" s="357">
        <v>0</v>
      </c>
      <c r="Q344" s="358">
        <v>0.13463155565390572</v>
      </c>
      <c r="R344" s="359">
        <v>0.98153846153846169</v>
      </c>
      <c r="S344" s="196">
        <v>94473766000</v>
      </c>
      <c r="T344" s="196">
        <v>844900000</v>
      </c>
      <c r="U344" s="200">
        <f t="shared" si="61"/>
        <v>69957720000</v>
      </c>
      <c r="V344" s="196">
        <v>986000000</v>
      </c>
      <c r="W344" s="196">
        <v>17388000000</v>
      </c>
      <c r="X344" s="196">
        <v>5285000000</v>
      </c>
      <c r="Y344" s="196">
        <v>24572000000</v>
      </c>
      <c r="Z344" s="196">
        <v>0</v>
      </c>
      <c r="AA344" s="198">
        <v>0.04</v>
      </c>
      <c r="AB344" s="198">
        <v>0.04</v>
      </c>
      <c r="AC344" s="213">
        <f t="shared" si="62"/>
        <v>337</v>
      </c>
      <c r="AD344" s="213">
        <f t="shared" si="63"/>
        <v>228</v>
      </c>
      <c r="AE344" s="213">
        <v>2.76</v>
      </c>
      <c r="AF344" s="196">
        <v>2164000000</v>
      </c>
      <c r="AG344" s="104">
        <f t="shared" si="64"/>
        <v>2.5612498520534976</v>
      </c>
      <c r="AH344" s="104">
        <f t="shared" si="65"/>
        <v>2.1947261663286004</v>
      </c>
      <c r="AI344" s="195">
        <v>4.03</v>
      </c>
      <c r="AO344" s="213"/>
      <c r="AP344" s="213"/>
      <c r="AQ344" s="213"/>
      <c r="AR344" s="213"/>
      <c r="AS344" s="213"/>
      <c r="AT344" s="213"/>
      <c r="AU344" s="213"/>
      <c r="AV344" s="213"/>
    </row>
    <row r="345" spans="1:48">
      <c r="A345">
        <v>2379</v>
      </c>
      <c r="C345" s="107">
        <f>VLOOKUP(2379,收盤價!$A:$C,3,0)</f>
        <v>106</v>
      </c>
      <c r="D345" s="107">
        <f t="shared" si="55"/>
        <v>13.49537037037037</v>
      </c>
      <c r="E345" s="167">
        <f t="shared" si="56"/>
        <v>5</v>
      </c>
      <c r="F345" s="104">
        <f t="shared" si="57"/>
        <v>1.4526061268120536</v>
      </c>
      <c r="G345" s="167">
        <f>RANK(3.33,AE:AE,0)</f>
        <v>253</v>
      </c>
      <c r="H345" s="365">
        <f t="shared" si="58"/>
        <v>-1.4885696605374825</v>
      </c>
      <c r="I345" s="213">
        <f t="shared" si="59"/>
        <v>144</v>
      </c>
      <c r="J345" s="213">
        <f t="shared" si="60"/>
        <v>450</v>
      </c>
      <c r="K345">
        <f>RANK(2.62,AI:AI,0)</f>
        <v>211</v>
      </c>
      <c r="L345" s="357">
        <v>1</v>
      </c>
      <c r="M345" s="357">
        <v>1</v>
      </c>
      <c r="N345" s="357">
        <v>2</v>
      </c>
      <c r="O345" s="357">
        <v>1</v>
      </c>
      <c r="P345" s="357">
        <v>0</v>
      </c>
      <c r="Q345" s="358">
        <v>0.44632883111607596</v>
      </c>
      <c r="R345" s="359">
        <v>1.9636363636363636</v>
      </c>
      <c r="S345" s="196">
        <v>36851008000</v>
      </c>
      <c r="T345" s="196">
        <v>505000000</v>
      </c>
      <c r="U345" s="200">
        <f t="shared" si="61"/>
        <v>53530000000</v>
      </c>
      <c r="V345" s="196">
        <v>1120000000</v>
      </c>
      <c r="W345" s="196">
        <v>12578000000</v>
      </c>
      <c r="X345" s="196">
        <v>3242000000</v>
      </c>
      <c r="Y345" s="196">
        <v>21369000000</v>
      </c>
      <c r="Z345" s="196">
        <v>15766000000</v>
      </c>
      <c r="AA345" s="198">
        <v>7.0000000000000007E-2</v>
      </c>
      <c r="AB345" s="198">
        <v>0.03</v>
      </c>
      <c r="AC345" s="213">
        <f t="shared" si="62"/>
        <v>134</v>
      </c>
      <c r="AD345" s="213">
        <f t="shared" si="63"/>
        <v>334</v>
      </c>
      <c r="AE345" s="213">
        <v>3.33</v>
      </c>
      <c r="AF345" s="196">
        <v>1369000000</v>
      </c>
      <c r="AG345" s="104">
        <f t="shared" si="64"/>
        <v>2.7108910891089111</v>
      </c>
      <c r="AH345" s="104">
        <f t="shared" si="65"/>
        <v>1.2223214285714286</v>
      </c>
      <c r="AI345" s="195">
        <v>2.62</v>
      </c>
      <c r="AO345" s="213"/>
      <c r="AP345" s="213"/>
      <c r="AQ345" s="213"/>
      <c r="AR345" s="213"/>
      <c r="AS345" s="213"/>
      <c r="AT345" s="213"/>
      <c r="AU345" s="213"/>
      <c r="AV345" s="213"/>
    </row>
    <row r="346" spans="1:48">
      <c r="A346">
        <v>2380</v>
      </c>
      <c r="C346" s="107">
        <f>VLOOKUP(2380,收盤價!$A:$C,3,0)</f>
        <v>6.8</v>
      </c>
      <c r="D346" s="107">
        <f t="shared" si="55"/>
        <v>0</v>
      </c>
      <c r="E346" s="167">
        <f t="shared" si="56"/>
        <v>3</v>
      </c>
      <c r="F346" s="104">
        <f t="shared" si="57"/>
        <v>0.64009354140574926</v>
      </c>
      <c r="G346" s="167">
        <f>RANK(0.57,AE:AE,0)</f>
        <v>1389</v>
      </c>
      <c r="H346" s="365">
        <f t="shared" si="58"/>
        <v>0.4795821462488129</v>
      </c>
      <c r="I346" s="213">
        <f t="shared" si="59"/>
        <v>1339</v>
      </c>
      <c r="J346" s="213">
        <f t="shared" si="60"/>
        <v>768</v>
      </c>
      <c r="K346">
        <f>RANK(0.74,AI:AI,0)</f>
        <v>1324</v>
      </c>
      <c r="L346" s="357">
        <v>0</v>
      </c>
      <c r="M346" s="357">
        <v>1</v>
      </c>
      <c r="N346" s="357">
        <v>2</v>
      </c>
      <c r="O346" s="357">
        <v>0</v>
      </c>
      <c r="P346" s="357">
        <v>0</v>
      </c>
      <c r="Q346" s="358">
        <v>0.29801324503311261</v>
      </c>
      <c r="R346" s="359">
        <v>0</v>
      </c>
      <c r="S346" s="196">
        <v>2237298000</v>
      </c>
      <c r="T346" s="196">
        <v>210600000</v>
      </c>
      <c r="U346" s="200">
        <f t="shared" si="61"/>
        <v>1432080000</v>
      </c>
      <c r="V346" s="196">
        <v>-62000000</v>
      </c>
      <c r="W346" s="196">
        <v>1628000000</v>
      </c>
      <c r="X346" s="196">
        <v>916000000</v>
      </c>
      <c r="Y346" s="196">
        <v>3000000000</v>
      </c>
      <c r="Z346" s="196">
        <v>209000000</v>
      </c>
      <c r="AA346" s="198">
        <v>-0.02</v>
      </c>
      <c r="AB346" s="198">
        <v>-0.02</v>
      </c>
      <c r="AC346" s="213">
        <f t="shared" si="62"/>
        <v>1353</v>
      </c>
      <c r="AD346" s="213">
        <f t="shared" si="63"/>
        <v>1388</v>
      </c>
      <c r="AE346" s="213">
        <v>0.56999999999999995</v>
      </c>
      <c r="AF346" s="196">
        <v>-101000000</v>
      </c>
      <c r="AG346" s="104">
        <f t="shared" si="64"/>
        <v>-0.4795821462488129</v>
      </c>
      <c r="AH346" s="104">
        <f t="shared" si="65"/>
        <v>0</v>
      </c>
      <c r="AI346" s="195">
        <v>0.74</v>
      </c>
    </row>
    <row r="347" spans="1:48">
      <c r="A347">
        <v>2382</v>
      </c>
      <c r="C347" s="107">
        <f>VLOOKUP(2382,收盤價!$A:$C,3,0)</f>
        <v>65.3</v>
      </c>
      <c r="D347" s="107">
        <f t="shared" si="55"/>
        <v>17.939560439560438</v>
      </c>
      <c r="E347" s="167">
        <f t="shared" si="56"/>
        <v>3</v>
      </c>
      <c r="F347" s="104">
        <f t="shared" si="57"/>
        <v>0.26700703399346193</v>
      </c>
      <c r="G347" s="167">
        <f>RANK(0.84,AE:AE,0)</f>
        <v>946</v>
      </c>
      <c r="H347" s="365">
        <f t="shared" si="58"/>
        <v>0.13099984466421583</v>
      </c>
      <c r="I347" s="213">
        <f t="shared" si="59"/>
        <v>1160</v>
      </c>
      <c r="J347" s="213">
        <f t="shared" si="60"/>
        <v>768</v>
      </c>
      <c r="K347">
        <f>RANK(0.81,AI:AI,0)</f>
        <v>1144</v>
      </c>
      <c r="L347" s="357">
        <v>0</v>
      </c>
      <c r="M347" s="357">
        <v>1</v>
      </c>
      <c r="N347" s="357">
        <v>2</v>
      </c>
      <c r="O347" s="357">
        <v>0</v>
      </c>
      <c r="P347" s="357">
        <v>0</v>
      </c>
      <c r="Q347" s="358">
        <v>5.2423257493680028E-2</v>
      </c>
      <c r="R347" s="359">
        <v>0.91</v>
      </c>
      <c r="S347" s="196">
        <v>944648447000</v>
      </c>
      <c r="T347" s="196">
        <v>3862600000</v>
      </c>
      <c r="U347" s="200">
        <f t="shared" si="61"/>
        <v>252227780000</v>
      </c>
      <c r="V347" s="196">
        <v>0</v>
      </c>
      <c r="W347" s="196">
        <v>82157000000</v>
      </c>
      <c r="X347" s="196">
        <v>46846000000</v>
      </c>
      <c r="Y347" s="196">
        <v>131662000000</v>
      </c>
      <c r="Z347" s="196">
        <v>207908000000</v>
      </c>
      <c r="AA347" s="198">
        <v>0</v>
      </c>
      <c r="AB347" s="198">
        <v>0</v>
      </c>
      <c r="AC347" s="213">
        <f t="shared" si="62"/>
        <v>945</v>
      </c>
      <c r="AD347" s="213">
        <f t="shared" si="63"/>
        <v>911</v>
      </c>
      <c r="AE347" s="213">
        <v>0.84</v>
      </c>
      <c r="AF347" s="196">
        <v>-506000000</v>
      </c>
      <c r="AG347" s="104">
        <f t="shared" si="64"/>
        <v>-0.13099984466421583</v>
      </c>
      <c r="AH347" s="104">
        <f t="shared" si="65"/>
        <v>0</v>
      </c>
      <c r="AI347" s="195">
        <v>0.81</v>
      </c>
    </row>
    <row r="348" spans="1:48">
      <c r="A348">
        <v>2383</v>
      </c>
      <c r="C348" s="107">
        <f>VLOOKUP(2383,收盤價!$A:$C,3,0)</f>
        <v>86.7</v>
      </c>
      <c r="D348" s="107">
        <f t="shared" si="55"/>
        <v>11.455126343305256</v>
      </c>
      <c r="E348" s="167">
        <f t="shared" si="56"/>
        <v>3</v>
      </c>
      <c r="F348" s="104">
        <f t="shared" si="57"/>
        <v>1.3088204554113079</v>
      </c>
      <c r="G348" s="167">
        <f>RANK(18.12,AE:AE,0)</f>
        <v>44</v>
      </c>
      <c r="H348" s="365">
        <f t="shared" si="58"/>
        <v>-0.38471601728583221</v>
      </c>
      <c r="I348" s="213">
        <f t="shared" si="59"/>
        <v>703</v>
      </c>
      <c r="J348" s="213">
        <f t="shared" si="60"/>
        <v>738</v>
      </c>
      <c r="K348">
        <f>RANK(1.08,AI:AI,0)</f>
        <v>817</v>
      </c>
      <c r="L348" s="357">
        <v>0</v>
      </c>
      <c r="M348" s="357">
        <v>1</v>
      </c>
      <c r="N348" s="357">
        <v>1</v>
      </c>
      <c r="O348" s="357">
        <v>1</v>
      </c>
      <c r="P348" s="357">
        <v>0</v>
      </c>
      <c r="Q348" s="358">
        <v>0.26044039483675019</v>
      </c>
      <c r="R348" s="359">
        <v>1.8921659482758622</v>
      </c>
      <c r="S348" s="196">
        <v>21111597000</v>
      </c>
      <c r="T348" s="196">
        <v>318700000</v>
      </c>
      <c r="U348" s="200">
        <f t="shared" si="61"/>
        <v>27631290000</v>
      </c>
      <c r="V348" s="196">
        <v>945000000</v>
      </c>
      <c r="W348" s="196">
        <v>5684000000</v>
      </c>
      <c r="X348" s="196">
        <v>4603000000</v>
      </c>
      <c r="Y348" s="196">
        <v>9277000000</v>
      </c>
      <c r="Z348" s="196">
        <v>350000000</v>
      </c>
      <c r="AA348" s="198">
        <v>0.09</v>
      </c>
      <c r="AB348" s="198">
        <v>0.1</v>
      </c>
      <c r="AC348" s="213">
        <f t="shared" si="62"/>
        <v>69</v>
      </c>
      <c r="AD348" s="213">
        <f t="shared" si="63"/>
        <v>17</v>
      </c>
      <c r="AE348" s="213">
        <v>18.12</v>
      </c>
      <c r="AF348" s="196">
        <v>185000000</v>
      </c>
      <c r="AG348" s="104">
        <f t="shared" si="64"/>
        <v>0.58048321305302797</v>
      </c>
      <c r="AH348" s="104">
        <f t="shared" si="65"/>
        <v>0.19576719576719576</v>
      </c>
      <c r="AI348" s="195">
        <v>1.08</v>
      </c>
      <c r="AO348" s="213"/>
      <c r="AP348" s="213"/>
      <c r="AQ348" s="213"/>
      <c r="AR348" s="213"/>
      <c r="AS348" s="213"/>
      <c r="AT348" s="213"/>
      <c r="AU348" s="213"/>
      <c r="AV348" s="213"/>
    </row>
    <row r="349" spans="1:48">
      <c r="A349">
        <v>2385</v>
      </c>
      <c r="C349" s="107">
        <f>VLOOKUP(2385,收盤價!$A:$C,3,0)</f>
        <v>80.7</v>
      </c>
      <c r="D349" s="107">
        <f t="shared" si="55"/>
        <v>19.250666434141358</v>
      </c>
      <c r="E349" s="167">
        <f t="shared" si="56"/>
        <v>1</v>
      </c>
      <c r="F349" s="104">
        <f t="shared" si="57"/>
        <v>0.73962186665935337</v>
      </c>
      <c r="G349" s="167">
        <f>RANK(3.88,AE:AE,0)</f>
        <v>240</v>
      </c>
      <c r="H349" s="365">
        <f t="shared" si="58"/>
        <v>-0.21531540643769176</v>
      </c>
      <c r="I349" s="213">
        <f t="shared" si="59"/>
        <v>640</v>
      </c>
      <c r="J349" s="213">
        <f t="shared" si="60"/>
        <v>675</v>
      </c>
      <c r="K349">
        <f>RANK(1.18,AI:AI,0)</f>
        <v>740</v>
      </c>
      <c r="L349" s="357">
        <v>0</v>
      </c>
      <c r="M349" s="357">
        <v>1</v>
      </c>
      <c r="N349" s="357">
        <v>0</v>
      </c>
      <c r="O349" s="357">
        <v>0</v>
      </c>
      <c r="P349" s="357">
        <v>0</v>
      </c>
      <c r="Q349" s="358">
        <v>0.16041404239005422</v>
      </c>
      <c r="R349" s="359">
        <v>1.0480156657963446</v>
      </c>
      <c r="S349" s="196">
        <v>76791483000</v>
      </c>
      <c r="T349" s="196">
        <v>703800000</v>
      </c>
      <c r="U349" s="200">
        <f t="shared" si="61"/>
        <v>56796660000</v>
      </c>
      <c r="V349" s="196">
        <v>1003000000</v>
      </c>
      <c r="W349" s="196">
        <v>2791000000</v>
      </c>
      <c r="X349" s="196">
        <v>15399000000</v>
      </c>
      <c r="Y349" s="196">
        <v>24263000000</v>
      </c>
      <c r="Z349" s="196">
        <v>4164000000</v>
      </c>
      <c r="AA349" s="198">
        <v>0.06</v>
      </c>
      <c r="AB349" s="198">
        <v>0.04</v>
      </c>
      <c r="AC349" s="213">
        <f t="shared" si="62"/>
        <v>174</v>
      </c>
      <c r="AD349" s="213">
        <f t="shared" si="63"/>
        <v>228</v>
      </c>
      <c r="AE349" s="213">
        <v>3.88</v>
      </c>
      <c r="AF349" s="196">
        <v>508000000</v>
      </c>
      <c r="AG349" s="104">
        <f t="shared" si="64"/>
        <v>0.72179596476271668</v>
      </c>
      <c r="AH349" s="104">
        <f t="shared" si="65"/>
        <v>0.50648055832502492</v>
      </c>
      <c r="AI349" s="195">
        <v>1.18</v>
      </c>
      <c r="AO349" s="213"/>
      <c r="AP349" s="213"/>
      <c r="AQ349" s="213"/>
      <c r="AR349" s="213"/>
      <c r="AS349" s="213"/>
      <c r="AT349" s="213"/>
      <c r="AU349" s="213"/>
      <c r="AV349" s="213"/>
    </row>
    <row r="350" spans="1:48">
      <c r="A350">
        <v>2387</v>
      </c>
      <c r="C350" s="107">
        <f>VLOOKUP(2387,收盤價!$A:$C,3,0)</f>
        <v>17.8</v>
      </c>
      <c r="D350" s="107">
        <f t="shared" si="55"/>
        <v>11.410256410256411</v>
      </c>
      <c r="E350" s="167">
        <f t="shared" si="56"/>
        <v>2</v>
      </c>
      <c r="F350" s="104">
        <f t="shared" si="57"/>
        <v>0.35976152317886351</v>
      </c>
      <c r="G350" s="167">
        <f>RANK(0.84,AE:AE,0)</f>
        <v>946</v>
      </c>
      <c r="H350" s="365">
        <f t="shared" si="58"/>
        <v>-1.1969358442387488</v>
      </c>
      <c r="I350" s="213">
        <f t="shared" si="59"/>
        <v>433</v>
      </c>
      <c r="J350" s="213">
        <f t="shared" si="60"/>
        <v>768</v>
      </c>
      <c r="K350">
        <f>RANK(1.3,AI:AI,0)</f>
        <v>676</v>
      </c>
      <c r="L350" s="357">
        <v>0</v>
      </c>
      <c r="M350" s="357">
        <v>1</v>
      </c>
      <c r="N350" s="357">
        <v>0</v>
      </c>
      <c r="O350" s="357">
        <v>1</v>
      </c>
      <c r="P350" s="357">
        <v>0</v>
      </c>
      <c r="Q350" s="358">
        <v>0.12496333235552948</v>
      </c>
      <c r="R350" s="359">
        <v>0.39</v>
      </c>
      <c r="S350" s="196">
        <v>15501213000</v>
      </c>
      <c r="T350" s="196">
        <v>313300000</v>
      </c>
      <c r="U350" s="200">
        <f t="shared" si="61"/>
        <v>5576740000</v>
      </c>
      <c r="V350" s="196">
        <v>0</v>
      </c>
      <c r="W350" s="196">
        <v>4648000000</v>
      </c>
      <c r="X350" s="196">
        <v>3926000000</v>
      </c>
      <c r="Y350" s="196">
        <v>8867000000</v>
      </c>
      <c r="Z350" s="196">
        <v>1141000000</v>
      </c>
      <c r="AA350" s="198">
        <v>0</v>
      </c>
      <c r="AB350" s="198">
        <v>0</v>
      </c>
      <c r="AC350" s="213">
        <f t="shared" si="62"/>
        <v>945</v>
      </c>
      <c r="AD350" s="213">
        <f t="shared" si="63"/>
        <v>911</v>
      </c>
      <c r="AE350" s="213">
        <v>0.84</v>
      </c>
      <c r="AF350" s="196">
        <v>375000000</v>
      </c>
      <c r="AG350" s="104">
        <f t="shared" si="64"/>
        <v>1.1969358442387488</v>
      </c>
      <c r="AH350" s="104">
        <f t="shared" si="65"/>
        <v>0</v>
      </c>
      <c r="AI350" s="195">
        <v>1.3</v>
      </c>
    </row>
    <row r="351" spans="1:48">
      <c r="A351">
        <v>2388</v>
      </c>
      <c r="C351" s="107">
        <f>VLOOKUP(2388,收盤價!$A:$C,3,0)</f>
        <v>10.95</v>
      </c>
      <c r="D351" s="107">
        <f t="shared" si="55"/>
        <v>0</v>
      </c>
      <c r="E351" s="167">
        <f t="shared" si="56"/>
        <v>3</v>
      </c>
      <c r="F351" s="104">
        <f t="shared" si="57"/>
        <v>1.1016503233282775</v>
      </c>
      <c r="G351" s="167">
        <f>RANK(0.51,AE:AE,0)</f>
        <v>1523</v>
      </c>
      <c r="H351" s="365">
        <f t="shared" si="58"/>
        <v>-8.3113723900263531E-2</v>
      </c>
      <c r="I351" s="213">
        <f t="shared" si="59"/>
        <v>1010</v>
      </c>
      <c r="J351" s="213">
        <f t="shared" si="60"/>
        <v>768</v>
      </c>
      <c r="K351">
        <f>RANK(0.88,AI:AI,0)</f>
        <v>1021</v>
      </c>
      <c r="L351" s="357">
        <v>0</v>
      </c>
      <c r="M351" s="357">
        <v>1</v>
      </c>
      <c r="N351" s="357">
        <v>1</v>
      </c>
      <c r="O351" s="357">
        <v>1</v>
      </c>
      <c r="P351" s="357">
        <v>0</v>
      </c>
      <c r="Q351" s="358">
        <v>0.27832512315270935</v>
      </c>
      <c r="R351" s="359">
        <v>0</v>
      </c>
      <c r="S351" s="196">
        <v>4903221000</v>
      </c>
      <c r="T351" s="196">
        <v>493300000</v>
      </c>
      <c r="U351" s="200">
        <f t="shared" si="61"/>
        <v>5401635000</v>
      </c>
      <c r="V351" s="196">
        <v>-284000000</v>
      </c>
      <c r="W351" s="196">
        <v>1127000000</v>
      </c>
      <c r="X351" s="196">
        <v>2289000000</v>
      </c>
      <c r="Y351" s="196">
        <v>3951000000</v>
      </c>
      <c r="Z351" s="196">
        <v>896000000</v>
      </c>
      <c r="AA351" s="198">
        <v>-0.08</v>
      </c>
      <c r="AB351" s="198">
        <v>-0.06</v>
      </c>
      <c r="AC351" s="213">
        <f t="shared" si="62"/>
        <v>1511</v>
      </c>
      <c r="AD351" s="213">
        <f t="shared" si="63"/>
        <v>1515</v>
      </c>
      <c r="AE351" s="213">
        <v>0.51</v>
      </c>
      <c r="AF351" s="196">
        <v>41000000</v>
      </c>
      <c r="AG351" s="104">
        <f t="shared" si="64"/>
        <v>8.3113723900263531E-2</v>
      </c>
      <c r="AH351" s="104">
        <f t="shared" si="65"/>
        <v>0</v>
      </c>
      <c r="AI351" s="195">
        <v>0.88</v>
      </c>
    </row>
    <row r="352" spans="1:48">
      <c r="A352">
        <v>2390</v>
      </c>
      <c r="C352" s="107">
        <f>VLOOKUP(2390,收盤價!$A:$C,3,0)</f>
        <v>16.5</v>
      </c>
      <c r="D352" s="107">
        <f t="shared" si="55"/>
        <v>0</v>
      </c>
      <c r="E352" s="167">
        <f t="shared" si="56"/>
        <v>0</v>
      </c>
      <c r="F352" s="104">
        <f t="shared" si="57"/>
        <v>3.8902267149817176</v>
      </c>
      <c r="G352" s="167">
        <f>RANK(0.58,AE:AE,0)</f>
        <v>1374</v>
      </c>
      <c r="H352" s="365">
        <f t="shared" si="58"/>
        <v>0.12540640966093822</v>
      </c>
      <c r="I352" s="213">
        <f t="shared" si="59"/>
        <v>1156</v>
      </c>
      <c r="J352" s="213">
        <f t="shared" si="60"/>
        <v>768</v>
      </c>
      <c r="K352">
        <f>RANK(0.81,AI:AI,0)</f>
        <v>1144</v>
      </c>
      <c r="L352" s="357">
        <v>0</v>
      </c>
      <c r="M352" s="357">
        <v>0</v>
      </c>
      <c r="N352" s="357">
        <v>0</v>
      </c>
      <c r="O352" s="357">
        <v>0</v>
      </c>
      <c r="P352" s="357">
        <v>0</v>
      </c>
      <c r="Q352" s="358">
        <v>0.16582914572864321</v>
      </c>
      <c r="R352" s="359">
        <v>0</v>
      </c>
      <c r="S352" s="196">
        <v>913173000</v>
      </c>
      <c r="T352" s="196">
        <v>215300000</v>
      </c>
      <c r="U352" s="200">
        <f t="shared" si="61"/>
        <v>3552450000</v>
      </c>
      <c r="V352" s="196">
        <v>-44000000</v>
      </c>
      <c r="W352" s="196">
        <v>780000000</v>
      </c>
      <c r="X352" s="196">
        <v>619000000</v>
      </c>
      <c r="Y352" s="196">
        <v>2635000000</v>
      </c>
      <c r="Z352" s="196">
        <v>303000000</v>
      </c>
      <c r="AA352" s="198">
        <v>-0.03</v>
      </c>
      <c r="AB352" s="198">
        <v>-0.01</v>
      </c>
      <c r="AC352" s="213">
        <f t="shared" si="62"/>
        <v>1405</v>
      </c>
      <c r="AD352" s="213">
        <f t="shared" si="63"/>
        <v>1294</v>
      </c>
      <c r="AE352" s="213">
        <v>0.57999999999999996</v>
      </c>
      <c r="AF352" s="196">
        <v>-27000000</v>
      </c>
      <c r="AG352" s="104">
        <f t="shared" si="64"/>
        <v>-0.12540640966093822</v>
      </c>
      <c r="AH352" s="104">
        <f t="shared" si="65"/>
        <v>0</v>
      </c>
      <c r="AI352" s="195">
        <v>0.81</v>
      </c>
      <c r="AO352" s="213"/>
      <c r="AP352" s="213"/>
      <c r="AQ352" s="213"/>
      <c r="AR352" s="213"/>
      <c r="AS352" s="213"/>
      <c r="AT352" s="213"/>
      <c r="AU352" s="213"/>
      <c r="AV352" s="213"/>
    </row>
    <row r="353" spans="1:48">
      <c r="A353">
        <v>2392</v>
      </c>
      <c r="C353" s="107">
        <f>VLOOKUP(2392,收盤價!$A:$C,3,0)</f>
        <v>39.799999999999997</v>
      </c>
      <c r="D353" s="107">
        <f t="shared" si="55"/>
        <v>0</v>
      </c>
      <c r="E353" s="167">
        <f t="shared" si="56"/>
        <v>1</v>
      </c>
      <c r="F353" s="104">
        <f t="shared" si="57"/>
        <v>0.20462310524163294</v>
      </c>
      <c r="G353" s="167">
        <f>RANK(0.84,AE:AE,0)</f>
        <v>946</v>
      </c>
      <c r="H353" s="365">
        <f t="shared" si="58"/>
        <v>-0.90767128635565097</v>
      </c>
      <c r="I353" s="213">
        <f t="shared" si="59"/>
        <v>559</v>
      </c>
      <c r="J353" s="213">
        <f t="shared" si="60"/>
        <v>768</v>
      </c>
      <c r="K353">
        <f>RANK(1.17,AI:AI,0)</f>
        <v>743</v>
      </c>
      <c r="L353" s="357">
        <v>0</v>
      </c>
      <c r="M353" s="357">
        <v>0</v>
      </c>
      <c r="N353" s="357">
        <v>0</v>
      </c>
      <c r="O353" s="357">
        <v>1</v>
      </c>
      <c r="P353" s="357">
        <v>0</v>
      </c>
      <c r="Q353" s="358">
        <v>0.1069704366693789</v>
      </c>
      <c r="R353" s="359">
        <v>0</v>
      </c>
      <c r="S353" s="196">
        <v>99644368000</v>
      </c>
      <c r="T353" s="196">
        <v>512300000</v>
      </c>
      <c r="U353" s="200">
        <f t="shared" si="61"/>
        <v>20389540000</v>
      </c>
      <c r="V353" s="196">
        <v>-93000000</v>
      </c>
      <c r="W353" s="196">
        <v>1756000000</v>
      </c>
      <c r="X353" s="196">
        <v>21560000000</v>
      </c>
      <c r="Y353" s="196">
        <v>26991000000</v>
      </c>
      <c r="Z353" s="196">
        <v>12642000000</v>
      </c>
      <c r="AA353" s="198">
        <v>0</v>
      </c>
      <c r="AB353" s="198">
        <v>0</v>
      </c>
      <c r="AC353" s="213">
        <f t="shared" si="62"/>
        <v>945</v>
      </c>
      <c r="AD353" s="213">
        <f t="shared" si="63"/>
        <v>911</v>
      </c>
      <c r="AE353" s="213">
        <v>0.84</v>
      </c>
      <c r="AF353" s="196">
        <v>465000000</v>
      </c>
      <c r="AG353" s="104">
        <f t="shared" si="64"/>
        <v>0.90767128635565097</v>
      </c>
      <c r="AH353" s="104">
        <f t="shared" si="65"/>
        <v>0</v>
      </c>
      <c r="AI353" s="195">
        <v>1.17</v>
      </c>
      <c r="AO353" s="213"/>
      <c r="AP353" s="213"/>
      <c r="AQ353" s="213"/>
      <c r="AR353" s="213"/>
      <c r="AS353" s="213"/>
      <c r="AT353" s="213"/>
      <c r="AU353" s="213"/>
      <c r="AV353" s="213"/>
    </row>
    <row r="354" spans="1:48">
      <c r="A354">
        <v>2393</v>
      </c>
      <c r="C354" s="107">
        <f>VLOOKUP(2393,收盤價!$A:$C,3,0)</f>
        <v>48.1</v>
      </c>
      <c r="D354" s="107">
        <f t="shared" si="55"/>
        <v>12.231311274509803</v>
      </c>
      <c r="E354" s="167">
        <f t="shared" si="56"/>
        <v>4</v>
      </c>
      <c r="F354" s="104">
        <f t="shared" si="57"/>
        <v>0.73531785217196111</v>
      </c>
      <c r="G354" s="167">
        <f>RANK(1.94,AE:AE,0)</f>
        <v>435</v>
      </c>
      <c r="H354" s="365">
        <f t="shared" si="58"/>
        <v>-0.94864339072700954</v>
      </c>
      <c r="I354" s="213">
        <f t="shared" si="59"/>
        <v>86</v>
      </c>
      <c r="J354" s="213">
        <f t="shared" si="60"/>
        <v>179</v>
      </c>
      <c r="K354">
        <f>RANK(5.88,AI:AI,0)</f>
        <v>48</v>
      </c>
      <c r="L354" s="357">
        <v>0</v>
      </c>
      <c r="M354" s="357">
        <v>1</v>
      </c>
      <c r="N354" s="357">
        <v>2</v>
      </c>
      <c r="O354" s="357">
        <v>1</v>
      </c>
      <c r="P354" s="357">
        <v>0</v>
      </c>
      <c r="Q354" s="358">
        <v>0.25094524576389859</v>
      </c>
      <c r="R354" s="359">
        <v>0.98313253012048196</v>
      </c>
      <c r="S354" s="196">
        <v>28631659000</v>
      </c>
      <c r="T354" s="196">
        <v>437700000</v>
      </c>
      <c r="U354" s="200">
        <f t="shared" si="61"/>
        <v>21053370000</v>
      </c>
      <c r="V354" s="196">
        <v>594000000</v>
      </c>
      <c r="W354" s="196">
        <v>9503000000</v>
      </c>
      <c r="X354" s="196">
        <v>10507000000</v>
      </c>
      <c r="Y354" s="196">
        <v>17220000000</v>
      </c>
      <c r="Z354" s="196">
        <v>4742000000</v>
      </c>
      <c r="AA354" s="198">
        <v>0.03</v>
      </c>
      <c r="AB354" s="198">
        <v>0.03</v>
      </c>
      <c r="AC354" s="213">
        <f t="shared" si="62"/>
        <v>469</v>
      </c>
      <c r="AD354" s="213">
        <f t="shared" si="63"/>
        <v>334</v>
      </c>
      <c r="AE354" s="213">
        <v>1.94</v>
      </c>
      <c r="AF354" s="196">
        <v>1578000000</v>
      </c>
      <c r="AG354" s="104">
        <f t="shared" si="64"/>
        <v>3.6052090472926661</v>
      </c>
      <c r="AH354" s="104">
        <f t="shared" si="65"/>
        <v>2.6565656565656566</v>
      </c>
      <c r="AI354" s="195">
        <v>5.88</v>
      </c>
    </row>
    <row r="355" spans="1:48">
      <c r="A355">
        <v>2395</v>
      </c>
      <c r="C355" s="107">
        <f>VLOOKUP(2395,收盤價!$A:$C,3,0)</f>
        <v>254</v>
      </c>
      <c r="D355" s="107">
        <f t="shared" si="55"/>
        <v>29.817413998602603</v>
      </c>
      <c r="E355" s="167">
        <f t="shared" si="56"/>
        <v>3</v>
      </c>
      <c r="F355" s="104">
        <f t="shared" si="57"/>
        <v>3.9992893589728893</v>
      </c>
      <c r="G355" s="167">
        <f>RANK(13.43,AE:AE,0)</f>
        <v>57</v>
      </c>
      <c r="H355" s="365">
        <f t="shared" si="58"/>
        <v>-1.2948603816486592</v>
      </c>
      <c r="I355" s="213">
        <f t="shared" si="59"/>
        <v>214</v>
      </c>
      <c r="J355" s="213">
        <f t="shared" si="60"/>
        <v>604</v>
      </c>
      <c r="K355">
        <f>RANK(1.9,AI:AI,0)</f>
        <v>379</v>
      </c>
      <c r="L355" s="357">
        <v>1</v>
      </c>
      <c r="M355" s="357">
        <v>1</v>
      </c>
      <c r="N355" s="357">
        <v>0</v>
      </c>
      <c r="O355" s="357">
        <v>1</v>
      </c>
      <c r="P355" s="357">
        <v>0</v>
      </c>
      <c r="Q355" s="358">
        <v>0.40212825539064689</v>
      </c>
      <c r="R355" s="359">
        <v>2.1296280087527353</v>
      </c>
      <c r="S355" s="196">
        <v>40132780000</v>
      </c>
      <c r="T355" s="196">
        <v>631900000</v>
      </c>
      <c r="U355" s="200">
        <f t="shared" si="61"/>
        <v>160502600000</v>
      </c>
      <c r="V355" s="196">
        <v>1679000000</v>
      </c>
      <c r="W355" s="196">
        <v>6965000000</v>
      </c>
      <c r="X355" s="196">
        <v>9866000000</v>
      </c>
      <c r="Y355" s="196">
        <v>22435000000</v>
      </c>
      <c r="Z355" s="196">
        <v>484000000</v>
      </c>
      <c r="AA355" s="198">
        <v>0.1</v>
      </c>
      <c r="AB355" s="198">
        <v>7.0000000000000007E-2</v>
      </c>
      <c r="AC355" s="213">
        <f t="shared" si="62"/>
        <v>52</v>
      </c>
      <c r="AD355" s="213">
        <f t="shared" si="63"/>
        <v>64</v>
      </c>
      <c r="AE355" s="213">
        <v>13.43</v>
      </c>
      <c r="AF355" s="196">
        <v>1312000000</v>
      </c>
      <c r="AG355" s="104">
        <f t="shared" si="64"/>
        <v>2.0762778920715301</v>
      </c>
      <c r="AH355" s="104">
        <f t="shared" si="65"/>
        <v>0.78141751042287078</v>
      </c>
      <c r="AI355" s="195">
        <v>1.9</v>
      </c>
      <c r="AO355" s="213"/>
      <c r="AP355" s="213"/>
      <c r="AQ355" s="213"/>
      <c r="AR355" s="213"/>
      <c r="AS355" s="213"/>
      <c r="AT355" s="213"/>
      <c r="AU355" s="213"/>
      <c r="AV355" s="213"/>
    </row>
    <row r="356" spans="1:48">
      <c r="A356">
        <v>2397</v>
      </c>
      <c r="C356" s="107">
        <f>VLOOKUP(2397,收盤價!$A:$C,3,0)</f>
        <v>49</v>
      </c>
      <c r="D356" s="107">
        <f t="shared" si="55"/>
        <v>10.355759070095104</v>
      </c>
      <c r="E356" s="167">
        <f t="shared" si="56"/>
        <v>3</v>
      </c>
      <c r="F356" s="104">
        <f t="shared" si="57"/>
        <v>1.5729554124240324</v>
      </c>
      <c r="G356" s="167">
        <f>RANK(5.79,AE:AE,0)</f>
        <v>129</v>
      </c>
      <c r="H356" s="365">
        <f t="shared" si="58"/>
        <v>-0.16336664649794491</v>
      </c>
      <c r="I356" s="213">
        <f t="shared" si="59"/>
        <v>734</v>
      </c>
      <c r="J356" s="213">
        <f t="shared" si="60"/>
        <v>716</v>
      </c>
      <c r="K356">
        <f>RANK(1.07,AI:AI,0)</f>
        <v>826</v>
      </c>
      <c r="L356" s="357">
        <v>0</v>
      </c>
      <c r="M356" s="357">
        <v>1</v>
      </c>
      <c r="N356" s="357">
        <v>2</v>
      </c>
      <c r="O356" s="357">
        <v>0</v>
      </c>
      <c r="P356" s="357">
        <v>0</v>
      </c>
      <c r="Q356" s="358">
        <v>0.31335952848722987</v>
      </c>
      <c r="R356" s="359">
        <v>1.1829166666666666</v>
      </c>
      <c r="S356" s="196">
        <v>3576198000</v>
      </c>
      <c r="T356" s="196">
        <v>114800000</v>
      </c>
      <c r="U356" s="200">
        <f t="shared" si="61"/>
        <v>5625200000</v>
      </c>
      <c r="V356" s="196">
        <v>167000000</v>
      </c>
      <c r="W356" s="196">
        <v>2211000000</v>
      </c>
      <c r="X356" s="196">
        <v>584000000</v>
      </c>
      <c r="Y356" s="196">
        <v>3015000000</v>
      </c>
      <c r="Z356" s="196">
        <v>0</v>
      </c>
      <c r="AA356" s="198">
        <v>0.06</v>
      </c>
      <c r="AB356" s="198">
        <v>0.06</v>
      </c>
      <c r="AC356" s="213">
        <f t="shared" si="62"/>
        <v>174</v>
      </c>
      <c r="AD356" s="213">
        <f t="shared" si="63"/>
        <v>95</v>
      </c>
      <c r="AE356" s="213">
        <v>5.79</v>
      </c>
      <c r="AF356" s="196">
        <v>60000000</v>
      </c>
      <c r="AG356" s="104">
        <f t="shared" si="64"/>
        <v>0.52264808362369342</v>
      </c>
      <c r="AH356" s="104">
        <f t="shared" si="65"/>
        <v>0.3592814371257485</v>
      </c>
      <c r="AI356" s="195">
        <v>1.07</v>
      </c>
    </row>
    <row r="357" spans="1:48">
      <c r="A357">
        <v>2399</v>
      </c>
      <c r="C357" s="107">
        <f>VLOOKUP(2399,收盤價!$A:$C,3,0)</f>
        <v>9.1</v>
      </c>
      <c r="D357" s="107">
        <f t="shared" si="55"/>
        <v>16.63440860215054</v>
      </c>
      <c r="E357" s="167">
        <f t="shared" si="56"/>
        <v>3</v>
      </c>
      <c r="F357" s="104">
        <f t="shared" si="57"/>
        <v>0.56456666718918458</v>
      </c>
      <c r="G357" s="167">
        <f>RANK(1.2,AE:AE,0)</f>
        <v>710</v>
      </c>
      <c r="H357" s="365">
        <f t="shared" si="58"/>
        <v>4.8490699317165058</v>
      </c>
      <c r="I357" s="213">
        <f t="shared" si="59"/>
        <v>502</v>
      </c>
      <c r="J357" s="213">
        <f t="shared" si="60"/>
        <v>70</v>
      </c>
      <c r="K357">
        <f>RANK(2.72,AI:AI,0)</f>
        <v>197</v>
      </c>
      <c r="L357" s="357">
        <v>1</v>
      </c>
      <c r="M357" s="357">
        <v>1</v>
      </c>
      <c r="N357" s="357">
        <v>0</v>
      </c>
      <c r="O357" s="357">
        <v>1</v>
      </c>
      <c r="P357" s="357">
        <v>0</v>
      </c>
      <c r="Q357" s="358">
        <v>0.15062761506276151</v>
      </c>
      <c r="R357" s="359">
        <v>0.13676470588235293</v>
      </c>
      <c r="S357" s="196">
        <v>2870715000</v>
      </c>
      <c r="T357" s="196">
        <v>178100000</v>
      </c>
      <c r="U357" s="200">
        <f t="shared" si="61"/>
        <v>1620710000</v>
      </c>
      <c r="V357" s="196">
        <v>31000000</v>
      </c>
      <c r="W357" s="196">
        <v>1859000000</v>
      </c>
      <c r="X357" s="196">
        <v>165000000</v>
      </c>
      <c r="Y357" s="196">
        <v>2341000000</v>
      </c>
      <c r="Z357" s="196">
        <v>0</v>
      </c>
      <c r="AA357" s="198">
        <v>0.02</v>
      </c>
      <c r="AB357" s="198">
        <v>0.01</v>
      </c>
      <c r="AC357" s="213">
        <f t="shared" si="62"/>
        <v>616</v>
      </c>
      <c r="AD357" s="213">
        <f t="shared" si="63"/>
        <v>680</v>
      </c>
      <c r="AE357" s="213">
        <v>1.2</v>
      </c>
      <c r="AF357" s="196">
        <v>182000000</v>
      </c>
      <c r="AG357" s="104">
        <f t="shared" si="64"/>
        <v>1.0218978102189782</v>
      </c>
      <c r="AH357" s="104">
        <f t="shared" si="65"/>
        <v>5.870967741935484</v>
      </c>
      <c r="AI357" s="195">
        <v>2.72</v>
      </c>
      <c r="AO357" s="213"/>
      <c r="AP357" s="213"/>
      <c r="AQ357" s="213"/>
      <c r="AR357" s="213"/>
      <c r="AS357" s="213"/>
      <c r="AT357" s="213"/>
      <c r="AU357" s="213"/>
      <c r="AV357" s="213"/>
    </row>
    <row r="358" spans="1:48">
      <c r="A358">
        <v>2401</v>
      </c>
      <c r="C358" s="107">
        <f>VLOOKUP(2401,收盤價!$A:$C,3,0)</f>
        <v>11</v>
      </c>
      <c r="D358" s="107">
        <f t="shared" si="55"/>
        <v>0</v>
      </c>
      <c r="E358" s="167">
        <f t="shared" si="56"/>
        <v>3</v>
      </c>
      <c r="F358" s="104">
        <f t="shared" si="57"/>
        <v>0.8038941462013347</v>
      </c>
      <c r="G358" s="167">
        <f>RANK(1.08,AE:AE,0)</f>
        <v>769</v>
      </c>
      <c r="H358" s="365">
        <f t="shared" si="58"/>
        <v>0.74079564258135688</v>
      </c>
      <c r="I358" s="213">
        <f t="shared" si="59"/>
        <v>965</v>
      </c>
      <c r="J358" s="213">
        <f t="shared" si="60"/>
        <v>562</v>
      </c>
      <c r="K358">
        <f>RANK(1.02,AI:AI,0)</f>
        <v>862</v>
      </c>
      <c r="L358" s="357">
        <v>0</v>
      </c>
      <c r="M358" s="357">
        <v>1</v>
      </c>
      <c r="N358" s="357">
        <v>1</v>
      </c>
      <c r="O358" s="357">
        <v>1</v>
      </c>
      <c r="P358" s="357">
        <v>0</v>
      </c>
      <c r="Q358" s="358">
        <v>0.43474088291746643</v>
      </c>
      <c r="R358" s="359">
        <v>0</v>
      </c>
      <c r="S358" s="196">
        <v>8100569000</v>
      </c>
      <c r="T358" s="196">
        <v>592000000</v>
      </c>
      <c r="U358" s="200">
        <f t="shared" si="61"/>
        <v>6512000000</v>
      </c>
      <c r="V358" s="196">
        <v>98000000</v>
      </c>
      <c r="W358" s="196">
        <v>5185000000</v>
      </c>
      <c r="X358" s="196">
        <v>2358000000</v>
      </c>
      <c r="Y358" s="196">
        <v>10320000000</v>
      </c>
      <c r="Z358" s="196">
        <v>1769000000</v>
      </c>
      <c r="AA358" s="198">
        <v>0.01</v>
      </c>
      <c r="AB358" s="198">
        <v>0.01</v>
      </c>
      <c r="AC358" s="213">
        <f t="shared" si="62"/>
        <v>769</v>
      </c>
      <c r="AD358" s="213">
        <f t="shared" si="63"/>
        <v>680</v>
      </c>
      <c r="AE358" s="213">
        <v>1.08</v>
      </c>
      <c r="AF358" s="196">
        <v>87000000</v>
      </c>
      <c r="AG358" s="104">
        <f t="shared" si="64"/>
        <v>0.14695945945945946</v>
      </c>
      <c r="AH358" s="104">
        <f t="shared" si="65"/>
        <v>0.88775510204081631</v>
      </c>
      <c r="AI358" s="195">
        <v>1.02</v>
      </c>
    </row>
    <row r="359" spans="1:48">
      <c r="A359">
        <v>2402</v>
      </c>
      <c r="C359" s="107">
        <f>VLOOKUP(2402,收盤價!$A:$C,3,0)</f>
        <v>14.45</v>
      </c>
      <c r="D359" s="107">
        <f t="shared" si="55"/>
        <v>0</v>
      </c>
      <c r="E359" s="167">
        <f t="shared" si="56"/>
        <v>4</v>
      </c>
      <c r="F359" s="104">
        <f t="shared" si="57"/>
        <v>0.78166173557325436</v>
      </c>
      <c r="G359" s="167">
        <f>RANK(0.84,AE:AE,0)</f>
        <v>946</v>
      </c>
      <c r="H359" s="365">
        <f t="shared" si="58"/>
        <v>-1.1750881316098707E-2</v>
      </c>
      <c r="I359" s="213">
        <f t="shared" si="59"/>
        <v>1057</v>
      </c>
      <c r="J359" s="213">
        <f t="shared" si="60"/>
        <v>768</v>
      </c>
      <c r="K359">
        <f>RANK(0.85,AI:AI,0)</f>
        <v>1059</v>
      </c>
      <c r="L359" s="357">
        <v>0</v>
      </c>
      <c r="M359" s="357">
        <v>1</v>
      </c>
      <c r="N359" s="357">
        <v>2</v>
      </c>
      <c r="O359" s="357">
        <v>1</v>
      </c>
      <c r="P359" s="357">
        <v>0</v>
      </c>
      <c r="Q359" s="358">
        <v>2.6422764227642278E-2</v>
      </c>
      <c r="R359" s="359">
        <v>-0.15</v>
      </c>
      <c r="S359" s="196">
        <v>6292722000</v>
      </c>
      <c r="T359" s="196">
        <v>340400000</v>
      </c>
      <c r="U359" s="200">
        <f t="shared" si="61"/>
        <v>4918780000</v>
      </c>
      <c r="V359" s="196">
        <v>0</v>
      </c>
      <c r="W359" s="196">
        <v>4520000000</v>
      </c>
      <c r="X359" s="196">
        <v>3080000000</v>
      </c>
      <c r="Y359" s="196">
        <v>6501000000</v>
      </c>
      <c r="Z359" s="196">
        <v>2000000</v>
      </c>
      <c r="AA359" s="198">
        <v>0</v>
      </c>
      <c r="AB359" s="198">
        <v>0</v>
      </c>
      <c r="AC359" s="213">
        <f t="shared" si="62"/>
        <v>945</v>
      </c>
      <c r="AD359" s="213">
        <f t="shared" si="63"/>
        <v>911</v>
      </c>
      <c r="AE359" s="213">
        <v>0.84</v>
      </c>
      <c r="AF359" s="196">
        <v>4000000</v>
      </c>
      <c r="AG359" s="104">
        <f t="shared" si="64"/>
        <v>1.1750881316098707E-2</v>
      </c>
      <c r="AH359" s="104">
        <f t="shared" si="65"/>
        <v>0</v>
      </c>
      <c r="AI359" s="195">
        <v>0.85</v>
      </c>
    </row>
    <row r="360" spans="1:48">
      <c r="A360">
        <v>2404</v>
      </c>
      <c r="C360" s="107">
        <f>VLOOKUP(2404,收盤價!$A:$C,3,0)</f>
        <v>47.3</v>
      </c>
      <c r="D360" s="107">
        <f t="shared" si="55"/>
        <v>7.7066210045662098</v>
      </c>
      <c r="E360" s="167">
        <f t="shared" si="56"/>
        <v>2</v>
      </c>
      <c r="F360" s="104">
        <f t="shared" si="57"/>
        <v>0.7603312566973518</v>
      </c>
      <c r="G360" s="167">
        <f>RANK(24.73,AE:AE,0)</f>
        <v>26</v>
      </c>
      <c r="H360" s="365">
        <f t="shared" si="58"/>
        <v>-3.3444641630409895</v>
      </c>
      <c r="I360" s="213">
        <f t="shared" si="59"/>
        <v>15</v>
      </c>
      <c r="J360" s="213">
        <f t="shared" si="60"/>
        <v>112</v>
      </c>
      <c r="K360">
        <f>RANK(12.27,AI:AI,0)</f>
        <v>9</v>
      </c>
      <c r="L360" s="357">
        <v>0</v>
      </c>
      <c r="M360" s="357">
        <v>1</v>
      </c>
      <c r="N360" s="357">
        <v>0</v>
      </c>
      <c r="O360" s="357">
        <v>1</v>
      </c>
      <c r="P360" s="357">
        <v>0</v>
      </c>
      <c r="Q360" s="358">
        <v>0.13650343032883841</v>
      </c>
      <c r="R360" s="359">
        <v>1.5343949044585987</v>
      </c>
      <c r="S360" s="196">
        <v>14818357000</v>
      </c>
      <c r="T360" s="196">
        <v>238200000</v>
      </c>
      <c r="U360" s="200">
        <f t="shared" si="61"/>
        <v>11266860000</v>
      </c>
      <c r="V360" s="196">
        <v>440000000</v>
      </c>
      <c r="W360" s="196">
        <v>2390000000</v>
      </c>
      <c r="X360" s="196">
        <v>550000000</v>
      </c>
      <c r="Y360" s="196">
        <v>5844000000</v>
      </c>
      <c r="Z360" s="196">
        <v>0</v>
      </c>
      <c r="AA360" s="198">
        <v>0.15</v>
      </c>
      <c r="AB360" s="198">
        <v>0.08</v>
      </c>
      <c r="AC360" s="213">
        <f t="shared" si="62"/>
        <v>21</v>
      </c>
      <c r="AD360" s="213">
        <f t="shared" si="63"/>
        <v>42</v>
      </c>
      <c r="AE360" s="213">
        <v>24.73</v>
      </c>
      <c r="AF360" s="196">
        <v>1737000000</v>
      </c>
      <c r="AG360" s="104">
        <f t="shared" si="64"/>
        <v>7.2921914357682622</v>
      </c>
      <c r="AH360" s="104">
        <f t="shared" si="65"/>
        <v>3.9477272727272728</v>
      </c>
      <c r="AI360" s="195">
        <v>12.27</v>
      </c>
    </row>
    <row r="361" spans="1:48">
      <c r="A361">
        <v>2405</v>
      </c>
      <c r="C361" s="107">
        <f>VLOOKUP(2405,收盤價!$A:$C,3,0)</f>
        <v>8.18</v>
      </c>
      <c r="D361" s="107">
        <f t="shared" si="55"/>
        <v>0</v>
      </c>
      <c r="E361" s="167">
        <f t="shared" si="56"/>
        <v>3</v>
      </c>
      <c r="F361" s="104">
        <f t="shared" si="57"/>
        <v>0.61405453603922322</v>
      </c>
      <c r="G361" s="167">
        <f>RANK(0.84,AE:AE,0)</f>
        <v>946</v>
      </c>
      <c r="H361" s="365">
        <f t="shared" si="58"/>
        <v>0.47673750717978175</v>
      </c>
      <c r="I361" s="213">
        <f t="shared" si="59"/>
        <v>1338</v>
      </c>
      <c r="J361" s="213">
        <f t="shared" si="60"/>
        <v>768</v>
      </c>
      <c r="K361">
        <f>RANK(0.74,AI:AI,0)</f>
        <v>1324</v>
      </c>
      <c r="L361" s="357">
        <v>1</v>
      </c>
      <c r="M361" s="357">
        <v>1</v>
      </c>
      <c r="N361" s="357">
        <v>1</v>
      </c>
      <c r="O361" s="357">
        <v>0</v>
      </c>
      <c r="P361" s="357">
        <v>0</v>
      </c>
      <c r="Q361" s="358">
        <v>0.20170454545454544</v>
      </c>
      <c r="R361" s="359">
        <v>0</v>
      </c>
      <c r="S361" s="196">
        <v>4638474000</v>
      </c>
      <c r="T361" s="196">
        <v>348200000</v>
      </c>
      <c r="U361" s="200">
        <f t="shared" si="61"/>
        <v>2848276000</v>
      </c>
      <c r="V361" s="196">
        <v>-6000000</v>
      </c>
      <c r="W361" s="196">
        <v>2954000000</v>
      </c>
      <c r="X361" s="196">
        <v>497000000</v>
      </c>
      <c r="Y361" s="196">
        <v>3679000000</v>
      </c>
      <c r="Z361" s="196">
        <v>221000000</v>
      </c>
      <c r="AA361" s="198">
        <v>0</v>
      </c>
      <c r="AB361" s="198">
        <v>0</v>
      </c>
      <c r="AC361" s="213">
        <f t="shared" si="62"/>
        <v>945</v>
      </c>
      <c r="AD361" s="213">
        <f t="shared" si="63"/>
        <v>911</v>
      </c>
      <c r="AE361" s="213">
        <v>0.84</v>
      </c>
      <c r="AF361" s="196">
        <v>-166000000</v>
      </c>
      <c r="AG361" s="104">
        <f t="shared" si="64"/>
        <v>-0.47673750717978175</v>
      </c>
      <c r="AH361" s="104">
        <f t="shared" si="65"/>
        <v>0</v>
      </c>
      <c r="AI361" s="195">
        <v>0.74</v>
      </c>
      <c r="AO361" s="213"/>
      <c r="AP361" s="213"/>
      <c r="AQ361" s="213"/>
      <c r="AR361" s="213"/>
      <c r="AS361" s="213"/>
      <c r="AT361" s="213"/>
      <c r="AU361" s="213"/>
      <c r="AV361" s="213"/>
    </row>
    <row r="362" spans="1:48">
      <c r="A362">
        <v>2406</v>
      </c>
      <c r="C362" s="107">
        <f>VLOOKUP(2406,收盤價!$A:$C,3,0)</f>
        <v>22.65</v>
      </c>
      <c r="D362" s="107">
        <f t="shared" si="55"/>
        <v>19.174396551724136</v>
      </c>
      <c r="E362" s="167">
        <f t="shared" si="56"/>
        <v>2</v>
      </c>
      <c r="F362" s="104">
        <f t="shared" si="57"/>
        <v>0.35346671442742961</v>
      </c>
      <c r="G362" s="167">
        <f>RANK(2.76,AE:AE,0)</f>
        <v>305</v>
      </c>
      <c r="H362" s="365">
        <f t="shared" si="58"/>
        <v>-0.76347262801695315</v>
      </c>
      <c r="I362" s="213">
        <f t="shared" si="59"/>
        <v>309</v>
      </c>
      <c r="J362" s="213">
        <f t="shared" si="60"/>
        <v>576</v>
      </c>
      <c r="K362">
        <f>RANK(1.76,AI:AI,0)</f>
        <v>428</v>
      </c>
      <c r="L362" s="357">
        <v>0</v>
      </c>
      <c r="M362" s="357">
        <v>1</v>
      </c>
      <c r="N362" s="357">
        <v>0</v>
      </c>
      <c r="O362" s="357">
        <v>1</v>
      </c>
      <c r="P362" s="357">
        <v>0</v>
      </c>
      <c r="Q362" s="358">
        <v>0.16559891283245973</v>
      </c>
      <c r="R362" s="359">
        <v>0.29531568228105909</v>
      </c>
      <c r="S362" s="196">
        <v>21716571000</v>
      </c>
      <c r="T362" s="196">
        <v>338900000</v>
      </c>
      <c r="U362" s="200">
        <f t="shared" si="61"/>
        <v>7676084999.999999</v>
      </c>
      <c r="V362" s="196">
        <v>641000000</v>
      </c>
      <c r="W362" s="196">
        <v>7943000000</v>
      </c>
      <c r="X362" s="196">
        <v>6503000000</v>
      </c>
      <c r="Y362" s="196">
        <v>10283000000</v>
      </c>
      <c r="Z362" s="196">
        <v>6236000000</v>
      </c>
      <c r="AA362" s="198">
        <v>0.04</v>
      </c>
      <c r="AB362" s="198">
        <v>0.04</v>
      </c>
      <c r="AC362" s="213">
        <f t="shared" si="62"/>
        <v>337</v>
      </c>
      <c r="AD362" s="213">
        <f t="shared" si="63"/>
        <v>228</v>
      </c>
      <c r="AE362" s="213">
        <v>2.76</v>
      </c>
      <c r="AF362" s="196">
        <v>549000000</v>
      </c>
      <c r="AG362" s="104">
        <f t="shared" si="64"/>
        <v>1.6199468869873119</v>
      </c>
      <c r="AH362" s="104">
        <f t="shared" si="65"/>
        <v>0.85647425897035878</v>
      </c>
      <c r="AI362" s="195">
        <v>1.76</v>
      </c>
      <c r="AO362" s="213"/>
      <c r="AP362" s="213"/>
      <c r="AQ362" s="213"/>
      <c r="AR362" s="213"/>
      <c r="AS362" s="213"/>
      <c r="AT362" s="213"/>
      <c r="AU362" s="213"/>
      <c r="AV362" s="213"/>
    </row>
    <row r="363" spans="1:48">
      <c r="A363">
        <v>2408</v>
      </c>
      <c r="C363" s="107">
        <f>VLOOKUP(2408,收盤價!$A:$C,3,0)</f>
        <v>40.950000000000003</v>
      </c>
      <c r="D363" s="107">
        <f t="shared" si="55"/>
        <v>73.125</v>
      </c>
      <c r="E363" s="167">
        <f t="shared" si="56"/>
        <v>2</v>
      </c>
      <c r="F363" s="104">
        <f t="shared" si="57"/>
        <v>2.8322914812687192</v>
      </c>
      <c r="G363" s="167">
        <f>RANK(0.84,AE:AE,0)</f>
        <v>946</v>
      </c>
      <c r="H363" s="365">
        <f t="shared" si="58"/>
        <v>-1.216255548279124</v>
      </c>
      <c r="I363" s="213">
        <f t="shared" si="59"/>
        <v>427</v>
      </c>
      <c r="J363" s="213">
        <f t="shared" si="60"/>
        <v>768</v>
      </c>
      <c r="K363">
        <f>RANK(1.3,AI:AI,0)</f>
        <v>676</v>
      </c>
      <c r="L363" s="357">
        <v>0</v>
      </c>
      <c r="M363" s="357">
        <v>0</v>
      </c>
      <c r="N363" s="357">
        <v>1</v>
      </c>
      <c r="O363" s="357">
        <v>1</v>
      </c>
      <c r="P363" s="357">
        <v>0</v>
      </c>
      <c r="Q363" s="358">
        <v>0.28400313444531511</v>
      </c>
      <c r="R363" s="359">
        <v>0.14000000000000001</v>
      </c>
      <c r="S363" s="196">
        <v>39739967000</v>
      </c>
      <c r="T363" s="196">
        <v>2748600000</v>
      </c>
      <c r="U363" s="200">
        <f t="shared" si="61"/>
        <v>112555170000.00002</v>
      </c>
      <c r="V363" s="196">
        <v>0</v>
      </c>
      <c r="W363" s="196">
        <v>0</v>
      </c>
      <c r="X363" s="196">
        <v>49719000000</v>
      </c>
      <c r="Y363" s="196">
        <v>60647000000</v>
      </c>
      <c r="Z363" s="196">
        <v>24632000000</v>
      </c>
      <c r="AA363" s="198">
        <v>0</v>
      </c>
      <c r="AB363" s="198">
        <v>0</v>
      </c>
      <c r="AC363" s="213">
        <f t="shared" si="62"/>
        <v>945</v>
      </c>
      <c r="AD363" s="213">
        <f t="shared" si="63"/>
        <v>911</v>
      </c>
      <c r="AE363" s="213">
        <v>0.84</v>
      </c>
      <c r="AF363" s="196">
        <v>3343000000</v>
      </c>
      <c r="AG363" s="104">
        <f t="shared" si="64"/>
        <v>1.216255548279124</v>
      </c>
      <c r="AH363" s="104">
        <f t="shared" si="65"/>
        <v>0</v>
      </c>
      <c r="AI363" s="195">
        <v>1.3</v>
      </c>
      <c r="AO363" s="213"/>
      <c r="AP363" s="213"/>
      <c r="AQ363" s="213"/>
      <c r="AR363" s="213"/>
      <c r="AS363" s="213"/>
      <c r="AT363" s="213"/>
      <c r="AU363" s="213"/>
      <c r="AV363" s="213"/>
    </row>
    <row r="364" spans="1:48">
      <c r="A364">
        <v>2409</v>
      </c>
      <c r="C364" s="107">
        <f>VLOOKUP(2409,收盤價!$A:$C,3,0)</f>
        <v>12.8</v>
      </c>
      <c r="D364" s="107">
        <f t="shared" si="55"/>
        <v>0</v>
      </c>
      <c r="E364" s="167">
        <f t="shared" si="56"/>
        <v>4</v>
      </c>
      <c r="F364" s="104">
        <f t="shared" si="57"/>
        <v>0.38090097978163517</v>
      </c>
      <c r="G364" s="167">
        <f>RANK(0.84,AE:AE,0)</f>
        <v>946</v>
      </c>
      <c r="H364" s="365">
        <f t="shared" si="58"/>
        <v>10.41153737392202</v>
      </c>
      <c r="I364" s="213">
        <f t="shared" si="59"/>
        <v>615</v>
      </c>
      <c r="J364" s="213">
        <f t="shared" si="60"/>
        <v>30</v>
      </c>
      <c r="K364">
        <f>RANK(2.42,AI:AI,0)</f>
        <v>256</v>
      </c>
      <c r="L364" s="357">
        <v>0</v>
      </c>
      <c r="M364" s="357">
        <v>1</v>
      </c>
      <c r="N364" s="357">
        <v>2</v>
      </c>
      <c r="O364" s="357">
        <v>1</v>
      </c>
      <c r="P364" s="357">
        <v>0</v>
      </c>
      <c r="Q364" s="358">
        <v>6.9470976763931033E-2</v>
      </c>
      <c r="R364" s="359">
        <v>0</v>
      </c>
      <c r="S364" s="196">
        <v>323416758000</v>
      </c>
      <c r="T364" s="196">
        <v>9624200000</v>
      </c>
      <c r="U364" s="200">
        <f t="shared" si="61"/>
        <v>123189760000</v>
      </c>
      <c r="V364" s="196">
        <v>678000000</v>
      </c>
      <c r="W364" s="196">
        <v>21916000000</v>
      </c>
      <c r="X364" s="196">
        <v>214059000000</v>
      </c>
      <c r="Y364" s="196">
        <v>191310000000</v>
      </c>
      <c r="Z364" s="196">
        <v>22669000000</v>
      </c>
      <c r="AA364" s="198">
        <v>0</v>
      </c>
      <c r="AB364" s="198">
        <v>0</v>
      </c>
      <c r="AC364" s="213">
        <f t="shared" si="62"/>
        <v>945</v>
      </c>
      <c r="AD364" s="213">
        <f t="shared" si="63"/>
        <v>911</v>
      </c>
      <c r="AE364" s="213">
        <v>0.84</v>
      </c>
      <c r="AF364" s="196">
        <v>7594000000</v>
      </c>
      <c r="AG364" s="104">
        <f t="shared" si="64"/>
        <v>0.78905259657945592</v>
      </c>
      <c r="AH364" s="104">
        <f t="shared" si="65"/>
        <v>11.200589970501476</v>
      </c>
      <c r="AI364" s="195">
        <v>2.42</v>
      </c>
    </row>
    <row r="365" spans="1:48">
      <c r="A365">
        <v>2412</v>
      </c>
      <c r="C365" s="107">
        <f>VLOOKUP(2412,收盤價!$A:$C,3,0)</f>
        <v>112.5</v>
      </c>
      <c r="D365" s="107">
        <f t="shared" si="55"/>
        <v>20.605704872946255</v>
      </c>
      <c r="E365" s="167">
        <f t="shared" si="56"/>
        <v>2</v>
      </c>
      <c r="F365" s="104">
        <f t="shared" si="57"/>
        <v>3.7689454279876071</v>
      </c>
      <c r="G365" s="167">
        <f>RANK(2.76,AE:AE,0)</f>
        <v>305</v>
      </c>
      <c r="H365" s="365">
        <f t="shared" si="58"/>
        <v>-0.68770628857403793</v>
      </c>
      <c r="I365" s="213">
        <f t="shared" si="59"/>
        <v>278</v>
      </c>
      <c r="J365" s="213">
        <f t="shared" si="60"/>
        <v>521</v>
      </c>
      <c r="K365">
        <f>RANK(1.95,AI:AI,0)</f>
        <v>358</v>
      </c>
      <c r="L365" s="357">
        <v>0</v>
      </c>
      <c r="M365" s="357">
        <v>1</v>
      </c>
      <c r="N365" s="357">
        <v>0</v>
      </c>
      <c r="O365" s="357">
        <v>1</v>
      </c>
      <c r="P365" s="357">
        <v>0</v>
      </c>
      <c r="Q365" s="358">
        <v>0.37266660734940832</v>
      </c>
      <c r="R365" s="359">
        <v>1.3649132690882133</v>
      </c>
      <c r="S365" s="196">
        <v>231552172000</v>
      </c>
      <c r="T365" s="196">
        <v>7757400000</v>
      </c>
      <c r="U365" s="200">
        <f t="shared" si="61"/>
        <v>872707500000</v>
      </c>
      <c r="V365" s="196">
        <v>12881000000</v>
      </c>
      <c r="W365" s="196">
        <v>0</v>
      </c>
      <c r="X365" s="196">
        <v>287805000000</v>
      </c>
      <c r="Y365" s="196">
        <v>354557000000</v>
      </c>
      <c r="Z365" s="196">
        <v>60000000</v>
      </c>
      <c r="AA365" s="198">
        <v>0.04</v>
      </c>
      <c r="AB365" s="198">
        <v>0.04</v>
      </c>
      <c r="AC365" s="213">
        <f t="shared" si="62"/>
        <v>337</v>
      </c>
      <c r="AD365" s="213">
        <f t="shared" si="63"/>
        <v>228</v>
      </c>
      <c r="AE365" s="213">
        <v>2.76</v>
      </c>
      <c r="AF365" s="196">
        <v>13412000000</v>
      </c>
      <c r="AG365" s="104">
        <f t="shared" si="64"/>
        <v>1.7289297960656922</v>
      </c>
      <c r="AH365" s="104">
        <f t="shared" si="65"/>
        <v>1.0412235074916543</v>
      </c>
      <c r="AI365" s="195">
        <v>1.95</v>
      </c>
    </row>
    <row r="366" spans="1:48">
      <c r="A366">
        <v>2413</v>
      </c>
      <c r="C366" s="107">
        <f>VLOOKUP(2413,收盤價!$A:$C,3,0)</f>
        <v>11.3</v>
      </c>
      <c r="D366" s="107">
        <f t="shared" si="55"/>
        <v>0</v>
      </c>
      <c r="E366" s="167">
        <f t="shared" si="56"/>
        <v>1</v>
      </c>
      <c r="F366" s="104">
        <f t="shared" si="57"/>
        <v>0.33491412652161523</v>
      </c>
      <c r="G366" s="167">
        <f>RANK(1.08,AE:AE,0)</f>
        <v>769</v>
      </c>
      <c r="H366" s="365">
        <f t="shared" si="58"/>
        <v>0.12558869701726844</v>
      </c>
      <c r="I366" s="213">
        <f t="shared" si="59"/>
        <v>1157</v>
      </c>
      <c r="J366" s="213">
        <f t="shared" si="60"/>
        <v>768</v>
      </c>
      <c r="K366">
        <f>RANK(0.81,AI:AI,0)</f>
        <v>1144</v>
      </c>
      <c r="L366" s="357">
        <v>0</v>
      </c>
      <c r="M366" s="357">
        <v>1</v>
      </c>
      <c r="N366" s="357">
        <v>0</v>
      </c>
      <c r="O366" s="357">
        <v>0</v>
      </c>
      <c r="P366" s="357">
        <v>0</v>
      </c>
      <c r="Q366" s="358">
        <v>0.1678048780487805</v>
      </c>
      <c r="R366" s="359">
        <v>0</v>
      </c>
      <c r="S366" s="196">
        <v>4298475000</v>
      </c>
      <c r="T366" s="196">
        <v>127400000</v>
      </c>
      <c r="U366" s="200">
        <f t="shared" si="61"/>
        <v>1439620000</v>
      </c>
      <c r="V366" s="196">
        <v>14000000</v>
      </c>
      <c r="W366" s="196">
        <v>929000000</v>
      </c>
      <c r="X366" s="196">
        <v>1194000000</v>
      </c>
      <c r="Y366" s="196">
        <v>1984000000</v>
      </c>
      <c r="Z366" s="196">
        <v>520000000</v>
      </c>
      <c r="AA366" s="198">
        <v>0.01</v>
      </c>
      <c r="AB366" s="198">
        <v>0.01</v>
      </c>
      <c r="AC366" s="213">
        <f t="shared" si="62"/>
        <v>769</v>
      </c>
      <c r="AD366" s="213">
        <f t="shared" si="63"/>
        <v>680</v>
      </c>
      <c r="AE366" s="213">
        <v>1.08</v>
      </c>
      <c r="AF366" s="196">
        <v>-16000000</v>
      </c>
      <c r="AG366" s="104">
        <f t="shared" si="64"/>
        <v>-0.12558869701726844</v>
      </c>
      <c r="AH366" s="104">
        <f t="shared" si="65"/>
        <v>0</v>
      </c>
      <c r="AI366" s="195">
        <v>0.81</v>
      </c>
    </row>
    <row r="367" spans="1:48">
      <c r="A367">
        <v>2414</v>
      </c>
      <c r="C367" s="107">
        <f>VLOOKUP(2414,收盤價!$A:$C,3,0)</f>
        <v>16.45</v>
      </c>
      <c r="D367" s="107">
        <f t="shared" si="55"/>
        <v>12.808291245791244</v>
      </c>
      <c r="E367" s="167">
        <f t="shared" si="56"/>
        <v>1</v>
      </c>
      <c r="F367" s="104">
        <f t="shared" si="57"/>
        <v>0.16719818789979593</v>
      </c>
      <c r="G367" s="167">
        <f>RANK(1.63,AE:AE,0)</f>
        <v>551</v>
      </c>
      <c r="H367" s="365">
        <f t="shared" si="58"/>
        <v>0.1422387136672851</v>
      </c>
      <c r="I367" s="213">
        <f t="shared" si="59"/>
        <v>1168</v>
      </c>
      <c r="J367" s="213">
        <f t="shared" si="60"/>
        <v>768</v>
      </c>
      <c r="K367">
        <f>RANK(0.8,AI:AI,0)</f>
        <v>1168</v>
      </c>
      <c r="L367" s="357">
        <v>0</v>
      </c>
      <c r="M367" s="357">
        <v>1</v>
      </c>
      <c r="N367" s="357">
        <v>0</v>
      </c>
      <c r="O367" s="357">
        <v>0</v>
      </c>
      <c r="P367" s="357">
        <v>0</v>
      </c>
      <c r="Q367" s="358">
        <v>9.6530133055048262E-2</v>
      </c>
      <c r="R367" s="359">
        <v>0.32108108108108113</v>
      </c>
      <c r="S367" s="196">
        <v>15909054000</v>
      </c>
      <c r="T367" s="196">
        <v>161700000</v>
      </c>
      <c r="U367" s="200">
        <f t="shared" si="61"/>
        <v>2659965000</v>
      </c>
      <c r="V367" s="196">
        <v>73000000</v>
      </c>
      <c r="W367" s="196">
        <v>1708000000</v>
      </c>
      <c r="X367" s="196">
        <v>1048000000</v>
      </c>
      <c r="Y367" s="196">
        <v>2900000000</v>
      </c>
      <c r="Z367" s="196">
        <v>730000000</v>
      </c>
      <c r="AA367" s="198">
        <v>0.03</v>
      </c>
      <c r="AB367" s="198">
        <v>0.02</v>
      </c>
      <c r="AC367" s="213">
        <f t="shared" si="62"/>
        <v>469</v>
      </c>
      <c r="AD367" s="213">
        <f t="shared" si="63"/>
        <v>487</v>
      </c>
      <c r="AE367" s="213">
        <v>1.63</v>
      </c>
      <c r="AF367" s="196">
        <v>-23000000</v>
      </c>
      <c r="AG367" s="104">
        <f t="shared" si="64"/>
        <v>-0.1422387136672851</v>
      </c>
      <c r="AH367" s="104">
        <f t="shared" si="65"/>
        <v>0</v>
      </c>
      <c r="AI367" s="195">
        <v>0.8</v>
      </c>
      <c r="AO367" s="213"/>
      <c r="AP367" s="213"/>
      <c r="AQ367" s="213"/>
      <c r="AR367" s="213"/>
      <c r="AS367" s="213"/>
      <c r="AT367" s="213"/>
      <c r="AU367" s="213"/>
      <c r="AV367" s="213"/>
    </row>
    <row r="368" spans="1:48">
      <c r="A368">
        <v>2415</v>
      </c>
      <c r="C368" s="107">
        <f>VLOOKUP(2415,收盤價!$A:$C,3,0)</f>
        <v>22.1</v>
      </c>
      <c r="D368" s="107">
        <f t="shared" si="55"/>
        <v>9.6069182389937104</v>
      </c>
      <c r="E368" s="167">
        <f t="shared" si="56"/>
        <v>3</v>
      </c>
      <c r="F368" s="104">
        <f t="shared" si="57"/>
        <v>0.8829973957122671</v>
      </c>
      <c r="G368" s="167">
        <f>RANK(3.61,AE:AE,0)</f>
        <v>249</v>
      </c>
      <c r="H368" s="365">
        <f t="shared" si="58"/>
        <v>0.64763995609220637</v>
      </c>
      <c r="I368" s="213">
        <f t="shared" si="59"/>
        <v>1381</v>
      </c>
      <c r="J368" s="213">
        <f t="shared" si="60"/>
        <v>768</v>
      </c>
      <c r="K368">
        <f>RANK(0.72,AI:AI,0)</f>
        <v>1381</v>
      </c>
      <c r="L368" s="357">
        <v>1</v>
      </c>
      <c r="M368" s="357">
        <v>1</v>
      </c>
      <c r="N368" s="357">
        <v>1</v>
      </c>
      <c r="O368" s="357">
        <v>0</v>
      </c>
      <c r="P368" s="357">
        <v>0</v>
      </c>
      <c r="Q368" s="358">
        <v>0.33444259567387685</v>
      </c>
      <c r="R368" s="359">
        <v>0.57510638297872341</v>
      </c>
      <c r="S368" s="196">
        <v>2280086000</v>
      </c>
      <c r="T368" s="196">
        <v>91100000</v>
      </c>
      <c r="U368" s="200">
        <f t="shared" si="61"/>
        <v>2013310000.0000002</v>
      </c>
      <c r="V368" s="196">
        <v>107000000</v>
      </c>
      <c r="W368" s="196">
        <v>435000000</v>
      </c>
      <c r="X368" s="196">
        <v>892000000</v>
      </c>
      <c r="Y368" s="196">
        <v>1843000000</v>
      </c>
      <c r="Z368" s="196">
        <v>1267000000</v>
      </c>
      <c r="AA368" s="198">
        <v>0.08</v>
      </c>
      <c r="AB368" s="198">
        <v>0.03</v>
      </c>
      <c r="AC368" s="213">
        <f t="shared" si="62"/>
        <v>97</v>
      </c>
      <c r="AD368" s="213">
        <f t="shared" si="63"/>
        <v>334</v>
      </c>
      <c r="AE368" s="213">
        <v>3.61</v>
      </c>
      <c r="AF368" s="196">
        <v>-59000000</v>
      </c>
      <c r="AG368" s="104">
        <f t="shared" si="64"/>
        <v>-0.64763995609220637</v>
      </c>
      <c r="AH368" s="104">
        <f t="shared" si="65"/>
        <v>0</v>
      </c>
      <c r="AI368" s="195">
        <v>0.72</v>
      </c>
      <c r="AO368" s="213"/>
      <c r="AP368" s="213"/>
      <c r="AQ368" s="213"/>
      <c r="AR368" s="213"/>
      <c r="AS368" s="213"/>
      <c r="AT368" s="213"/>
      <c r="AU368" s="213"/>
      <c r="AV368" s="213"/>
    </row>
    <row r="369" spans="1:48">
      <c r="A369">
        <v>2417</v>
      </c>
      <c r="C369" s="107">
        <f>VLOOKUP(2417,收盤價!$A:$C,3,0)</f>
        <v>10.050000000000001</v>
      </c>
      <c r="D369" s="107">
        <f t="shared" si="55"/>
        <v>0</v>
      </c>
      <c r="E369" s="167">
        <f t="shared" si="56"/>
        <v>4</v>
      </c>
      <c r="F369" s="104">
        <f t="shared" si="57"/>
        <v>0.8103398909456464</v>
      </c>
      <c r="G369" s="167">
        <f>RANK(0.84,AE:AE,0)</f>
        <v>946</v>
      </c>
      <c r="H369" s="365">
        <f t="shared" si="58"/>
        <v>-0.15552099533437014</v>
      </c>
      <c r="I369" s="213">
        <f t="shared" si="59"/>
        <v>962</v>
      </c>
      <c r="J369" s="213">
        <f t="shared" si="60"/>
        <v>768</v>
      </c>
      <c r="K369">
        <f>RANK(0.9,AI:AI,0)</f>
        <v>988</v>
      </c>
      <c r="L369" s="357">
        <v>1</v>
      </c>
      <c r="M369" s="357">
        <v>1</v>
      </c>
      <c r="N369" s="357">
        <v>1</v>
      </c>
      <c r="O369" s="357">
        <v>1</v>
      </c>
      <c r="P369" s="357">
        <v>0</v>
      </c>
      <c r="Q369" s="358">
        <v>0.51812688821752262</v>
      </c>
      <c r="R369" s="359">
        <v>-0.11</v>
      </c>
      <c r="S369" s="196">
        <v>2392385000</v>
      </c>
      <c r="T369" s="196">
        <v>192900000</v>
      </c>
      <c r="U369" s="200">
        <f t="shared" si="61"/>
        <v>1938645000.0000002</v>
      </c>
      <c r="V369" s="196">
        <v>0</v>
      </c>
      <c r="W369" s="196">
        <v>2013000000</v>
      </c>
      <c r="X369" s="196">
        <v>1676000000</v>
      </c>
      <c r="Y369" s="196">
        <v>4170000000</v>
      </c>
      <c r="Z369" s="196">
        <v>0</v>
      </c>
      <c r="AA369" s="198">
        <v>0</v>
      </c>
      <c r="AB369" s="198">
        <v>0</v>
      </c>
      <c r="AC369" s="213">
        <f t="shared" si="62"/>
        <v>945</v>
      </c>
      <c r="AD369" s="213">
        <f t="shared" si="63"/>
        <v>911</v>
      </c>
      <c r="AE369" s="213">
        <v>0.84</v>
      </c>
      <c r="AF369" s="196">
        <v>30000000</v>
      </c>
      <c r="AG369" s="104">
        <f t="shared" si="64"/>
        <v>0.15552099533437014</v>
      </c>
      <c r="AH369" s="104">
        <f t="shared" si="65"/>
        <v>0</v>
      </c>
      <c r="AI369" s="195">
        <v>0.9</v>
      </c>
      <c r="AO369" s="213"/>
      <c r="AP369" s="213"/>
      <c r="AQ369" s="213"/>
      <c r="AR369" s="213"/>
      <c r="AS369" s="213"/>
      <c r="AT369" s="213"/>
      <c r="AU369" s="213"/>
      <c r="AV369" s="213"/>
    </row>
    <row r="370" spans="1:48">
      <c r="A370">
        <v>2419</v>
      </c>
      <c r="C370" s="107">
        <f>VLOOKUP(2419,收盤價!$A:$C,3,0)</f>
        <v>20.05</v>
      </c>
      <c r="D370" s="107">
        <f t="shared" si="55"/>
        <v>14.742647058823529</v>
      </c>
      <c r="E370" s="167">
        <f t="shared" si="56"/>
        <v>3</v>
      </c>
      <c r="F370" s="104">
        <f t="shared" si="57"/>
        <v>0.55308180605424673</v>
      </c>
      <c r="G370" s="167">
        <f>RANK(0.84,AE:AE,0)</f>
        <v>946</v>
      </c>
      <c r="H370" s="365">
        <f t="shared" si="58"/>
        <v>-0.4639858594785683</v>
      </c>
      <c r="I370" s="213">
        <f t="shared" si="59"/>
        <v>763</v>
      </c>
      <c r="J370" s="213">
        <f t="shared" si="60"/>
        <v>768</v>
      </c>
      <c r="K370">
        <f>RANK(1.02,AI:AI,0)</f>
        <v>862</v>
      </c>
      <c r="L370" s="357">
        <v>0</v>
      </c>
      <c r="M370" s="357">
        <v>1</v>
      </c>
      <c r="N370" s="357">
        <v>1</v>
      </c>
      <c r="O370" s="357">
        <v>1</v>
      </c>
      <c r="P370" s="357">
        <v>0</v>
      </c>
      <c r="Q370" s="358">
        <v>0.25197628458498023</v>
      </c>
      <c r="R370" s="359">
        <v>0.34</v>
      </c>
      <c r="S370" s="196">
        <v>8203696000</v>
      </c>
      <c r="T370" s="196">
        <v>226300000</v>
      </c>
      <c r="U370" s="200">
        <f t="shared" si="61"/>
        <v>4537315000</v>
      </c>
      <c r="V370" s="196">
        <v>0</v>
      </c>
      <c r="W370" s="196">
        <v>2523000000</v>
      </c>
      <c r="X370" s="196">
        <v>1067000000</v>
      </c>
      <c r="Y370" s="196">
        <v>3455000000</v>
      </c>
      <c r="Z370" s="196">
        <v>851000000</v>
      </c>
      <c r="AA370" s="198">
        <v>0</v>
      </c>
      <c r="AB370" s="198">
        <v>0</v>
      </c>
      <c r="AC370" s="213">
        <f t="shared" si="62"/>
        <v>945</v>
      </c>
      <c r="AD370" s="213">
        <f t="shared" si="63"/>
        <v>911</v>
      </c>
      <c r="AE370" s="213">
        <v>0.84</v>
      </c>
      <c r="AF370" s="196">
        <v>105000000</v>
      </c>
      <c r="AG370" s="104">
        <f t="shared" si="64"/>
        <v>0.4639858594785683</v>
      </c>
      <c r="AH370" s="104">
        <f t="shared" si="65"/>
        <v>0</v>
      </c>
      <c r="AI370" s="195">
        <v>1.02</v>
      </c>
      <c r="AO370" s="213"/>
      <c r="AP370" s="213"/>
      <c r="AQ370" s="213"/>
      <c r="AR370" s="213"/>
      <c r="AS370" s="213"/>
      <c r="AT370" s="213"/>
      <c r="AU370" s="213"/>
      <c r="AV370" s="213"/>
    </row>
    <row r="371" spans="1:48">
      <c r="A371">
        <v>2420</v>
      </c>
      <c r="C371" s="107">
        <f>VLOOKUP(2420,收盤價!$A:$C,3,0)</f>
        <v>33.950000000000003</v>
      </c>
      <c r="D371" s="107">
        <f t="shared" si="55"/>
        <v>11.073059360730594</v>
      </c>
      <c r="E371" s="167">
        <f t="shared" si="56"/>
        <v>2</v>
      </c>
      <c r="F371" s="104">
        <f t="shared" si="57"/>
        <v>1.6104797428340418</v>
      </c>
      <c r="G371" s="167">
        <f>RANK(4.3,AE:AE,0)</f>
        <v>200</v>
      </c>
      <c r="H371" s="365">
        <f t="shared" si="58"/>
        <v>-8.1173635479643291E-3</v>
      </c>
      <c r="I371" s="213">
        <f t="shared" si="59"/>
        <v>733</v>
      </c>
      <c r="J371" s="213">
        <f t="shared" si="60"/>
        <v>672</v>
      </c>
      <c r="K371">
        <f>RANK(1.11,AI:AI,0)</f>
        <v>788</v>
      </c>
      <c r="L371" s="357">
        <v>0</v>
      </c>
      <c r="M371" s="357">
        <v>1</v>
      </c>
      <c r="N371" s="357">
        <v>0</v>
      </c>
      <c r="O371" s="357">
        <v>1</v>
      </c>
      <c r="P371" s="357">
        <v>0</v>
      </c>
      <c r="Q371" s="358">
        <v>0.39973614775725591</v>
      </c>
      <c r="R371" s="359">
        <v>0.76649999999999996</v>
      </c>
      <c r="S371" s="196">
        <v>3216911000</v>
      </c>
      <c r="T371" s="196">
        <v>152600000</v>
      </c>
      <c r="U371" s="200">
        <f t="shared" si="61"/>
        <v>5180770000</v>
      </c>
      <c r="V371" s="196">
        <v>155000000</v>
      </c>
      <c r="W371" s="196">
        <v>714000000</v>
      </c>
      <c r="X371" s="196">
        <v>1469000000</v>
      </c>
      <c r="Y371" s="196">
        <v>2717000000</v>
      </c>
      <c r="Z371" s="196">
        <v>1006000000</v>
      </c>
      <c r="AA371" s="198">
        <v>7.0000000000000007E-2</v>
      </c>
      <c r="AB371" s="198">
        <v>0.04</v>
      </c>
      <c r="AC371" s="213">
        <f t="shared" si="62"/>
        <v>134</v>
      </c>
      <c r="AD371" s="213">
        <f t="shared" si="63"/>
        <v>228</v>
      </c>
      <c r="AE371" s="213">
        <v>4.3</v>
      </c>
      <c r="AF371" s="196">
        <v>80000000</v>
      </c>
      <c r="AG371" s="104">
        <f t="shared" si="64"/>
        <v>0.52424639580602883</v>
      </c>
      <c r="AH371" s="104">
        <f t="shared" si="65"/>
        <v>0.5161290322580645</v>
      </c>
      <c r="AI371" s="195">
        <v>1.1100000000000001</v>
      </c>
    </row>
    <row r="372" spans="1:48">
      <c r="A372">
        <v>2421</v>
      </c>
      <c r="C372" s="107">
        <f>VLOOKUP(2421,收盤價!$A:$C,3,0)</f>
        <v>23.5</v>
      </c>
      <c r="D372" s="107">
        <f t="shared" si="55"/>
        <v>12.195870535714285</v>
      </c>
      <c r="E372" s="167">
        <f t="shared" si="56"/>
        <v>4</v>
      </c>
      <c r="F372" s="104">
        <f t="shared" si="57"/>
        <v>0.5756308542784998</v>
      </c>
      <c r="G372" s="167">
        <f>RANK(3.28,AE:AE,0)</f>
        <v>256</v>
      </c>
      <c r="H372" s="365">
        <f t="shared" si="58"/>
        <v>0.72217073749226723</v>
      </c>
      <c r="I372" s="213">
        <f t="shared" si="59"/>
        <v>391</v>
      </c>
      <c r="J372" s="213">
        <f t="shared" si="60"/>
        <v>255</v>
      </c>
      <c r="K372">
        <f>RANK(2.41,AI:AI,0)</f>
        <v>258</v>
      </c>
      <c r="L372" s="357">
        <v>0</v>
      </c>
      <c r="M372" s="357">
        <v>1</v>
      </c>
      <c r="N372" s="357">
        <v>2</v>
      </c>
      <c r="O372" s="357">
        <v>1</v>
      </c>
      <c r="P372" s="357">
        <v>0</v>
      </c>
      <c r="Q372" s="358">
        <v>0.22861710631494805</v>
      </c>
      <c r="R372" s="359">
        <v>0.48172043010752691</v>
      </c>
      <c r="S372" s="196">
        <v>10242936000</v>
      </c>
      <c r="T372" s="196">
        <v>250900000</v>
      </c>
      <c r="U372" s="200">
        <f t="shared" si="61"/>
        <v>5896150000</v>
      </c>
      <c r="V372" s="196">
        <v>163000000</v>
      </c>
      <c r="W372" s="196">
        <v>1799000000</v>
      </c>
      <c r="X372" s="196">
        <v>1808000000</v>
      </c>
      <c r="Y372" s="196">
        <v>3792000000</v>
      </c>
      <c r="Z372" s="196">
        <v>335000000</v>
      </c>
      <c r="AA372" s="198">
        <v>0.05</v>
      </c>
      <c r="AB372" s="198">
        <v>0.04</v>
      </c>
      <c r="AC372" s="213">
        <f t="shared" si="62"/>
        <v>247</v>
      </c>
      <c r="AD372" s="213">
        <f t="shared" si="63"/>
        <v>228</v>
      </c>
      <c r="AE372" s="213">
        <v>3.28</v>
      </c>
      <c r="AF372" s="196">
        <v>336000000</v>
      </c>
      <c r="AG372" s="104">
        <f t="shared" si="64"/>
        <v>1.3391789557592666</v>
      </c>
      <c r="AH372" s="104">
        <f t="shared" si="65"/>
        <v>2.0613496932515338</v>
      </c>
      <c r="AI372" s="195">
        <v>2.41</v>
      </c>
    </row>
    <row r="373" spans="1:48">
      <c r="A373">
        <v>2423</v>
      </c>
      <c r="C373" s="107">
        <f>VLOOKUP(2423,收盤價!$A:$C,3,0)</f>
        <v>19.399999999999999</v>
      </c>
      <c r="D373" s="107">
        <f t="shared" si="55"/>
        <v>16.166666666666668</v>
      </c>
      <c r="E373" s="167">
        <f t="shared" si="56"/>
        <v>2</v>
      </c>
      <c r="F373" s="104">
        <f t="shared" si="57"/>
        <v>1.2357776528278179</v>
      </c>
      <c r="G373" s="167">
        <f>RANK(1.63,AE:AE,0)</f>
        <v>551</v>
      </c>
      <c r="H373" s="365">
        <f t="shared" si="58"/>
        <v>0.53953378265470953</v>
      </c>
      <c r="I373" s="213">
        <f t="shared" si="59"/>
        <v>845</v>
      </c>
      <c r="J373" s="213">
        <f t="shared" si="60"/>
        <v>573</v>
      </c>
      <c r="K373">
        <f>RANK(1.1,AI:AI,0)</f>
        <v>795</v>
      </c>
      <c r="L373" s="357">
        <v>0</v>
      </c>
      <c r="M373" s="357">
        <v>1</v>
      </c>
      <c r="N373" s="357">
        <v>0</v>
      </c>
      <c r="O373" s="357">
        <v>1</v>
      </c>
      <c r="P373" s="357">
        <v>0</v>
      </c>
      <c r="Q373" s="358">
        <v>0.51792828685258963</v>
      </c>
      <c r="R373" s="359">
        <v>0.3</v>
      </c>
      <c r="S373" s="196">
        <v>2167979000</v>
      </c>
      <c r="T373" s="196">
        <v>138100000</v>
      </c>
      <c r="U373" s="200">
        <f t="shared" si="61"/>
        <v>2679140000</v>
      </c>
      <c r="V373" s="196">
        <v>52000000</v>
      </c>
      <c r="W373" s="196">
        <v>1123000000</v>
      </c>
      <c r="X373" s="196">
        <v>864000000</v>
      </c>
      <c r="Y373" s="196">
        <v>2092000000</v>
      </c>
      <c r="Z373" s="196">
        <v>111000000</v>
      </c>
      <c r="AA373" s="198">
        <v>0.03</v>
      </c>
      <c r="AB373" s="198">
        <v>0.02</v>
      </c>
      <c r="AC373" s="213">
        <f t="shared" si="62"/>
        <v>469</v>
      </c>
      <c r="AD373" s="213">
        <f t="shared" si="63"/>
        <v>487</v>
      </c>
      <c r="AE373" s="213">
        <v>1.63</v>
      </c>
      <c r="AF373" s="196">
        <v>45000000</v>
      </c>
      <c r="AG373" s="104">
        <f t="shared" si="64"/>
        <v>0.32585083272990589</v>
      </c>
      <c r="AH373" s="104">
        <f t="shared" si="65"/>
        <v>0.86538461538461542</v>
      </c>
      <c r="AI373" s="195">
        <v>1.1000000000000001</v>
      </c>
      <c r="AO373" s="213"/>
      <c r="AP373" s="213"/>
      <c r="AQ373" s="213"/>
      <c r="AR373" s="213"/>
      <c r="AS373" s="213"/>
      <c r="AT373" s="213"/>
      <c r="AU373" s="213"/>
      <c r="AV373" s="213"/>
    </row>
    <row r="374" spans="1:48">
      <c r="A374">
        <v>2424</v>
      </c>
      <c r="C374" s="107" t="str">
        <f>VLOOKUP(2424,收盤價!$A:$C,3,0)</f>
        <v>--</v>
      </c>
      <c r="D374" s="107">
        <f t="shared" si="55"/>
        <v>0</v>
      </c>
      <c r="E374" s="167">
        <f t="shared" si="56"/>
        <v>0</v>
      </c>
      <c r="F374" s="104">
        <f t="shared" si="57"/>
        <v>0</v>
      </c>
      <c r="G374" s="167">
        <f>RANK(0.57,AE:AE,0)</f>
        <v>1389</v>
      </c>
      <c r="H374" s="365">
        <f t="shared" si="58"/>
        <v>0.1</v>
      </c>
      <c r="I374" s="213">
        <f t="shared" si="59"/>
        <v>1138</v>
      </c>
      <c r="J374" s="213">
        <f t="shared" si="60"/>
        <v>768</v>
      </c>
      <c r="K374">
        <f>RANK(0.82,AI:AI,0)</f>
        <v>1121</v>
      </c>
      <c r="L374" s="357">
        <v>0</v>
      </c>
      <c r="M374" s="357">
        <v>0</v>
      </c>
      <c r="N374" s="357">
        <v>0</v>
      </c>
      <c r="O374" s="357">
        <v>0</v>
      </c>
      <c r="P374" s="357">
        <v>0</v>
      </c>
      <c r="Q374" s="358">
        <v>-2</v>
      </c>
      <c r="R374" s="359">
        <v>0</v>
      </c>
      <c r="S374" s="196">
        <v>4599000</v>
      </c>
      <c r="T374" s="196">
        <v>30000000</v>
      </c>
      <c r="U374" s="200" t="e">
        <f t="shared" si="61"/>
        <v>#VALUE!</v>
      </c>
      <c r="V374" s="196">
        <v>-8000000</v>
      </c>
      <c r="W374" s="196">
        <v>382000000</v>
      </c>
      <c r="X374" s="196">
        <v>3000000</v>
      </c>
      <c r="Y374" s="196">
        <v>480000000</v>
      </c>
      <c r="Z374" s="196">
        <v>0</v>
      </c>
      <c r="AA374" s="198">
        <v>-0.02</v>
      </c>
      <c r="AB374" s="198">
        <v>-0.02</v>
      </c>
      <c r="AC374" s="213">
        <f t="shared" si="62"/>
        <v>1353</v>
      </c>
      <c r="AD374" s="213">
        <f t="shared" si="63"/>
        <v>1388</v>
      </c>
      <c r="AE374" s="213">
        <v>0.56999999999999995</v>
      </c>
      <c r="AF374" s="196">
        <v>-3000000</v>
      </c>
      <c r="AG374" s="104">
        <f t="shared" si="64"/>
        <v>-0.1</v>
      </c>
      <c r="AH374" s="104">
        <f t="shared" si="65"/>
        <v>0</v>
      </c>
      <c r="AI374" s="195">
        <v>0.82</v>
      </c>
    </row>
    <row r="375" spans="1:48">
      <c r="A375">
        <v>2425</v>
      </c>
      <c r="C375" s="107">
        <f>VLOOKUP(2425,收盤價!$A:$C,3,0)</f>
        <v>21</v>
      </c>
      <c r="D375" s="107">
        <f t="shared" si="55"/>
        <v>40.38461538461538</v>
      </c>
      <c r="E375" s="167">
        <f t="shared" si="56"/>
        <v>2</v>
      </c>
      <c r="F375" s="104">
        <f t="shared" si="57"/>
        <v>0.32259335118953836</v>
      </c>
      <c r="G375" s="167">
        <f>RANK(0.84,AE:AE,0)</f>
        <v>946</v>
      </c>
      <c r="H375" s="365">
        <f t="shared" si="58"/>
        <v>1.6666666666666667</v>
      </c>
      <c r="I375" s="213">
        <f t="shared" si="59"/>
        <v>1492</v>
      </c>
      <c r="J375" s="213">
        <f t="shared" si="60"/>
        <v>768</v>
      </c>
      <c r="K375">
        <f>RANK(0.69,AI:AI,0)</f>
        <v>1474</v>
      </c>
      <c r="L375" s="357">
        <v>0</v>
      </c>
      <c r="M375" s="357">
        <v>1</v>
      </c>
      <c r="N375" s="357">
        <v>1</v>
      </c>
      <c r="O375" s="357">
        <v>0</v>
      </c>
      <c r="P375" s="357">
        <v>0</v>
      </c>
      <c r="Q375" s="358">
        <v>3.2222222222222222E-2</v>
      </c>
      <c r="R375" s="359">
        <v>0.13</v>
      </c>
      <c r="S375" s="196">
        <v>7108640000</v>
      </c>
      <c r="T375" s="196">
        <v>109200000</v>
      </c>
      <c r="U375" s="200">
        <f t="shared" si="61"/>
        <v>2293200000</v>
      </c>
      <c r="V375" s="196">
        <v>0</v>
      </c>
      <c r="W375" s="196">
        <v>1584000000</v>
      </c>
      <c r="X375" s="196">
        <v>159000000</v>
      </c>
      <c r="Y375" s="196">
        <v>1758000000</v>
      </c>
      <c r="Z375" s="196">
        <v>496000000</v>
      </c>
      <c r="AA375" s="198">
        <v>0</v>
      </c>
      <c r="AB375" s="198">
        <v>0</v>
      </c>
      <c r="AC375" s="213">
        <f t="shared" si="62"/>
        <v>945</v>
      </c>
      <c r="AD375" s="213">
        <f t="shared" si="63"/>
        <v>911</v>
      </c>
      <c r="AE375" s="213">
        <v>0.84</v>
      </c>
      <c r="AF375" s="196">
        <v>-182000000</v>
      </c>
      <c r="AG375" s="104">
        <f t="shared" si="64"/>
        <v>-1.6666666666666667</v>
      </c>
      <c r="AH375" s="104">
        <f t="shared" si="65"/>
        <v>0</v>
      </c>
      <c r="AI375" s="195">
        <v>0.69</v>
      </c>
    </row>
    <row r="376" spans="1:48">
      <c r="A376">
        <v>2426</v>
      </c>
      <c r="C376" s="107">
        <f>VLOOKUP(2426,收盤價!$A:$C,3,0)</f>
        <v>12.15</v>
      </c>
      <c r="D376" s="107">
        <f t="shared" si="55"/>
        <v>9.31640625</v>
      </c>
      <c r="E376" s="167">
        <f t="shared" si="56"/>
        <v>2</v>
      </c>
      <c r="F376" s="104">
        <f t="shared" si="57"/>
        <v>1.1082054088842217</v>
      </c>
      <c r="G376" s="167">
        <f>RANK(1.89,AE:AE,0)</f>
        <v>498</v>
      </c>
      <c r="H376" s="365">
        <f t="shared" si="58"/>
        <v>0.63213114754098365</v>
      </c>
      <c r="I376" s="213">
        <f t="shared" si="59"/>
        <v>841</v>
      </c>
      <c r="J376" s="213">
        <f t="shared" si="60"/>
        <v>540</v>
      </c>
      <c r="K376">
        <f>RANK(1.13,AI:AI,0)</f>
        <v>777</v>
      </c>
      <c r="L376" s="357">
        <v>0</v>
      </c>
      <c r="M376" s="357">
        <v>1</v>
      </c>
      <c r="N376" s="357">
        <v>0</v>
      </c>
      <c r="O376" s="357">
        <v>1</v>
      </c>
      <c r="P376" s="357">
        <v>0</v>
      </c>
      <c r="Q376" s="358">
        <v>0.23536895674300254</v>
      </c>
      <c r="R376" s="359">
        <v>0.3260377358490566</v>
      </c>
      <c r="S376" s="196">
        <v>3210163000</v>
      </c>
      <c r="T376" s="196">
        <v>292800000</v>
      </c>
      <c r="U376" s="200">
        <f t="shared" si="61"/>
        <v>3557520000</v>
      </c>
      <c r="V376" s="196">
        <v>100000000</v>
      </c>
      <c r="W376" s="196">
        <v>1649000000</v>
      </c>
      <c r="X376" s="196">
        <v>1086000000</v>
      </c>
      <c r="Y376" s="196">
        <v>3387000000</v>
      </c>
      <c r="Z376" s="196">
        <v>724000000</v>
      </c>
      <c r="AA376" s="198">
        <v>0.04</v>
      </c>
      <c r="AB376" s="198">
        <v>0.02</v>
      </c>
      <c r="AC376" s="213">
        <f t="shared" si="62"/>
        <v>337</v>
      </c>
      <c r="AD376" s="213">
        <f t="shared" si="63"/>
        <v>487</v>
      </c>
      <c r="AE376" s="213">
        <v>1.89</v>
      </c>
      <c r="AF376" s="196">
        <v>96000000</v>
      </c>
      <c r="AG376" s="104">
        <f t="shared" si="64"/>
        <v>0.32786885245901637</v>
      </c>
      <c r="AH376" s="104">
        <f t="shared" si="65"/>
        <v>0.96</v>
      </c>
      <c r="AI376" s="195">
        <v>1.1299999999999999</v>
      </c>
    </row>
    <row r="377" spans="1:48">
      <c r="A377">
        <v>2427</v>
      </c>
      <c r="C377" s="107">
        <f>VLOOKUP(2427,收盤價!$A:$C,3,0)</f>
        <v>6.88</v>
      </c>
      <c r="D377" s="107">
        <f t="shared" si="55"/>
        <v>0</v>
      </c>
      <c r="E377" s="167">
        <f t="shared" si="56"/>
        <v>2</v>
      </c>
      <c r="F377" s="104">
        <f t="shared" si="57"/>
        <v>0.51432261628320031</v>
      </c>
      <c r="G377" s="167">
        <f>RANK(0.84,AE:AE,0)</f>
        <v>946</v>
      </c>
      <c r="H377" s="365">
        <f t="shared" si="58"/>
        <v>8.9519487453283499</v>
      </c>
      <c r="I377" s="213">
        <f t="shared" si="59"/>
        <v>1035</v>
      </c>
      <c r="J377" s="213">
        <f t="shared" si="60"/>
        <v>46</v>
      </c>
      <c r="K377">
        <f>RANK(1.44,AI:AI,0)</f>
        <v>595</v>
      </c>
      <c r="L377" s="357">
        <v>0</v>
      </c>
      <c r="M377" s="357">
        <v>1</v>
      </c>
      <c r="N377" s="357">
        <v>0</v>
      </c>
      <c r="O377" s="357">
        <v>1</v>
      </c>
      <c r="P377" s="357">
        <v>0</v>
      </c>
      <c r="Q377" s="358">
        <v>0.30534351145038169</v>
      </c>
      <c r="R377" s="359">
        <v>0</v>
      </c>
      <c r="S377" s="196">
        <v>2505478000</v>
      </c>
      <c r="T377" s="196">
        <v>187300000</v>
      </c>
      <c r="U377" s="200">
        <f t="shared" si="61"/>
        <v>1288624000</v>
      </c>
      <c r="V377" s="196">
        <v>1000000</v>
      </c>
      <c r="W377" s="196">
        <v>626000000</v>
      </c>
      <c r="X377" s="196">
        <v>539000000</v>
      </c>
      <c r="Y377" s="196">
        <v>2093000000</v>
      </c>
      <c r="Z377" s="196">
        <v>800000000</v>
      </c>
      <c r="AA377" s="198">
        <v>0</v>
      </c>
      <c r="AB377" s="198">
        <v>0</v>
      </c>
      <c r="AC377" s="213">
        <f t="shared" si="62"/>
        <v>945</v>
      </c>
      <c r="AD377" s="213">
        <f t="shared" si="63"/>
        <v>911</v>
      </c>
      <c r="AE377" s="213">
        <v>0.84</v>
      </c>
      <c r="AF377" s="196">
        <v>9000000</v>
      </c>
      <c r="AG377" s="104">
        <f t="shared" si="64"/>
        <v>4.8051254671649758E-2</v>
      </c>
      <c r="AH377" s="104">
        <f t="shared" si="65"/>
        <v>9</v>
      </c>
      <c r="AI377" s="195">
        <v>1.44</v>
      </c>
    </row>
    <row r="378" spans="1:48">
      <c r="A378">
        <v>2428</v>
      </c>
      <c r="C378" s="107">
        <f>VLOOKUP(2428,收盤價!$A:$C,3,0)</f>
        <v>66</v>
      </c>
      <c r="D378" s="107">
        <f t="shared" si="55"/>
        <v>10.721546741080328</v>
      </c>
      <c r="E378" s="167">
        <f t="shared" si="56"/>
        <v>3</v>
      </c>
      <c r="F378" s="104">
        <f t="shared" si="57"/>
        <v>1.6063996060097199</v>
      </c>
      <c r="G378" s="167">
        <f>RANK(5.79,AE:AE,0)</f>
        <v>129</v>
      </c>
      <c r="H378" s="365">
        <f t="shared" si="58"/>
        <v>-0.65371880804328508</v>
      </c>
      <c r="I378" s="213">
        <f t="shared" si="59"/>
        <v>444</v>
      </c>
      <c r="J378" s="213">
        <f t="shared" si="60"/>
        <v>670</v>
      </c>
      <c r="K378">
        <f>RANK(1.4,AI:AI,0)</f>
        <v>622</v>
      </c>
      <c r="L378" s="357">
        <v>0</v>
      </c>
      <c r="M378" s="357">
        <v>1</v>
      </c>
      <c r="N378" s="357">
        <v>1</v>
      </c>
      <c r="O378" s="357">
        <v>1</v>
      </c>
      <c r="P378" s="357">
        <v>0</v>
      </c>
      <c r="Q378" s="358">
        <v>0.31666666666666665</v>
      </c>
      <c r="R378" s="359">
        <v>1.5389570552147238</v>
      </c>
      <c r="S378" s="196">
        <v>5263074000</v>
      </c>
      <c r="T378" s="196">
        <v>128100000</v>
      </c>
      <c r="U378" s="200">
        <f t="shared" si="61"/>
        <v>8454600000</v>
      </c>
      <c r="V378" s="196">
        <v>290000000</v>
      </c>
      <c r="W378" s="196">
        <v>3231000000</v>
      </c>
      <c r="X378" s="196">
        <v>1523000000</v>
      </c>
      <c r="Y378" s="196">
        <v>4638000000</v>
      </c>
      <c r="Z378" s="196">
        <v>245000000</v>
      </c>
      <c r="AA378" s="198">
        <v>0.06</v>
      </c>
      <c r="AB378" s="198">
        <v>0.06</v>
      </c>
      <c r="AC378" s="213">
        <f t="shared" si="62"/>
        <v>174</v>
      </c>
      <c r="AD378" s="213">
        <f t="shared" si="63"/>
        <v>95</v>
      </c>
      <c r="AE378" s="213">
        <v>5.79</v>
      </c>
      <c r="AF378" s="196">
        <v>150000000</v>
      </c>
      <c r="AG378" s="104">
        <f t="shared" si="64"/>
        <v>1.1709601873536299</v>
      </c>
      <c r="AH378" s="104">
        <f t="shared" si="65"/>
        <v>0.51724137931034486</v>
      </c>
      <c r="AI378" s="195">
        <v>1.4</v>
      </c>
      <c r="AO378" s="213"/>
      <c r="AP378" s="213"/>
      <c r="AQ378" s="213"/>
      <c r="AR378" s="213"/>
      <c r="AS378" s="213"/>
      <c r="AT378" s="213"/>
      <c r="AU378" s="213"/>
      <c r="AV378" s="213"/>
    </row>
    <row r="379" spans="1:48">
      <c r="A379">
        <v>2429</v>
      </c>
      <c r="C379" s="107">
        <f>VLOOKUP(2429,收盤價!$A:$C,3,0)</f>
        <v>18.100000000000001</v>
      </c>
      <c r="D379" s="107">
        <f t="shared" si="55"/>
        <v>14.196078431372548</v>
      </c>
      <c r="E379" s="167">
        <f t="shared" si="56"/>
        <v>3</v>
      </c>
      <c r="F379" s="104">
        <f t="shared" si="57"/>
        <v>0.72821016288738916</v>
      </c>
      <c r="G379" s="167">
        <f>RANK(1.89,AE:AE,0)</f>
        <v>498</v>
      </c>
      <c r="H379" s="365">
        <f t="shared" si="58"/>
        <v>0.35640732265446218</v>
      </c>
      <c r="I379" s="213">
        <f t="shared" si="59"/>
        <v>812</v>
      </c>
      <c r="J379" s="213">
        <f t="shared" si="60"/>
        <v>617</v>
      </c>
      <c r="K379">
        <f>RANK(1.09,AI:AI,0)</f>
        <v>803</v>
      </c>
      <c r="L379" s="357">
        <v>1</v>
      </c>
      <c r="M379" s="357">
        <v>1</v>
      </c>
      <c r="N379" s="357">
        <v>0</v>
      </c>
      <c r="O379" s="357">
        <v>1</v>
      </c>
      <c r="P379" s="357">
        <v>0</v>
      </c>
      <c r="Q379" s="358">
        <v>0.15302491103202848</v>
      </c>
      <c r="R379" s="359">
        <v>0.31875000000000003</v>
      </c>
      <c r="S379" s="196">
        <v>914681000</v>
      </c>
      <c r="T379" s="196">
        <v>36800000</v>
      </c>
      <c r="U379" s="200">
        <f t="shared" si="61"/>
        <v>666080000</v>
      </c>
      <c r="V379" s="196">
        <v>19000000</v>
      </c>
      <c r="W379" s="196">
        <v>0</v>
      </c>
      <c r="X379" s="196">
        <v>492000000</v>
      </c>
      <c r="Y379" s="196">
        <v>381000000</v>
      </c>
      <c r="Z379" s="196">
        <v>398000000</v>
      </c>
      <c r="AA379" s="198">
        <v>0.04</v>
      </c>
      <c r="AB379" s="198">
        <v>0.02</v>
      </c>
      <c r="AC379" s="213">
        <f t="shared" si="62"/>
        <v>337</v>
      </c>
      <c r="AD379" s="213">
        <f t="shared" si="63"/>
        <v>487</v>
      </c>
      <c r="AE379" s="213">
        <v>1.89</v>
      </c>
      <c r="AF379" s="196">
        <v>14000000</v>
      </c>
      <c r="AG379" s="104">
        <f t="shared" si="64"/>
        <v>0.38043478260869568</v>
      </c>
      <c r="AH379" s="104">
        <f t="shared" si="65"/>
        <v>0.73684210526315785</v>
      </c>
      <c r="AI379" s="195">
        <v>1.0900000000000001</v>
      </c>
    </row>
    <row r="380" spans="1:48">
      <c r="A380" s="213">
        <v>2430</v>
      </c>
      <c r="C380" s="107">
        <f>VLOOKUP(2430,收盤價!$A:$C,3,0)</f>
        <v>29.1</v>
      </c>
      <c r="D380" s="107">
        <f t="shared" si="55"/>
        <v>9.5723684210526319</v>
      </c>
      <c r="E380" s="167">
        <f t="shared" si="56"/>
        <v>2</v>
      </c>
      <c r="F380" s="104">
        <f t="shared" si="57"/>
        <v>0.21599561827014729</v>
      </c>
      <c r="G380" s="167">
        <f>RANK(0.84,AE:AE,0)</f>
        <v>946</v>
      </c>
      <c r="H380" s="365">
        <f t="shared" si="58"/>
        <v>-3.0208955223880598</v>
      </c>
      <c r="I380" s="213">
        <f t="shared" si="59"/>
        <v>115</v>
      </c>
      <c r="J380" s="213">
        <f t="shared" si="60"/>
        <v>768</v>
      </c>
      <c r="K380" s="213">
        <f>RANK(1.76,AI:AI,0)</f>
        <v>428</v>
      </c>
      <c r="L380" s="357">
        <v>0</v>
      </c>
      <c r="M380" s="357">
        <v>1</v>
      </c>
      <c r="N380" s="357">
        <v>0</v>
      </c>
      <c r="O380" s="357">
        <v>1</v>
      </c>
      <c r="P380" s="357">
        <v>0</v>
      </c>
      <c r="Q380" s="358">
        <v>0.15672624647224837</v>
      </c>
      <c r="R380" s="359">
        <v>0.76</v>
      </c>
      <c r="S380" s="196">
        <v>22566430000</v>
      </c>
      <c r="T380" s="196">
        <v>167500000</v>
      </c>
      <c r="U380" s="200">
        <f t="shared" si="61"/>
        <v>4874250000</v>
      </c>
      <c r="V380" s="196">
        <v>0</v>
      </c>
      <c r="W380" s="196">
        <v>0</v>
      </c>
      <c r="X380" s="196">
        <v>3541000000</v>
      </c>
      <c r="Y380" s="196">
        <v>4578000000</v>
      </c>
      <c r="Z380" s="196">
        <v>0</v>
      </c>
      <c r="AA380" s="198">
        <v>0</v>
      </c>
      <c r="AB380" s="198">
        <v>0</v>
      </c>
      <c r="AC380" s="213">
        <f t="shared" si="62"/>
        <v>945</v>
      </c>
      <c r="AD380" s="213">
        <f t="shared" si="63"/>
        <v>911</v>
      </c>
      <c r="AE380" s="213">
        <v>0.84</v>
      </c>
      <c r="AF380" s="196">
        <v>506000000</v>
      </c>
      <c r="AG380" s="104">
        <f t="shared" si="64"/>
        <v>3.0208955223880598</v>
      </c>
      <c r="AH380" s="104">
        <f t="shared" si="65"/>
        <v>0</v>
      </c>
      <c r="AI380" s="195">
        <v>1.76</v>
      </c>
    </row>
    <row r="381" spans="1:48">
      <c r="A381">
        <v>2431</v>
      </c>
      <c r="C381" s="107">
        <f>VLOOKUP(2431,收盤價!$A:$C,3,0)</f>
        <v>14.25</v>
      </c>
      <c r="D381" s="107">
        <f t="shared" si="55"/>
        <v>124.40476190476191</v>
      </c>
      <c r="E381" s="167">
        <f t="shared" si="56"/>
        <v>2</v>
      </c>
      <c r="F381" s="104">
        <f t="shared" si="57"/>
        <v>0.51984511801346844</v>
      </c>
      <c r="G381" s="167">
        <f>RANK(0.84,AE:AE,0)</f>
        <v>946</v>
      </c>
      <c r="H381" s="365">
        <f t="shared" si="58"/>
        <v>1.6868800721370605</v>
      </c>
      <c r="I381" s="213">
        <f t="shared" si="59"/>
        <v>1026</v>
      </c>
      <c r="J381" s="213">
        <f t="shared" si="60"/>
        <v>315</v>
      </c>
      <c r="K381">
        <f>RANK(1.16,AI:AI,0)</f>
        <v>750</v>
      </c>
      <c r="L381" s="357">
        <v>1</v>
      </c>
      <c r="M381" s="357">
        <v>1</v>
      </c>
      <c r="N381" s="357">
        <v>0</v>
      </c>
      <c r="O381" s="357">
        <v>0</v>
      </c>
      <c r="P381" s="357">
        <v>0</v>
      </c>
      <c r="Q381" s="358">
        <v>0.12835820895522387</v>
      </c>
      <c r="R381" s="359">
        <v>2.8636363636363633E-2</v>
      </c>
      <c r="S381" s="196">
        <v>3039992000</v>
      </c>
      <c r="T381" s="196">
        <v>110900000</v>
      </c>
      <c r="U381" s="200">
        <f t="shared" si="61"/>
        <v>1580325000</v>
      </c>
      <c r="V381" s="196">
        <v>4000000</v>
      </c>
      <c r="W381" s="196">
        <v>941000000</v>
      </c>
      <c r="X381" s="196">
        <v>361000000</v>
      </c>
      <c r="Y381" s="196">
        <v>1645000000</v>
      </c>
      <c r="Z381" s="196">
        <v>0</v>
      </c>
      <c r="AA381" s="198">
        <v>0</v>
      </c>
      <c r="AB381" s="198">
        <v>0</v>
      </c>
      <c r="AC381" s="213">
        <f t="shared" si="62"/>
        <v>945</v>
      </c>
      <c r="AD381" s="213">
        <f t="shared" si="63"/>
        <v>911</v>
      </c>
      <c r="AE381" s="213">
        <v>0.84</v>
      </c>
      <c r="AF381" s="196">
        <v>7000000</v>
      </c>
      <c r="AG381" s="104">
        <f t="shared" si="64"/>
        <v>6.3119927862939587E-2</v>
      </c>
      <c r="AH381" s="104">
        <f t="shared" si="65"/>
        <v>1.75</v>
      </c>
      <c r="AI381" s="195">
        <v>1.1599999999999999</v>
      </c>
    </row>
    <row r="382" spans="1:48">
      <c r="A382">
        <v>2433</v>
      </c>
      <c r="C382" s="107">
        <f>VLOOKUP(2433,收盤價!$A:$C,3,0)</f>
        <v>38.1</v>
      </c>
      <c r="D382" s="107">
        <f t="shared" si="55"/>
        <v>25.400000000000002</v>
      </c>
      <c r="E382" s="167">
        <f t="shared" si="56"/>
        <v>4</v>
      </c>
      <c r="F382" s="104">
        <f t="shared" si="57"/>
        <v>1.6839961863127535</v>
      </c>
      <c r="G382" s="167">
        <f>RANK(1.2,AE:AE,0)</f>
        <v>710</v>
      </c>
      <c r="H382" s="365">
        <f t="shared" si="58"/>
        <v>1.6809972981940557</v>
      </c>
      <c r="I382" s="213">
        <f t="shared" si="59"/>
        <v>281</v>
      </c>
      <c r="J382" s="213">
        <f t="shared" si="60"/>
        <v>135</v>
      </c>
      <c r="K382">
        <f>RANK(3.75,AI:AI,0)</f>
        <v>110</v>
      </c>
      <c r="L382" s="357">
        <v>0</v>
      </c>
      <c r="M382" s="357">
        <v>0</v>
      </c>
      <c r="N382" s="357">
        <v>2</v>
      </c>
      <c r="O382" s="357">
        <v>1</v>
      </c>
      <c r="P382" s="357">
        <v>1</v>
      </c>
      <c r="Q382" s="358">
        <v>0.2989449003516999</v>
      </c>
      <c r="R382" s="359">
        <v>0.375</v>
      </c>
      <c r="S382" s="196">
        <v>3269277000</v>
      </c>
      <c r="T382" s="196">
        <v>144500000</v>
      </c>
      <c r="U382" s="200">
        <f t="shared" si="61"/>
        <v>5505450000</v>
      </c>
      <c r="V382" s="196">
        <v>73000000</v>
      </c>
      <c r="W382" s="196">
        <v>0</v>
      </c>
      <c r="X382" s="196">
        <v>3109000000</v>
      </c>
      <c r="Y382" s="196">
        <v>3730000000</v>
      </c>
      <c r="Z382" s="196">
        <v>1891000000</v>
      </c>
      <c r="AA382" s="198">
        <v>0.02</v>
      </c>
      <c r="AB382" s="198">
        <v>0.01</v>
      </c>
      <c r="AC382" s="213">
        <f t="shared" si="62"/>
        <v>616</v>
      </c>
      <c r="AD382" s="213">
        <f t="shared" si="63"/>
        <v>680</v>
      </c>
      <c r="AE382" s="213">
        <v>1.2</v>
      </c>
      <c r="AF382" s="196">
        <v>248000000</v>
      </c>
      <c r="AG382" s="104">
        <f t="shared" si="64"/>
        <v>1.7162629757785468</v>
      </c>
      <c r="AH382" s="104">
        <f t="shared" si="65"/>
        <v>3.3972602739726026</v>
      </c>
      <c r="AI382" s="195">
        <v>3.75</v>
      </c>
      <c r="AO382" s="213"/>
      <c r="AP382" s="213"/>
      <c r="AQ382" s="213"/>
      <c r="AR382" s="213"/>
      <c r="AS382" s="213"/>
      <c r="AT382" s="213"/>
      <c r="AU382" s="213"/>
      <c r="AV382" s="213"/>
    </row>
    <row r="383" spans="1:48">
      <c r="A383">
        <v>2434</v>
      </c>
      <c r="C383" s="107">
        <f>VLOOKUP(2434,收盤價!$A:$C,3,0)</f>
        <v>6.38</v>
      </c>
      <c r="D383" s="107">
        <f t="shared" si="55"/>
        <v>0</v>
      </c>
      <c r="E383" s="167">
        <f t="shared" si="56"/>
        <v>2</v>
      </c>
      <c r="F383" s="104">
        <f t="shared" si="57"/>
        <v>3.2405847373637267</v>
      </c>
      <c r="G383" s="167">
        <f>RANK(0.52,AE:AE,0)</f>
        <v>1493</v>
      </c>
      <c r="H383" s="365">
        <f t="shared" si="58"/>
        <v>0.20776874435411022</v>
      </c>
      <c r="I383" s="213">
        <f t="shared" si="59"/>
        <v>1211</v>
      </c>
      <c r="J383" s="213">
        <f t="shared" si="60"/>
        <v>768</v>
      </c>
      <c r="K383">
        <f>RANK(0.79,AI:AI,0)</f>
        <v>1192</v>
      </c>
      <c r="L383" s="357">
        <v>0</v>
      </c>
      <c r="M383" s="357">
        <v>1</v>
      </c>
      <c r="N383" s="357">
        <v>1</v>
      </c>
      <c r="O383" s="357">
        <v>0</v>
      </c>
      <c r="P383" s="357">
        <v>0</v>
      </c>
      <c r="Q383" s="358">
        <v>-3.7037037037037035E-2</v>
      </c>
      <c r="R383" s="359">
        <v>0</v>
      </c>
      <c r="S383" s="196">
        <v>217944000</v>
      </c>
      <c r="T383" s="196">
        <v>110700000</v>
      </c>
      <c r="U383" s="200">
        <f t="shared" si="61"/>
        <v>706266000</v>
      </c>
      <c r="V383" s="196">
        <v>-45000000</v>
      </c>
      <c r="W383" s="196">
        <v>295000000</v>
      </c>
      <c r="X383" s="196">
        <v>641000000</v>
      </c>
      <c r="Y383" s="196">
        <v>739000000</v>
      </c>
      <c r="Z383" s="196">
        <v>78000000</v>
      </c>
      <c r="AA383" s="198">
        <v>-0.05</v>
      </c>
      <c r="AB383" s="198">
        <v>-0.06</v>
      </c>
      <c r="AC383" s="213">
        <f t="shared" si="62"/>
        <v>1468</v>
      </c>
      <c r="AD383" s="213">
        <f t="shared" si="63"/>
        <v>1515</v>
      </c>
      <c r="AE383" s="213">
        <v>0.52</v>
      </c>
      <c r="AF383" s="196">
        <v>-23000000</v>
      </c>
      <c r="AG383" s="104">
        <f t="shared" si="64"/>
        <v>-0.20776874435411022</v>
      </c>
      <c r="AH383" s="104">
        <f t="shared" si="65"/>
        <v>0</v>
      </c>
      <c r="AI383" s="195">
        <v>0.79</v>
      </c>
    </row>
    <row r="384" spans="1:48">
      <c r="A384">
        <v>2436</v>
      </c>
      <c r="C384" s="107">
        <f>VLOOKUP(2436,收盤價!$A:$C,3,0)</f>
        <v>23.3</v>
      </c>
      <c r="D384" s="107">
        <f t="shared" si="55"/>
        <v>44.807692307692307</v>
      </c>
      <c r="E384" s="167">
        <f t="shared" si="56"/>
        <v>4</v>
      </c>
      <c r="F384" s="104">
        <f t="shared" si="57"/>
        <v>2.6849046135461569</v>
      </c>
      <c r="G384" s="167">
        <f>RANK(0.84,AE:AE,0)</f>
        <v>946</v>
      </c>
      <c r="H384" s="365">
        <f t="shared" si="58"/>
        <v>-9.0334236675700091E-2</v>
      </c>
      <c r="I384" s="213">
        <f t="shared" si="59"/>
        <v>999</v>
      </c>
      <c r="J384" s="213">
        <f t="shared" si="60"/>
        <v>768</v>
      </c>
      <c r="K384">
        <f>RANK(0.88,AI:AI,0)</f>
        <v>1021</v>
      </c>
      <c r="L384" s="357">
        <v>0</v>
      </c>
      <c r="M384" s="357">
        <v>1</v>
      </c>
      <c r="N384" s="357">
        <v>2</v>
      </c>
      <c r="O384" s="357">
        <v>1</v>
      </c>
      <c r="P384" s="357">
        <v>0</v>
      </c>
      <c r="Q384" s="358">
        <v>0.24489795918367346</v>
      </c>
      <c r="R384" s="359">
        <v>0.13</v>
      </c>
      <c r="S384" s="196">
        <v>1921342000</v>
      </c>
      <c r="T384" s="196">
        <v>221400000</v>
      </c>
      <c r="U384" s="200">
        <f t="shared" si="61"/>
        <v>5158620000</v>
      </c>
      <c r="V384" s="196">
        <v>0</v>
      </c>
      <c r="W384" s="196">
        <v>2490000000</v>
      </c>
      <c r="X384" s="196">
        <v>218000000</v>
      </c>
      <c r="Y384" s="196">
        <v>2727000000</v>
      </c>
      <c r="Z384" s="196">
        <v>137000000</v>
      </c>
      <c r="AA384" s="198">
        <v>0</v>
      </c>
      <c r="AB384" s="198">
        <v>0</v>
      </c>
      <c r="AC384" s="213">
        <f t="shared" si="62"/>
        <v>945</v>
      </c>
      <c r="AD384" s="213">
        <f t="shared" si="63"/>
        <v>911</v>
      </c>
      <c r="AE384" s="213">
        <v>0.84</v>
      </c>
      <c r="AF384" s="196">
        <v>20000000</v>
      </c>
      <c r="AG384" s="104">
        <f t="shared" si="64"/>
        <v>9.0334236675700091E-2</v>
      </c>
      <c r="AH384" s="104">
        <f t="shared" si="65"/>
        <v>0</v>
      </c>
      <c r="AI384" s="195">
        <v>0.88</v>
      </c>
    </row>
    <row r="385" spans="1:48">
      <c r="A385">
        <v>2437</v>
      </c>
      <c r="C385" s="107">
        <f>VLOOKUP(2437,收盤價!$A:$C,3,0)</f>
        <v>47.85</v>
      </c>
      <c r="D385" s="107">
        <f t="shared" si="55"/>
        <v>7.7524194245225964</v>
      </c>
      <c r="E385" s="167">
        <f t="shared" si="56"/>
        <v>3</v>
      </c>
      <c r="F385" s="104">
        <f t="shared" si="57"/>
        <v>0.79084451695180868</v>
      </c>
      <c r="G385" s="167">
        <f>RANK(1.41,AE:AE,0)</f>
        <v>618</v>
      </c>
      <c r="H385" s="365">
        <f t="shared" si="58"/>
        <v>-0.11328433696854745</v>
      </c>
      <c r="I385" s="213">
        <f t="shared" si="59"/>
        <v>556</v>
      </c>
      <c r="J385" s="213">
        <f t="shared" si="60"/>
        <v>596</v>
      </c>
      <c r="K385">
        <f>RANK(1.35,AI:AI,0)</f>
        <v>650</v>
      </c>
      <c r="L385" s="357">
        <v>0</v>
      </c>
      <c r="M385" s="357">
        <v>1</v>
      </c>
      <c r="N385" s="357">
        <v>1</v>
      </c>
      <c r="O385" s="357">
        <v>1</v>
      </c>
      <c r="P385" s="357">
        <v>0</v>
      </c>
      <c r="Q385" s="358">
        <v>0.19864341085271317</v>
      </c>
      <c r="R385" s="359">
        <v>1.5430666666666666</v>
      </c>
      <c r="S385" s="196">
        <v>4029629000</v>
      </c>
      <c r="T385" s="196">
        <v>66600000</v>
      </c>
      <c r="U385" s="200">
        <f t="shared" si="61"/>
        <v>3186810000</v>
      </c>
      <c r="V385" s="196">
        <v>76000000</v>
      </c>
      <c r="W385" s="196">
        <v>2463000000</v>
      </c>
      <c r="X385" s="196">
        <v>1245000000</v>
      </c>
      <c r="Y385" s="196">
        <v>3241000000</v>
      </c>
      <c r="Z385" s="196">
        <v>440000000</v>
      </c>
      <c r="AA385" s="198">
        <v>0.02</v>
      </c>
      <c r="AB385" s="198">
        <v>0.02</v>
      </c>
      <c r="AC385" s="213">
        <f t="shared" si="62"/>
        <v>616</v>
      </c>
      <c r="AD385" s="213">
        <f t="shared" si="63"/>
        <v>487</v>
      </c>
      <c r="AE385" s="213">
        <v>1.41</v>
      </c>
      <c r="AF385" s="196">
        <v>61000000</v>
      </c>
      <c r="AG385" s="104">
        <f t="shared" si="64"/>
        <v>0.91591591591591592</v>
      </c>
      <c r="AH385" s="104">
        <f t="shared" si="65"/>
        <v>0.80263157894736847</v>
      </c>
      <c r="AI385" s="195">
        <v>1.35</v>
      </c>
    </row>
    <row r="386" spans="1:48">
      <c r="A386">
        <v>2438</v>
      </c>
      <c r="C386" s="107">
        <f>VLOOKUP(2438,收盤價!$A:$C,3,0)</f>
        <v>11.1</v>
      </c>
      <c r="D386" s="107">
        <f t="shared" ref="D386:D449" si="66">IF(AND(ISNUMBER(C386),R386&gt;0),C386/(R386*4),0)</f>
        <v>0</v>
      </c>
      <c r="E386" s="167">
        <f t="shared" ref="E386:E449" si="67">SUM(L386:P386)</f>
        <v>2</v>
      </c>
      <c r="F386" s="104">
        <f t="shared" ref="F386:F449" si="68">IF(AND(ISNUMBER(U386),ISNUMBER(S386)),U386/S386,0)</f>
        <v>1.9937699406238738</v>
      </c>
      <c r="G386" s="167">
        <f>RANK(1.08,AE:AE,0)</f>
        <v>769</v>
      </c>
      <c r="H386" s="365">
        <f t="shared" ref="H386:H449" si="69">AH386-AG386</f>
        <v>0.45798319327731091</v>
      </c>
      <c r="I386" s="213">
        <f t="shared" ref="I386:I449" si="70">RANK(AG386,AG:AG)</f>
        <v>1039</v>
      </c>
      <c r="J386" s="213">
        <f t="shared" ref="J386:J449" si="71">RANK(AH386,AH:AH)</f>
        <v>677</v>
      </c>
      <c r="K386">
        <f>RANK(0.91,AI:AI,0)</f>
        <v>974</v>
      </c>
      <c r="L386" s="357">
        <v>0</v>
      </c>
      <c r="M386" s="357">
        <v>1</v>
      </c>
      <c r="N386" s="357">
        <v>0</v>
      </c>
      <c r="O386" s="357">
        <v>1</v>
      </c>
      <c r="P386" s="357">
        <v>0</v>
      </c>
      <c r="Q386" s="358">
        <v>0.29166666666666669</v>
      </c>
      <c r="R386" s="359">
        <v>-0.11199999999999999</v>
      </c>
      <c r="S386" s="196">
        <v>530011000</v>
      </c>
      <c r="T386" s="196">
        <v>95200000</v>
      </c>
      <c r="U386" s="200">
        <f t="shared" ref="U386:U449" si="72">C386*T386</f>
        <v>1056720000</v>
      </c>
      <c r="V386" s="196">
        <v>8000000</v>
      </c>
      <c r="W386" s="196">
        <v>221000000</v>
      </c>
      <c r="X386" s="196">
        <v>542000000</v>
      </c>
      <c r="Y386" s="196">
        <v>880000000</v>
      </c>
      <c r="Z386" s="196">
        <v>134000000</v>
      </c>
      <c r="AA386" s="198">
        <v>0.01</v>
      </c>
      <c r="AB386" s="198">
        <v>0.01</v>
      </c>
      <c r="AC386" s="213">
        <f t="shared" ref="AC386:AC449" si="73">RANK(AA386,AA:AA)</f>
        <v>769</v>
      </c>
      <c r="AD386" s="213">
        <f t="shared" ref="AD386:AD449" si="74">RANK(AB386,AB:AB)</f>
        <v>680</v>
      </c>
      <c r="AE386" s="213">
        <v>1.08</v>
      </c>
      <c r="AF386" s="196">
        <v>4000000</v>
      </c>
      <c r="AG386" s="104">
        <f t="shared" ref="AG386:AG449" si="75">AF386/T386</f>
        <v>4.2016806722689079E-2</v>
      </c>
      <c r="AH386" s="104">
        <f t="shared" ref="AH386:AH449" si="76">IF(AND(AF386&gt;0,V386&gt;0),AF386/V386,0)</f>
        <v>0.5</v>
      </c>
      <c r="AI386" s="195">
        <v>0.91</v>
      </c>
    </row>
    <row r="387" spans="1:48">
      <c r="A387">
        <v>2439</v>
      </c>
      <c r="C387" s="107">
        <f>VLOOKUP(2439,收盤價!$A:$C,3,0)</f>
        <v>124.5</v>
      </c>
      <c r="D387" s="107">
        <f t="shared" si="66"/>
        <v>21.365955473098332</v>
      </c>
      <c r="E387" s="167">
        <f t="shared" si="67"/>
        <v>5</v>
      </c>
      <c r="F387" s="104">
        <f t="shared" si="68"/>
        <v>1.7133945610128032</v>
      </c>
      <c r="G387" s="167">
        <f>RANK(4.56,AE:AE,0)</f>
        <v>194</v>
      </c>
      <c r="H387" s="365">
        <f t="shared" si="69"/>
        <v>-0.80670543961683205</v>
      </c>
      <c r="I387" s="213">
        <f t="shared" si="70"/>
        <v>242</v>
      </c>
      <c r="J387" s="213">
        <f t="shared" si="71"/>
        <v>491</v>
      </c>
      <c r="K387">
        <f>RANK(2.13,AI:AI,0)</f>
        <v>305</v>
      </c>
      <c r="L387" s="357">
        <v>1</v>
      </c>
      <c r="M387" s="357">
        <v>1</v>
      </c>
      <c r="N387" s="357">
        <v>2</v>
      </c>
      <c r="O387" s="357">
        <v>1</v>
      </c>
      <c r="P387" s="357">
        <v>0</v>
      </c>
      <c r="Q387" s="358">
        <v>0.19891156462585033</v>
      </c>
      <c r="R387" s="359">
        <v>1.4567567567567568</v>
      </c>
      <c r="S387" s="196">
        <v>13442613000</v>
      </c>
      <c r="T387" s="196">
        <v>185000000</v>
      </c>
      <c r="U387" s="200">
        <f t="shared" si="72"/>
        <v>23032500000</v>
      </c>
      <c r="V387" s="196">
        <v>316000000</v>
      </c>
      <c r="W387" s="196">
        <v>3085000000</v>
      </c>
      <c r="X387" s="196">
        <v>2704000000</v>
      </c>
      <c r="Y387" s="196">
        <v>5500000000</v>
      </c>
      <c r="Z387" s="196">
        <v>92000000</v>
      </c>
      <c r="AA387" s="198">
        <v>0.05</v>
      </c>
      <c r="AB387" s="198">
        <v>0.06</v>
      </c>
      <c r="AC387" s="213">
        <f t="shared" si="73"/>
        <v>247</v>
      </c>
      <c r="AD387" s="213">
        <f t="shared" si="74"/>
        <v>95</v>
      </c>
      <c r="AE387" s="213">
        <v>4.5599999999999996</v>
      </c>
      <c r="AF387" s="196">
        <v>360000000</v>
      </c>
      <c r="AG387" s="104">
        <f t="shared" si="75"/>
        <v>1.9459459459459461</v>
      </c>
      <c r="AH387" s="104">
        <f t="shared" si="76"/>
        <v>1.139240506329114</v>
      </c>
      <c r="AI387" s="195">
        <v>2.13</v>
      </c>
    </row>
    <row r="388" spans="1:48">
      <c r="A388">
        <v>2440</v>
      </c>
      <c r="C388" s="107">
        <f>VLOOKUP(2440,收盤價!$A:$C,3,0)</f>
        <v>8.39</v>
      </c>
      <c r="D388" s="107">
        <f t="shared" si="66"/>
        <v>0</v>
      </c>
      <c r="E388" s="167">
        <f t="shared" si="67"/>
        <v>3</v>
      </c>
      <c r="F388" s="104">
        <f t="shared" si="68"/>
        <v>0.51539404570430258</v>
      </c>
      <c r="G388" s="167">
        <f>RANK(1.36,AE:AE,0)</f>
        <v>694</v>
      </c>
      <c r="H388" s="365">
        <f t="shared" si="69"/>
        <v>0.82674335010783606</v>
      </c>
      <c r="I388" s="213">
        <f t="shared" si="70"/>
        <v>1417</v>
      </c>
      <c r="J388" s="213">
        <f t="shared" si="71"/>
        <v>768</v>
      </c>
      <c r="K388">
        <f>RANK(0.71,AI:AI,0)</f>
        <v>1412</v>
      </c>
      <c r="L388" s="357">
        <v>0</v>
      </c>
      <c r="M388" s="357">
        <v>1</v>
      </c>
      <c r="N388" s="357">
        <v>2</v>
      </c>
      <c r="O388" s="357">
        <v>0</v>
      </c>
      <c r="P388" s="357">
        <v>0</v>
      </c>
      <c r="Q388" s="358">
        <v>9.5575221238938052E-2</v>
      </c>
      <c r="R388" s="359">
        <v>0</v>
      </c>
      <c r="S388" s="196">
        <v>2264382000</v>
      </c>
      <c r="T388" s="196">
        <v>139100000</v>
      </c>
      <c r="U388" s="200">
        <f t="shared" si="72"/>
        <v>1167049000</v>
      </c>
      <c r="V388" s="196">
        <v>19000000</v>
      </c>
      <c r="W388" s="196">
        <v>270000000</v>
      </c>
      <c r="X388" s="196">
        <v>304000000</v>
      </c>
      <c r="Y388" s="196">
        <v>1127000000</v>
      </c>
      <c r="Z388" s="196">
        <v>726000000</v>
      </c>
      <c r="AA388" s="198">
        <v>0.03</v>
      </c>
      <c r="AB388" s="198">
        <v>0.01</v>
      </c>
      <c r="AC388" s="213">
        <f t="shared" si="73"/>
        <v>469</v>
      </c>
      <c r="AD388" s="213">
        <f t="shared" si="74"/>
        <v>680</v>
      </c>
      <c r="AE388" s="213">
        <v>1.36</v>
      </c>
      <c r="AF388" s="196">
        <v>-115000000</v>
      </c>
      <c r="AG388" s="104">
        <f t="shared" si="75"/>
        <v>-0.82674335010783606</v>
      </c>
      <c r="AH388" s="104">
        <f t="shared" si="76"/>
        <v>0</v>
      </c>
      <c r="AI388" s="195">
        <v>0.71</v>
      </c>
    </row>
    <row r="389" spans="1:48">
      <c r="A389">
        <v>2441</v>
      </c>
      <c r="C389" s="107">
        <f>VLOOKUP(2441,收盤價!$A:$C,3,0)</f>
        <v>39.4</v>
      </c>
      <c r="D389" s="107">
        <f t="shared" si="66"/>
        <v>10.591397849462364</v>
      </c>
      <c r="E389" s="167">
        <f t="shared" si="67"/>
        <v>5</v>
      </c>
      <c r="F389" s="104">
        <f t="shared" si="68"/>
        <v>2.2629885919149784</v>
      </c>
      <c r="G389" s="167">
        <f>RANK(0.84,AE:AE,0)</f>
        <v>946</v>
      </c>
      <c r="H389" s="365">
        <f t="shared" si="69"/>
        <v>-1.5400843881856541</v>
      </c>
      <c r="I389" s="213">
        <f t="shared" si="70"/>
        <v>335</v>
      </c>
      <c r="J389" s="213">
        <f t="shared" si="71"/>
        <v>768</v>
      </c>
      <c r="K389">
        <f>RANK(1.41,AI:AI,0)</f>
        <v>613</v>
      </c>
      <c r="L389" s="357">
        <v>1</v>
      </c>
      <c r="M389" s="357">
        <v>1</v>
      </c>
      <c r="N389" s="357">
        <v>2</v>
      </c>
      <c r="O389" s="357">
        <v>1</v>
      </c>
      <c r="P389" s="357">
        <v>0</v>
      </c>
      <c r="Q389" s="358">
        <v>0.2796474358974359</v>
      </c>
      <c r="R389" s="359">
        <v>0.93</v>
      </c>
      <c r="S389" s="196">
        <v>9903152000</v>
      </c>
      <c r="T389" s="196">
        <v>568800000</v>
      </c>
      <c r="U389" s="200">
        <f t="shared" si="72"/>
        <v>22410720000</v>
      </c>
      <c r="V389" s="196">
        <v>0</v>
      </c>
      <c r="W389" s="196">
        <v>5456000000</v>
      </c>
      <c r="X389" s="196">
        <v>7330000000</v>
      </c>
      <c r="Y389" s="196">
        <v>13450000000</v>
      </c>
      <c r="Z389" s="196">
        <v>0</v>
      </c>
      <c r="AA389" s="198">
        <v>0</v>
      </c>
      <c r="AB389" s="198">
        <v>0</v>
      </c>
      <c r="AC389" s="213">
        <f t="shared" si="73"/>
        <v>945</v>
      </c>
      <c r="AD389" s="213">
        <f t="shared" si="74"/>
        <v>911</v>
      </c>
      <c r="AE389" s="213">
        <v>0.84</v>
      </c>
      <c r="AF389" s="196">
        <v>876000000</v>
      </c>
      <c r="AG389" s="104">
        <f t="shared" si="75"/>
        <v>1.5400843881856541</v>
      </c>
      <c r="AH389" s="104">
        <f t="shared" si="76"/>
        <v>0</v>
      </c>
      <c r="AI389" s="195">
        <v>1.41</v>
      </c>
    </row>
    <row r="390" spans="1:48">
      <c r="A390">
        <v>2442</v>
      </c>
      <c r="C390" s="107">
        <f>VLOOKUP(2442,收盤價!$A:$C,3,0)</f>
        <v>6.6</v>
      </c>
      <c r="D390" s="107">
        <f t="shared" si="66"/>
        <v>13.75</v>
      </c>
      <c r="E390" s="167">
        <f t="shared" si="67"/>
        <v>5</v>
      </c>
      <c r="F390" s="104">
        <f t="shared" si="68"/>
        <v>0.84569291572818839</v>
      </c>
      <c r="G390" s="167">
        <f>RANK(0.84,AE:AE,0)</f>
        <v>946</v>
      </c>
      <c r="H390" s="365">
        <f t="shared" si="69"/>
        <v>0.80904522613065322</v>
      </c>
      <c r="I390" s="213">
        <f t="shared" si="70"/>
        <v>1411</v>
      </c>
      <c r="J390" s="213">
        <f t="shared" si="71"/>
        <v>768</v>
      </c>
      <c r="K390">
        <f>RANK(0.72,AI:AI,0)</f>
        <v>1381</v>
      </c>
      <c r="L390" s="357">
        <v>1</v>
      </c>
      <c r="M390" s="357">
        <v>1</v>
      </c>
      <c r="N390" s="357">
        <v>2</v>
      </c>
      <c r="O390" s="357">
        <v>0</v>
      </c>
      <c r="P390" s="357">
        <v>1</v>
      </c>
      <c r="Q390" s="358">
        <v>0.19829424307036247</v>
      </c>
      <c r="R390" s="359">
        <v>0.12</v>
      </c>
      <c r="S390" s="196">
        <v>1553046000</v>
      </c>
      <c r="T390" s="196">
        <v>199000000</v>
      </c>
      <c r="U390" s="200">
        <f t="shared" si="72"/>
        <v>1313400000</v>
      </c>
      <c r="V390" s="196">
        <v>0</v>
      </c>
      <c r="W390" s="196">
        <v>1548000000</v>
      </c>
      <c r="X390" s="196">
        <v>105000000</v>
      </c>
      <c r="Y390" s="196">
        <v>2208000000</v>
      </c>
      <c r="Z390" s="196">
        <v>2402000000</v>
      </c>
      <c r="AA390" s="198">
        <v>0</v>
      </c>
      <c r="AB390" s="198">
        <v>0</v>
      </c>
      <c r="AC390" s="213">
        <f t="shared" si="73"/>
        <v>945</v>
      </c>
      <c r="AD390" s="213">
        <f t="shared" si="74"/>
        <v>911</v>
      </c>
      <c r="AE390" s="213">
        <v>0.84</v>
      </c>
      <c r="AF390" s="196">
        <v>-161000000</v>
      </c>
      <c r="AG390" s="104">
        <f t="shared" si="75"/>
        <v>-0.80904522613065322</v>
      </c>
      <c r="AH390" s="104">
        <f t="shared" si="76"/>
        <v>0</v>
      </c>
      <c r="AI390" s="195">
        <v>0.72</v>
      </c>
    </row>
    <row r="391" spans="1:48">
      <c r="A391">
        <v>2443</v>
      </c>
      <c r="C391" s="107">
        <f>VLOOKUP(2443,收盤價!$A:$C,3,0)</f>
        <v>7.1</v>
      </c>
      <c r="D391" s="107">
        <f t="shared" si="66"/>
        <v>0</v>
      </c>
      <c r="E391" s="167">
        <f t="shared" si="67"/>
        <v>1</v>
      </c>
      <c r="F391" s="104">
        <f t="shared" si="68"/>
        <v>1.7848091001161153</v>
      </c>
      <c r="G391" s="167">
        <f>RANK(0.53,AE:AE,0)</f>
        <v>1475</v>
      </c>
      <c r="H391" s="365">
        <f t="shared" si="69"/>
        <v>0.15099519560741248</v>
      </c>
      <c r="I391" s="213">
        <f t="shared" si="70"/>
        <v>1178</v>
      </c>
      <c r="J391" s="213">
        <f t="shared" si="71"/>
        <v>768</v>
      </c>
      <c r="K391">
        <f>RANK(0.8,AI:AI,0)</f>
        <v>1168</v>
      </c>
      <c r="L391" s="357">
        <v>0</v>
      </c>
      <c r="M391" s="357">
        <v>0</v>
      </c>
      <c r="N391" s="357">
        <v>1</v>
      </c>
      <c r="O391" s="357">
        <v>0</v>
      </c>
      <c r="P391" s="357">
        <v>0</v>
      </c>
      <c r="Q391" s="358">
        <v>-0.15671641791044777</v>
      </c>
      <c r="R391" s="359">
        <v>0</v>
      </c>
      <c r="S391" s="196">
        <v>579597000</v>
      </c>
      <c r="T391" s="196">
        <v>145700000</v>
      </c>
      <c r="U391" s="200">
        <f t="shared" si="72"/>
        <v>1034470000</v>
      </c>
      <c r="V391" s="196">
        <v>-69000000</v>
      </c>
      <c r="W391" s="196">
        <v>1046000000</v>
      </c>
      <c r="X391" s="196">
        <v>588000000</v>
      </c>
      <c r="Y391" s="196">
        <v>1833000000</v>
      </c>
      <c r="Z391" s="196">
        <v>10000000</v>
      </c>
      <c r="AA391" s="198">
        <v>-0.04</v>
      </c>
      <c r="AB391" s="198">
        <v>-0.04</v>
      </c>
      <c r="AC391" s="213">
        <f t="shared" si="73"/>
        <v>1444</v>
      </c>
      <c r="AD391" s="213">
        <f t="shared" si="74"/>
        <v>1483</v>
      </c>
      <c r="AE391" s="213">
        <v>0.53</v>
      </c>
      <c r="AF391" s="196">
        <v>-22000000</v>
      </c>
      <c r="AG391" s="104">
        <f t="shared" si="75"/>
        <v>-0.15099519560741248</v>
      </c>
      <c r="AH391" s="104">
        <f t="shared" si="76"/>
        <v>0</v>
      </c>
      <c r="AI391" s="195">
        <v>0.8</v>
      </c>
      <c r="AO391" s="213"/>
      <c r="AP391" s="213"/>
      <c r="AQ391" s="213"/>
      <c r="AR391" s="213"/>
      <c r="AS391" s="213"/>
      <c r="AT391" s="213"/>
      <c r="AU391" s="213"/>
      <c r="AV391" s="213"/>
    </row>
    <row r="392" spans="1:48">
      <c r="A392">
        <v>2444</v>
      </c>
      <c r="C392" s="107">
        <f>VLOOKUP(2444,收盤價!$A:$C,3,0)</f>
        <v>12.25</v>
      </c>
      <c r="D392" s="107">
        <f t="shared" si="66"/>
        <v>11.11391129032258</v>
      </c>
      <c r="E392" s="167">
        <f t="shared" si="67"/>
        <v>4</v>
      </c>
      <c r="F392" s="104">
        <f t="shared" si="68"/>
        <v>0.65281678759102091</v>
      </c>
      <c r="G392" s="167">
        <f>RANK(1.94,AE:AE,0)</f>
        <v>435</v>
      </c>
      <c r="H392" s="365">
        <f t="shared" si="69"/>
        <v>1.6051161952801296</v>
      </c>
      <c r="I392" s="213">
        <f t="shared" si="70"/>
        <v>649</v>
      </c>
      <c r="J392" s="213">
        <f t="shared" si="71"/>
        <v>211</v>
      </c>
      <c r="K392">
        <f>RANK(1.81,AI:AI,0)</f>
        <v>410</v>
      </c>
      <c r="L392" s="357">
        <v>0</v>
      </c>
      <c r="M392" s="357">
        <v>1</v>
      </c>
      <c r="N392" s="357">
        <v>2</v>
      </c>
      <c r="O392" s="357">
        <v>1</v>
      </c>
      <c r="P392" s="357">
        <v>0</v>
      </c>
      <c r="Q392" s="358">
        <v>0.20398009950248755</v>
      </c>
      <c r="R392" s="359">
        <v>0.27555555555555555</v>
      </c>
      <c r="S392" s="196">
        <v>1602517000</v>
      </c>
      <c r="T392" s="196">
        <v>85400000</v>
      </c>
      <c r="U392" s="200">
        <f t="shared" si="72"/>
        <v>1046150000</v>
      </c>
      <c r="V392" s="196">
        <v>26000000</v>
      </c>
      <c r="W392" s="196">
        <v>526000000</v>
      </c>
      <c r="X392" s="196">
        <v>474000000</v>
      </c>
      <c r="Y392" s="196">
        <v>952000000</v>
      </c>
      <c r="Z392" s="196">
        <v>79000000</v>
      </c>
      <c r="AA392" s="198">
        <v>0.03</v>
      </c>
      <c r="AB392" s="198">
        <v>0.03</v>
      </c>
      <c r="AC392" s="213">
        <f t="shared" si="73"/>
        <v>469</v>
      </c>
      <c r="AD392" s="213">
        <f t="shared" si="74"/>
        <v>334</v>
      </c>
      <c r="AE392" s="213">
        <v>1.94</v>
      </c>
      <c r="AF392" s="196">
        <v>60000000</v>
      </c>
      <c r="AG392" s="104">
        <f t="shared" si="75"/>
        <v>0.70257611241217799</v>
      </c>
      <c r="AH392" s="104">
        <f t="shared" si="76"/>
        <v>2.3076923076923075</v>
      </c>
      <c r="AI392" s="195">
        <v>1.81</v>
      </c>
      <c r="AO392" s="213"/>
      <c r="AP392" s="213"/>
      <c r="AQ392" s="213"/>
      <c r="AR392" s="213"/>
      <c r="AS392" s="213"/>
      <c r="AT392" s="213"/>
      <c r="AU392" s="213"/>
      <c r="AV392" s="213"/>
    </row>
    <row r="393" spans="1:48">
      <c r="A393">
        <v>2448</v>
      </c>
      <c r="C393" s="107">
        <f>VLOOKUP(2448,收盤價!$A:$C,3,0)</f>
        <v>22.15</v>
      </c>
      <c r="D393" s="107">
        <f t="shared" si="66"/>
        <v>0</v>
      </c>
      <c r="E393" s="167">
        <f t="shared" si="67"/>
        <v>4</v>
      </c>
      <c r="F393" s="104">
        <f t="shared" si="68"/>
        <v>0.9760286936213296</v>
      </c>
      <c r="G393" s="167">
        <f>RANK(0.84,AE:AE,0)</f>
        <v>946</v>
      </c>
      <c r="H393" s="365">
        <f t="shared" si="69"/>
        <v>-0.18957780016485026</v>
      </c>
      <c r="I393" s="213">
        <f t="shared" si="70"/>
        <v>937</v>
      </c>
      <c r="J393" s="213">
        <f t="shared" si="71"/>
        <v>768</v>
      </c>
      <c r="K393">
        <f>RANK(0.91,AI:AI,0)</f>
        <v>974</v>
      </c>
      <c r="L393" s="357">
        <v>0</v>
      </c>
      <c r="M393" s="357">
        <v>1</v>
      </c>
      <c r="N393" s="357">
        <v>2</v>
      </c>
      <c r="O393" s="357">
        <v>1</v>
      </c>
      <c r="P393" s="357">
        <v>0</v>
      </c>
      <c r="Q393" s="358">
        <v>4.4546147978642259E-2</v>
      </c>
      <c r="R393" s="359">
        <v>0</v>
      </c>
      <c r="S393" s="196">
        <v>24779584000</v>
      </c>
      <c r="T393" s="196">
        <v>1091900000</v>
      </c>
      <c r="U393" s="200">
        <f t="shared" si="72"/>
        <v>24185585000</v>
      </c>
      <c r="V393" s="196">
        <v>-203000000</v>
      </c>
      <c r="W393" s="196">
        <v>11708000000</v>
      </c>
      <c r="X393" s="196">
        <v>30610000000</v>
      </c>
      <c r="Y393" s="196">
        <v>51649000000</v>
      </c>
      <c r="Z393" s="196">
        <v>12888000000</v>
      </c>
      <c r="AA393" s="198">
        <v>0</v>
      </c>
      <c r="AB393" s="198">
        <v>0</v>
      </c>
      <c r="AC393" s="213">
        <f t="shared" si="73"/>
        <v>945</v>
      </c>
      <c r="AD393" s="213">
        <f t="shared" si="74"/>
        <v>911</v>
      </c>
      <c r="AE393" s="213">
        <v>0.84</v>
      </c>
      <c r="AF393" s="196">
        <v>207000000</v>
      </c>
      <c r="AG393" s="104">
        <f t="shared" si="75"/>
        <v>0.18957780016485026</v>
      </c>
      <c r="AH393" s="104">
        <f t="shared" si="76"/>
        <v>0</v>
      </c>
      <c r="AI393" s="195">
        <v>0.91</v>
      </c>
    </row>
    <row r="394" spans="1:48">
      <c r="A394">
        <v>2449</v>
      </c>
      <c r="C394" s="107">
        <f>VLOOKUP(2449,收盤價!$A:$C,3,0)</f>
        <v>28.35</v>
      </c>
      <c r="D394" s="107">
        <f t="shared" si="66"/>
        <v>9.7089041095890423</v>
      </c>
      <c r="E394" s="167">
        <f t="shared" si="67"/>
        <v>6</v>
      </c>
      <c r="F394" s="104">
        <f t="shared" si="68"/>
        <v>1.7880757345832945</v>
      </c>
      <c r="G394" s="167">
        <f>RANK(0.84,AE:AE,0)</f>
        <v>946</v>
      </c>
      <c r="H394" s="365">
        <f t="shared" si="69"/>
        <v>-1.5641400671083197</v>
      </c>
      <c r="I394" s="213">
        <f t="shared" si="70"/>
        <v>327</v>
      </c>
      <c r="J394" s="213">
        <f t="shared" si="71"/>
        <v>768</v>
      </c>
      <c r="K394">
        <f>RANK(1.42,AI:AI,0)</f>
        <v>606</v>
      </c>
      <c r="L394" s="357">
        <v>1</v>
      </c>
      <c r="M394" s="357">
        <v>1</v>
      </c>
      <c r="N394" s="357">
        <v>2</v>
      </c>
      <c r="O394" s="357">
        <v>1</v>
      </c>
      <c r="P394" s="357">
        <v>1</v>
      </c>
      <c r="Q394" s="358">
        <v>0.30630808779909036</v>
      </c>
      <c r="R394" s="359">
        <v>0.73</v>
      </c>
      <c r="S394" s="196">
        <v>18428305000</v>
      </c>
      <c r="T394" s="196">
        <v>1162300000</v>
      </c>
      <c r="U394" s="200">
        <f t="shared" si="72"/>
        <v>32951205000</v>
      </c>
      <c r="V394" s="196">
        <v>0</v>
      </c>
      <c r="W394" s="196">
        <v>2789000000</v>
      </c>
      <c r="X394" s="196">
        <v>29399000000</v>
      </c>
      <c r="Y394" s="196">
        <v>22245000000</v>
      </c>
      <c r="Z394" s="196">
        <v>1567000000</v>
      </c>
      <c r="AA394" s="198">
        <v>0</v>
      </c>
      <c r="AB394" s="198">
        <v>0</v>
      </c>
      <c r="AC394" s="213">
        <f t="shared" si="73"/>
        <v>945</v>
      </c>
      <c r="AD394" s="213">
        <f t="shared" si="74"/>
        <v>911</v>
      </c>
      <c r="AE394" s="213">
        <v>0.84</v>
      </c>
      <c r="AF394" s="196">
        <v>1818000000</v>
      </c>
      <c r="AG394" s="104">
        <f t="shared" si="75"/>
        <v>1.5641400671083197</v>
      </c>
      <c r="AH394" s="104">
        <f t="shared" si="76"/>
        <v>0</v>
      </c>
      <c r="AI394" s="195">
        <v>1.42</v>
      </c>
      <c r="AO394" s="213"/>
      <c r="AP394" s="213"/>
      <c r="AQ394" s="213"/>
      <c r="AR394" s="213"/>
      <c r="AS394" s="213"/>
      <c r="AT394" s="213"/>
      <c r="AU394" s="213"/>
      <c r="AV394" s="213"/>
    </row>
    <row r="395" spans="1:48">
      <c r="A395">
        <v>2450</v>
      </c>
      <c r="C395" s="107">
        <f>VLOOKUP(2450,收盤價!$A:$C,3,0)</f>
        <v>49.9</v>
      </c>
      <c r="D395" s="107">
        <f t="shared" si="66"/>
        <v>14.016853932584269</v>
      </c>
      <c r="E395" s="167">
        <f t="shared" si="67"/>
        <v>1</v>
      </c>
      <c r="F395" s="104">
        <f t="shared" si="68"/>
        <v>0.38469547631366369</v>
      </c>
      <c r="G395" s="167">
        <f>RANK(0.84,AE:AE,0)</f>
        <v>946</v>
      </c>
      <c r="H395" s="365">
        <f t="shared" si="69"/>
        <v>-6.5814943863724357E-2</v>
      </c>
      <c r="I395" s="213">
        <f t="shared" si="70"/>
        <v>1023</v>
      </c>
      <c r="J395" s="213">
        <f t="shared" si="71"/>
        <v>768</v>
      </c>
      <c r="K395">
        <f>RANK(0.87,AI:AI,0)</f>
        <v>1035</v>
      </c>
      <c r="L395" s="357">
        <v>0</v>
      </c>
      <c r="M395" s="357">
        <v>1</v>
      </c>
      <c r="N395" s="357">
        <v>0</v>
      </c>
      <c r="O395" s="357">
        <v>0</v>
      </c>
      <c r="P395" s="357">
        <v>0</v>
      </c>
      <c r="Q395" s="358">
        <v>0.13730270755806492</v>
      </c>
      <c r="R395" s="359">
        <v>0.89</v>
      </c>
      <c r="S395" s="196">
        <v>33504865000</v>
      </c>
      <c r="T395" s="196">
        <v>258300000</v>
      </c>
      <c r="U395" s="200">
        <f t="shared" si="72"/>
        <v>12889170000</v>
      </c>
      <c r="V395" s="196">
        <v>0</v>
      </c>
      <c r="W395" s="196">
        <v>2825000000</v>
      </c>
      <c r="X395" s="196">
        <v>995000000</v>
      </c>
      <c r="Y395" s="196">
        <v>5459000000</v>
      </c>
      <c r="Z395" s="196">
        <v>0</v>
      </c>
      <c r="AA395" s="198">
        <v>0</v>
      </c>
      <c r="AB395" s="198">
        <v>0</v>
      </c>
      <c r="AC395" s="213">
        <f t="shared" si="73"/>
        <v>945</v>
      </c>
      <c r="AD395" s="213">
        <f t="shared" si="74"/>
        <v>911</v>
      </c>
      <c r="AE395" s="213">
        <v>0.84</v>
      </c>
      <c r="AF395" s="196">
        <v>17000000</v>
      </c>
      <c r="AG395" s="104">
        <f t="shared" si="75"/>
        <v>6.5814943863724357E-2</v>
      </c>
      <c r="AH395" s="104">
        <f t="shared" si="76"/>
        <v>0</v>
      </c>
      <c r="AI395" s="195">
        <v>0.87</v>
      </c>
    </row>
    <row r="396" spans="1:48">
      <c r="A396">
        <v>2451</v>
      </c>
      <c r="C396" s="107">
        <f>VLOOKUP(2451,收盤價!$A:$C,3,0)</f>
        <v>88.1</v>
      </c>
      <c r="D396" s="107">
        <f t="shared" si="66"/>
        <v>14.985916351664429</v>
      </c>
      <c r="E396" s="167">
        <f t="shared" si="67"/>
        <v>1</v>
      </c>
      <c r="F396" s="104">
        <f t="shared" si="68"/>
        <v>1.6208842656805533</v>
      </c>
      <c r="G396" s="167">
        <f>RANK(2.76,AE:AE,0)</f>
        <v>305</v>
      </c>
      <c r="H396" s="365">
        <f t="shared" si="69"/>
        <v>-0.33344939647168059</v>
      </c>
      <c r="I396" s="213">
        <f t="shared" si="70"/>
        <v>575</v>
      </c>
      <c r="J396" s="213">
        <f t="shared" si="71"/>
        <v>662</v>
      </c>
      <c r="K396">
        <f>RANK(1.26,AI:AI,0)</f>
        <v>696</v>
      </c>
      <c r="L396" s="357">
        <v>0</v>
      </c>
      <c r="M396" s="357">
        <v>1</v>
      </c>
      <c r="N396" s="357">
        <v>0</v>
      </c>
      <c r="O396" s="357">
        <v>0</v>
      </c>
      <c r="P396" s="357">
        <v>0</v>
      </c>
      <c r="Q396" s="358">
        <v>0.21136534133533383</v>
      </c>
      <c r="R396" s="359">
        <v>1.4697132616487456</v>
      </c>
      <c r="S396" s="196">
        <v>23415293000</v>
      </c>
      <c r="T396" s="196">
        <v>430800000</v>
      </c>
      <c r="U396" s="200">
        <f t="shared" si="72"/>
        <v>37953480000</v>
      </c>
      <c r="V396" s="196">
        <v>696000000</v>
      </c>
      <c r="W396" s="196">
        <v>15281000000</v>
      </c>
      <c r="X396" s="196">
        <v>2890000000</v>
      </c>
      <c r="Y396" s="196">
        <v>18952000000</v>
      </c>
      <c r="Z396" s="196">
        <v>314000000</v>
      </c>
      <c r="AA396" s="198">
        <v>0.04</v>
      </c>
      <c r="AB396" s="198">
        <v>0.04</v>
      </c>
      <c r="AC396" s="213">
        <f t="shared" si="73"/>
        <v>337</v>
      </c>
      <c r="AD396" s="213">
        <f t="shared" si="74"/>
        <v>228</v>
      </c>
      <c r="AE396" s="213">
        <v>2.76</v>
      </c>
      <c r="AF396" s="196">
        <v>377000000</v>
      </c>
      <c r="AG396" s="104">
        <f t="shared" si="75"/>
        <v>0.87511606313834722</v>
      </c>
      <c r="AH396" s="104">
        <f t="shared" si="76"/>
        <v>0.54166666666666663</v>
      </c>
      <c r="AI396" s="195">
        <v>1.26</v>
      </c>
      <c r="AO396" s="213"/>
      <c r="AP396" s="213"/>
      <c r="AQ396" s="213"/>
      <c r="AR396" s="213"/>
      <c r="AS396" s="213"/>
      <c r="AT396" s="213"/>
      <c r="AU396" s="213"/>
      <c r="AV396" s="213"/>
    </row>
    <row r="397" spans="1:48">
      <c r="A397">
        <v>2453</v>
      </c>
      <c r="C397" s="107">
        <f>VLOOKUP(2453,收盤價!$A:$C,3,0)</f>
        <v>10.95</v>
      </c>
      <c r="D397" s="107">
        <f t="shared" si="66"/>
        <v>17.192028985507246</v>
      </c>
      <c r="E397" s="167">
        <f t="shared" si="67"/>
        <v>3</v>
      </c>
      <c r="F397" s="104">
        <f t="shared" si="68"/>
        <v>0.2757895325405203</v>
      </c>
      <c r="G397" s="167">
        <f>RANK(1.08,AE:AE,0)</f>
        <v>769</v>
      </c>
      <c r="H397" s="365">
        <f t="shared" si="69"/>
        <v>2.69</v>
      </c>
      <c r="I397" s="213">
        <f t="shared" si="70"/>
        <v>1532</v>
      </c>
      <c r="J397" s="213">
        <f t="shared" si="71"/>
        <v>768</v>
      </c>
      <c r="K397">
        <f>RANK(0.68,AI:AI,0)</f>
        <v>1507</v>
      </c>
      <c r="L397" s="357">
        <v>1</v>
      </c>
      <c r="M397" s="357">
        <v>1</v>
      </c>
      <c r="N397" s="357">
        <v>1</v>
      </c>
      <c r="O397" s="357">
        <v>0</v>
      </c>
      <c r="P397" s="357">
        <v>0</v>
      </c>
      <c r="Q397" s="358">
        <v>0.25522041763341069</v>
      </c>
      <c r="R397" s="359">
        <v>0.15923076923076923</v>
      </c>
      <c r="S397" s="196">
        <v>3970419000</v>
      </c>
      <c r="T397" s="196">
        <v>100000000</v>
      </c>
      <c r="U397" s="200">
        <f t="shared" si="72"/>
        <v>1095000000</v>
      </c>
      <c r="V397" s="196">
        <v>19000000</v>
      </c>
      <c r="W397" s="196">
        <v>911000000</v>
      </c>
      <c r="X397" s="196">
        <v>475000000</v>
      </c>
      <c r="Y397" s="196">
        <v>1719000000</v>
      </c>
      <c r="Z397" s="196">
        <v>147000000</v>
      </c>
      <c r="AA397" s="198">
        <v>0.01</v>
      </c>
      <c r="AB397" s="198">
        <v>0.01</v>
      </c>
      <c r="AC397" s="213">
        <f t="shared" si="73"/>
        <v>769</v>
      </c>
      <c r="AD397" s="213">
        <f t="shared" si="74"/>
        <v>680</v>
      </c>
      <c r="AE397" s="213">
        <v>1.08</v>
      </c>
      <c r="AF397" s="196">
        <v>-269000000</v>
      </c>
      <c r="AG397" s="104">
        <f t="shared" si="75"/>
        <v>-2.69</v>
      </c>
      <c r="AH397" s="104">
        <f t="shared" si="76"/>
        <v>0</v>
      </c>
      <c r="AI397" s="195">
        <v>0.68</v>
      </c>
      <c r="AO397" s="213"/>
      <c r="AP397" s="213"/>
      <c r="AQ397" s="213"/>
      <c r="AR397" s="213"/>
      <c r="AS397" s="213"/>
      <c r="AT397" s="213"/>
      <c r="AU397" s="213"/>
      <c r="AV397" s="213"/>
    </row>
    <row r="398" spans="1:48">
      <c r="A398">
        <v>2454</v>
      </c>
      <c r="C398" s="107">
        <f>VLOOKUP(2454,收盤價!$A:$C,3,0)</f>
        <v>238</v>
      </c>
      <c r="D398" s="107">
        <f t="shared" si="66"/>
        <v>15.682792283752461</v>
      </c>
      <c r="E398" s="167">
        <f t="shared" si="67"/>
        <v>4</v>
      </c>
      <c r="F398" s="104">
        <f t="shared" si="68"/>
        <v>1.4725182673720387</v>
      </c>
      <c r="G398" s="167">
        <f>RANK(3.07,AE:AE,0)</f>
        <v>293</v>
      </c>
      <c r="H398" s="365">
        <f t="shared" si="69"/>
        <v>-6.0723764694364437</v>
      </c>
      <c r="I398" s="213">
        <f t="shared" si="70"/>
        <v>12</v>
      </c>
      <c r="J398" s="213">
        <f t="shared" si="71"/>
        <v>323</v>
      </c>
      <c r="K398">
        <f>RANK(4.65,AI:AI,0)</f>
        <v>77</v>
      </c>
      <c r="L398" s="357">
        <v>0</v>
      </c>
      <c r="M398" s="357">
        <v>1</v>
      </c>
      <c r="N398" s="357">
        <v>2</v>
      </c>
      <c r="O398" s="357">
        <v>1</v>
      </c>
      <c r="P398" s="357">
        <v>0</v>
      </c>
      <c r="Q398" s="358">
        <v>0.35232396211066225</v>
      </c>
      <c r="R398" s="359">
        <v>3.7939672300348346</v>
      </c>
      <c r="S398" s="196">
        <v>254014370000</v>
      </c>
      <c r="T398" s="196">
        <v>1571600000</v>
      </c>
      <c r="U398" s="200">
        <f t="shared" si="72"/>
        <v>374040800000</v>
      </c>
      <c r="V398" s="196">
        <v>7196000000</v>
      </c>
      <c r="W398" s="196">
        <v>86853000000</v>
      </c>
      <c r="X398" s="196">
        <v>36981000000</v>
      </c>
      <c r="Y398" s="196">
        <v>223583000000</v>
      </c>
      <c r="Z398" s="196">
        <v>60876000000</v>
      </c>
      <c r="AA398" s="198">
        <v>0.06</v>
      </c>
      <c r="AB398" s="198">
        <v>0.03</v>
      </c>
      <c r="AC398" s="213">
        <f t="shared" si="73"/>
        <v>174</v>
      </c>
      <c r="AD398" s="213">
        <f t="shared" si="74"/>
        <v>334</v>
      </c>
      <c r="AE398" s="213">
        <v>3.07</v>
      </c>
      <c r="AF398" s="196">
        <v>12210000000</v>
      </c>
      <c r="AG398" s="104">
        <f t="shared" si="75"/>
        <v>7.769152456095699</v>
      </c>
      <c r="AH398" s="104">
        <f t="shared" si="76"/>
        <v>1.6967759866592551</v>
      </c>
      <c r="AI398" s="195">
        <v>4.6500000000000004</v>
      </c>
    </row>
    <row r="399" spans="1:48">
      <c r="A399">
        <v>2455</v>
      </c>
      <c r="C399" s="107">
        <f>VLOOKUP(2455,收盤價!$A:$C,3,0)</f>
        <v>45.4</v>
      </c>
      <c r="D399" s="107">
        <f t="shared" si="66"/>
        <v>18.118693134822166</v>
      </c>
      <c r="E399" s="167">
        <f t="shared" si="67"/>
        <v>2</v>
      </c>
      <c r="F399" s="104">
        <f t="shared" si="68"/>
        <v>4.5467472622658693</v>
      </c>
      <c r="G399" s="167">
        <f>RANK(5.79,AE:AE,0)</f>
        <v>129</v>
      </c>
      <c r="H399" s="365">
        <f t="shared" si="69"/>
        <v>0.2573120460642544</v>
      </c>
      <c r="I399" s="213">
        <f t="shared" si="70"/>
        <v>613</v>
      </c>
      <c r="J399" s="213">
        <f t="shared" si="71"/>
        <v>518</v>
      </c>
      <c r="K399">
        <f>RANK(1.38,AI:AI,0)</f>
        <v>637</v>
      </c>
      <c r="L399" s="357">
        <v>0</v>
      </c>
      <c r="M399" s="357">
        <v>1</v>
      </c>
      <c r="N399" s="357">
        <v>0</v>
      </c>
      <c r="O399" s="357">
        <v>1</v>
      </c>
      <c r="P399" s="357">
        <v>0</v>
      </c>
      <c r="Q399" s="358">
        <v>0.38879999999999998</v>
      </c>
      <c r="R399" s="359">
        <v>0.62642487046632123</v>
      </c>
      <c r="S399" s="196">
        <v>2461342000</v>
      </c>
      <c r="T399" s="196">
        <v>246500000</v>
      </c>
      <c r="U399" s="200">
        <f t="shared" si="72"/>
        <v>11191100000</v>
      </c>
      <c r="V399" s="196">
        <v>186000000</v>
      </c>
      <c r="W399" s="196">
        <v>1566000000</v>
      </c>
      <c r="X399" s="196">
        <v>1575000000</v>
      </c>
      <c r="Y399" s="196">
        <v>3212000000</v>
      </c>
      <c r="Z399" s="196">
        <v>0</v>
      </c>
      <c r="AA399" s="198">
        <v>0.06</v>
      </c>
      <c r="AB399" s="198">
        <v>0.06</v>
      </c>
      <c r="AC399" s="213">
        <f t="shared" si="73"/>
        <v>174</v>
      </c>
      <c r="AD399" s="213">
        <f t="shared" si="74"/>
        <v>95</v>
      </c>
      <c r="AE399" s="213">
        <v>5.79</v>
      </c>
      <c r="AF399" s="196">
        <v>195000000</v>
      </c>
      <c r="AG399" s="104">
        <f t="shared" si="75"/>
        <v>0.79107505070993911</v>
      </c>
      <c r="AH399" s="104">
        <f t="shared" si="76"/>
        <v>1.0483870967741935</v>
      </c>
      <c r="AI399" s="195">
        <v>1.38</v>
      </c>
      <c r="AO399" s="213"/>
      <c r="AP399" s="213"/>
      <c r="AQ399" s="213"/>
      <c r="AR399" s="213"/>
      <c r="AS399" s="213"/>
      <c r="AT399" s="213"/>
      <c r="AU399" s="213"/>
      <c r="AV399" s="213"/>
    </row>
    <row r="400" spans="1:48">
      <c r="A400">
        <v>2456</v>
      </c>
      <c r="C400" s="107">
        <f>VLOOKUP(2456,收盤價!$A:$C,3,0)</f>
        <v>71.900000000000006</v>
      </c>
      <c r="D400" s="107">
        <f t="shared" si="66"/>
        <v>14.855371900826448</v>
      </c>
      <c r="E400" s="167">
        <f t="shared" si="67"/>
        <v>4</v>
      </c>
      <c r="F400" s="104">
        <f t="shared" si="68"/>
        <v>1.8453818466954583</v>
      </c>
      <c r="G400" s="167">
        <f>RANK(3.2,AE:AE,0)</f>
        <v>289</v>
      </c>
      <c r="H400" s="365">
        <f t="shared" si="69"/>
        <v>-0.68373362877379029</v>
      </c>
      <c r="I400" s="213">
        <f t="shared" si="70"/>
        <v>248</v>
      </c>
      <c r="J400" s="213">
        <f t="shared" si="71"/>
        <v>458</v>
      </c>
      <c r="K400">
        <f>RANK(2.21,AI:AI,0)</f>
        <v>291</v>
      </c>
      <c r="L400" s="357">
        <v>1</v>
      </c>
      <c r="M400" s="357">
        <v>1</v>
      </c>
      <c r="N400" s="357">
        <v>1</v>
      </c>
      <c r="O400" s="357">
        <v>1</v>
      </c>
      <c r="P400" s="357">
        <v>0</v>
      </c>
      <c r="Q400" s="358">
        <v>0.26650755767700873</v>
      </c>
      <c r="R400" s="359">
        <v>1.21</v>
      </c>
      <c r="S400" s="196">
        <v>4948190000</v>
      </c>
      <c r="T400" s="196">
        <v>127000000</v>
      </c>
      <c r="U400" s="200">
        <f t="shared" si="72"/>
        <v>9131300000</v>
      </c>
      <c r="V400" s="196">
        <v>199000000</v>
      </c>
      <c r="W400" s="196">
        <v>1575000000</v>
      </c>
      <c r="X400" s="196">
        <v>4099000000</v>
      </c>
      <c r="Y400" s="196">
        <v>3557000000</v>
      </c>
      <c r="Z400" s="196">
        <v>840000000</v>
      </c>
      <c r="AA400" s="198">
        <v>0.04</v>
      </c>
      <c r="AB400" s="198">
        <v>0.05</v>
      </c>
      <c r="AC400" s="213">
        <f t="shared" si="73"/>
        <v>337</v>
      </c>
      <c r="AD400" s="213">
        <f t="shared" si="74"/>
        <v>150</v>
      </c>
      <c r="AE400" s="213">
        <v>3.2</v>
      </c>
      <c r="AF400" s="196">
        <v>240000000</v>
      </c>
      <c r="AG400" s="104">
        <f t="shared" si="75"/>
        <v>1.889763779527559</v>
      </c>
      <c r="AH400" s="104">
        <f t="shared" si="76"/>
        <v>1.2060301507537687</v>
      </c>
      <c r="AI400" s="195">
        <v>2.21</v>
      </c>
    </row>
    <row r="401" spans="1:48">
      <c r="A401">
        <v>2457</v>
      </c>
      <c r="C401" s="107">
        <f>VLOOKUP(2457,收盤價!$A:$C,3,0)</f>
        <v>9.93</v>
      </c>
      <c r="D401" s="107">
        <f t="shared" si="66"/>
        <v>0</v>
      </c>
      <c r="E401" s="167">
        <f t="shared" si="67"/>
        <v>2</v>
      </c>
      <c r="F401" s="104">
        <f t="shared" si="68"/>
        <v>0.24885544818935157</v>
      </c>
      <c r="G401" s="167">
        <f>RANK(0.84,AE:AE,0)</f>
        <v>946</v>
      </c>
      <c r="H401" s="365">
        <f t="shared" si="69"/>
        <v>0.23406553835073821</v>
      </c>
      <c r="I401" s="213">
        <f t="shared" si="70"/>
        <v>1237</v>
      </c>
      <c r="J401" s="213">
        <f t="shared" si="71"/>
        <v>768</v>
      </c>
      <c r="K401">
        <f>RANK(0.78,AI:AI,0)</f>
        <v>1217</v>
      </c>
      <c r="L401" s="357">
        <v>0</v>
      </c>
      <c r="M401" s="357">
        <v>1</v>
      </c>
      <c r="N401" s="357">
        <v>1</v>
      </c>
      <c r="O401" s="357">
        <v>0</v>
      </c>
      <c r="P401" s="357">
        <v>0</v>
      </c>
      <c r="Q401" s="358">
        <v>0.10201612903225807</v>
      </c>
      <c r="R401" s="359">
        <v>-0.67</v>
      </c>
      <c r="S401" s="196">
        <v>11080975000</v>
      </c>
      <c r="T401" s="196">
        <v>277700000</v>
      </c>
      <c r="U401" s="200">
        <f t="shared" si="72"/>
        <v>2757561000</v>
      </c>
      <c r="V401" s="196">
        <v>0</v>
      </c>
      <c r="W401" s="196">
        <v>1073000000</v>
      </c>
      <c r="X401" s="196">
        <v>3985000000</v>
      </c>
      <c r="Y401" s="196">
        <v>5090000000</v>
      </c>
      <c r="Z401" s="196">
        <v>1314000000</v>
      </c>
      <c r="AA401" s="198">
        <v>0</v>
      </c>
      <c r="AB401" s="198">
        <v>0</v>
      </c>
      <c r="AC401" s="213">
        <f t="shared" si="73"/>
        <v>945</v>
      </c>
      <c r="AD401" s="213">
        <f t="shared" si="74"/>
        <v>911</v>
      </c>
      <c r="AE401" s="213">
        <v>0.84</v>
      </c>
      <c r="AF401" s="196">
        <v>-65000000</v>
      </c>
      <c r="AG401" s="104">
        <f t="shared" si="75"/>
        <v>-0.23406553835073821</v>
      </c>
      <c r="AH401" s="104">
        <f t="shared" si="76"/>
        <v>0</v>
      </c>
      <c r="AI401" s="195">
        <v>0.78</v>
      </c>
      <c r="AO401" s="213"/>
      <c r="AP401" s="213"/>
      <c r="AQ401" s="213"/>
      <c r="AR401" s="213"/>
      <c r="AS401" s="213"/>
      <c r="AT401" s="213"/>
      <c r="AU401" s="213"/>
      <c r="AV401" s="213"/>
    </row>
    <row r="402" spans="1:48">
      <c r="A402">
        <v>2458</v>
      </c>
      <c r="C402" s="107">
        <f>VLOOKUP(2458,收盤價!$A:$C,3,0)</f>
        <v>36.1</v>
      </c>
      <c r="D402" s="107">
        <f t="shared" si="66"/>
        <v>26.988636363636363</v>
      </c>
      <c r="E402" s="167">
        <f t="shared" si="67"/>
        <v>4</v>
      </c>
      <c r="F402" s="104">
        <f t="shared" si="68"/>
        <v>2.4739572571200585</v>
      </c>
      <c r="G402" s="167">
        <f>RANK(1.63,AE:AE,0)</f>
        <v>551</v>
      </c>
      <c r="H402" s="365">
        <f t="shared" si="69"/>
        <v>0.27320883768001269</v>
      </c>
      <c r="I402" s="213">
        <f t="shared" si="70"/>
        <v>967</v>
      </c>
      <c r="J402" s="213">
        <f t="shared" si="71"/>
        <v>699</v>
      </c>
      <c r="K402">
        <f>RANK(0.94,AI:AI,0)</f>
        <v>936</v>
      </c>
      <c r="L402" s="357">
        <v>0</v>
      </c>
      <c r="M402" s="357">
        <v>1</v>
      </c>
      <c r="N402" s="357">
        <v>2</v>
      </c>
      <c r="O402" s="357">
        <v>1</v>
      </c>
      <c r="P402" s="357">
        <v>0</v>
      </c>
      <c r="Q402" s="358">
        <v>0.40786082474226804</v>
      </c>
      <c r="R402" s="359">
        <v>0.33440000000000003</v>
      </c>
      <c r="S402" s="196">
        <v>6436534000</v>
      </c>
      <c r="T402" s="196">
        <v>441100000</v>
      </c>
      <c r="U402" s="200">
        <f t="shared" si="72"/>
        <v>15923710000</v>
      </c>
      <c r="V402" s="196">
        <v>153000000</v>
      </c>
      <c r="W402" s="196">
        <v>4762000000</v>
      </c>
      <c r="X402" s="196">
        <v>587000000</v>
      </c>
      <c r="Y402" s="196">
        <v>6425000000</v>
      </c>
      <c r="Z402" s="196">
        <v>88000000</v>
      </c>
      <c r="AA402" s="198">
        <v>0.03</v>
      </c>
      <c r="AB402" s="198">
        <v>0.02</v>
      </c>
      <c r="AC402" s="213">
        <f t="shared" si="73"/>
        <v>469</v>
      </c>
      <c r="AD402" s="213">
        <f t="shared" si="74"/>
        <v>487</v>
      </c>
      <c r="AE402" s="213">
        <v>1.63</v>
      </c>
      <c r="AF402" s="196">
        <v>64000000</v>
      </c>
      <c r="AG402" s="104">
        <f t="shared" si="75"/>
        <v>0.14509181591475856</v>
      </c>
      <c r="AH402" s="104">
        <f t="shared" si="76"/>
        <v>0.41830065359477125</v>
      </c>
      <c r="AI402" s="195">
        <v>0.94</v>
      </c>
      <c r="AO402" s="213"/>
      <c r="AP402" s="213"/>
      <c r="AQ402" s="213"/>
      <c r="AR402" s="213"/>
      <c r="AS402" s="213"/>
      <c r="AT402" s="213"/>
      <c r="AU402" s="213"/>
      <c r="AV402" s="213"/>
    </row>
    <row r="403" spans="1:48">
      <c r="A403">
        <v>2459</v>
      </c>
      <c r="C403" s="107">
        <f>VLOOKUP(2459,收盤價!$A:$C,3,0)</f>
        <v>37.1</v>
      </c>
      <c r="D403" s="107">
        <f t="shared" si="66"/>
        <v>10.911764705882353</v>
      </c>
      <c r="E403" s="167">
        <f t="shared" si="67"/>
        <v>1</v>
      </c>
      <c r="F403" s="104">
        <f t="shared" si="68"/>
        <v>0.33056826621705471</v>
      </c>
      <c r="G403" s="167">
        <f>RANK(0.84,AE:AE,0)</f>
        <v>946</v>
      </c>
      <c r="H403" s="365">
        <f t="shared" si="69"/>
        <v>2.6561043802423114</v>
      </c>
      <c r="I403" s="213">
        <f t="shared" si="70"/>
        <v>1530</v>
      </c>
      <c r="J403" s="213">
        <f t="shared" si="71"/>
        <v>768</v>
      </c>
      <c r="K403">
        <f>RANK(0.68,AI:AI,0)</f>
        <v>1507</v>
      </c>
      <c r="L403" s="357">
        <v>0</v>
      </c>
      <c r="M403" s="357">
        <v>0</v>
      </c>
      <c r="N403" s="357">
        <v>0</v>
      </c>
      <c r="O403" s="357">
        <v>0</v>
      </c>
      <c r="P403" s="357">
        <v>1</v>
      </c>
      <c r="Q403" s="358">
        <v>8.440973265244818E-2</v>
      </c>
      <c r="R403" s="359">
        <v>0.85</v>
      </c>
      <c r="S403" s="196">
        <v>12042384000</v>
      </c>
      <c r="T403" s="196">
        <v>107300000</v>
      </c>
      <c r="U403" s="200">
        <f t="shared" si="72"/>
        <v>3980830000</v>
      </c>
      <c r="V403" s="196">
        <v>0</v>
      </c>
      <c r="W403" s="196">
        <v>2834000000</v>
      </c>
      <c r="X403" s="196">
        <v>2326000000</v>
      </c>
      <c r="Y403" s="196">
        <v>4665000000</v>
      </c>
      <c r="Z403" s="196">
        <v>1364000000</v>
      </c>
      <c r="AA403" s="198">
        <v>0</v>
      </c>
      <c r="AB403" s="198">
        <v>0</v>
      </c>
      <c r="AC403" s="213">
        <f t="shared" si="73"/>
        <v>945</v>
      </c>
      <c r="AD403" s="213">
        <f t="shared" si="74"/>
        <v>911</v>
      </c>
      <c r="AE403" s="213">
        <v>0.84</v>
      </c>
      <c r="AF403" s="196">
        <v>-285000000</v>
      </c>
      <c r="AG403" s="104">
        <f t="shared" si="75"/>
        <v>-2.6561043802423114</v>
      </c>
      <c r="AH403" s="104">
        <f t="shared" si="76"/>
        <v>0</v>
      </c>
      <c r="AI403" s="195">
        <v>0.68</v>
      </c>
    </row>
    <row r="404" spans="1:48">
      <c r="A404">
        <v>2460</v>
      </c>
      <c r="C404" s="107">
        <f>VLOOKUP(2460,收盤價!$A:$C,3,0)</f>
        <v>10.9</v>
      </c>
      <c r="D404" s="107">
        <f t="shared" si="66"/>
        <v>25.051594746716695</v>
      </c>
      <c r="E404" s="167">
        <f t="shared" si="67"/>
        <v>5</v>
      </c>
      <c r="F404" s="104">
        <f t="shared" si="68"/>
        <v>0.51342797273231666</v>
      </c>
      <c r="G404" s="167">
        <f>RANK(1.08,AE:AE,0)</f>
        <v>769</v>
      </c>
      <c r="H404" s="365">
        <f t="shared" si="69"/>
        <v>1.0123658847063102</v>
      </c>
      <c r="I404" s="213">
        <f t="shared" si="70"/>
        <v>773</v>
      </c>
      <c r="J404" s="213">
        <f t="shared" si="71"/>
        <v>391</v>
      </c>
      <c r="K404">
        <f>RANK(1.34,AI:AI,0)</f>
        <v>655</v>
      </c>
      <c r="L404" s="357">
        <v>1</v>
      </c>
      <c r="M404" s="357">
        <v>1</v>
      </c>
      <c r="N404" s="357">
        <v>2</v>
      </c>
      <c r="O404" s="357">
        <v>1</v>
      </c>
      <c r="P404" s="357">
        <v>0</v>
      </c>
      <c r="Q404" s="358">
        <v>0.15543478260869564</v>
      </c>
      <c r="R404" s="359">
        <v>0.10877551020408165</v>
      </c>
      <c r="S404" s="196">
        <v>3592091000</v>
      </c>
      <c r="T404" s="196">
        <v>169200000</v>
      </c>
      <c r="U404" s="200">
        <f t="shared" si="72"/>
        <v>1844280000</v>
      </c>
      <c r="V404" s="196">
        <v>52000000</v>
      </c>
      <c r="W404" s="196">
        <v>1715000000</v>
      </c>
      <c r="X404" s="196">
        <v>2049000000</v>
      </c>
      <c r="Y404" s="196">
        <v>2925000000</v>
      </c>
      <c r="Z404" s="196">
        <v>1328000000</v>
      </c>
      <c r="AA404" s="198">
        <v>0.01</v>
      </c>
      <c r="AB404" s="198">
        <v>0.01</v>
      </c>
      <c r="AC404" s="213">
        <f t="shared" si="73"/>
        <v>769</v>
      </c>
      <c r="AD404" s="213">
        <f t="shared" si="74"/>
        <v>680</v>
      </c>
      <c r="AE404" s="213">
        <v>1.08</v>
      </c>
      <c r="AF404" s="196">
        <v>76000000</v>
      </c>
      <c r="AG404" s="104">
        <f t="shared" si="75"/>
        <v>0.44917257683215128</v>
      </c>
      <c r="AH404" s="104">
        <f t="shared" si="76"/>
        <v>1.4615384615384615</v>
      </c>
      <c r="AI404" s="195">
        <v>1.34</v>
      </c>
    </row>
    <row r="405" spans="1:48">
      <c r="A405">
        <v>2461</v>
      </c>
      <c r="C405" s="107">
        <f>VLOOKUP(2461,收盤價!$A:$C,3,0)</f>
        <v>16.7</v>
      </c>
      <c r="D405" s="107">
        <f t="shared" si="66"/>
        <v>14.165178571428573</v>
      </c>
      <c r="E405" s="167">
        <f t="shared" si="67"/>
        <v>2</v>
      </c>
      <c r="F405" s="104">
        <f t="shared" si="68"/>
        <v>0.50662197449203294</v>
      </c>
      <c r="G405" s="167">
        <f>RANK(1.63,AE:AE,0)</f>
        <v>551</v>
      </c>
      <c r="H405" s="365">
        <f t="shared" si="69"/>
        <v>0.81970649895178171</v>
      </c>
      <c r="I405" s="213">
        <f t="shared" si="70"/>
        <v>276</v>
      </c>
      <c r="J405" s="213">
        <f t="shared" si="71"/>
        <v>186</v>
      </c>
      <c r="K405">
        <f>RANK(3.37,AI:AI,0)</f>
        <v>137</v>
      </c>
      <c r="L405" s="357">
        <v>0</v>
      </c>
      <c r="M405" s="357">
        <v>1</v>
      </c>
      <c r="N405" s="357">
        <v>0</v>
      </c>
      <c r="O405" s="357">
        <v>1</v>
      </c>
      <c r="P405" s="357">
        <v>0</v>
      </c>
      <c r="Q405" s="358">
        <v>0.27400000000000002</v>
      </c>
      <c r="R405" s="359">
        <v>0.29473684210526313</v>
      </c>
      <c r="S405" s="196">
        <v>4367655000</v>
      </c>
      <c r="T405" s="196">
        <v>132500000</v>
      </c>
      <c r="U405" s="200">
        <f t="shared" si="72"/>
        <v>2212750000</v>
      </c>
      <c r="V405" s="196">
        <v>90000000</v>
      </c>
      <c r="W405" s="196">
        <v>1902000000</v>
      </c>
      <c r="X405" s="196">
        <v>1404000000</v>
      </c>
      <c r="Y405" s="196">
        <v>3235000000</v>
      </c>
      <c r="Z405" s="196">
        <v>1234000000</v>
      </c>
      <c r="AA405" s="198">
        <v>0.03</v>
      </c>
      <c r="AB405" s="198">
        <v>0.02</v>
      </c>
      <c r="AC405" s="213">
        <f t="shared" si="73"/>
        <v>469</v>
      </c>
      <c r="AD405" s="213">
        <f t="shared" si="74"/>
        <v>487</v>
      </c>
      <c r="AE405" s="213">
        <v>1.63</v>
      </c>
      <c r="AF405" s="196">
        <v>230000000</v>
      </c>
      <c r="AG405" s="104">
        <f t="shared" si="75"/>
        <v>1.7358490566037736</v>
      </c>
      <c r="AH405" s="104">
        <f t="shared" si="76"/>
        <v>2.5555555555555554</v>
      </c>
      <c r="AI405" s="195">
        <v>3.37</v>
      </c>
      <c r="AO405" s="213"/>
      <c r="AP405" s="213"/>
      <c r="AQ405" s="213"/>
      <c r="AR405" s="213"/>
      <c r="AS405" s="213"/>
      <c r="AT405" s="213"/>
      <c r="AU405" s="213"/>
      <c r="AV405" s="213"/>
    </row>
    <row r="406" spans="1:48">
      <c r="A406">
        <v>2462</v>
      </c>
      <c r="C406" s="107">
        <f>VLOOKUP(2462,收盤價!$A:$C,3,0)</f>
        <v>20.100000000000001</v>
      </c>
      <c r="D406" s="107">
        <f t="shared" si="66"/>
        <v>34.430555555555557</v>
      </c>
      <c r="E406" s="167">
        <f t="shared" si="67"/>
        <v>4</v>
      </c>
      <c r="F406" s="104">
        <f t="shared" si="68"/>
        <v>0.5258447869309113</v>
      </c>
      <c r="G406" s="167">
        <f>RANK(1.2,AE:AE,0)</f>
        <v>710</v>
      </c>
      <c r="H406" s="365">
        <f t="shared" si="69"/>
        <v>0.45411605937921729</v>
      </c>
      <c r="I406" s="213">
        <f t="shared" si="70"/>
        <v>888</v>
      </c>
      <c r="J406" s="213">
        <f t="shared" si="71"/>
        <v>625</v>
      </c>
      <c r="K406">
        <f>RANK(1.03,AI:AI,0)</f>
        <v>851</v>
      </c>
      <c r="L406" s="357">
        <v>0</v>
      </c>
      <c r="M406" s="357">
        <v>1</v>
      </c>
      <c r="N406" s="357">
        <v>2</v>
      </c>
      <c r="O406" s="357">
        <v>1</v>
      </c>
      <c r="P406" s="357">
        <v>0</v>
      </c>
      <c r="Q406" s="358">
        <v>0.12474849094567404</v>
      </c>
      <c r="R406" s="359">
        <v>0.14594594594594595</v>
      </c>
      <c r="S406" s="196">
        <v>4025009000</v>
      </c>
      <c r="T406" s="196">
        <v>105300000</v>
      </c>
      <c r="U406" s="200">
        <f t="shared" si="72"/>
        <v>2116530000.0000002</v>
      </c>
      <c r="V406" s="196">
        <v>38000000</v>
      </c>
      <c r="W406" s="196">
        <v>1392000000</v>
      </c>
      <c r="X406" s="196">
        <v>491000000</v>
      </c>
      <c r="Y406" s="196">
        <v>2137000000</v>
      </c>
      <c r="Z406" s="196">
        <v>544000000</v>
      </c>
      <c r="AA406" s="198">
        <v>0.02</v>
      </c>
      <c r="AB406" s="198">
        <v>0.01</v>
      </c>
      <c r="AC406" s="213">
        <f t="shared" si="73"/>
        <v>616</v>
      </c>
      <c r="AD406" s="213">
        <f t="shared" si="74"/>
        <v>680</v>
      </c>
      <c r="AE406" s="213">
        <v>1.2</v>
      </c>
      <c r="AF406" s="196">
        <v>27000000</v>
      </c>
      <c r="AG406" s="104">
        <f t="shared" si="75"/>
        <v>0.25641025641025639</v>
      </c>
      <c r="AH406" s="104">
        <f t="shared" si="76"/>
        <v>0.71052631578947367</v>
      </c>
      <c r="AI406" s="195">
        <v>1.03</v>
      </c>
    </row>
    <row r="407" spans="1:48">
      <c r="A407">
        <v>2464</v>
      </c>
      <c r="C407" s="107">
        <f>VLOOKUP(2464,收盤價!$A:$C,3,0)</f>
        <v>41</v>
      </c>
      <c r="D407" s="107">
        <f t="shared" si="66"/>
        <v>16.695523919456203</v>
      </c>
      <c r="E407" s="167">
        <f t="shared" si="67"/>
        <v>2</v>
      </c>
      <c r="F407" s="104">
        <f t="shared" si="68"/>
        <v>0.86613704662441604</v>
      </c>
      <c r="G407" s="167">
        <f>RANK(1.89,AE:AE,0)</f>
        <v>498</v>
      </c>
      <c r="H407" s="365">
        <f t="shared" si="69"/>
        <v>0.30777256129368807</v>
      </c>
      <c r="I407" s="213">
        <f t="shared" si="70"/>
        <v>1268</v>
      </c>
      <c r="J407" s="213">
        <f t="shared" si="71"/>
        <v>768</v>
      </c>
      <c r="K407">
        <f>RANK(0.77,AI:AI,0)</f>
        <v>1243</v>
      </c>
      <c r="L407" s="357">
        <v>0</v>
      </c>
      <c r="M407" s="357">
        <v>1</v>
      </c>
      <c r="N407" s="357">
        <v>1</v>
      </c>
      <c r="O407" s="357">
        <v>0</v>
      </c>
      <c r="P407" s="357">
        <v>0</v>
      </c>
      <c r="Q407" s="358">
        <v>0.16925182481751824</v>
      </c>
      <c r="R407" s="359">
        <v>0.61393700787401573</v>
      </c>
      <c r="S407" s="196">
        <v>9074430000</v>
      </c>
      <c r="T407" s="196">
        <v>191700000</v>
      </c>
      <c r="U407" s="200">
        <f t="shared" si="72"/>
        <v>7859700000</v>
      </c>
      <c r="V407" s="196">
        <v>115000000</v>
      </c>
      <c r="W407" s="196">
        <v>1594000000</v>
      </c>
      <c r="X407" s="196">
        <v>1573000000</v>
      </c>
      <c r="Y407" s="196">
        <v>3357000000</v>
      </c>
      <c r="Z407" s="196">
        <v>1286000000</v>
      </c>
      <c r="AA407" s="198">
        <v>0.04</v>
      </c>
      <c r="AB407" s="198">
        <v>0.02</v>
      </c>
      <c r="AC407" s="213">
        <f t="shared" si="73"/>
        <v>337</v>
      </c>
      <c r="AD407" s="213">
        <f t="shared" si="74"/>
        <v>487</v>
      </c>
      <c r="AE407" s="213">
        <v>1.89</v>
      </c>
      <c r="AF407" s="196">
        <v>-59000000</v>
      </c>
      <c r="AG407" s="104">
        <f t="shared" si="75"/>
        <v>-0.30777256129368807</v>
      </c>
      <c r="AH407" s="104">
        <f t="shared" si="76"/>
        <v>0</v>
      </c>
      <c r="AI407" s="195">
        <v>0.77</v>
      </c>
      <c r="AO407" s="213"/>
      <c r="AP407" s="213"/>
      <c r="AQ407" s="213"/>
      <c r="AR407" s="213"/>
      <c r="AS407" s="213"/>
      <c r="AT407" s="213"/>
      <c r="AU407" s="213"/>
      <c r="AV407" s="213"/>
    </row>
    <row r="408" spans="1:48">
      <c r="A408">
        <v>2465</v>
      </c>
      <c r="C408" s="107">
        <f>VLOOKUP(2465,收盤價!$A:$C,3,0)</f>
        <v>9.51</v>
      </c>
      <c r="D408" s="107">
        <f t="shared" si="66"/>
        <v>0</v>
      </c>
      <c r="E408" s="167">
        <f t="shared" si="67"/>
        <v>3</v>
      </c>
      <c r="F408" s="104">
        <f t="shared" si="68"/>
        <v>0.37755845002351701</v>
      </c>
      <c r="G408" s="167">
        <f>RANK(0.52,AE:AE,0)</f>
        <v>1493</v>
      </c>
      <c r="H408" s="365">
        <f t="shared" si="69"/>
        <v>0.55970149253731338</v>
      </c>
      <c r="I408" s="213">
        <f t="shared" si="70"/>
        <v>1368</v>
      </c>
      <c r="J408" s="213">
        <f t="shared" si="71"/>
        <v>768</v>
      </c>
      <c r="K408">
        <f>RANK(0.73,AI:AI,0)</f>
        <v>1352</v>
      </c>
      <c r="L408" s="357">
        <v>0</v>
      </c>
      <c r="M408" s="357">
        <v>1</v>
      </c>
      <c r="N408" s="357">
        <v>2</v>
      </c>
      <c r="O408" s="357">
        <v>0</v>
      </c>
      <c r="P408" s="357">
        <v>0</v>
      </c>
      <c r="Q408" s="358">
        <v>0.12412831241283125</v>
      </c>
      <c r="R408" s="359">
        <v>0</v>
      </c>
      <c r="S408" s="196">
        <v>2700170000</v>
      </c>
      <c r="T408" s="196">
        <v>107200000</v>
      </c>
      <c r="U408" s="200">
        <f t="shared" si="72"/>
        <v>1019472000</v>
      </c>
      <c r="V408" s="196">
        <v>-37000000</v>
      </c>
      <c r="W408" s="196">
        <v>0</v>
      </c>
      <c r="X408" s="196">
        <v>345000000</v>
      </c>
      <c r="Y408" s="196">
        <v>595000000</v>
      </c>
      <c r="Z408" s="196">
        <v>555000000</v>
      </c>
      <c r="AA408" s="198">
        <v>-0.11</v>
      </c>
      <c r="AB408" s="198">
        <v>-0.03</v>
      </c>
      <c r="AC408" s="213">
        <f t="shared" si="73"/>
        <v>1524</v>
      </c>
      <c r="AD408" s="213">
        <f t="shared" si="74"/>
        <v>1444</v>
      </c>
      <c r="AE408" s="213">
        <v>0.52</v>
      </c>
      <c r="AF408" s="196">
        <v>-60000000</v>
      </c>
      <c r="AG408" s="104">
        <f t="shared" si="75"/>
        <v>-0.55970149253731338</v>
      </c>
      <c r="AH408" s="104">
        <f t="shared" si="76"/>
        <v>0</v>
      </c>
      <c r="AI408" s="195">
        <v>0.73</v>
      </c>
    </row>
    <row r="409" spans="1:48">
      <c r="A409">
        <v>2466</v>
      </c>
      <c r="C409" s="107">
        <f>VLOOKUP(2466,收盤價!$A:$C,3,0)</f>
        <v>33.85</v>
      </c>
      <c r="D409" s="107">
        <f t="shared" si="66"/>
        <v>97.318750000000009</v>
      </c>
      <c r="E409" s="167">
        <f t="shared" si="67"/>
        <v>4</v>
      </c>
      <c r="F409" s="104">
        <f t="shared" si="68"/>
        <v>3.6376052709560449</v>
      </c>
      <c r="G409" s="167">
        <f>RANK(1.2,AE:AE,0)</f>
        <v>710</v>
      </c>
      <c r="H409" s="365">
        <f t="shared" si="69"/>
        <v>0.1343570057581574</v>
      </c>
      <c r="I409" s="213">
        <f t="shared" si="70"/>
        <v>1163</v>
      </c>
      <c r="J409" s="213">
        <f t="shared" si="71"/>
        <v>768</v>
      </c>
      <c r="K409">
        <f>RANK(0.81,AI:AI,0)</f>
        <v>1144</v>
      </c>
      <c r="L409" s="357">
        <v>1</v>
      </c>
      <c r="M409" s="357">
        <v>1</v>
      </c>
      <c r="N409" s="357">
        <v>2</v>
      </c>
      <c r="O409" s="357">
        <v>0</v>
      </c>
      <c r="P409" s="357">
        <v>0</v>
      </c>
      <c r="Q409" s="358">
        <v>0.17193675889328064</v>
      </c>
      <c r="R409" s="359">
        <v>8.6956521739130432E-2</v>
      </c>
      <c r="S409" s="196">
        <v>1454461000</v>
      </c>
      <c r="T409" s="196">
        <v>156300000</v>
      </c>
      <c r="U409" s="200">
        <f t="shared" si="72"/>
        <v>5290755000</v>
      </c>
      <c r="V409" s="196">
        <v>33000000</v>
      </c>
      <c r="W409" s="196">
        <v>421000000</v>
      </c>
      <c r="X409" s="196">
        <v>974000000</v>
      </c>
      <c r="Y409" s="196">
        <v>1812000000</v>
      </c>
      <c r="Z409" s="196">
        <v>1237000000</v>
      </c>
      <c r="AA409" s="198">
        <v>0.02</v>
      </c>
      <c r="AB409" s="198">
        <v>0.01</v>
      </c>
      <c r="AC409" s="213">
        <f t="shared" si="73"/>
        <v>616</v>
      </c>
      <c r="AD409" s="213">
        <f t="shared" si="74"/>
        <v>680</v>
      </c>
      <c r="AE409" s="213">
        <v>1.2</v>
      </c>
      <c r="AF409" s="196">
        <v>-21000000</v>
      </c>
      <c r="AG409" s="104">
        <f t="shared" si="75"/>
        <v>-0.1343570057581574</v>
      </c>
      <c r="AH409" s="104">
        <f t="shared" si="76"/>
        <v>0</v>
      </c>
      <c r="AI409" s="195">
        <v>0.81</v>
      </c>
      <c r="AO409" s="213"/>
      <c r="AP409" s="213"/>
      <c r="AQ409" s="213"/>
      <c r="AR409" s="213"/>
      <c r="AS409" s="213"/>
      <c r="AT409" s="213"/>
      <c r="AU409" s="213"/>
      <c r="AV409" s="213"/>
    </row>
    <row r="410" spans="1:48">
      <c r="A410">
        <v>2467</v>
      </c>
      <c r="C410" s="107">
        <f>VLOOKUP(2467,收盤價!$A:$C,3,0)</f>
        <v>15.7</v>
      </c>
      <c r="D410" s="107">
        <f t="shared" si="66"/>
        <v>8.3257575757575761</v>
      </c>
      <c r="E410" s="167">
        <f t="shared" si="67"/>
        <v>3</v>
      </c>
      <c r="F410" s="104">
        <f t="shared" si="68"/>
        <v>0.6939155979573467</v>
      </c>
      <c r="G410" s="167">
        <f>RANK(1.63,AE:AE,0)</f>
        <v>551</v>
      </c>
      <c r="H410" s="365">
        <f t="shared" si="69"/>
        <v>2.2505742220054064</v>
      </c>
      <c r="I410" s="213">
        <f t="shared" si="70"/>
        <v>363</v>
      </c>
      <c r="J410" s="213">
        <f t="shared" si="71"/>
        <v>123</v>
      </c>
      <c r="K410">
        <f>RANK(3.21,AI:AI,0)</f>
        <v>147</v>
      </c>
      <c r="L410" s="357">
        <v>0</v>
      </c>
      <c r="M410" s="357">
        <v>0</v>
      </c>
      <c r="N410" s="357">
        <v>2</v>
      </c>
      <c r="O410" s="357">
        <v>1</v>
      </c>
      <c r="P410" s="357">
        <v>0</v>
      </c>
      <c r="Q410" s="358">
        <v>0.29022082018927448</v>
      </c>
      <c r="R410" s="359">
        <v>0.47142857142857142</v>
      </c>
      <c r="S410" s="196">
        <v>3590624000</v>
      </c>
      <c r="T410" s="196">
        <v>158700000</v>
      </c>
      <c r="U410" s="200">
        <f t="shared" si="72"/>
        <v>2491590000</v>
      </c>
      <c r="V410" s="196">
        <v>62000000</v>
      </c>
      <c r="W410" s="196">
        <v>1152000000</v>
      </c>
      <c r="X410" s="196">
        <v>798000000</v>
      </c>
      <c r="Y410" s="196">
        <v>1943000000</v>
      </c>
      <c r="Z410" s="196">
        <v>1078000000</v>
      </c>
      <c r="AA410" s="198">
        <v>0.03</v>
      </c>
      <c r="AB410" s="198">
        <v>0.02</v>
      </c>
      <c r="AC410" s="213">
        <f t="shared" si="73"/>
        <v>469</v>
      </c>
      <c r="AD410" s="213">
        <f t="shared" si="74"/>
        <v>487</v>
      </c>
      <c r="AE410" s="213">
        <v>1.63</v>
      </c>
      <c r="AF410" s="196">
        <v>229000000</v>
      </c>
      <c r="AG410" s="104">
        <f t="shared" si="75"/>
        <v>1.4429741650913674</v>
      </c>
      <c r="AH410" s="104">
        <f t="shared" si="76"/>
        <v>3.693548387096774</v>
      </c>
      <c r="AI410" s="195">
        <v>3.21</v>
      </c>
    </row>
    <row r="411" spans="1:48">
      <c r="A411">
        <v>2468</v>
      </c>
      <c r="C411" s="107">
        <f>VLOOKUP(2468,收盤價!$A:$C,3,0)</f>
        <v>10.95</v>
      </c>
      <c r="D411" s="107">
        <f t="shared" si="66"/>
        <v>12.443181818181817</v>
      </c>
      <c r="E411" s="167">
        <f t="shared" si="67"/>
        <v>2</v>
      </c>
      <c r="F411" s="104">
        <f t="shared" si="68"/>
        <v>0.53850012435032224</v>
      </c>
      <c r="G411" s="167">
        <f>RANK(1.41,AE:AE,0)</f>
        <v>618</v>
      </c>
      <c r="H411" s="365">
        <f t="shared" si="69"/>
        <v>0.87142857142857144</v>
      </c>
      <c r="I411" s="213">
        <f t="shared" si="70"/>
        <v>1426</v>
      </c>
      <c r="J411" s="213">
        <f t="shared" si="71"/>
        <v>768</v>
      </c>
      <c r="K411">
        <f>RANK(0.71,AI:AI,0)</f>
        <v>1412</v>
      </c>
      <c r="L411" s="357">
        <v>0</v>
      </c>
      <c r="M411" s="357">
        <v>1</v>
      </c>
      <c r="N411" s="357">
        <v>1</v>
      </c>
      <c r="O411" s="357">
        <v>0</v>
      </c>
      <c r="P411" s="357">
        <v>0</v>
      </c>
      <c r="Q411" s="358">
        <v>0.1544943820224719</v>
      </c>
      <c r="R411" s="359">
        <v>0.22</v>
      </c>
      <c r="S411" s="196">
        <v>1423398000</v>
      </c>
      <c r="T411" s="196">
        <v>70000000</v>
      </c>
      <c r="U411" s="200">
        <f t="shared" si="72"/>
        <v>766500000</v>
      </c>
      <c r="V411" s="196">
        <v>18000000</v>
      </c>
      <c r="W411" s="196">
        <v>553000000</v>
      </c>
      <c r="X411" s="196">
        <v>264000000</v>
      </c>
      <c r="Y411" s="196">
        <v>1104000000</v>
      </c>
      <c r="Z411" s="196">
        <v>0</v>
      </c>
      <c r="AA411" s="198">
        <v>0.02</v>
      </c>
      <c r="AB411" s="198">
        <v>0.02</v>
      </c>
      <c r="AC411" s="213">
        <f t="shared" si="73"/>
        <v>616</v>
      </c>
      <c r="AD411" s="213">
        <f t="shared" si="74"/>
        <v>487</v>
      </c>
      <c r="AE411" s="213">
        <v>1.41</v>
      </c>
      <c r="AF411" s="196">
        <v>-61000000</v>
      </c>
      <c r="AG411" s="104">
        <f t="shared" si="75"/>
        <v>-0.87142857142857144</v>
      </c>
      <c r="AH411" s="104">
        <f t="shared" si="76"/>
        <v>0</v>
      </c>
      <c r="AI411" s="195">
        <v>0.71</v>
      </c>
    </row>
    <row r="412" spans="1:48">
      <c r="A412">
        <v>2471</v>
      </c>
      <c r="C412" s="107">
        <f>VLOOKUP(2471,收盤價!$A:$C,3,0)</f>
        <v>13.5</v>
      </c>
      <c r="D412" s="107">
        <f t="shared" si="66"/>
        <v>0</v>
      </c>
      <c r="E412" s="167">
        <f t="shared" si="67"/>
        <v>2</v>
      </c>
      <c r="F412" s="104">
        <f t="shared" si="68"/>
        <v>0.97838977467387012</v>
      </c>
      <c r="G412" s="167">
        <f>RANK(0.56,AE:AE,0)</f>
        <v>1414</v>
      </c>
      <c r="H412" s="365">
        <f t="shared" si="69"/>
        <v>-0.21141649048625794</v>
      </c>
      <c r="I412" s="213">
        <f t="shared" si="70"/>
        <v>928</v>
      </c>
      <c r="J412" s="213">
        <f t="shared" si="71"/>
        <v>768</v>
      </c>
      <c r="K412">
        <f>RANK(0.92,AI:AI,0)</f>
        <v>958</v>
      </c>
      <c r="L412" s="357">
        <v>0</v>
      </c>
      <c r="M412" s="357">
        <v>0</v>
      </c>
      <c r="N412" s="357">
        <v>1</v>
      </c>
      <c r="O412" s="357">
        <v>1</v>
      </c>
      <c r="P412" s="357">
        <v>0</v>
      </c>
      <c r="Q412" s="358">
        <v>0.296875</v>
      </c>
      <c r="R412" s="359">
        <v>0</v>
      </c>
      <c r="S412" s="196">
        <v>652654000</v>
      </c>
      <c r="T412" s="196">
        <v>47300000</v>
      </c>
      <c r="U412" s="200">
        <f t="shared" si="72"/>
        <v>638550000</v>
      </c>
      <c r="V412" s="196">
        <v>-16000000</v>
      </c>
      <c r="W412" s="196">
        <v>624000000</v>
      </c>
      <c r="X412" s="196">
        <v>7000000</v>
      </c>
      <c r="Y412" s="196">
        <v>655000000</v>
      </c>
      <c r="Z412" s="196">
        <v>0</v>
      </c>
      <c r="AA412" s="198">
        <v>-0.03</v>
      </c>
      <c r="AB412" s="198">
        <v>-0.02</v>
      </c>
      <c r="AC412" s="213">
        <f t="shared" si="73"/>
        <v>1405</v>
      </c>
      <c r="AD412" s="213">
        <f t="shared" si="74"/>
        <v>1388</v>
      </c>
      <c r="AE412" s="213">
        <v>0.56000000000000005</v>
      </c>
      <c r="AF412" s="196">
        <v>10000000</v>
      </c>
      <c r="AG412" s="104">
        <f t="shared" si="75"/>
        <v>0.21141649048625794</v>
      </c>
      <c r="AH412" s="104">
        <f t="shared" si="76"/>
        <v>0</v>
      </c>
      <c r="AI412" s="195">
        <v>0.92</v>
      </c>
      <c r="AO412" s="213"/>
      <c r="AP412" s="213"/>
      <c r="AQ412" s="213"/>
      <c r="AR412" s="213"/>
      <c r="AS412" s="213"/>
      <c r="AT412" s="213"/>
      <c r="AU412" s="213"/>
      <c r="AV412" s="213"/>
    </row>
    <row r="413" spans="1:48">
      <c r="A413">
        <v>2472</v>
      </c>
      <c r="C413" s="107">
        <f>VLOOKUP(2472,收盤價!$A:$C,3,0)</f>
        <v>39.65</v>
      </c>
      <c r="D413" s="107">
        <f t="shared" si="66"/>
        <v>11.990927419354836</v>
      </c>
      <c r="E413" s="167">
        <f t="shared" si="67"/>
        <v>1</v>
      </c>
      <c r="F413" s="104">
        <f t="shared" si="68"/>
        <v>0.89848160325894055</v>
      </c>
      <c r="G413" s="167">
        <f>RANK(2.68,AE:AE,0)</f>
        <v>341</v>
      </c>
      <c r="H413" s="365">
        <f t="shared" si="69"/>
        <v>-0.22693089430894309</v>
      </c>
      <c r="I413" s="213">
        <f t="shared" si="70"/>
        <v>654</v>
      </c>
      <c r="J413" s="213">
        <f t="shared" si="71"/>
        <v>689</v>
      </c>
      <c r="K413">
        <f>RANK(1.16,AI:AI,0)</f>
        <v>750</v>
      </c>
      <c r="L413" s="357">
        <v>0</v>
      </c>
      <c r="M413" s="357">
        <v>1</v>
      </c>
      <c r="N413" s="357">
        <v>0</v>
      </c>
      <c r="O413" s="357">
        <v>0</v>
      </c>
      <c r="P413" s="357">
        <v>0</v>
      </c>
      <c r="Q413" s="358">
        <v>0.24444444444444444</v>
      </c>
      <c r="R413" s="359">
        <v>0.82666666666666677</v>
      </c>
      <c r="S413" s="196">
        <v>5789857000</v>
      </c>
      <c r="T413" s="196">
        <v>131200000</v>
      </c>
      <c r="U413" s="200">
        <f t="shared" si="72"/>
        <v>5202080000</v>
      </c>
      <c r="V413" s="196">
        <v>195000000</v>
      </c>
      <c r="W413" s="196">
        <v>1542000000</v>
      </c>
      <c r="X413" s="196">
        <v>2712000000</v>
      </c>
      <c r="Y413" s="196">
        <v>4715000000</v>
      </c>
      <c r="Z413" s="196">
        <v>1985000000</v>
      </c>
      <c r="AA413" s="198">
        <v>0.05</v>
      </c>
      <c r="AB413" s="198">
        <v>0.03</v>
      </c>
      <c r="AC413" s="213">
        <f t="shared" si="73"/>
        <v>247</v>
      </c>
      <c r="AD413" s="213">
        <f t="shared" si="74"/>
        <v>334</v>
      </c>
      <c r="AE413" s="213">
        <v>2.68</v>
      </c>
      <c r="AF413" s="196">
        <v>91000000</v>
      </c>
      <c r="AG413" s="104">
        <f t="shared" si="75"/>
        <v>0.69359756097560976</v>
      </c>
      <c r="AH413" s="104">
        <f t="shared" si="76"/>
        <v>0.46666666666666667</v>
      </c>
      <c r="AI413" s="195">
        <v>1.1599999999999999</v>
      </c>
      <c r="AO413" s="213"/>
      <c r="AP413" s="213"/>
      <c r="AQ413" s="213"/>
      <c r="AR413" s="213"/>
      <c r="AS413" s="213"/>
      <c r="AT413" s="213"/>
      <c r="AU413" s="213"/>
      <c r="AV413" s="213"/>
    </row>
    <row r="414" spans="1:48">
      <c r="A414" s="213">
        <v>2474</v>
      </c>
      <c r="C414" s="107">
        <f>VLOOKUP(2474,收盤價!$A:$C,3,0)</f>
        <v>246</v>
      </c>
      <c r="D414" s="107">
        <f t="shared" si="66"/>
        <v>17.049512878035205</v>
      </c>
      <c r="E414" s="167">
        <f t="shared" si="67"/>
        <v>2</v>
      </c>
      <c r="F414" s="104">
        <f t="shared" si="68"/>
        <v>2.3987568481972543</v>
      </c>
      <c r="G414" s="167">
        <f>RANK(2.76,AE:AE,0)</f>
        <v>305</v>
      </c>
      <c r="H414" s="365">
        <f t="shared" si="69"/>
        <v>-3.7284893594780115</v>
      </c>
      <c r="I414" s="213">
        <f t="shared" si="70"/>
        <v>56</v>
      </c>
      <c r="J414" s="213">
        <f t="shared" si="71"/>
        <v>631</v>
      </c>
      <c r="K414" s="213">
        <f>RANK(2.27,AI:AI,0)</f>
        <v>283</v>
      </c>
      <c r="L414" s="357">
        <v>0</v>
      </c>
      <c r="M414" s="357">
        <v>0</v>
      </c>
      <c r="N414" s="357">
        <v>1</v>
      </c>
      <c r="O414" s="357">
        <v>1</v>
      </c>
      <c r="P414" s="357">
        <v>0</v>
      </c>
      <c r="Q414" s="358">
        <v>0.36110477060031954</v>
      </c>
      <c r="R414" s="359">
        <v>3.6071411799236865</v>
      </c>
      <c r="S414" s="196">
        <v>79006924000</v>
      </c>
      <c r="T414" s="196">
        <v>770400000</v>
      </c>
      <c r="U414" s="200">
        <f t="shared" si="72"/>
        <v>189518400000</v>
      </c>
      <c r="V414" s="196">
        <v>4957000000</v>
      </c>
      <c r="W414" s="196">
        <v>57163000000</v>
      </c>
      <c r="X414" s="196">
        <v>54720000000</v>
      </c>
      <c r="Y414" s="196">
        <v>112693000000</v>
      </c>
      <c r="Z414" s="196">
        <v>28632000000</v>
      </c>
      <c r="AA414" s="198">
        <v>0.04</v>
      </c>
      <c r="AB414" s="198">
        <v>0.04</v>
      </c>
      <c r="AC414" s="213">
        <f t="shared" si="73"/>
        <v>337</v>
      </c>
      <c r="AD414" s="213">
        <f t="shared" si="74"/>
        <v>228</v>
      </c>
      <c r="AE414" s="213">
        <v>2.76</v>
      </c>
      <c r="AF414" s="196">
        <v>3401000000</v>
      </c>
      <c r="AG414" s="104">
        <f t="shared" si="75"/>
        <v>4.4145898234683285</v>
      </c>
      <c r="AH414" s="104">
        <f t="shared" si="76"/>
        <v>0.68610046399031677</v>
      </c>
      <c r="AI414" s="195">
        <v>2.27</v>
      </c>
    </row>
    <row r="415" spans="1:48">
      <c r="A415">
        <v>2475</v>
      </c>
      <c r="C415" s="107">
        <f>VLOOKUP(2475,收盤價!$A:$C,3,0)</f>
        <v>1.58</v>
      </c>
      <c r="D415" s="107">
        <f t="shared" si="66"/>
        <v>0</v>
      </c>
      <c r="E415" s="167">
        <f t="shared" si="67"/>
        <v>3</v>
      </c>
      <c r="F415" s="104">
        <f t="shared" si="68"/>
        <v>0.24655413145867347</v>
      </c>
      <c r="G415" s="167">
        <f>RANK(0.84,AE:AE,0)</f>
        <v>946</v>
      </c>
      <c r="H415" s="365">
        <f t="shared" si="69"/>
        <v>6.9449803225557528E-3</v>
      </c>
      <c r="I415" s="213">
        <f t="shared" si="70"/>
        <v>1075</v>
      </c>
      <c r="J415" s="213">
        <f t="shared" si="71"/>
        <v>768</v>
      </c>
      <c r="K415">
        <f>RANK(0.85,AI:AI,0)</f>
        <v>1059</v>
      </c>
      <c r="L415" s="357">
        <v>0</v>
      </c>
      <c r="M415" s="357">
        <v>1</v>
      </c>
      <c r="N415" s="357">
        <v>2</v>
      </c>
      <c r="O415" s="357">
        <v>0</v>
      </c>
      <c r="P415" s="357">
        <v>0</v>
      </c>
      <c r="Q415" s="358">
        <v>6.8351284175642082E-2</v>
      </c>
      <c r="R415" s="359">
        <v>0</v>
      </c>
      <c r="S415" s="196">
        <v>41522768000</v>
      </c>
      <c r="T415" s="196">
        <v>6479500000</v>
      </c>
      <c r="U415" s="200">
        <f t="shared" si="72"/>
        <v>10237610000</v>
      </c>
      <c r="V415" s="196">
        <v>-154000000</v>
      </c>
      <c r="W415" s="196">
        <v>0</v>
      </c>
      <c r="X415" s="196">
        <v>40981000000</v>
      </c>
      <c r="Y415" s="196">
        <v>9751000000</v>
      </c>
      <c r="Z415" s="196">
        <v>65938000000</v>
      </c>
      <c r="AA415" s="198">
        <v>0</v>
      </c>
      <c r="AB415" s="198">
        <v>0</v>
      </c>
      <c r="AC415" s="213">
        <f t="shared" si="73"/>
        <v>945</v>
      </c>
      <c r="AD415" s="213">
        <f t="shared" si="74"/>
        <v>911</v>
      </c>
      <c r="AE415" s="213">
        <v>0.84</v>
      </c>
      <c r="AF415" s="196">
        <v>-45000000</v>
      </c>
      <c r="AG415" s="104">
        <f t="shared" si="75"/>
        <v>-6.9449803225557528E-3</v>
      </c>
      <c r="AH415" s="104">
        <f t="shared" si="76"/>
        <v>0</v>
      </c>
      <c r="AI415" s="195">
        <v>0.85</v>
      </c>
      <c r="AO415" s="213"/>
      <c r="AP415" s="213"/>
      <c r="AQ415" s="213"/>
      <c r="AR415" s="213"/>
      <c r="AS415" s="213"/>
      <c r="AT415" s="213"/>
      <c r="AU415" s="213"/>
      <c r="AV415" s="213"/>
    </row>
    <row r="416" spans="1:48">
      <c r="A416">
        <v>2476</v>
      </c>
      <c r="C416" s="107">
        <f>VLOOKUP(2476,收盤價!$A:$C,3,0)</f>
        <v>25.15</v>
      </c>
      <c r="D416" s="107">
        <f t="shared" si="66"/>
        <v>10.683408295852074</v>
      </c>
      <c r="E416" s="167">
        <f t="shared" si="67"/>
        <v>4</v>
      </c>
      <c r="F416" s="104">
        <f t="shared" si="68"/>
        <v>0.96145780244870827</v>
      </c>
      <c r="G416" s="167">
        <f>RANK(1.94,AE:AE,0)</f>
        <v>435</v>
      </c>
      <c r="H416" s="365">
        <f t="shared" si="69"/>
        <v>5.716214340689163E-2</v>
      </c>
      <c r="I416" s="213">
        <f t="shared" si="70"/>
        <v>429</v>
      </c>
      <c r="J416" s="213">
        <f t="shared" si="71"/>
        <v>436</v>
      </c>
      <c r="K416">
        <f>RANK(1.8,AI:AI,0)</f>
        <v>414</v>
      </c>
      <c r="L416" s="357">
        <v>0</v>
      </c>
      <c r="M416" s="357">
        <v>1</v>
      </c>
      <c r="N416" s="357">
        <v>2</v>
      </c>
      <c r="O416" s="357">
        <v>1</v>
      </c>
      <c r="P416" s="357">
        <v>0</v>
      </c>
      <c r="Q416" s="358">
        <v>0.3</v>
      </c>
      <c r="R416" s="359">
        <v>0.58852941176470586</v>
      </c>
      <c r="S416" s="196">
        <v>4766023000</v>
      </c>
      <c r="T416" s="196">
        <v>182200000</v>
      </c>
      <c r="U416" s="200">
        <f t="shared" si="72"/>
        <v>4582330000</v>
      </c>
      <c r="V416" s="196">
        <v>174000000</v>
      </c>
      <c r="W416" s="196">
        <v>3575000000</v>
      </c>
      <c r="X416" s="196">
        <v>1448000000</v>
      </c>
      <c r="Y416" s="196">
        <v>4936000000</v>
      </c>
      <c r="Z416" s="196">
        <v>226000000</v>
      </c>
      <c r="AA416" s="198">
        <v>0.03</v>
      </c>
      <c r="AB416" s="198">
        <v>0.03</v>
      </c>
      <c r="AC416" s="213">
        <f t="shared" si="73"/>
        <v>469</v>
      </c>
      <c r="AD416" s="213">
        <f t="shared" si="74"/>
        <v>334</v>
      </c>
      <c r="AE416" s="213">
        <v>1.94</v>
      </c>
      <c r="AF416" s="196">
        <v>221000000</v>
      </c>
      <c r="AG416" s="104">
        <f t="shared" si="75"/>
        <v>1.2129527991218441</v>
      </c>
      <c r="AH416" s="104">
        <f t="shared" si="76"/>
        <v>1.2701149425287357</v>
      </c>
      <c r="AI416" s="195">
        <v>1.8</v>
      </c>
    </row>
    <row r="417" spans="1:48">
      <c r="A417">
        <v>2477</v>
      </c>
      <c r="C417" s="107">
        <f>VLOOKUP(2477,收盤價!$A:$C,3,0)</f>
        <v>13.85</v>
      </c>
      <c r="D417" s="107">
        <f t="shared" si="66"/>
        <v>20.120530012771393</v>
      </c>
      <c r="E417" s="167">
        <f t="shared" si="67"/>
        <v>3</v>
      </c>
      <c r="F417" s="104">
        <f t="shared" si="68"/>
        <v>0.84302647160930477</v>
      </c>
      <c r="G417" s="167">
        <f>RANK(1.2,AE:AE,0)</f>
        <v>710</v>
      </c>
      <c r="H417" s="365">
        <f t="shared" si="69"/>
        <v>0.37784376427592509</v>
      </c>
      <c r="I417" s="213">
        <f t="shared" si="70"/>
        <v>984</v>
      </c>
      <c r="J417" s="213">
        <f t="shared" si="71"/>
        <v>682</v>
      </c>
      <c r="K417">
        <f>RANK(0.94,AI:AI,0)</f>
        <v>936</v>
      </c>
      <c r="L417" s="357">
        <v>0</v>
      </c>
      <c r="M417" s="357">
        <v>1</v>
      </c>
      <c r="N417" s="357">
        <v>1</v>
      </c>
      <c r="O417" s="357">
        <v>1</v>
      </c>
      <c r="P417" s="357">
        <v>0</v>
      </c>
      <c r="Q417" s="358">
        <v>0.2064102564102564</v>
      </c>
      <c r="R417" s="359">
        <v>0.17208791208791208</v>
      </c>
      <c r="S417" s="196">
        <v>3923222000</v>
      </c>
      <c r="T417" s="196">
        <v>238800000</v>
      </c>
      <c r="U417" s="200">
        <f t="shared" si="72"/>
        <v>3307380000</v>
      </c>
      <c r="V417" s="196">
        <v>55000000</v>
      </c>
      <c r="W417" s="196">
        <v>1764000000</v>
      </c>
      <c r="X417" s="196">
        <v>969000000</v>
      </c>
      <c r="Y417" s="196">
        <v>3508000000</v>
      </c>
      <c r="Z417" s="196">
        <v>355000000</v>
      </c>
      <c r="AA417" s="198">
        <v>0.02</v>
      </c>
      <c r="AB417" s="198">
        <v>0.01</v>
      </c>
      <c r="AC417" s="213">
        <f t="shared" si="73"/>
        <v>616</v>
      </c>
      <c r="AD417" s="213">
        <f t="shared" si="74"/>
        <v>680</v>
      </c>
      <c r="AE417" s="213">
        <v>1.2</v>
      </c>
      <c r="AF417" s="196">
        <v>27000000</v>
      </c>
      <c r="AG417" s="104">
        <f t="shared" si="75"/>
        <v>0.11306532663316583</v>
      </c>
      <c r="AH417" s="104">
        <f t="shared" si="76"/>
        <v>0.49090909090909091</v>
      </c>
      <c r="AI417" s="195">
        <v>0.94</v>
      </c>
      <c r="AO417" s="213"/>
      <c r="AP417" s="213"/>
      <c r="AQ417" s="213"/>
      <c r="AR417" s="213"/>
      <c r="AS417" s="213"/>
      <c r="AT417" s="213"/>
      <c r="AU417" s="213"/>
      <c r="AV417" s="213"/>
    </row>
    <row r="418" spans="1:48">
      <c r="A418">
        <v>2478</v>
      </c>
      <c r="C418" s="107">
        <f>VLOOKUP(2478,收盤價!$A:$C,3,0)</f>
        <v>19.899999999999999</v>
      </c>
      <c r="D418" s="107">
        <f t="shared" si="66"/>
        <v>23.69047619047619</v>
      </c>
      <c r="E418" s="167">
        <f t="shared" si="67"/>
        <v>3</v>
      </c>
      <c r="F418" s="104">
        <f t="shared" si="68"/>
        <v>1.3211311410340687</v>
      </c>
      <c r="G418" s="167">
        <f>RANK(1.08,AE:AE,0)</f>
        <v>769</v>
      </c>
      <c r="H418" s="365">
        <f t="shared" si="69"/>
        <v>0.73106563911772526</v>
      </c>
      <c r="I418" s="213">
        <f t="shared" si="70"/>
        <v>873</v>
      </c>
      <c r="J418" s="213">
        <f t="shared" si="71"/>
        <v>527</v>
      </c>
      <c r="K418">
        <f>RANK(1.11,AI:AI,0)</f>
        <v>788</v>
      </c>
      <c r="L418" s="357">
        <v>0</v>
      </c>
      <c r="M418" s="357">
        <v>1</v>
      </c>
      <c r="N418" s="357">
        <v>1</v>
      </c>
      <c r="O418" s="357">
        <v>1</v>
      </c>
      <c r="P418" s="357">
        <v>0</v>
      </c>
      <c r="Q418" s="358">
        <v>0.19348054679284962</v>
      </c>
      <c r="R418" s="359">
        <v>0.21</v>
      </c>
      <c r="S418" s="196">
        <v>3831989000</v>
      </c>
      <c r="T418" s="196">
        <v>254400000</v>
      </c>
      <c r="U418" s="200">
        <f t="shared" si="72"/>
        <v>5062560000</v>
      </c>
      <c r="V418" s="196">
        <v>71000000</v>
      </c>
      <c r="W418" s="196">
        <v>2619000000</v>
      </c>
      <c r="X418" s="196">
        <v>2959000000</v>
      </c>
      <c r="Y418" s="196">
        <v>5216000000</v>
      </c>
      <c r="Z418" s="196">
        <v>125000000</v>
      </c>
      <c r="AA418" s="198">
        <v>0.01</v>
      </c>
      <c r="AB418" s="198">
        <v>0.01</v>
      </c>
      <c r="AC418" s="213">
        <f t="shared" si="73"/>
        <v>769</v>
      </c>
      <c r="AD418" s="213">
        <f t="shared" si="74"/>
        <v>680</v>
      </c>
      <c r="AE418" s="213">
        <v>1.08</v>
      </c>
      <c r="AF418" s="196">
        <v>72000000</v>
      </c>
      <c r="AG418" s="104">
        <f t="shared" si="75"/>
        <v>0.28301886792452829</v>
      </c>
      <c r="AH418" s="104">
        <f t="shared" si="76"/>
        <v>1.0140845070422535</v>
      </c>
      <c r="AI418" s="195">
        <v>1.1100000000000001</v>
      </c>
    </row>
    <row r="419" spans="1:48">
      <c r="A419">
        <v>2480</v>
      </c>
      <c r="C419" s="107">
        <f>VLOOKUP(2480,收盤價!$A:$C,3,0)</f>
        <v>25.85</v>
      </c>
      <c r="D419" s="107">
        <f t="shared" si="66"/>
        <v>13.412735849056604</v>
      </c>
      <c r="E419" s="167">
        <f t="shared" si="67"/>
        <v>1</v>
      </c>
      <c r="F419" s="104">
        <f t="shared" si="68"/>
        <v>0.84301036142256303</v>
      </c>
      <c r="G419" s="167">
        <f>RANK(2.32,AE:AE,0)</f>
        <v>360</v>
      </c>
      <c r="H419" s="365">
        <f t="shared" si="69"/>
        <v>0.84210526315789469</v>
      </c>
      <c r="I419" s="213">
        <f t="shared" si="70"/>
        <v>1419</v>
      </c>
      <c r="J419" s="213">
        <f t="shared" si="71"/>
        <v>768</v>
      </c>
      <c r="K419">
        <f>RANK(0.71,AI:AI,0)</f>
        <v>1412</v>
      </c>
      <c r="L419" s="357">
        <v>0</v>
      </c>
      <c r="M419" s="357">
        <v>1</v>
      </c>
      <c r="N419" s="357">
        <v>0</v>
      </c>
      <c r="O419" s="357">
        <v>0</v>
      </c>
      <c r="P419" s="357">
        <v>0</v>
      </c>
      <c r="Q419" s="358">
        <v>0.29890109890109889</v>
      </c>
      <c r="R419" s="359">
        <v>0.48181818181818181</v>
      </c>
      <c r="S419" s="196">
        <v>4078301000</v>
      </c>
      <c r="T419" s="196">
        <v>133000000</v>
      </c>
      <c r="U419" s="200">
        <f t="shared" si="72"/>
        <v>3438050000</v>
      </c>
      <c r="V419" s="196">
        <v>80000000</v>
      </c>
      <c r="W419" s="196">
        <v>1750000000</v>
      </c>
      <c r="X419" s="196">
        <v>374000000</v>
      </c>
      <c r="Y419" s="196">
        <v>2616000000</v>
      </c>
      <c r="Z419" s="196">
        <v>0</v>
      </c>
      <c r="AA419" s="198">
        <v>0.04</v>
      </c>
      <c r="AB419" s="198">
        <v>0.03</v>
      </c>
      <c r="AC419" s="213">
        <f t="shared" si="73"/>
        <v>337</v>
      </c>
      <c r="AD419" s="213">
        <f t="shared" si="74"/>
        <v>334</v>
      </c>
      <c r="AE419" s="213">
        <v>2.3199999999999998</v>
      </c>
      <c r="AF419" s="196">
        <v>-112000000</v>
      </c>
      <c r="AG419" s="104">
        <f t="shared" si="75"/>
        <v>-0.84210526315789469</v>
      </c>
      <c r="AH419" s="104">
        <f t="shared" si="76"/>
        <v>0</v>
      </c>
      <c r="AI419" s="195">
        <v>0.71</v>
      </c>
      <c r="AO419" s="213"/>
      <c r="AP419" s="213"/>
      <c r="AQ419" s="213"/>
      <c r="AR419" s="213"/>
      <c r="AS419" s="213"/>
      <c r="AT419" s="213"/>
      <c r="AU419" s="213"/>
      <c r="AV419" s="213"/>
    </row>
    <row r="420" spans="1:48">
      <c r="A420">
        <v>2481</v>
      </c>
      <c r="C420" s="107">
        <f>VLOOKUP(2481,收盤價!$A:$C,3,0)</f>
        <v>15.15</v>
      </c>
      <c r="D420" s="107">
        <f t="shared" si="66"/>
        <v>12.981846978557504</v>
      </c>
      <c r="E420" s="167">
        <f t="shared" si="67"/>
        <v>2</v>
      </c>
      <c r="F420" s="104">
        <f t="shared" si="68"/>
        <v>0.41703649665540443</v>
      </c>
      <c r="G420" s="167">
        <f>RANK(1.41,AE:AE,0)</f>
        <v>618</v>
      </c>
      <c r="H420" s="365">
        <f t="shared" si="69"/>
        <v>1.1829513226552013</v>
      </c>
      <c r="I420" s="213">
        <f t="shared" si="70"/>
        <v>272</v>
      </c>
      <c r="J420" s="213">
        <f t="shared" si="71"/>
        <v>162</v>
      </c>
      <c r="K420">
        <f>RANK(3.59,AI:AI,0)</f>
        <v>120</v>
      </c>
      <c r="L420" s="357">
        <v>0</v>
      </c>
      <c r="M420" s="357">
        <v>1</v>
      </c>
      <c r="N420" s="357">
        <v>0</v>
      </c>
      <c r="O420" s="357">
        <v>1</v>
      </c>
      <c r="P420" s="357">
        <v>0</v>
      </c>
      <c r="Q420" s="358">
        <v>0.18635558180744241</v>
      </c>
      <c r="R420" s="359">
        <v>0.29175355450236967</v>
      </c>
      <c r="S420" s="196">
        <v>13208772000</v>
      </c>
      <c r="T420" s="196">
        <v>363600000</v>
      </c>
      <c r="U420" s="200">
        <f t="shared" si="72"/>
        <v>5508540000</v>
      </c>
      <c r="V420" s="196">
        <v>218000000</v>
      </c>
      <c r="W420" s="196">
        <v>1869000000</v>
      </c>
      <c r="X420" s="196">
        <v>7795000000</v>
      </c>
      <c r="Y420" s="196">
        <v>8436000000</v>
      </c>
      <c r="Z420" s="196">
        <v>2802000000</v>
      </c>
      <c r="AA420" s="198">
        <v>0.02</v>
      </c>
      <c r="AB420" s="198">
        <v>0.02</v>
      </c>
      <c r="AC420" s="213">
        <f t="shared" si="73"/>
        <v>616</v>
      </c>
      <c r="AD420" s="213">
        <f t="shared" si="74"/>
        <v>487</v>
      </c>
      <c r="AE420" s="213">
        <v>1.41</v>
      </c>
      <c r="AF420" s="196">
        <v>644000000</v>
      </c>
      <c r="AG420" s="104">
        <f t="shared" si="75"/>
        <v>1.7711771177117712</v>
      </c>
      <c r="AH420" s="104">
        <f t="shared" si="76"/>
        <v>2.9541284403669725</v>
      </c>
      <c r="AI420" s="195">
        <v>3.59</v>
      </c>
      <c r="AO420" s="213"/>
      <c r="AP420" s="213"/>
      <c r="AQ420" s="213"/>
      <c r="AR420" s="213"/>
      <c r="AS420" s="213"/>
      <c r="AT420" s="213"/>
      <c r="AU420" s="213"/>
      <c r="AV420" s="213"/>
    </row>
    <row r="421" spans="1:48">
      <c r="A421">
        <v>2482</v>
      </c>
      <c r="C421" s="107">
        <f>VLOOKUP(2482,收盤價!$A:$C,3,0)</f>
        <v>13.75</v>
      </c>
      <c r="D421" s="107">
        <f t="shared" si="66"/>
        <v>0</v>
      </c>
      <c r="E421" s="167">
        <f t="shared" si="67"/>
        <v>1</v>
      </c>
      <c r="F421" s="104">
        <f t="shared" si="68"/>
        <v>1.0085455447415668</v>
      </c>
      <c r="G421" s="167">
        <f>RANK(0.84,AE:AE,0)</f>
        <v>946</v>
      </c>
      <c r="H421" s="365">
        <f t="shared" si="69"/>
        <v>-0.41867954911433175</v>
      </c>
      <c r="I421" s="213">
        <f t="shared" si="70"/>
        <v>793</v>
      </c>
      <c r="J421" s="213">
        <f t="shared" si="71"/>
        <v>768</v>
      </c>
      <c r="K421">
        <f>RANK(1,AI:AI,0)</f>
        <v>884</v>
      </c>
      <c r="L421" s="357">
        <v>0</v>
      </c>
      <c r="M421" s="357">
        <v>0</v>
      </c>
      <c r="N421" s="357">
        <v>1</v>
      </c>
      <c r="O421" s="357">
        <v>0</v>
      </c>
      <c r="P421" s="357">
        <v>0</v>
      </c>
      <c r="Q421" s="358">
        <v>0.43577981651376146</v>
      </c>
      <c r="R421" s="359">
        <v>0</v>
      </c>
      <c r="S421" s="196">
        <v>846640000</v>
      </c>
      <c r="T421" s="196">
        <v>62100000</v>
      </c>
      <c r="U421" s="200">
        <f t="shared" si="72"/>
        <v>853875000</v>
      </c>
      <c r="V421" s="196">
        <v>-2000000</v>
      </c>
      <c r="W421" s="196">
        <v>466000000</v>
      </c>
      <c r="X421" s="196">
        <v>302000000</v>
      </c>
      <c r="Y421" s="196">
        <v>834000000</v>
      </c>
      <c r="Z421" s="196">
        <v>60000000</v>
      </c>
      <c r="AA421" s="198">
        <v>0</v>
      </c>
      <c r="AB421" s="198">
        <v>0</v>
      </c>
      <c r="AC421" s="213">
        <f t="shared" si="73"/>
        <v>945</v>
      </c>
      <c r="AD421" s="213">
        <f t="shared" si="74"/>
        <v>911</v>
      </c>
      <c r="AE421" s="213">
        <v>0.84</v>
      </c>
      <c r="AF421" s="196">
        <v>26000000</v>
      </c>
      <c r="AG421" s="104">
        <f t="shared" si="75"/>
        <v>0.41867954911433175</v>
      </c>
      <c r="AH421" s="104">
        <f t="shared" si="76"/>
        <v>0</v>
      </c>
      <c r="AI421" s="195">
        <v>1</v>
      </c>
      <c r="AO421" s="213"/>
      <c r="AP421" s="213"/>
      <c r="AQ421" s="213"/>
      <c r="AR421" s="213"/>
      <c r="AS421" s="213"/>
      <c r="AT421" s="213"/>
      <c r="AU421" s="213"/>
      <c r="AV421" s="213"/>
    </row>
    <row r="422" spans="1:48">
      <c r="A422">
        <v>2483</v>
      </c>
      <c r="C422" s="107">
        <f>VLOOKUP(2483,收盤價!$A:$C,3,0)</f>
        <v>17.149999999999999</v>
      </c>
      <c r="D422" s="107">
        <f t="shared" si="66"/>
        <v>14.390914351851851</v>
      </c>
      <c r="E422" s="167">
        <f t="shared" si="67"/>
        <v>3</v>
      </c>
      <c r="F422" s="104">
        <f t="shared" si="68"/>
        <v>1.1931072657395001</v>
      </c>
      <c r="G422" s="167">
        <f>RANK(1.63,AE:AE,0)</f>
        <v>551</v>
      </c>
      <c r="H422" s="365">
        <f t="shared" si="69"/>
        <v>2.0459829501420823</v>
      </c>
      <c r="I422" s="213">
        <f t="shared" si="70"/>
        <v>308</v>
      </c>
      <c r="J422" s="213">
        <f t="shared" si="71"/>
        <v>126</v>
      </c>
      <c r="K422">
        <f>RANK(3.59,AI:AI,0)</f>
        <v>120</v>
      </c>
      <c r="L422" s="357">
        <v>0</v>
      </c>
      <c r="M422" s="357">
        <v>0</v>
      </c>
      <c r="N422" s="357">
        <v>2</v>
      </c>
      <c r="O422" s="357">
        <v>1</v>
      </c>
      <c r="P422" s="357">
        <v>0</v>
      </c>
      <c r="Q422" s="358">
        <v>0.29383886255924169</v>
      </c>
      <c r="R422" s="359">
        <v>0.29793103448275859</v>
      </c>
      <c r="S422" s="196">
        <v>1589790000</v>
      </c>
      <c r="T422" s="196">
        <v>110600000</v>
      </c>
      <c r="U422" s="200">
        <f t="shared" si="72"/>
        <v>1896789999.9999998</v>
      </c>
      <c r="V422" s="196">
        <v>49000000</v>
      </c>
      <c r="W422" s="196">
        <v>1233000000</v>
      </c>
      <c r="X422" s="196">
        <v>679000000</v>
      </c>
      <c r="Y422" s="196">
        <v>2336000000</v>
      </c>
      <c r="Z422" s="196">
        <v>0</v>
      </c>
      <c r="AA422" s="198">
        <v>0.03</v>
      </c>
      <c r="AB422" s="198">
        <v>0.02</v>
      </c>
      <c r="AC422" s="213">
        <f t="shared" si="73"/>
        <v>469</v>
      </c>
      <c r="AD422" s="213">
        <f t="shared" si="74"/>
        <v>487</v>
      </c>
      <c r="AE422" s="213">
        <v>1.63</v>
      </c>
      <c r="AF422" s="196">
        <v>180000000</v>
      </c>
      <c r="AG422" s="104">
        <f t="shared" si="75"/>
        <v>1.6274864376130198</v>
      </c>
      <c r="AH422" s="104">
        <f t="shared" si="76"/>
        <v>3.6734693877551021</v>
      </c>
      <c r="AI422" s="195">
        <v>3.59</v>
      </c>
      <c r="AO422" s="213"/>
      <c r="AP422" s="213"/>
      <c r="AQ422" s="213"/>
      <c r="AR422" s="213"/>
      <c r="AS422" s="213"/>
      <c r="AT422" s="213"/>
      <c r="AU422" s="213"/>
      <c r="AV422" s="213"/>
    </row>
    <row r="423" spans="1:48">
      <c r="A423">
        <v>2484</v>
      </c>
      <c r="C423" s="107">
        <f>VLOOKUP(2484,收盤價!$A:$C,3,0)</f>
        <v>19.45</v>
      </c>
      <c r="D423" s="107">
        <f t="shared" si="66"/>
        <v>11.2877507324769</v>
      </c>
      <c r="E423" s="167">
        <f t="shared" si="67"/>
        <v>1</v>
      </c>
      <c r="F423" s="104">
        <f t="shared" si="68"/>
        <v>1.0934461931843231</v>
      </c>
      <c r="G423" s="167">
        <f>RANK(1.94,AE:AE,0)</f>
        <v>435</v>
      </c>
      <c r="H423" s="365">
        <f t="shared" si="69"/>
        <v>0.16872259738062678</v>
      </c>
      <c r="I423" s="213">
        <f t="shared" si="70"/>
        <v>923</v>
      </c>
      <c r="J423" s="213">
        <f t="shared" si="71"/>
        <v>708</v>
      </c>
      <c r="K423">
        <f>RANK(0.96,AI:AI,0)</f>
        <v>922</v>
      </c>
      <c r="L423" s="357">
        <v>0</v>
      </c>
      <c r="M423" s="357">
        <v>1</v>
      </c>
      <c r="N423" s="357">
        <v>0</v>
      </c>
      <c r="O423" s="357">
        <v>0</v>
      </c>
      <c r="P423" s="357">
        <v>0</v>
      </c>
      <c r="Q423" s="358">
        <v>0.2392807745504841</v>
      </c>
      <c r="R423" s="359">
        <v>0.43077669902912619</v>
      </c>
      <c r="S423" s="196">
        <v>2835375000</v>
      </c>
      <c r="T423" s="196">
        <v>159400000</v>
      </c>
      <c r="U423" s="200">
        <f t="shared" si="72"/>
        <v>3100330000</v>
      </c>
      <c r="V423" s="196">
        <v>89000000</v>
      </c>
      <c r="W423" s="196">
        <v>1528000000</v>
      </c>
      <c r="X423" s="196">
        <v>1334000000</v>
      </c>
      <c r="Y423" s="196">
        <v>2851000000</v>
      </c>
      <c r="Z423" s="196">
        <v>3000000</v>
      </c>
      <c r="AA423" s="198">
        <v>0.03</v>
      </c>
      <c r="AB423" s="198">
        <v>0.03</v>
      </c>
      <c r="AC423" s="213">
        <f t="shared" si="73"/>
        <v>469</v>
      </c>
      <c r="AD423" s="213">
        <f t="shared" si="74"/>
        <v>334</v>
      </c>
      <c r="AE423" s="213">
        <v>1.94</v>
      </c>
      <c r="AF423" s="196">
        <v>34000000</v>
      </c>
      <c r="AG423" s="104">
        <f t="shared" si="75"/>
        <v>0.21329987452948557</v>
      </c>
      <c r="AH423" s="104">
        <f t="shared" si="76"/>
        <v>0.38202247191011235</v>
      </c>
      <c r="AI423" s="195">
        <v>0.96</v>
      </c>
      <c r="AO423" s="213"/>
      <c r="AP423" s="213"/>
      <c r="AQ423" s="213"/>
      <c r="AR423" s="213"/>
      <c r="AS423" s="213"/>
      <c r="AT423" s="213"/>
      <c r="AU423" s="213"/>
      <c r="AV423" s="213"/>
    </row>
    <row r="424" spans="1:48">
      <c r="A424">
        <v>2485</v>
      </c>
      <c r="C424" s="107">
        <f>VLOOKUP(2485,收盤價!$A:$C,3,0)</f>
        <v>35.6</v>
      </c>
      <c r="D424" s="107">
        <f t="shared" si="66"/>
        <v>24.068754774637132</v>
      </c>
      <c r="E424" s="167">
        <f t="shared" si="67"/>
        <v>1</v>
      </c>
      <c r="F424" s="104">
        <f t="shared" si="68"/>
        <v>0.79122722307655824</v>
      </c>
      <c r="G424" s="167">
        <f>RANK(1.94,AE:AE,0)</f>
        <v>435</v>
      </c>
      <c r="H424" s="365">
        <f t="shared" si="69"/>
        <v>0.15852135361206543</v>
      </c>
      <c r="I424" s="213">
        <f t="shared" si="70"/>
        <v>909</v>
      </c>
      <c r="J424" s="213">
        <f t="shared" si="71"/>
        <v>706</v>
      </c>
      <c r="K424">
        <f>RANK(0.96,AI:AI,0)</f>
        <v>922</v>
      </c>
      <c r="L424" s="357">
        <v>0</v>
      </c>
      <c r="M424" s="357">
        <v>0</v>
      </c>
      <c r="N424" s="357">
        <v>0</v>
      </c>
      <c r="O424" s="357">
        <v>1</v>
      </c>
      <c r="P424" s="357">
        <v>0</v>
      </c>
      <c r="Q424" s="358">
        <v>0.1162280701754386</v>
      </c>
      <c r="R424" s="359">
        <v>0.36977401129943499</v>
      </c>
      <c r="S424" s="196">
        <v>14294402000</v>
      </c>
      <c r="T424" s="196">
        <v>317700000</v>
      </c>
      <c r="U424" s="200">
        <f t="shared" si="72"/>
        <v>11310120000</v>
      </c>
      <c r="V424" s="196">
        <v>188000000</v>
      </c>
      <c r="W424" s="196">
        <v>4972000000</v>
      </c>
      <c r="X424" s="196">
        <v>1883000000</v>
      </c>
      <c r="Y424" s="196">
        <v>7136000000</v>
      </c>
      <c r="Z424" s="196">
        <v>6000000</v>
      </c>
      <c r="AA424" s="198">
        <v>0.03</v>
      </c>
      <c r="AB424" s="198">
        <v>0.03</v>
      </c>
      <c r="AC424" s="213">
        <f t="shared" si="73"/>
        <v>469</v>
      </c>
      <c r="AD424" s="213">
        <f t="shared" si="74"/>
        <v>334</v>
      </c>
      <c r="AE424" s="213">
        <v>1.94</v>
      </c>
      <c r="AF424" s="196">
        <v>73000000</v>
      </c>
      <c r="AG424" s="104">
        <f t="shared" si="75"/>
        <v>0.22977651872836008</v>
      </c>
      <c r="AH424" s="104">
        <f t="shared" si="76"/>
        <v>0.38829787234042551</v>
      </c>
      <c r="AI424" s="195">
        <v>0.96</v>
      </c>
    </row>
    <row r="425" spans="1:48">
      <c r="A425">
        <v>2486</v>
      </c>
      <c r="C425" s="107">
        <f>VLOOKUP(2486,收盤價!$A:$C,3,0)</f>
        <v>8.59</v>
      </c>
      <c r="D425" s="107">
        <f t="shared" si="66"/>
        <v>0</v>
      </c>
      <c r="E425" s="167">
        <f t="shared" si="67"/>
        <v>2</v>
      </c>
      <c r="F425" s="104">
        <f t="shared" si="68"/>
        <v>0.32929693240375985</v>
      </c>
      <c r="G425" s="167">
        <f>RANK(0.84,AE:AE,0)</f>
        <v>946</v>
      </c>
      <c r="H425" s="365">
        <f t="shared" si="69"/>
        <v>-0.23867510959571359</v>
      </c>
      <c r="I425" s="213">
        <f t="shared" si="70"/>
        <v>899</v>
      </c>
      <c r="J425" s="213">
        <f t="shared" si="71"/>
        <v>768</v>
      </c>
      <c r="K425">
        <f>RANK(0.93,AI:AI,0)</f>
        <v>950</v>
      </c>
      <c r="L425" s="357">
        <v>0</v>
      </c>
      <c r="M425" s="357">
        <v>1</v>
      </c>
      <c r="N425" s="357">
        <v>0</v>
      </c>
      <c r="O425" s="357">
        <v>1</v>
      </c>
      <c r="P425" s="357">
        <v>0</v>
      </c>
      <c r="Q425" s="358">
        <v>9.7946287519747238E-2</v>
      </c>
      <c r="R425" s="359">
        <v>0</v>
      </c>
      <c r="S425" s="196">
        <v>5355431000</v>
      </c>
      <c r="T425" s="196">
        <v>205300000</v>
      </c>
      <c r="U425" s="200">
        <f t="shared" si="72"/>
        <v>1763527000</v>
      </c>
      <c r="V425" s="196">
        <v>-5000000</v>
      </c>
      <c r="W425" s="196">
        <v>2482000000</v>
      </c>
      <c r="X425" s="196">
        <v>3071000000</v>
      </c>
      <c r="Y425" s="196">
        <v>3643000000</v>
      </c>
      <c r="Z425" s="196">
        <v>427000000</v>
      </c>
      <c r="AA425" s="198">
        <v>0</v>
      </c>
      <c r="AB425" s="198">
        <v>0</v>
      </c>
      <c r="AC425" s="213">
        <f t="shared" si="73"/>
        <v>945</v>
      </c>
      <c r="AD425" s="213">
        <f t="shared" si="74"/>
        <v>911</v>
      </c>
      <c r="AE425" s="213">
        <v>0.84</v>
      </c>
      <c r="AF425" s="196">
        <v>49000000</v>
      </c>
      <c r="AG425" s="104">
        <f t="shared" si="75"/>
        <v>0.23867510959571359</v>
      </c>
      <c r="AH425" s="104">
        <f t="shared" si="76"/>
        <v>0</v>
      </c>
      <c r="AI425" s="195">
        <v>0.93</v>
      </c>
    </row>
    <row r="426" spans="1:48">
      <c r="A426">
        <v>2488</v>
      </c>
      <c r="C426" s="107">
        <f>VLOOKUP(2488,收盤價!$A:$C,3,0)</f>
        <v>47.95</v>
      </c>
      <c r="D426" s="107">
        <f t="shared" si="66"/>
        <v>9.2060866013071898</v>
      </c>
      <c r="E426" s="167">
        <f t="shared" si="67"/>
        <v>5</v>
      </c>
      <c r="F426" s="104">
        <f t="shared" si="68"/>
        <v>1.2996089992841309</v>
      </c>
      <c r="G426" s="167">
        <f>RANK(8.11,AE:AE,0)</f>
        <v>90</v>
      </c>
      <c r="H426" s="365">
        <f t="shared" si="69"/>
        <v>-0.66569343065693443</v>
      </c>
      <c r="I426" s="213">
        <f t="shared" si="70"/>
        <v>314</v>
      </c>
      <c r="J426" s="213">
        <f t="shared" si="71"/>
        <v>551</v>
      </c>
      <c r="K426">
        <f>RANK(1.8,AI:AI,0)</f>
        <v>414</v>
      </c>
      <c r="L426" s="357">
        <v>1</v>
      </c>
      <c r="M426" s="357">
        <v>1</v>
      </c>
      <c r="N426" s="357">
        <v>1</v>
      </c>
      <c r="O426" s="357">
        <v>1</v>
      </c>
      <c r="P426" s="357">
        <v>1</v>
      </c>
      <c r="Q426" s="358">
        <v>0.26970443349753692</v>
      </c>
      <c r="R426" s="359">
        <v>1.3021276595744682</v>
      </c>
      <c r="S426" s="196">
        <v>2951657000</v>
      </c>
      <c r="T426" s="196">
        <v>80000000</v>
      </c>
      <c r="U426" s="200">
        <f t="shared" si="72"/>
        <v>3836000000</v>
      </c>
      <c r="V426" s="196">
        <v>137000000</v>
      </c>
      <c r="W426" s="196">
        <v>1281000000</v>
      </c>
      <c r="X426" s="196">
        <v>440000000</v>
      </c>
      <c r="Y426" s="196">
        <v>1808000000</v>
      </c>
      <c r="Z426" s="196">
        <v>395000000</v>
      </c>
      <c r="AA426" s="198">
        <v>0.08</v>
      </c>
      <c r="AB426" s="198">
        <v>0.06</v>
      </c>
      <c r="AC426" s="213">
        <f t="shared" si="73"/>
        <v>97</v>
      </c>
      <c r="AD426" s="213">
        <f t="shared" si="74"/>
        <v>95</v>
      </c>
      <c r="AE426" s="213">
        <v>8.11</v>
      </c>
      <c r="AF426" s="196">
        <v>128000000</v>
      </c>
      <c r="AG426" s="104">
        <f t="shared" si="75"/>
        <v>1.6</v>
      </c>
      <c r="AH426" s="104">
        <f t="shared" si="76"/>
        <v>0.93430656934306566</v>
      </c>
      <c r="AI426" s="195">
        <v>1.8</v>
      </c>
    </row>
    <row r="427" spans="1:48">
      <c r="A427">
        <v>2489</v>
      </c>
      <c r="C427" s="107">
        <f>VLOOKUP(2489,收盤價!$A:$C,3,0)</f>
        <v>24.45</v>
      </c>
      <c r="D427" s="107">
        <f t="shared" si="66"/>
        <v>63.121138570167695</v>
      </c>
      <c r="E427" s="167">
        <f t="shared" si="67"/>
        <v>3</v>
      </c>
      <c r="F427" s="104">
        <f t="shared" si="68"/>
        <v>0.83303916493714703</v>
      </c>
      <c r="G427" s="167">
        <f>RANK(1.08,AE:AE,0)</f>
        <v>769</v>
      </c>
      <c r="H427" s="365">
        <f t="shared" si="69"/>
        <v>25.360610263522883</v>
      </c>
      <c r="I427" s="213">
        <f t="shared" si="70"/>
        <v>87</v>
      </c>
      <c r="J427" s="213">
        <f t="shared" si="71"/>
        <v>9</v>
      </c>
      <c r="K427">
        <f>RANK(16.23,AI:AI,0)</f>
        <v>7</v>
      </c>
      <c r="L427" s="357">
        <v>0</v>
      </c>
      <c r="M427" s="357">
        <v>1</v>
      </c>
      <c r="N427" s="357">
        <v>1</v>
      </c>
      <c r="O427" s="357">
        <v>1</v>
      </c>
      <c r="P427" s="357">
        <v>0</v>
      </c>
      <c r="Q427" s="358">
        <v>0.10575635876840696</v>
      </c>
      <c r="R427" s="359">
        <v>9.6837606837606838E-2</v>
      </c>
      <c r="S427" s="196">
        <v>24489941000</v>
      </c>
      <c r="T427" s="196">
        <v>834400000</v>
      </c>
      <c r="U427" s="200">
        <f t="shared" si="72"/>
        <v>20401080000</v>
      </c>
      <c r="V427" s="196">
        <v>103000000</v>
      </c>
      <c r="W427" s="196">
        <v>9754000000</v>
      </c>
      <c r="X427" s="196">
        <v>938000000</v>
      </c>
      <c r="Y427" s="196">
        <v>14655000000</v>
      </c>
      <c r="Z427" s="196">
        <v>9000000</v>
      </c>
      <c r="AA427" s="198">
        <v>0.01</v>
      </c>
      <c r="AB427" s="198">
        <v>0.01</v>
      </c>
      <c r="AC427" s="213">
        <f t="shared" si="73"/>
        <v>769</v>
      </c>
      <c r="AD427" s="213">
        <f t="shared" si="74"/>
        <v>680</v>
      </c>
      <c r="AE427" s="213">
        <v>1.08</v>
      </c>
      <c r="AF427" s="196">
        <v>2980000000</v>
      </c>
      <c r="AG427" s="104">
        <f t="shared" si="75"/>
        <v>3.5714285714285716</v>
      </c>
      <c r="AH427" s="104">
        <f t="shared" si="76"/>
        <v>28.932038834951456</v>
      </c>
      <c r="AI427" s="195">
        <v>16.23</v>
      </c>
    </row>
    <row r="428" spans="1:48">
      <c r="A428">
        <v>2491</v>
      </c>
      <c r="C428" s="107">
        <f>VLOOKUP(2491,收盤價!$A:$C,3,0)</f>
        <v>7.78</v>
      </c>
      <c r="D428" s="107">
        <f t="shared" si="66"/>
        <v>0</v>
      </c>
      <c r="E428" s="167">
        <f t="shared" si="67"/>
        <v>1</v>
      </c>
      <c r="F428" s="104">
        <f t="shared" si="68"/>
        <v>1.5872949631948068</v>
      </c>
      <c r="G428" s="167">
        <f>RANK(0.58,AE:AE,0)</f>
        <v>1374</v>
      </c>
      <c r="H428" s="365">
        <f t="shared" si="69"/>
        <v>0.19886363636363635</v>
      </c>
      <c r="I428" s="213">
        <f t="shared" si="70"/>
        <v>1208</v>
      </c>
      <c r="J428" s="213">
        <f t="shared" si="71"/>
        <v>768</v>
      </c>
      <c r="K428">
        <f>RANK(0.79,AI:AI,0)</f>
        <v>1192</v>
      </c>
      <c r="L428" s="357">
        <v>0</v>
      </c>
      <c r="M428" s="357">
        <v>0</v>
      </c>
      <c r="N428" s="357">
        <v>1</v>
      </c>
      <c r="O428" s="357">
        <v>0</v>
      </c>
      <c r="P428" s="357">
        <v>0</v>
      </c>
      <c r="Q428" s="358">
        <v>0.16279069767441862</v>
      </c>
      <c r="R428" s="359">
        <v>0</v>
      </c>
      <c r="S428" s="196">
        <v>345060000</v>
      </c>
      <c r="T428" s="196">
        <v>70400000</v>
      </c>
      <c r="U428" s="200">
        <f t="shared" si="72"/>
        <v>547712000</v>
      </c>
      <c r="V428" s="196">
        <v>-15000000</v>
      </c>
      <c r="W428" s="196">
        <v>347000000</v>
      </c>
      <c r="X428" s="196">
        <v>1516000000</v>
      </c>
      <c r="Y428" s="196">
        <v>651000000</v>
      </c>
      <c r="Z428" s="196">
        <v>48000000</v>
      </c>
      <c r="AA428" s="198">
        <v>-0.01</v>
      </c>
      <c r="AB428" s="198">
        <v>-0.02</v>
      </c>
      <c r="AC428" s="213">
        <f t="shared" si="73"/>
        <v>1277</v>
      </c>
      <c r="AD428" s="213">
        <f t="shared" si="74"/>
        <v>1388</v>
      </c>
      <c r="AE428" s="213">
        <v>0.57999999999999996</v>
      </c>
      <c r="AF428" s="196">
        <v>-14000000</v>
      </c>
      <c r="AG428" s="104">
        <f t="shared" si="75"/>
        <v>-0.19886363636363635</v>
      </c>
      <c r="AH428" s="104">
        <f t="shared" si="76"/>
        <v>0</v>
      </c>
      <c r="AI428" s="195">
        <v>0.79</v>
      </c>
      <c r="AO428" s="213"/>
      <c r="AP428" s="213"/>
      <c r="AQ428" s="213"/>
      <c r="AR428" s="213"/>
      <c r="AS428" s="213"/>
      <c r="AT428" s="213"/>
      <c r="AU428" s="213"/>
      <c r="AV428" s="213"/>
    </row>
    <row r="429" spans="1:48">
      <c r="A429">
        <v>2492</v>
      </c>
      <c r="C429" s="107">
        <f>VLOOKUP(2492,收盤價!$A:$C,3,0)</f>
        <v>38.799999999999997</v>
      </c>
      <c r="D429" s="107">
        <f t="shared" si="66"/>
        <v>11.740975881728744</v>
      </c>
      <c r="E429" s="167">
        <f t="shared" si="67"/>
        <v>6</v>
      </c>
      <c r="F429" s="104">
        <f t="shared" si="68"/>
        <v>1.2478316713668058</v>
      </c>
      <c r="G429" s="167">
        <f>RANK(2.68,AE:AE,0)</f>
        <v>341</v>
      </c>
      <c r="H429" s="365">
        <f t="shared" si="69"/>
        <v>-8.3612115732368819E-2</v>
      </c>
      <c r="I429" s="213">
        <f t="shared" si="70"/>
        <v>632</v>
      </c>
      <c r="J429" s="213">
        <f t="shared" si="71"/>
        <v>641</v>
      </c>
      <c r="K429">
        <f>RANK(1.22,AI:AI,0)</f>
        <v>726</v>
      </c>
      <c r="L429" s="357">
        <v>1</v>
      </c>
      <c r="M429" s="357">
        <v>1</v>
      </c>
      <c r="N429" s="357">
        <v>2</v>
      </c>
      <c r="O429" s="357">
        <v>1</v>
      </c>
      <c r="P429" s="357">
        <v>1</v>
      </c>
      <c r="Q429" s="358">
        <v>0.24416089965397925</v>
      </c>
      <c r="R429" s="359">
        <v>0.82616641901931653</v>
      </c>
      <c r="S429" s="196">
        <v>17412605000</v>
      </c>
      <c r="T429" s="196">
        <v>560000000</v>
      </c>
      <c r="U429" s="200">
        <f t="shared" si="72"/>
        <v>21728000000</v>
      </c>
      <c r="V429" s="196">
        <v>632000000</v>
      </c>
      <c r="W429" s="196">
        <v>6234000000</v>
      </c>
      <c r="X429" s="196">
        <v>6018000000</v>
      </c>
      <c r="Y429" s="196">
        <v>15656000000</v>
      </c>
      <c r="Z429" s="196">
        <v>4289000000</v>
      </c>
      <c r="AA429" s="198">
        <v>0.05</v>
      </c>
      <c r="AB429" s="198">
        <v>0.03</v>
      </c>
      <c r="AC429" s="213">
        <f t="shared" si="73"/>
        <v>247</v>
      </c>
      <c r="AD429" s="213">
        <f t="shared" si="74"/>
        <v>334</v>
      </c>
      <c r="AE429" s="213">
        <v>2.68</v>
      </c>
      <c r="AF429" s="196">
        <v>411000000</v>
      </c>
      <c r="AG429" s="104">
        <f t="shared" si="75"/>
        <v>0.73392857142857137</v>
      </c>
      <c r="AH429" s="104">
        <f t="shared" si="76"/>
        <v>0.65031645569620256</v>
      </c>
      <c r="AI429" s="195">
        <v>1.22</v>
      </c>
    </row>
    <row r="430" spans="1:48">
      <c r="A430">
        <v>2493</v>
      </c>
      <c r="C430" s="107">
        <f>VLOOKUP(2493,收盤價!$A:$C,3,0)</f>
        <v>25.35</v>
      </c>
      <c r="D430" s="107">
        <f t="shared" si="66"/>
        <v>11.864726027397261</v>
      </c>
      <c r="E430" s="167">
        <f t="shared" si="67"/>
        <v>2</v>
      </c>
      <c r="F430" s="104">
        <f t="shared" si="68"/>
        <v>1.2593089876077019</v>
      </c>
      <c r="G430" s="167">
        <f>RANK(2.76,AE:AE,0)</f>
        <v>305</v>
      </c>
      <c r="H430" s="365">
        <f t="shared" si="69"/>
        <v>0.26247401247401242</v>
      </c>
      <c r="I430" s="213">
        <f t="shared" si="70"/>
        <v>751</v>
      </c>
      <c r="J430" s="213">
        <f t="shared" si="71"/>
        <v>615</v>
      </c>
      <c r="K430">
        <f>RANK(1.14,AI:AI,0)</f>
        <v>767</v>
      </c>
      <c r="L430" s="357">
        <v>0</v>
      </c>
      <c r="M430" s="357">
        <v>1</v>
      </c>
      <c r="N430" s="357">
        <v>0</v>
      </c>
      <c r="O430" s="357">
        <v>1</v>
      </c>
      <c r="P430" s="357">
        <v>0</v>
      </c>
      <c r="Q430" s="358">
        <v>0.27436823104693142</v>
      </c>
      <c r="R430" s="359">
        <v>0.53414634146341466</v>
      </c>
      <c r="S430" s="196">
        <v>2302882000</v>
      </c>
      <c r="T430" s="196">
        <v>114400000</v>
      </c>
      <c r="U430" s="200">
        <f t="shared" si="72"/>
        <v>2900040000</v>
      </c>
      <c r="V430" s="196">
        <v>74000000</v>
      </c>
      <c r="W430" s="196">
        <v>1504000000</v>
      </c>
      <c r="X430" s="196">
        <v>486000000</v>
      </c>
      <c r="Y430" s="196">
        <v>2088000000</v>
      </c>
      <c r="Z430" s="196">
        <v>0</v>
      </c>
      <c r="AA430" s="198">
        <v>0.04</v>
      </c>
      <c r="AB430" s="198">
        <v>0.04</v>
      </c>
      <c r="AC430" s="213">
        <f t="shared" si="73"/>
        <v>337</v>
      </c>
      <c r="AD430" s="213">
        <f t="shared" si="74"/>
        <v>228</v>
      </c>
      <c r="AE430" s="213">
        <v>2.76</v>
      </c>
      <c r="AF430" s="196">
        <v>55000000</v>
      </c>
      <c r="AG430" s="104">
        <f t="shared" si="75"/>
        <v>0.48076923076923078</v>
      </c>
      <c r="AH430" s="104">
        <f t="shared" si="76"/>
        <v>0.7432432432432432</v>
      </c>
      <c r="AI430" s="195">
        <v>1.1399999999999999</v>
      </c>
      <c r="AO430" s="213"/>
      <c r="AP430" s="213"/>
      <c r="AQ430" s="213"/>
      <c r="AR430" s="213"/>
      <c r="AS430" s="213"/>
      <c r="AT430" s="213"/>
      <c r="AU430" s="213"/>
      <c r="AV430" s="213"/>
    </row>
    <row r="431" spans="1:48">
      <c r="A431">
        <v>2495</v>
      </c>
      <c r="C431" s="107">
        <f>VLOOKUP(2495,收盤價!$A:$C,3,0)</f>
        <v>15.85</v>
      </c>
      <c r="D431" s="107">
        <f t="shared" si="66"/>
        <v>41.373161764705884</v>
      </c>
      <c r="E431" s="167">
        <f t="shared" si="67"/>
        <v>3</v>
      </c>
      <c r="F431" s="104">
        <f t="shared" si="68"/>
        <v>2.419499372069132</v>
      </c>
      <c r="G431" s="167">
        <f>RANK(1.08,AE:AE,0)</f>
        <v>769</v>
      </c>
      <c r="H431" s="365">
        <f t="shared" si="69"/>
        <v>1.7306168885892468</v>
      </c>
      <c r="I431" s="213">
        <f t="shared" si="70"/>
        <v>896</v>
      </c>
      <c r="J431" s="213">
        <f t="shared" si="71"/>
        <v>272</v>
      </c>
      <c r="K431">
        <f>RANK(1.33,AI:AI,0)</f>
        <v>662</v>
      </c>
      <c r="L431" s="357">
        <v>0</v>
      </c>
      <c r="M431" s="357">
        <v>1</v>
      </c>
      <c r="N431" s="357">
        <v>2</v>
      </c>
      <c r="O431" s="357">
        <v>0</v>
      </c>
      <c r="P431" s="357">
        <v>0</v>
      </c>
      <c r="Q431" s="358">
        <v>0.46136865342163358</v>
      </c>
      <c r="R431" s="359">
        <v>9.5774647887323941E-2</v>
      </c>
      <c r="S431" s="196">
        <v>1829023000</v>
      </c>
      <c r="T431" s="196">
        <v>279200000</v>
      </c>
      <c r="U431" s="200">
        <f t="shared" si="72"/>
        <v>4425320000</v>
      </c>
      <c r="V431" s="196">
        <v>34000000</v>
      </c>
      <c r="W431" s="196">
        <v>3294000000</v>
      </c>
      <c r="X431" s="196">
        <v>667000000</v>
      </c>
      <c r="Y431" s="196">
        <v>4046000000</v>
      </c>
      <c r="Z431" s="196">
        <v>194000000</v>
      </c>
      <c r="AA431" s="198">
        <v>0.01</v>
      </c>
      <c r="AB431" s="198">
        <v>0.01</v>
      </c>
      <c r="AC431" s="213">
        <f t="shared" si="73"/>
        <v>769</v>
      </c>
      <c r="AD431" s="213">
        <f t="shared" si="74"/>
        <v>680</v>
      </c>
      <c r="AE431" s="213">
        <v>1.08</v>
      </c>
      <c r="AF431" s="196">
        <v>67000000</v>
      </c>
      <c r="AG431" s="104">
        <f t="shared" si="75"/>
        <v>0.23997134670487105</v>
      </c>
      <c r="AH431" s="104">
        <f t="shared" si="76"/>
        <v>1.9705882352941178</v>
      </c>
      <c r="AI431" s="195">
        <v>1.33</v>
      </c>
      <c r="AO431" s="213"/>
      <c r="AP431" s="213"/>
      <c r="AQ431" s="213"/>
      <c r="AR431" s="213"/>
      <c r="AS431" s="213"/>
      <c r="AT431" s="213"/>
      <c r="AU431" s="213"/>
      <c r="AV431" s="213"/>
    </row>
    <row r="432" spans="1:48">
      <c r="A432">
        <v>2496</v>
      </c>
      <c r="C432" s="107">
        <f>VLOOKUP(2496,收盤價!$A:$C,3,0)</f>
        <v>104</v>
      </c>
      <c r="D432" s="107">
        <f t="shared" si="66"/>
        <v>0</v>
      </c>
      <c r="E432" s="167">
        <f t="shared" si="67"/>
        <v>1</v>
      </c>
      <c r="F432" s="104">
        <f t="shared" si="68"/>
        <v>26.155648463613598</v>
      </c>
      <c r="G432" s="167">
        <f>RANK(0.5,AE:AE,0)</f>
        <v>1545</v>
      </c>
      <c r="H432" s="365">
        <f t="shared" si="69"/>
        <v>0.21367521367521367</v>
      </c>
      <c r="I432" s="213">
        <f t="shared" si="70"/>
        <v>1216</v>
      </c>
      <c r="J432" s="213">
        <f t="shared" si="71"/>
        <v>768</v>
      </c>
      <c r="K432">
        <f>RANK(0.79,AI:AI,0)</f>
        <v>1192</v>
      </c>
      <c r="L432" s="357">
        <v>0</v>
      </c>
      <c r="M432" s="357">
        <v>0</v>
      </c>
      <c r="N432" s="357">
        <v>1</v>
      </c>
      <c r="O432" s="357">
        <v>0</v>
      </c>
      <c r="P432" s="357">
        <v>0</v>
      </c>
      <c r="Q432" s="358">
        <v>5.4054054054054057E-2</v>
      </c>
      <c r="R432" s="359">
        <v>0</v>
      </c>
      <c r="S432" s="196">
        <v>186086000</v>
      </c>
      <c r="T432" s="196">
        <v>46800000</v>
      </c>
      <c r="U432" s="200">
        <f t="shared" si="72"/>
        <v>4867200000</v>
      </c>
      <c r="V432" s="196">
        <v>-13000000</v>
      </c>
      <c r="W432" s="196">
        <v>20000000</v>
      </c>
      <c r="X432" s="196">
        <v>7000000</v>
      </c>
      <c r="Y432" s="196">
        <v>42000000</v>
      </c>
      <c r="Z432" s="196">
        <v>50000000</v>
      </c>
      <c r="AA432" s="198">
        <v>-0.48</v>
      </c>
      <c r="AB432" s="198">
        <v>-0.14000000000000001</v>
      </c>
      <c r="AC432" s="213">
        <f t="shared" si="73"/>
        <v>1552</v>
      </c>
      <c r="AD432" s="213">
        <f t="shared" si="74"/>
        <v>1546</v>
      </c>
      <c r="AE432" s="213">
        <v>0.5</v>
      </c>
      <c r="AF432" s="196">
        <v>-10000000</v>
      </c>
      <c r="AG432" s="104">
        <f t="shared" si="75"/>
        <v>-0.21367521367521367</v>
      </c>
      <c r="AH432" s="104">
        <f t="shared" si="76"/>
        <v>0</v>
      </c>
      <c r="AI432" s="195">
        <v>0.79</v>
      </c>
    </row>
    <row r="433" spans="1:48">
      <c r="A433">
        <v>2497</v>
      </c>
      <c r="C433" s="107">
        <f>VLOOKUP(2497,收盤價!$A:$C,3,0)</f>
        <v>29.9</v>
      </c>
      <c r="D433" s="107">
        <f t="shared" si="66"/>
        <v>67.41379310344827</v>
      </c>
      <c r="E433" s="167">
        <f t="shared" si="67"/>
        <v>3</v>
      </c>
      <c r="F433" s="104">
        <f t="shared" si="68"/>
        <v>1.2076060291229922</v>
      </c>
      <c r="G433" s="167">
        <f>RANK(1.2,AE:AE,0)</f>
        <v>710</v>
      </c>
      <c r="H433" s="365">
        <f t="shared" si="69"/>
        <v>2.8540614478114481</v>
      </c>
      <c r="I433" s="213">
        <f t="shared" si="70"/>
        <v>489</v>
      </c>
      <c r="J433" s="213">
        <f t="shared" si="71"/>
        <v>114</v>
      </c>
      <c r="K433">
        <f>RANK(2.58,AI:AI,0)</f>
        <v>220</v>
      </c>
      <c r="L433" s="357">
        <v>0</v>
      </c>
      <c r="M433" s="357">
        <v>1</v>
      </c>
      <c r="N433" s="357">
        <v>1</v>
      </c>
      <c r="O433" s="357">
        <v>1</v>
      </c>
      <c r="P433" s="357">
        <v>0</v>
      </c>
      <c r="Q433" s="358">
        <v>0.23047375160051217</v>
      </c>
      <c r="R433" s="359">
        <v>0.11088235294117647</v>
      </c>
      <c r="S433" s="196">
        <v>2941456000</v>
      </c>
      <c r="T433" s="196">
        <v>118800000</v>
      </c>
      <c r="U433" s="200">
        <f t="shared" si="72"/>
        <v>3552120000</v>
      </c>
      <c r="V433" s="196">
        <v>32000000</v>
      </c>
      <c r="W433" s="196">
        <v>734000000</v>
      </c>
      <c r="X433" s="196">
        <v>1012000000</v>
      </c>
      <c r="Y433" s="196">
        <v>1863000000</v>
      </c>
      <c r="Z433" s="196">
        <v>677000000</v>
      </c>
      <c r="AA433" s="198">
        <v>0.02</v>
      </c>
      <c r="AB433" s="198">
        <v>0.01</v>
      </c>
      <c r="AC433" s="213">
        <f t="shared" si="73"/>
        <v>616</v>
      </c>
      <c r="AD433" s="213">
        <f t="shared" si="74"/>
        <v>680</v>
      </c>
      <c r="AE433" s="213">
        <v>1.2</v>
      </c>
      <c r="AF433" s="196">
        <v>125000000</v>
      </c>
      <c r="AG433" s="104">
        <f t="shared" si="75"/>
        <v>1.0521885521885521</v>
      </c>
      <c r="AH433" s="104">
        <f t="shared" si="76"/>
        <v>3.90625</v>
      </c>
      <c r="AI433" s="195">
        <v>2.58</v>
      </c>
    </row>
    <row r="434" spans="1:48">
      <c r="A434">
        <v>2498</v>
      </c>
      <c r="C434" s="107">
        <f>VLOOKUP(2498,收盤價!$A:$C,3,0)</f>
        <v>94.4</v>
      </c>
      <c r="D434" s="107">
        <f t="shared" si="66"/>
        <v>0</v>
      </c>
      <c r="E434" s="167">
        <f t="shared" si="67"/>
        <v>2</v>
      </c>
      <c r="F434" s="104">
        <f t="shared" si="68"/>
        <v>0.97945608537310713</v>
      </c>
      <c r="G434" s="167">
        <f>RANK(0.51,AE:AE,0)</f>
        <v>1523</v>
      </c>
      <c r="H434" s="365">
        <f t="shared" si="69"/>
        <v>2.2915155910079767</v>
      </c>
      <c r="I434" s="213">
        <f t="shared" si="70"/>
        <v>1523</v>
      </c>
      <c r="J434" s="213">
        <f t="shared" si="71"/>
        <v>768</v>
      </c>
      <c r="K434">
        <f>RANK(0.68,AI:AI,0)</f>
        <v>1507</v>
      </c>
      <c r="L434" s="357">
        <v>0</v>
      </c>
      <c r="M434" s="357">
        <v>1</v>
      </c>
      <c r="N434" s="357">
        <v>1</v>
      </c>
      <c r="O434" s="357">
        <v>0</v>
      </c>
      <c r="P434" s="357">
        <v>0</v>
      </c>
      <c r="Q434" s="358">
        <v>0.11387975824408865</v>
      </c>
      <c r="R434" s="359">
        <v>0</v>
      </c>
      <c r="S434" s="196">
        <v>79744831000</v>
      </c>
      <c r="T434" s="196">
        <v>827400000</v>
      </c>
      <c r="U434" s="200">
        <f t="shared" si="72"/>
        <v>78106560000</v>
      </c>
      <c r="V434" s="196">
        <v>-4240000000</v>
      </c>
      <c r="W434" s="196">
        <v>16952000000</v>
      </c>
      <c r="X434" s="196">
        <v>12737000000</v>
      </c>
      <c r="Y434" s="196">
        <v>57851000000</v>
      </c>
      <c r="Z434" s="196">
        <v>0</v>
      </c>
      <c r="AA434" s="198">
        <v>-0.14000000000000001</v>
      </c>
      <c r="AB434" s="198">
        <v>-7.0000000000000007E-2</v>
      </c>
      <c r="AC434" s="213">
        <f t="shared" si="73"/>
        <v>1531</v>
      </c>
      <c r="AD434" s="213">
        <f t="shared" si="74"/>
        <v>1526</v>
      </c>
      <c r="AE434" s="213">
        <v>0.51</v>
      </c>
      <c r="AF434" s="196">
        <v>-1896000000</v>
      </c>
      <c r="AG434" s="104">
        <f t="shared" si="75"/>
        <v>-2.2915155910079767</v>
      </c>
      <c r="AH434" s="104">
        <f t="shared" si="76"/>
        <v>0</v>
      </c>
      <c r="AI434" s="195">
        <v>0.68</v>
      </c>
    </row>
    <row r="435" spans="1:48">
      <c r="A435">
        <v>2499</v>
      </c>
      <c r="C435" s="107">
        <f>VLOOKUP(2499,收盤價!$A:$C,3,0)</f>
        <v>15.1</v>
      </c>
      <c r="D435" s="107">
        <f t="shared" si="66"/>
        <v>0</v>
      </c>
      <c r="E435" s="167">
        <f t="shared" si="67"/>
        <v>2</v>
      </c>
      <c r="F435" s="104">
        <f t="shared" si="68"/>
        <v>0.6093236540055128</v>
      </c>
      <c r="G435" s="167">
        <f>RANK(1.08,AE:AE,0)</f>
        <v>769</v>
      </c>
      <c r="H435" s="365">
        <f t="shared" si="69"/>
        <v>1.7686212361331219</v>
      </c>
      <c r="I435" s="213">
        <f t="shared" si="70"/>
        <v>1500</v>
      </c>
      <c r="J435" s="213">
        <f t="shared" si="71"/>
        <v>768</v>
      </c>
      <c r="K435">
        <f>RANK(0.69,AI:AI,0)</f>
        <v>1474</v>
      </c>
      <c r="L435" s="357">
        <v>0</v>
      </c>
      <c r="M435" s="357">
        <v>1</v>
      </c>
      <c r="N435" s="357">
        <v>1</v>
      </c>
      <c r="O435" s="357">
        <v>0</v>
      </c>
      <c r="P435" s="357">
        <v>0</v>
      </c>
      <c r="Q435" s="358">
        <v>0.19031954887218044</v>
      </c>
      <c r="R435" s="359">
        <v>0</v>
      </c>
      <c r="S435" s="196">
        <v>7818587000</v>
      </c>
      <c r="T435" s="196">
        <v>315500000</v>
      </c>
      <c r="U435" s="200">
        <f t="shared" si="72"/>
        <v>4764050000</v>
      </c>
      <c r="V435" s="196">
        <v>68000000</v>
      </c>
      <c r="W435" s="196">
        <v>799000000</v>
      </c>
      <c r="X435" s="196">
        <v>4201000000</v>
      </c>
      <c r="Y435" s="196">
        <v>6347000000</v>
      </c>
      <c r="Z435" s="196">
        <v>5623000000</v>
      </c>
      <c r="AA435" s="198">
        <v>0.01</v>
      </c>
      <c r="AB435" s="198">
        <v>0.01</v>
      </c>
      <c r="AC435" s="213">
        <f t="shared" si="73"/>
        <v>769</v>
      </c>
      <c r="AD435" s="213">
        <f t="shared" si="74"/>
        <v>680</v>
      </c>
      <c r="AE435" s="213">
        <v>1.08</v>
      </c>
      <c r="AF435" s="196">
        <v>-558000000</v>
      </c>
      <c r="AG435" s="104">
        <f t="shared" si="75"/>
        <v>-1.7686212361331219</v>
      </c>
      <c r="AH435" s="104">
        <f t="shared" si="76"/>
        <v>0</v>
      </c>
      <c r="AI435" s="195">
        <v>0.69</v>
      </c>
      <c r="AO435" s="213"/>
      <c r="AP435" s="213"/>
      <c r="AQ435" s="213"/>
      <c r="AR435" s="213"/>
      <c r="AS435" s="213"/>
      <c r="AT435" s="213"/>
      <c r="AU435" s="213"/>
      <c r="AV435" s="213"/>
    </row>
    <row r="436" spans="1:48">
      <c r="A436">
        <v>2501</v>
      </c>
      <c r="C436" s="107" t="e">
        <f>VLOOKUP(2501,收盤價!$A:$C,3,0)</f>
        <v>#N/A</v>
      </c>
      <c r="D436" s="107">
        <f t="shared" si="66"/>
        <v>0</v>
      </c>
      <c r="E436" s="167">
        <f t="shared" si="67"/>
        <v>5</v>
      </c>
      <c r="F436" s="104">
        <f t="shared" si="68"/>
        <v>0</v>
      </c>
      <c r="G436" s="167">
        <f>RANK(4.3,AE:AE,0)</f>
        <v>200</v>
      </c>
      <c r="H436" s="365">
        <f t="shared" si="69"/>
        <v>0.26842429209637864</v>
      </c>
      <c r="I436" s="213">
        <f t="shared" si="70"/>
        <v>348</v>
      </c>
      <c r="J436" s="213">
        <f t="shared" si="71"/>
        <v>312</v>
      </c>
      <c r="K436">
        <f>RANK(2.36,AI:AI,0)</f>
        <v>265</v>
      </c>
      <c r="L436" s="357">
        <v>1</v>
      </c>
      <c r="M436" s="357">
        <v>1</v>
      </c>
      <c r="N436" s="357">
        <v>2</v>
      </c>
      <c r="O436" s="357">
        <v>1</v>
      </c>
      <c r="P436" s="357">
        <v>0</v>
      </c>
      <c r="Q436" s="358">
        <v>0.29740988951276942</v>
      </c>
      <c r="R436" s="359">
        <v>0.62191585274229899</v>
      </c>
      <c r="S436" s="196">
        <v>12822199000</v>
      </c>
      <c r="T436" s="196">
        <v>1656500000</v>
      </c>
      <c r="U436" s="200" t="e">
        <f t="shared" si="72"/>
        <v>#N/A</v>
      </c>
      <c r="V436" s="196">
        <v>1405000000</v>
      </c>
      <c r="W436" s="196">
        <v>19353000000</v>
      </c>
      <c r="X436" s="196">
        <v>1167000000</v>
      </c>
      <c r="Y436" s="196">
        <v>26629000000</v>
      </c>
      <c r="Z436" s="196">
        <v>10089000000</v>
      </c>
      <c r="AA436" s="198">
        <v>7.0000000000000007E-2</v>
      </c>
      <c r="AB436" s="198">
        <v>0.04</v>
      </c>
      <c r="AC436" s="213">
        <f t="shared" si="73"/>
        <v>134</v>
      </c>
      <c r="AD436" s="213">
        <f t="shared" si="74"/>
        <v>228</v>
      </c>
      <c r="AE436" s="213">
        <v>4.3</v>
      </c>
      <c r="AF436" s="196">
        <v>2484000000</v>
      </c>
      <c r="AG436" s="104">
        <f t="shared" si="75"/>
        <v>1.4995472381527317</v>
      </c>
      <c r="AH436" s="104">
        <f t="shared" si="76"/>
        <v>1.7679715302491104</v>
      </c>
      <c r="AI436" s="195">
        <v>2.36</v>
      </c>
      <c r="AO436" s="213"/>
      <c r="AP436" s="213"/>
      <c r="AQ436" s="213"/>
      <c r="AR436" s="213"/>
      <c r="AS436" s="213"/>
      <c r="AT436" s="213"/>
      <c r="AU436" s="213"/>
      <c r="AV436" s="213"/>
    </row>
    <row r="437" spans="1:48">
      <c r="A437">
        <v>2504</v>
      </c>
      <c r="C437" s="107">
        <f>VLOOKUP(2504,收盤價!$A:$C,3,0)</f>
        <v>7.34</v>
      </c>
      <c r="D437" s="107">
        <f t="shared" si="66"/>
        <v>0</v>
      </c>
      <c r="E437" s="167">
        <f t="shared" si="67"/>
        <v>2</v>
      </c>
      <c r="F437" s="104">
        <f t="shared" si="68"/>
        <v>0.38009991355767431</v>
      </c>
      <c r="G437" s="167">
        <f>RANK(0.56,AE:AE,0)</f>
        <v>1414</v>
      </c>
      <c r="H437" s="365">
        <f t="shared" si="69"/>
        <v>0.85187760778859523</v>
      </c>
      <c r="I437" s="213">
        <f t="shared" si="70"/>
        <v>1421</v>
      </c>
      <c r="J437" s="213">
        <f t="shared" si="71"/>
        <v>768</v>
      </c>
      <c r="K437">
        <f>RANK(0.71,AI:AI,0)</f>
        <v>1412</v>
      </c>
      <c r="L437" s="357">
        <v>0</v>
      </c>
      <c r="M437" s="357">
        <v>0</v>
      </c>
      <c r="N437" s="357">
        <v>2</v>
      </c>
      <c r="O437" s="357">
        <v>0</v>
      </c>
      <c r="P437" s="357">
        <v>0</v>
      </c>
      <c r="Q437" s="358">
        <v>-4.0940525587828493E-2</v>
      </c>
      <c r="R437" s="359">
        <v>0</v>
      </c>
      <c r="S437" s="196">
        <v>27768804000</v>
      </c>
      <c r="T437" s="196">
        <v>1438000000</v>
      </c>
      <c r="U437" s="200">
        <f t="shared" si="72"/>
        <v>10554920000</v>
      </c>
      <c r="V437" s="196">
        <v>-729000000</v>
      </c>
      <c r="W437" s="196">
        <v>0</v>
      </c>
      <c r="X437" s="196">
        <v>27463000000</v>
      </c>
      <c r="Y437" s="196">
        <v>26460000000</v>
      </c>
      <c r="Z437" s="196">
        <v>10997000000</v>
      </c>
      <c r="AA437" s="198">
        <v>-0.03</v>
      </c>
      <c r="AB437" s="198">
        <v>-0.02</v>
      </c>
      <c r="AC437" s="213">
        <f t="shared" si="73"/>
        <v>1405</v>
      </c>
      <c r="AD437" s="213">
        <f t="shared" si="74"/>
        <v>1388</v>
      </c>
      <c r="AE437" s="213">
        <v>0.56000000000000005</v>
      </c>
      <c r="AF437" s="196">
        <v>-1225000000</v>
      </c>
      <c r="AG437" s="104">
        <f t="shared" si="75"/>
        <v>-0.85187760778859523</v>
      </c>
      <c r="AH437" s="104">
        <f t="shared" si="76"/>
        <v>0</v>
      </c>
      <c r="AI437" s="195">
        <v>0.71</v>
      </c>
      <c r="AO437" s="213"/>
      <c r="AP437" s="213"/>
      <c r="AQ437" s="213"/>
      <c r="AR437" s="213"/>
      <c r="AS437" s="213"/>
      <c r="AT437" s="213"/>
      <c r="AU437" s="213"/>
      <c r="AV437" s="213"/>
    </row>
    <row r="438" spans="1:48">
      <c r="A438">
        <v>2505</v>
      </c>
      <c r="C438" s="107">
        <f>VLOOKUP(2505,收盤價!$A:$C,3,0)</f>
        <v>12.7</v>
      </c>
      <c r="D438" s="107">
        <f t="shared" si="66"/>
        <v>0</v>
      </c>
      <c r="E438" s="167">
        <f t="shared" si="67"/>
        <v>2</v>
      </c>
      <c r="F438" s="104">
        <f t="shared" si="68"/>
        <v>5.0081111098952809</v>
      </c>
      <c r="G438" s="167">
        <f>RANK(0.84,AE:AE,0)</f>
        <v>946</v>
      </c>
      <c r="H438" s="365">
        <f t="shared" si="69"/>
        <v>0.27055150884495316</v>
      </c>
      <c r="I438" s="213">
        <f t="shared" si="70"/>
        <v>1256</v>
      </c>
      <c r="J438" s="213">
        <f t="shared" si="71"/>
        <v>768</v>
      </c>
      <c r="K438">
        <f>RANK(0.77,AI:AI,0)</f>
        <v>1243</v>
      </c>
      <c r="L438" s="357">
        <v>0</v>
      </c>
      <c r="M438" s="357">
        <v>1</v>
      </c>
      <c r="N438" s="357">
        <v>1</v>
      </c>
      <c r="O438" s="357">
        <v>0</v>
      </c>
      <c r="P438" s="357">
        <v>0</v>
      </c>
      <c r="Q438" s="358">
        <v>0.19153225806451613</v>
      </c>
      <c r="R438" s="359">
        <v>0</v>
      </c>
      <c r="S438" s="196">
        <v>1462192000</v>
      </c>
      <c r="T438" s="196">
        <v>576600000</v>
      </c>
      <c r="U438" s="200">
        <f t="shared" si="72"/>
        <v>7322820000</v>
      </c>
      <c r="V438" s="196">
        <v>4000000</v>
      </c>
      <c r="W438" s="196">
        <v>4395000000</v>
      </c>
      <c r="X438" s="196">
        <v>222000000</v>
      </c>
      <c r="Y438" s="196">
        <v>7058000000</v>
      </c>
      <c r="Z438" s="196">
        <v>6556000000</v>
      </c>
      <c r="AA438" s="198">
        <v>0</v>
      </c>
      <c r="AB438" s="198">
        <v>0</v>
      </c>
      <c r="AC438" s="213">
        <f t="shared" si="73"/>
        <v>945</v>
      </c>
      <c r="AD438" s="213">
        <f t="shared" si="74"/>
        <v>911</v>
      </c>
      <c r="AE438" s="213">
        <v>0.84</v>
      </c>
      <c r="AF438" s="196">
        <v>-156000000</v>
      </c>
      <c r="AG438" s="104">
        <f t="shared" si="75"/>
        <v>-0.27055150884495316</v>
      </c>
      <c r="AH438" s="104">
        <f t="shared" si="76"/>
        <v>0</v>
      </c>
      <c r="AI438" s="195">
        <v>0.77</v>
      </c>
      <c r="AO438" s="213"/>
      <c r="AP438" s="213"/>
      <c r="AQ438" s="213"/>
      <c r="AR438" s="213"/>
      <c r="AS438" s="213"/>
      <c r="AT438" s="213"/>
      <c r="AU438" s="213"/>
      <c r="AV438" s="213"/>
    </row>
    <row r="439" spans="1:48">
      <c r="A439">
        <v>2506</v>
      </c>
      <c r="C439" s="107">
        <f>VLOOKUP(2506,收盤價!$A:$C,3,0)</f>
        <v>11.35</v>
      </c>
      <c r="D439" s="107">
        <f t="shared" si="66"/>
        <v>13.375420875420875</v>
      </c>
      <c r="E439" s="167">
        <f t="shared" si="67"/>
        <v>4</v>
      </c>
      <c r="F439" s="104">
        <f t="shared" si="68"/>
        <v>2.3883355463410338</v>
      </c>
      <c r="G439" s="167">
        <f>RANK(1.89,AE:AE,0)</f>
        <v>498</v>
      </c>
      <c r="H439" s="365">
        <f t="shared" si="69"/>
        <v>0.64408548771018703</v>
      </c>
      <c r="I439" s="213">
        <f t="shared" si="70"/>
        <v>645</v>
      </c>
      <c r="J439" s="213">
        <f t="shared" si="71"/>
        <v>417</v>
      </c>
      <c r="K439">
        <f>RANK(1.47,AI:AI,0)</f>
        <v>572</v>
      </c>
      <c r="L439" s="357">
        <v>1</v>
      </c>
      <c r="M439" s="357">
        <v>1</v>
      </c>
      <c r="N439" s="357">
        <v>1</v>
      </c>
      <c r="O439" s="357">
        <v>1</v>
      </c>
      <c r="P439" s="357">
        <v>0</v>
      </c>
      <c r="Q439" s="358">
        <v>0.67726550079491254</v>
      </c>
      <c r="R439" s="359">
        <v>0.21214285714285713</v>
      </c>
      <c r="S439" s="196">
        <v>1839126000</v>
      </c>
      <c r="T439" s="196">
        <v>387000000</v>
      </c>
      <c r="U439" s="200">
        <f t="shared" si="72"/>
        <v>4392450000</v>
      </c>
      <c r="V439" s="196">
        <v>203000000</v>
      </c>
      <c r="W439" s="196">
        <v>2608000000</v>
      </c>
      <c r="X439" s="196">
        <v>1943000000</v>
      </c>
      <c r="Y439" s="196">
        <v>7339000000</v>
      </c>
      <c r="Z439" s="196">
        <v>3185000000</v>
      </c>
      <c r="AA439" s="198">
        <v>0.04</v>
      </c>
      <c r="AB439" s="198">
        <v>0.02</v>
      </c>
      <c r="AC439" s="213">
        <f t="shared" si="73"/>
        <v>337</v>
      </c>
      <c r="AD439" s="213">
        <f t="shared" si="74"/>
        <v>487</v>
      </c>
      <c r="AE439" s="213">
        <v>1.89</v>
      </c>
      <c r="AF439" s="196">
        <v>275000000</v>
      </c>
      <c r="AG439" s="104">
        <f t="shared" si="75"/>
        <v>0.710594315245478</v>
      </c>
      <c r="AH439" s="104">
        <f t="shared" si="76"/>
        <v>1.354679802955665</v>
      </c>
      <c r="AI439" s="195">
        <v>1.47</v>
      </c>
      <c r="AO439" s="213"/>
      <c r="AP439" s="213"/>
      <c r="AQ439" s="213"/>
      <c r="AR439" s="213"/>
      <c r="AS439" s="213"/>
      <c r="AT439" s="213"/>
      <c r="AU439" s="213"/>
      <c r="AV439" s="213"/>
    </row>
    <row r="440" spans="1:48">
      <c r="A440">
        <v>2509</v>
      </c>
      <c r="C440" s="107">
        <f>VLOOKUP(2509,收盤價!$A:$C,3,0)</f>
        <v>18.399999999999999</v>
      </c>
      <c r="D440" s="107">
        <f t="shared" si="66"/>
        <v>0</v>
      </c>
      <c r="E440" s="167">
        <f t="shared" si="67"/>
        <v>1</v>
      </c>
      <c r="F440" s="104">
        <f t="shared" si="68"/>
        <v>0.68957974475535788</v>
      </c>
      <c r="G440" s="167">
        <f>RANK(0.93,AE:AE,0)</f>
        <v>920</v>
      </c>
      <c r="H440" s="365">
        <f t="shared" si="69"/>
        <v>0.76497415627850418</v>
      </c>
      <c r="I440" s="213">
        <f t="shared" si="70"/>
        <v>961</v>
      </c>
      <c r="J440" s="213">
        <f t="shared" si="71"/>
        <v>554</v>
      </c>
      <c r="K440">
        <f>RANK(1.03,AI:AI,0)</f>
        <v>851</v>
      </c>
      <c r="L440" s="357">
        <v>0</v>
      </c>
      <c r="M440" s="357">
        <v>1</v>
      </c>
      <c r="N440" s="357">
        <v>0</v>
      </c>
      <c r="O440" s="357">
        <v>0</v>
      </c>
      <c r="P440" s="357">
        <v>0</v>
      </c>
      <c r="Q440" s="358">
        <v>0.45161290322580644</v>
      </c>
      <c r="R440" s="359">
        <v>0</v>
      </c>
      <c r="S440" s="196">
        <v>4050467000</v>
      </c>
      <c r="T440" s="196">
        <v>151800000</v>
      </c>
      <c r="U440" s="200">
        <f t="shared" si="72"/>
        <v>2793120000</v>
      </c>
      <c r="V440" s="196">
        <v>26000000</v>
      </c>
      <c r="W440" s="196">
        <v>2932000000</v>
      </c>
      <c r="X440" s="196">
        <v>202000000</v>
      </c>
      <c r="Y440" s="196">
        <v>3632000000</v>
      </c>
      <c r="Z440" s="196">
        <v>2353000000</v>
      </c>
      <c r="AA440" s="198">
        <v>0.01</v>
      </c>
      <c r="AB440" s="198">
        <v>0</v>
      </c>
      <c r="AC440" s="213">
        <f t="shared" si="73"/>
        <v>769</v>
      </c>
      <c r="AD440" s="213">
        <f t="shared" si="74"/>
        <v>911</v>
      </c>
      <c r="AE440" s="213">
        <v>0.93</v>
      </c>
      <c r="AF440" s="196">
        <v>24000000</v>
      </c>
      <c r="AG440" s="104">
        <f t="shared" si="75"/>
        <v>0.15810276679841898</v>
      </c>
      <c r="AH440" s="104">
        <f t="shared" si="76"/>
        <v>0.92307692307692313</v>
      </c>
      <c r="AI440" s="195">
        <v>1.03</v>
      </c>
      <c r="AO440" s="213"/>
      <c r="AP440" s="213"/>
      <c r="AQ440" s="213"/>
      <c r="AR440" s="213"/>
      <c r="AS440" s="213"/>
      <c r="AT440" s="213"/>
      <c r="AU440" s="213"/>
      <c r="AV440" s="213"/>
    </row>
    <row r="441" spans="1:48">
      <c r="A441">
        <v>2511</v>
      </c>
      <c r="C441" s="107">
        <f>VLOOKUP(2511,收盤價!$A:$C,3,0)</f>
        <v>10.1</v>
      </c>
      <c r="D441" s="107">
        <f t="shared" si="66"/>
        <v>23.773036858974358</v>
      </c>
      <c r="E441" s="167">
        <f t="shared" si="67"/>
        <v>3</v>
      </c>
      <c r="F441" s="104">
        <f t="shared" si="68"/>
        <v>1.1287176194678288</v>
      </c>
      <c r="G441" s="167">
        <f>RANK(1.08,AE:AE,0)</f>
        <v>769</v>
      </c>
      <c r="H441" s="365">
        <f t="shared" si="69"/>
        <v>2.2498471585229338</v>
      </c>
      <c r="I441" s="213">
        <f t="shared" si="70"/>
        <v>797</v>
      </c>
      <c r="J441" s="213">
        <f t="shared" si="71"/>
        <v>178</v>
      </c>
      <c r="K441">
        <f>RANK(1.6,AI:AI,0)</f>
        <v>503</v>
      </c>
      <c r="L441" s="357">
        <v>0</v>
      </c>
      <c r="M441" s="357">
        <v>1</v>
      </c>
      <c r="N441" s="357">
        <v>1</v>
      </c>
      <c r="O441" s="357">
        <v>1</v>
      </c>
      <c r="P441" s="357">
        <v>0</v>
      </c>
      <c r="Q441" s="358">
        <v>0.36684073107049608</v>
      </c>
      <c r="R441" s="359">
        <v>0.1062127659574468</v>
      </c>
      <c r="S441" s="196">
        <v>14525626000</v>
      </c>
      <c r="T441" s="196">
        <v>1623300000</v>
      </c>
      <c r="U441" s="200">
        <f t="shared" si="72"/>
        <v>16395330000</v>
      </c>
      <c r="V441" s="196">
        <v>251000000</v>
      </c>
      <c r="W441" s="196">
        <v>16964000000</v>
      </c>
      <c r="X441" s="196">
        <v>6633000000</v>
      </c>
      <c r="Y441" s="196">
        <v>23474000000</v>
      </c>
      <c r="Z441" s="196">
        <v>5004000000</v>
      </c>
      <c r="AA441" s="198">
        <v>0.01</v>
      </c>
      <c r="AB441" s="198">
        <v>0.01</v>
      </c>
      <c r="AC441" s="213">
        <f t="shared" si="73"/>
        <v>769</v>
      </c>
      <c r="AD441" s="213">
        <f t="shared" si="74"/>
        <v>680</v>
      </c>
      <c r="AE441" s="213">
        <v>1.08</v>
      </c>
      <c r="AF441" s="196">
        <v>668000000</v>
      </c>
      <c r="AG441" s="104">
        <f t="shared" si="75"/>
        <v>0.4115074231503727</v>
      </c>
      <c r="AH441" s="104">
        <f t="shared" si="76"/>
        <v>2.6613545816733066</v>
      </c>
      <c r="AI441" s="195">
        <v>1.6</v>
      </c>
      <c r="AO441" s="213"/>
      <c r="AP441" s="213"/>
      <c r="AQ441" s="213"/>
      <c r="AR441" s="213"/>
      <c r="AS441" s="213"/>
      <c r="AT441" s="213"/>
      <c r="AU441" s="213"/>
      <c r="AV441" s="213"/>
    </row>
    <row r="442" spans="1:48">
      <c r="A442">
        <v>2515</v>
      </c>
      <c r="C442" s="107">
        <f>VLOOKUP(2515,收盤價!$A:$C,3,0)</f>
        <v>5.48</v>
      </c>
      <c r="D442" s="107">
        <f t="shared" si="66"/>
        <v>0</v>
      </c>
      <c r="E442" s="167">
        <f t="shared" si="67"/>
        <v>0</v>
      </c>
      <c r="F442" s="104">
        <f t="shared" si="68"/>
        <v>0.69506923034796253</v>
      </c>
      <c r="G442" s="167">
        <f>RANK(0.84,AE:AE,0)</f>
        <v>946</v>
      </c>
      <c r="H442" s="365">
        <f t="shared" si="69"/>
        <v>0.25409889607420472</v>
      </c>
      <c r="I442" s="213">
        <f t="shared" si="70"/>
        <v>1249</v>
      </c>
      <c r="J442" s="213">
        <f t="shared" si="71"/>
        <v>768</v>
      </c>
      <c r="K442">
        <f>RANK(0.77,AI:AI,0)</f>
        <v>1243</v>
      </c>
      <c r="L442" s="357">
        <v>0</v>
      </c>
      <c r="M442" s="357">
        <v>0</v>
      </c>
      <c r="N442" s="357">
        <v>0</v>
      </c>
      <c r="O442" s="357">
        <v>0</v>
      </c>
      <c r="P442" s="357">
        <v>0</v>
      </c>
      <c r="Q442" s="358">
        <v>9.7710547833197062E-2</v>
      </c>
      <c r="R442" s="359">
        <v>0</v>
      </c>
      <c r="S442" s="196">
        <v>12069779000</v>
      </c>
      <c r="T442" s="196">
        <v>1530900000</v>
      </c>
      <c r="U442" s="200">
        <f t="shared" si="72"/>
        <v>8389332000.000001</v>
      </c>
      <c r="V442" s="196">
        <v>55000000</v>
      </c>
      <c r="W442" s="196">
        <v>15087000000</v>
      </c>
      <c r="X442" s="196">
        <v>3592000000</v>
      </c>
      <c r="Y442" s="196">
        <v>19455000000</v>
      </c>
      <c r="Z442" s="196">
        <v>4148000000</v>
      </c>
      <c r="AA442" s="198">
        <v>0</v>
      </c>
      <c r="AB442" s="198">
        <v>0</v>
      </c>
      <c r="AC442" s="213">
        <f t="shared" si="73"/>
        <v>945</v>
      </c>
      <c r="AD442" s="213">
        <f t="shared" si="74"/>
        <v>911</v>
      </c>
      <c r="AE442" s="213">
        <v>0.84</v>
      </c>
      <c r="AF442" s="196">
        <v>-389000000</v>
      </c>
      <c r="AG442" s="104">
        <f t="shared" si="75"/>
        <v>-0.25409889607420472</v>
      </c>
      <c r="AH442" s="104">
        <f t="shared" si="76"/>
        <v>0</v>
      </c>
      <c r="AI442" s="195">
        <v>0.77</v>
      </c>
    </row>
    <row r="443" spans="1:48">
      <c r="A443">
        <v>2516</v>
      </c>
      <c r="C443" s="107">
        <f>VLOOKUP(2516,收盤價!$A:$C,3,0)</f>
        <v>6.27</v>
      </c>
      <c r="D443" s="107">
        <f t="shared" si="66"/>
        <v>0</v>
      </c>
      <c r="E443" s="167">
        <f t="shared" si="67"/>
        <v>0</v>
      </c>
      <c r="F443" s="104">
        <f t="shared" si="68"/>
        <v>0.26095311651377184</v>
      </c>
      <c r="G443" s="167">
        <f>RANK(1.02,AE:AE,0)</f>
        <v>912</v>
      </c>
      <c r="H443" s="365">
        <f t="shared" si="69"/>
        <v>0.33693304535637147</v>
      </c>
      <c r="I443" s="213">
        <f t="shared" si="70"/>
        <v>1284</v>
      </c>
      <c r="J443" s="213">
        <f t="shared" si="71"/>
        <v>768</v>
      </c>
      <c r="K443">
        <f>RANK(0.76,AI:AI,0)</f>
        <v>1269</v>
      </c>
      <c r="L443" s="357">
        <v>0</v>
      </c>
      <c r="M443" s="357">
        <v>0</v>
      </c>
      <c r="N443" s="357">
        <v>0</v>
      </c>
      <c r="O443" s="357">
        <v>0</v>
      </c>
      <c r="P443" s="357">
        <v>0</v>
      </c>
      <c r="Q443" s="358">
        <v>3.6211699164345405E-2</v>
      </c>
      <c r="R443" s="359">
        <v>-9.5238095238095229E-3</v>
      </c>
      <c r="S443" s="196">
        <v>5562321000</v>
      </c>
      <c r="T443" s="196">
        <v>231500000</v>
      </c>
      <c r="U443" s="200">
        <f t="shared" si="72"/>
        <v>1451505000</v>
      </c>
      <c r="V443" s="196">
        <v>23000000</v>
      </c>
      <c r="W443" s="196">
        <v>517000000</v>
      </c>
      <c r="X443" s="196">
        <v>680000000</v>
      </c>
      <c r="Y443" s="196">
        <v>2982000000</v>
      </c>
      <c r="Z443" s="196">
        <v>2897000000</v>
      </c>
      <c r="AA443" s="198">
        <v>0.02</v>
      </c>
      <c r="AB443" s="198">
        <v>0</v>
      </c>
      <c r="AC443" s="213">
        <f t="shared" si="73"/>
        <v>616</v>
      </c>
      <c r="AD443" s="213">
        <f t="shared" si="74"/>
        <v>911</v>
      </c>
      <c r="AE443" s="213">
        <v>1.02</v>
      </c>
      <c r="AF443" s="196">
        <v>-78000000</v>
      </c>
      <c r="AG443" s="104">
        <f t="shared" si="75"/>
        <v>-0.33693304535637147</v>
      </c>
      <c r="AH443" s="104">
        <f t="shared" si="76"/>
        <v>0</v>
      </c>
      <c r="AI443" s="195">
        <v>0.76</v>
      </c>
      <c r="AO443" s="213"/>
      <c r="AP443" s="213"/>
      <c r="AQ443" s="213"/>
      <c r="AR443" s="213"/>
      <c r="AS443" s="213"/>
      <c r="AT443" s="213"/>
      <c r="AU443" s="213"/>
      <c r="AV443" s="213"/>
    </row>
    <row r="444" spans="1:48">
      <c r="A444">
        <v>2520</v>
      </c>
      <c r="C444" s="107">
        <f>VLOOKUP(2520,收盤價!$A:$C,3,0)</f>
        <v>15.6</v>
      </c>
      <c r="D444" s="107">
        <f t="shared" si="66"/>
        <v>3.1019662088726414</v>
      </c>
      <c r="E444" s="167">
        <f t="shared" si="67"/>
        <v>4</v>
      </c>
      <c r="F444" s="104">
        <f t="shared" si="68"/>
        <v>0.55353544345913308</v>
      </c>
      <c r="G444" s="167">
        <f>RANK(2.32,AE:AE,0)</f>
        <v>360</v>
      </c>
      <c r="H444" s="365">
        <f t="shared" si="69"/>
        <v>-0.7608416457643179</v>
      </c>
      <c r="I444" s="213">
        <f t="shared" si="70"/>
        <v>191</v>
      </c>
      <c r="J444" s="213">
        <f t="shared" si="71"/>
        <v>374</v>
      </c>
      <c r="K444">
        <f>RANK(2.76,AI:AI,0)</f>
        <v>190</v>
      </c>
      <c r="L444" s="357">
        <v>0</v>
      </c>
      <c r="M444" s="357">
        <v>1</v>
      </c>
      <c r="N444" s="357">
        <v>2</v>
      </c>
      <c r="O444" s="357">
        <v>1</v>
      </c>
      <c r="P444" s="357">
        <v>0</v>
      </c>
      <c r="Q444" s="358">
        <v>0.25939572586588061</v>
      </c>
      <c r="R444" s="359">
        <v>1.2572670807453414</v>
      </c>
      <c r="S444" s="196">
        <v>14198332000</v>
      </c>
      <c r="T444" s="196">
        <v>503800000</v>
      </c>
      <c r="U444" s="200">
        <f t="shared" si="72"/>
        <v>7859280000</v>
      </c>
      <c r="V444" s="196">
        <v>757000000</v>
      </c>
      <c r="W444" s="196">
        <v>11436000000</v>
      </c>
      <c r="X444" s="196">
        <v>7431000000</v>
      </c>
      <c r="Y444" s="196">
        <v>12784000000</v>
      </c>
      <c r="Z444" s="196">
        <v>14743000000</v>
      </c>
      <c r="AA444" s="198">
        <v>0.04</v>
      </c>
      <c r="AB444" s="198">
        <v>0.03</v>
      </c>
      <c r="AC444" s="213">
        <f t="shared" si="73"/>
        <v>337</v>
      </c>
      <c r="AD444" s="213">
        <f t="shared" si="74"/>
        <v>334</v>
      </c>
      <c r="AE444" s="213">
        <v>2.3199999999999998</v>
      </c>
      <c r="AF444" s="196">
        <v>1146000000</v>
      </c>
      <c r="AG444" s="104">
        <f t="shared" si="75"/>
        <v>2.2747121873759428</v>
      </c>
      <c r="AH444" s="104">
        <f t="shared" si="76"/>
        <v>1.5138705416116249</v>
      </c>
      <c r="AI444" s="195">
        <v>2.76</v>
      </c>
    </row>
    <row r="445" spans="1:48">
      <c r="A445">
        <v>2524</v>
      </c>
      <c r="C445" s="107">
        <f>VLOOKUP(2524,收盤價!$A:$C,3,0)</f>
        <v>18.8</v>
      </c>
      <c r="D445" s="107">
        <f t="shared" si="66"/>
        <v>0</v>
      </c>
      <c r="E445" s="167">
        <f t="shared" si="67"/>
        <v>1</v>
      </c>
      <c r="F445" s="104">
        <f t="shared" si="68"/>
        <v>3.7245959588920532</v>
      </c>
      <c r="G445" s="167">
        <f>RANK(0.84,AE:AE,0)</f>
        <v>946</v>
      </c>
      <c r="H445" s="365">
        <f t="shared" si="69"/>
        <v>0.95362167795726938</v>
      </c>
      <c r="I445" s="213">
        <f t="shared" si="70"/>
        <v>1434</v>
      </c>
      <c r="J445" s="213">
        <f t="shared" si="71"/>
        <v>768</v>
      </c>
      <c r="K445">
        <f>RANK(0.71,AI:AI,0)</f>
        <v>1412</v>
      </c>
      <c r="L445" s="357">
        <v>0</v>
      </c>
      <c r="M445" s="357">
        <v>0</v>
      </c>
      <c r="N445" s="357">
        <v>1</v>
      </c>
      <c r="O445" s="357">
        <v>0</v>
      </c>
      <c r="P445" s="357">
        <v>0</v>
      </c>
      <c r="Q445" s="358">
        <v>0.33423913043478259</v>
      </c>
      <c r="R445" s="359">
        <v>0</v>
      </c>
      <c r="S445" s="196">
        <v>1937241000</v>
      </c>
      <c r="T445" s="196">
        <v>383800000</v>
      </c>
      <c r="U445" s="200">
        <f t="shared" si="72"/>
        <v>7215440000</v>
      </c>
      <c r="V445" s="196">
        <v>57000000</v>
      </c>
      <c r="W445" s="196">
        <v>13110000000</v>
      </c>
      <c r="X445" s="196">
        <v>0</v>
      </c>
      <c r="Y445" s="196">
        <v>10682000000</v>
      </c>
      <c r="Z445" s="196">
        <v>14241000000</v>
      </c>
      <c r="AA445" s="198">
        <v>0</v>
      </c>
      <c r="AB445" s="198">
        <v>0</v>
      </c>
      <c r="AC445" s="213">
        <f t="shared" si="73"/>
        <v>945</v>
      </c>
      <c r="AD445" s="213">
        <f t="shared" si="74"/>
        <v>911</v>
      </c>
      <c r="AE445" s="213">
        <v>0.84</v>
      </c>
      <c r="AF445" s="196">
        <v>-366000000</v>
      </c>
      <c r="AG445" s="104">
        <f t="shared" si="75"/>
        <v>-0.95362167795726938</v>
      </c>
      <c r="AH445" s="104">
        <f t="shared" si="76"/>
        <v>0</v>
      </c>
      <c r="AI445" s="195">
        <v>0.71</v>
      </c>
      <c r="AO445" s="213"/>
      <c r="AP445" s="213"/>
      <c r="AQ445" s="213"/>
      <c r="AR445" s="213"/>
      <c r="AS445" s="213"/>
      <c r="AT445" s="213"/>
      <c r="AU445" s="213"/>
      <c r="AV445" s="213"/>
    </row>
    <row r="446" spans="1:48">
      <c r="A446">
        <v>2527</v>
      </c>
      <c r="C446" s="107">
        <f>VLOOKUP(2527,收盤價!$A:$C,3,0)</f>
        <v>17.399999999999999</v>
      </c>
      <c r="D446" s="107">
        <f t="shared" si="66"/>
        <v>0</v>
      </c>
      <c r="E446" s="167">
        <f t="shared" si="67"/>
        <v>0</v>
      </c>
      <c r="F446" s="104">
        <f t="shared" si="68"/>
        <v>6.2323691700987487</v>
      </c>
      <c r="G446" s="167">
        <f>RANK(0.84,AE:AE,0)</f>
        <v>946</v>
      </c>
      <c r="H446" s="365">
        <f t="shared" si="69"/>
        <v>3.4369219385867553</v>
      </c>
      <c r="I446" s="213">
        <f t="shared" si="70"/>
        <v>1539</v>
      </c>
      <c r="J446" s="213">
        <f t="shared" si="71"/>
        <v>768</v>
      </c>
      <c r="K446">
        <f>RANK(0.68,AI:AI,0)</f>
        <v>1507</v>
      </c>
      <c r="L446" s="357">
        <v>0</v>
      </c>
      <c r="M446" s="357">
        <v>0</v>
      </c>
      <c r="N446" s="357">
        <v>0</v>
      </c>
      <c r="O446" s="357">
        <v>0</v>
      </c>
      <c r="P446" s="357">
        <v>0</v>
      </c>
      <c r="Q446" s="358">
        <v>0.20967741935483872</v>
      </c>
      <c r="R446" s="359">
        <v>0</v>
      </c>
      <c r="S446" s="196">
        <v>754644000</v>
      </c>
      <c r="T446" s="196">
        <v>270300000</v>
      </c>
      <c r="U446" s="200">
        <f t="shared" si="72"/>
        <v>4703220000</v>
      </c>
      <c r="V446" s="196">
        <v>-6000000</v>
      </c>
      <c r="W446" s="196">
        <v>5600000000</v>
      </c>
      <c r="X446" s="196">
        <v>801000000</v>
      </c>
      <c r="Y446" s="196">
        <v>7610000000</v>
      </c>
      <c r="Z446" s="196">
        <v>4410000000</v>
      </c>
      <c r="AA446" s="198">
        <v>0</v>
      </c>
      <c r="AB446" s="198">
        <v>0</v>
      </c>
      <c r="AC446" s="213">
        <f t="shared" si="73"/>
        <v>945</v>
      </c>
      <c r="AD446" s="213">
        <f t="shared" si="74"/>
        <v>911</v>
      </c>
      <c r="AE446" s="213">
        <v>0.84</v>
      </c>
      <c r="AF446" s="196">
        <v>-929000000</v>
      </c>
      <c r="AG446" s="104">
        <f t="shared" si="75"/>
        <v>-3.4369219385867553</v>
      </c>
      <c r="AH446" s="104">
        <f t="shared" si="76"/>
        <v>0</v>
      </c>
      <c r="AI446" s="195">
        <v>0.68</v>
      </c>
    </row>
    <row r="447" spans="1:48">
      <c r="A447">
        <v>2528</v>
      </c>
      <c r="C447" s="107" t="str">
        <f>VLOOKUP(2528,收盤價!$A:$C,3,0)</f>
        <v>--</v>
      </c>
      <c r="D447" s="107">
        <f t="shared" si="66"/>
        <v>0</v>
      </c>
      <c r="E447" s="167">
        <f t="shared" si="67"/>
        <v>0</v>
      </c>
      <c r="F447" s="104">
        <f t="shared" si="68"/>
        <v>0</v>
      </c>
      <c r="G447" s="167">
        <f>RANK(0.84,AE:AE,0)</f>
        <v>946</v>
      </c>
      <c r="H447" s="365">
        <f t="shared" si="69"/>
        <v>11.844756399669695</v>
      </c>
      <c r="I447" s="213">
        <f t="shared" si="70"/>
        <v>635</v>
      </c>
      <c r="J447" s="213">
        <f t="shared" si="71"/>
        <v>26</v>
      </c>
      <c r="K447">
        <f>RANK(2.36,AI:AI,0)</f>
        <v>265</v>
      </c>
      <c r="L447" s="357">
        <v>0</v>
      </c>
      <c r="M447" s="357">
        <v>0</v>
      </c>
      <c r="N447" s="357">
        <v>0</v>
      </c>
      <c r="O447" s="357">
        <v>0</v>
      </c>
      <c r="P447" s="357">
        <v>0</v>
      </c>
      <c r="Q447" s="358">
        <v>0.19277108433734941</v>
      </c>
      <c r="R447" s="359">
        <v>3.7499999999999999E-2</v>
      </c>
      <c r="S447" s="196">
        <v>149919000</v>
      </c>
      <c r="T447" s="196">
        <v>121100000</v>
      </c>
      <c r="U447" s="200" t="e">
        <f t="shared" si="72"/>
        <v>#VALUE!</v>
      </c>
      <c r="V447" s="196">
        <v>7000000</v>
      </c>
      <c r="W447" s="196">
        <v>545000000</v>
      </c>
      <c r="X447" s="196">
        <v>0</v>
      </c>
      <c r="Y447" s="196">
        <v>1294000000</v>
      </c>
      <c r="Z447" s="196">
        <v>342000000</v>
      </c>
      <c r="AA447" s="198">
        <v>0</v>
      </c>
      <c r="AB447" s="198">
        <v>0</v>
      </c>
      <c r="AC447" s="213">
        <f t="shared" si="73"/>
        <v>945</v>
      </c>
      <c r="AD447" s="213">
        <f t="shared" si="74"/>
        <v>911</v>
      </c>
      <c r="AE447" s="213">
        <v>0.84</v>
      </c>
      <c r="AF447" s="196">
        <v>88000000</v>
      </c>
      <c r="AG447" s="104">
        <f t="shared" si="75"/>
        <v>0.72667217175887699</v>
      </c>
      <c r="AH447" s="104">
        <f t="shared" si="76"/>
        <v>12.571428571428571</v>
      </c>
      <c r="AI447" s="195">
        <v>2.36</v>
      </c>
    </row>
    <row r="448" spans="1:48">
      <c r="A448">
        <v>2530</v>
      </c>
      <c r="C448" s="107">
        <f>VLOOKUP(2530,收盤價!$A:$C,3,0)</f>
        <v>13.4</v>
      </c>
      <c r="D448" s="107">
        <f t="shared" si="66"/>
        <v>0</v>
      </c>
      <c r="E448" s="167">
        <f t="shared" si="67"/>
        <v>1</v>
      </c>
      <c r="F448" s="104">
        <f t="shared" si="68"/>
        <v>0.65211898414702041</v>
      </c>
      <c r="G448" s="167">
        <f>RANK(0.71,AE:AE,0)</f>
        <v>1276</v>
      </c>
      <c r="H448" s="365">
        <f t="shared" si="69"/>
        <v>-2.2415066469719349</v>
      </c>
      <c r="I448" s="213">
        <f t="shared" si="70"/>
        <v>196</v>
      </c>
      <c r="J448" s="213">
        <f t="shared" si="71"/>
        <v>768</v>
      </c>
      <c r="K448">
        <f>RANK(1.62,AI:AI,0)</f>
        <v>493</v>
      </c>
      <c r="L448" s="357">
        <v>0</v>
      </c>
      <c r="M448" s="357">
        <v>0</v>
      </c>
      <c r="N448" s="357">
        <v>1</v>
      </c>
      <c r="O448" s="357">
        <v>0</v>
      </c>
      <c r="P448" s="357">
        <v>0</v>
      </c>
      <c r="Q448" s="358">
        <v>1</v>
      </c>
      <c r="R448" s="359">
        <v>0</v>
      </c>
      <c r="S448" s="196">
        <v>5564506000</v>
      </c>
      <c r="T448" s="196">
        <v>270800000</v>
      </c>
      <c r="U448" s="200">
        <f t="shared" si="72"/>
        <v>3628720000</v>
      </c>
      <c r="V448" s="196">
        <v>-22000000</v>
      </c>
      <c r="W448" s="196">
        <v>3773000000</v>
      </c>
      <c r="X448" s="196">
        <v>65000000</v>
      </c>
      <c r="Y448" s="196">
        <v>3879000000</v>
      </c>
      <c r="Z448" s="196">
        <v>1241000000</v>
      </c>
      <c r="AA448" s="198">
        <v>-0.01</v>
      </c>
      <c r="AB448" s="198">
        <v>0</v>
      </c>
      <c r="AC448" s="213">
        <f t="shared" si="73"/>
        <v>1277</v>
      </c>
      <c r="AD448" s="213">
        <f t="shared" si="74"/>
        <v>911</v>
      </c>
      <c r="AE448" s="213">
        <v>0.71</v>
      </c>
      <c r="AF448" s="196">
        <v>607000000</v>
      </c>
      <c r="AG448" s="104">
        <f t="shared" si="75"/>
        <v>2.2415066469719349</v>
      </c>
      <c r="AH448" s="104">
        <f t="shared" si="76"/>
        <v>0</v>
      </c>
      <c r="AI448" s="195">
        <v>1.62</v>
      </c>
      <c r="AO448" s="213"/>
      <c r="AP448" s="213"/>
      <c r="AQ448" s="213"/>
      <c r="AR448" s="213"/>
      <c r="AS448" s="213"/>
      <c r="AT448" s="213"/>
      <c r="AU448" s="213"/>
      <c r="AV448" s="213"/>
    </row>
    <row r="449" spans="1:48">
      <c r="A449">
        <v>2534</v>
      </c>
      <c r="C449" s="107">
        <f>VLOOKUP(2534,收盤價!$A:$C,3,0)</f>
        <v>17.25</v>
      </c>
      <c r="D449" s="107">
        <f t="shared" si="66"/>
        <v>7.6573849878934634</v>
      </c>
      <c r="E449" s="167">
        <f t="shared" si="67"/>
        <v>2</v>
      </c>
      <c r="F449" s="104">
        <f t="shared" si="68"/>
        <v>6.5717069277938229</v>
      </c>
      <c r="G449" s="167">
        <f>RANK(2.36,AE:AE,0)</f>
        <v>355</v>
      </c>
      <c r="H449" s="365">
        <f t="shared" si="69"/>
        <v>0.82668477338312685</v>
      </c>
      <c r="I449" s="213">
        <f t="shared" si="70"/>
        <v>1416</v>
      </c>
      <c r="J449" s="213">
        <f t="shared" si="71"/>
        <v>768</v>
      </c>
      <c r="K449">
        <f>RANK(0.71,AI:AI,0)</f>
        <v>1412</v>
      </c>
      <c r="L449" s="357">
        <v>0</v>
      </c>
      <c r="M449" s="357">
        <v>1</v>
      </c>
      <c r="N449" s="357">
        <v>1</v>
      </c>
      <c r="O449" s="357">
        <v>0</v>
      </c>
      <c r="P449" s="357">
        <v>0</v>
      </c>
      <c r="Q449" s="358">
        <v>0.50994035785288272</v>
      </c>
      <c r="R449" s="359">
        <v>0.56318181818181812</v>
      </c>
      <c r="S449" s="196">
        <v>1546322000</v>
      </c>
      <c r="T449" s="196">
        <v>589100000</v>
      </c>
      <c r="U449" s="200">
        <f t="shared" si="72"/>
        <v>10161975000</v>
      </c>
      <c r="V449" s="196">
        <v>461000000</v>
      </c>
      <c r="W449" s="196">
        <v>7423000000</v>
      </c>
      <c r="X449" s="196">
        <v>4000000</v>
      </c>
      <c r="Y449" s="196">
        <v>8912000000</v>
      </c>
      <c r="Z449" s="196">
        <v>12660000000</v>
      </c>
      <c r="AA449" s="198">
        <v>0.06</v>
      </c>
      <c r="AB449" s="198">
        <v>0.02</v>
      </c>
      <c r="AC449" s="213">
        <f t="shared" si="73"/>
        <v>174</v>
      </c>
      <c r="AD449" s="213">
        <f t="shared" si="74"/>
        <v>487</v>
      </c>
      <c r="AE449" s="213">
        <v>2.36</v>
      </c>
      <c r="AF449" s="196">
        <v>-487000000</v>
      </c>
      <c r="AG449" s="104">
        <f t="shared" si="75"/>
        <v>-0.82668477338312685</v>
      </c>
      <c r="AH449" s="104">
        <f t="shared" si="76"/>
        <v>0</v>
      </c>
      <c r="AI449" s="195">
        <v>0.71</v>
      </c>
    </row>
    <row r="450" spans="1:48">
      <c r="A450">
        <v>2535</v>
      </c>
      <c r="C450" s="107">
        <f>VLOOKUP(2535,收盤價!$A:$C,3,0)</f>
        <v>19.149999999999999</v>
      </c>
      <c r="D450" s="107">
        <f t="shared" ref="D450:D513" si="77">IF(AND(ISNUMBER(C450),R450&gt;0),C450/(R450*4),0)</f>
        <v>6.6493055555555554</v>
      </c>
      <c r="E450" s="167">
        <f t="shared" ref="E450:E513" si="78">SUM(L450:P450)</f>
        <v>4</v>
      </c>
      <c r="F450" s="104">
        <f t="shared" ref="F450:F513" si="79">IF(AND(ISNUMBER(U450),ISNUMBER(S450)),U450/S450,0)</f>
        <v>0.30720259896493146</v>
      </c>
      <c r="G450" s="167">
        <f>RANK(0.84,AE:AE,0)</f>
        <v>946</v>
      </c>
      <c r="H450" s="365">
        <f t="shared" ref="H450:H513" si="80">AH450-AG450</f>
        <v>-2.0856102003642989</v>
      </c>
      <c r="I450" s="213">
        <f t="shared" ref="I450:I513" si="81">RANK(AG450,AG:AG)</f>
        <v>210</v>
      </c>
      <c r="J450" s="213">
        <f t="shared" ref="J450:J513" si="82">RANK(AH450,AH:AH)</f>
        <v>768</v>
      </c>
      <c r="K450">
        <f>RANK(1.59,AI:AI,0)</f>
        <v>509</v>
      </c>
      <c r="L450" s="357">
        <v>0</v>
      </c>
      <c r="M450" s="357">
        <v>1</v>
      </c>
      <c r="N450" s="357">
        <v>2</v>
      </c>
      <c r="O450" s="357">
        <v>1</v>
      </c>
      <c r="P450" s="357">
        <v>0</v>
      </c>
      <c r="Q450" s="358">
        <v>7.0058604155567389E-2</v>
      </c>
      <c r="R450" s="359">
        <v>0.72</v>
      </c>
      <c r="S450" s="196">
        <v>13689142000</v>
      </c>
      <c r="T450" s="196">
        <v>219600000</v>
      </c>
      <c r="U450" s="200">
        <f t="shared" ref="U450:U513" si="83">C450*T450</f>
        <v>4205339999.9999995</v>
      </c>
      <c r="V450" s="196">
        <v>0</v>
      </c>
      <c r="W450" s="196">
        <v>4364000000</v>
      </c>
      <c r="X450" s="196">
        <v>457000000</v>
      </c>
      <c r="Y450" s="196">
        <v>4741000000</v>
      </c>
      <c r="Z450" s="196">
        <v>2517000000</v>
      </c>
      <c r="AA450" s="198">
        <v>0</v>
      </c>
      <c r="AB450" s="198">
        <v>0</v>
      </c>
      <c r="AC450" s="213">
        <f t="shared" ref="AC450:AC513" si="84">RANK(AA450,AA:AA)</f>
        <v>945</v>
      </c>
      <c r="AD450" s="213">
        <f t="shared" ref="AD450:AD513" si="85">RANK(AB450,AB:AB)</f>
        <v>911</v>
      </c>
      <c r="AE450" s="213">
        <v>0.84</v>
      </c>
      <c r="AF450" s="196">
        <v>458000000</v>
      </c>
      <c r="AG450" s="104">
        <f t="shared" ref="AG450:AG513" si="86">AF450/T450</f>
        <v>2.0856102003642989</v>
      </c>
      <c r="AH450" s="104">
        <f t="shared" ref="AH450:AH513" si="87">IF(AND(AF450&gt;0,V450&gt;0),AF450/V450,0)</f>
        <v>0</v>
      </c>
      <c r="AI450" s="195">
        <v>1.59</v>
      </c>
      <c r="AO450" s="213"/>
      <c r="AP450" s="213"/>
      <c r="AQ450" s="213"/>
      <c r="AR450" s="213"/>
      <c r="AS450" s="213"/>
      <c r="AT450" s="213"/>
      <c r="AU450" s="213"/>
      <c r="AV450" s="213"/>
    </row>
    <row r="451" spans="1:48">
      <c r="A451">
        <v>2536</v>
      </c>
      <c r="C451" s="107">
        <f>VLOOKUP(2536,收盤價!$A:$C,3,0)</f>
        <v>26.25</v>
      </c>
      <c r="D451" s="107">
        <f t="shared" si="77"/>
        <v>14.338795731707318</v>
      </c>
      <c r="E451" s="167">
        <f t="shared" si="78"/>
        <v>1</v>
      </c>
      <c r="F451" s="104">
        <f t="shared" si="79"/>
        <v>1.4375774450417895</v>
      </c>
      <c r="G451" s="167">
        <f>RANK(1.2,AE:AE,0)</f>
        <v>710</v>
      </c>
      <c r="H451" s="365">
        <f t="shared" si="80"/>
        <v>0.6640625</v>
      </c>
      <c r="I451" s="213">
        <f t="shared" si="81"/>
        <v>1386</v>
      </c>
      <c r="J451" s="213">
        <f t="shared" si="82"/>
        <v>768</v>
      </c>
      <c r="K451">
        <f>RANK(0.72,AI:AI,0)</f>
        <v>1381</v>
      </c>
      <c r="L451" s="357">
        <v>0</v>
      </c>
      <c r="M451" s="357">
        <v>1</v>
      </c>
      <c r="N451" s="357">
        <v>0</v>
      </c>
      <c r="O451" s="357">
        <v>0</v>
      </c>
      <c r="P451" s="357">
        <v>0</v>
      </c>
      <c r="Q451" s="358">
        <v>0.27878787878787881</v>
      </c>
      <c r="R451" s="359">
        <v>0.45767441860465113</v>
      </c>
      <c r="S451" s="196">
        <v>6076890000</v>
      </c>
      <c r="T451" s="196">
        <v>332800000</v>
      </c>
      <c r="U451" s="200">
        <f t="shared" si="83"/>
        <v>8736000000</v>
      </c>
      <c r="V451" s="196">
        <v>170000000</v>
      </c>
      <c r="W451" s="196">
        <v>10948000000</v>
      </c>
      <c r="X451" s="196">
        <v>3000000</v>
      </c>
      <c r="Y451" s="196">
        <v>11786000000</v>
      </c>
      <c r="Z451" s="196">
        <v>2928000000</v>
      </c>
      <c r="AA451" s="198">
        <v>0.02</v>
      </c>
      <c r="AB451" s="198">
        <v>0.01</v>
      </c>
      <c r="AC451" s="213">
        <f t="shared" si="84"/>
        <v>616</v>
      </c>
      <c r="AD451" s="213">
        <f t="shared" si="85"/>
        <v>680</v>
      </c>
      <c r="AE451" s="213">
        <v>1.2</v>
      </c>
      <c r="AF451" s="196">
        <v>-221000000</v>
      </c>
      <c r="AG451" s="104">
        <f t="shared" si="86"/>
        <v>-0.6640625</v>
      </c>
      <c r="AH451" s="104">
        <f t="shared" si="87"/>
        <v>0</v>
      </c>
      <c r="AI451" s="195">
        <v>0.72</v>
      </c>
    </row>
    <row r="452" spans="1:48">
      <c r="A452">
        <v>2537</v>
      </c>
      <c r="C452" s="107">
        <f>VLOOKUP(2537,收盤價!$A:$C,3,0)</f>
        <v>9.34</v>
      </c>
      <c r="D452" s="107">
        <f t="shared" si="77"/>
        <v>6.8138066202090597</v>
      </c>
      <c r="E452" s="167">
        <f t="shared" si="78"/>
        <v>2</v>
      </c>
      <c r="F452" s="104">
        <f t="shared" si="79"/>
        <v>0.80521339870270703</v>
      </c>
      <c r="G452" s="167">
        <f>RANK(1.63,AE:AE,0)</f>
        <v>551</v>
      </c>
      <c r="H452" s="365">
        <f t="shared" si="80"/>
        <v>0.28699551569506726</v>
      </c>
      <c r="I452" s="213">
        <f t="shared" si="81"/>
        <v>925</v>
      </c>
      <c r="J452" s="213">
        <f t="shared" si="82"/>
        <v>677</v>
      </c>
      <c r="K452">
        <f>RANK(0.97,AI:AI,0)</f>
        <v>912</v>
      </c>
      <c r="L452" s="357">
        <v>0</v>
      </c>
      <c r="M452" s="357">
        <v>1</v>
      </c>
      <c r="N452" s="357">
        <v>1</v>
      </c>
      <c r="O452" s="357">
        <v>0</v>
      </c>
      <c r="P452" s="357">
        <v>0</v>
      </c>
      <c r="Q452" s="358">
        <v>0.40532544378698226</v>
      </c>
      <c r="R452" s="359">
        <v>0.34268656716417906</v>
      </c>
      <c r="S452" s="196">
        <v>3104002000</v>
      </c>
      <c r="T452" s="196">
        <v>267600000</v>
      </c>
      <c r="U452" s="200">
        <f t="shared" si="83"/>
        <v>2499384000</v>
      </c>
      <c r="V452" s="196">
        <v>114000000</v>
      </c>
      <c r="W452" s="196">
        <v>4253000000</v>
      </c>
      <c r="X452" s="196">
        <v>2000000</v>
      </c>
      <c r="Y452" s="196">
        <v>4216000000</v>
      </c>
      <c r="Z452" s="196">
        <v>1315000000</v>
      </c>
      <c r="AA452" s="198">
        <v>0.03</v>
      </c>
      <c r="AB452" s="198">
        <v>0.02</v>
      </c>
      <c r="AC452" s="213">
        <f t="shared" si="84"/>
        <v>469</v>
      </c>
      <c r="AD452" s="213">
        <f t="shared" si="85"/>
        <v>487</v>
      </c>
      <c r="AE452" s="213">
        <v>1.63</v>
      </c>
      <c r="AF452" s="196">
        <v>57000000</v>
      </c>
      <c r="AG452" s="104">
        <f t="shared" si="86"/>
        <v>0.21300448430493274</v>
      </c>
      <c r="AH452" s="104">
        <f t="shared" si="87"/>
        <v>0.5</v>
      </c>
      <c r="AI452" s="195">
        <v>0.97</v>
      </c>
      <c r="AO452" s="213"/>
      <c r="AP452" s="213"/>
      <c r="AQ452" s="213"/>
      <c r="AR452" s="213"/>
      <c r="AS452" s="213"/>
      <c r="AT452" s="213"/>
      <c r="AU452" s="213"/>
      <c r="AV452" s="213"/>
    </row>
    <row r="453" spans="1:48">
      <c r="A453">
        <v>2538</v>
      </c>
      <c r="C453" s="107">
        <f>VLOOKUP(2538,收盤價!$A:$C,3,0)</f>
        <v>10.25</v>
      </c>
      <c r="D453" s="107">
        <f t="shared" si="77"/>
        <v>0</v>
      </c>
      <c r="E453" s="167">
        <f t="shared" si="78"/>
        <v>0</v>
      </c>
      <c r="F453" s="104">
        <f t="shared" si="79"/>
        <v>6.7144118688615713</v>
      </c>
      <c r="G453" s="167">
        <f>RANK(0.93,AE:AE,0)</f>
        <v>920</v>
      </c>
      <c r="H453" s="365">
        <f t="shared" si="80"/>
        <v>0.37864963503649635</v>
      </c>
      <c r="I453" s="213">
        <f t="shared" si="81"/>
        <v>1304</v>
      </c>
      <c r="J453" s="213">
        <f t="shared" si="82"/>
        <v>768</v>
      </c>
      <c r="K453">
        <f>RANK(0.75,AI:AI,0)</f>
        <v>1296</v>
      </c>
      <c r="L453" s="357">
        <v>0</v>
      </c>
      <c r="M453" s="357">
        <v>0</v>
      </c>
      <c r="N453" s="357">
        <v>0</v>
      </c>
      <c r="O453" s="357">
        <v>0</v>
      </c>
      <c r="P453" s="357">
        <v>0</v>
      </c>
      <c r="Q453" s="358">
        <v>0.35564853556485354</v>
      </c>
      <c r="R453" s="359">
        <v>0</v>
      </c>
      <c r="S453" s="196">
        <v>669247000</v>
      </c>
      <c r="T453" s="196">
        <v>438400000</v>
      </c>
      <c r="U453" s="200">
        <f t="shared" si="83"/>
        <v>4493600000</v>
      </c>
      <c r="V453" s="196">
        <v>60000000</v>
      </c>
      <c r="W453" s="196">
        <v>5536000000</v>
      </c>
      <c r="X453" s="196">
        <v>1000000</v>
      </c>
      <c r="Y453" s="196">
        <v>8510000000</v>
      </c>
      <c r="Z453" s="196">
        <v>3823000000</v>
      </c>
      <c r="AA453" s="198">
        <v>0.01</v>
      </c>
      <c r="AB453" s="198">
        <v>0</v>
      </c>
      <c r="AC453" s="213">
        <f t="shared" si="84"/>
        <v>769</v>
      </c>
      <c r="AD453" s="213">
        <f t="shared" si="85"/>
        <v>911</v>
      </c>
      <c r="AE453" s="213">
        <v>0.93</v>
      </c>
      <c r="AF453" s="196">
        <v>-166000000</v>
      </c>
      <c r="AG453" s="104">
        <f t="shared" si="86"/>
        <v>-0.37864963503649635</v>
      </c>
      <c r="AH453" s="104">
        <f t="shared" si="87"/>
        <v>0</v>
      </c>
      <c r="AI453" s="195">
        <v>0.75</v>
      </c>
    </row>
    <row r="454" spans="1:48">
      <c r="A454">
        <v>2539</v>
      </c>
      <c r="C454" s="107">
        <f>VLOOKUP(2539,收盤價!$A:$C,3,0)</f>
        <v>25</v>
      </c>
      <c r="D454" s="107">
        <f t="shared" si="77"/>
        <v>0</v>
      </c>
      <c r="E454" s="167">
        <f t="shared" si="78"/>
        <v>0</v>
      </c>
      <c r="F454" s="104">
        <f t="shared" si="79"/>
        <v>3.7008876444625467</v>
      </c>
      <c r="G454" s="167">
        <f>RANK(0.84,AE:AE,0)</f>
        <v>946</v>
      </c>
      <c r="H454" s="365">
        <f t="shared" si="80"/>
        <v>1.6655027932960893</v>
      </c>
      <c r="I454" s="213">
        <f t="shared" si="81"/>
        <v>1491</v>
      </c>
      <c r="J454" s="213">
        <f t="shared" si="82"/>
        <v>768</v>
      </c>
      <c r="K454">
        <f>RANK(0.69,AI:AI,0)</f>
        <v>1474</v>
      </c>
      <c r="L454" s="357">
        <v>0</v>
      </c>
      <c r="M454" s="357">
        <v>0</v>
      </c>
      <c r="N454" s="357">
        <v>0</v>
      </c>
      <c r="O454" s="357">
        <v>0</v>
      </c>
      <c r="P454" s="357">
        <v>0</v>
      </c>
      <c r="Q454" s="358">
        <v>0.38805970149253732</v>
      </c>
      <c r="R454" s="359">
        <v>0</v>
      </c>
      <c r="S454" s="196">
        <v>1934671000</v>
      </c>
      <c r="T454" s="196">
        <v>286400000</v>
      </c>
      <c r="U454" s="200">
        <f t="shared" si="83"/>
        <v>7160000000</v>
      </c>
      <c r="V454" s="196">
        <v>-2000000</v>
      </c>
      <c r="W454" s="196">
        <v>5420000000</v>
      </c>
      <c r="X454" s="196">
        <v>48000000</v>
      </c>
      <c r="Y454" s="196">
        <v>4553000000</v>
      </c>
      <c r="Z454" s="196">
        <v>2196000000</v>
      </c>
      <c r="AA454" s="198">
        <v>0</v>
      </c>
      <c r="AB454" s="198">
        <v>0</v>
      </c>
      <c r="AC454" s="213">
        <f t="shared" si="84"/>
        <v>945</v>
      </c>
      <c r="AD454" s="213">
        <f t="shared" si="85"/>
        <v>911</v>
      </c>
      <c r="AE454" s="213">
        <v>0.84</v>
      </c>
      <c r="AF454" s="196">
        <v>-477000000</v>
      </c>
      <c r="AG454" s="104">
        <f t="shared" si="86"/>
        <v>-1.6655027932960893</v>
      </c>
      <c r="AH454" s="104">
        <f t="shared" si="87"/>
        <v>0</v>
      </c>
      <c r="AI454" s="195">
        <v>0.69</v>
      </c>
      <c r="AO454" s="213"/>
      <c r="AP454" s="213"/>
      <c r="AQ454" s="213"/>
      <c r="AR454" s="213"/>
      <c r="AS454" s="213"/>
      <c r="AT454" s="213"/>
      <c r="AU454" s="213"/>
      <c r="AV454" s="213"/>
    </row>
    <row r="455" spans="1:48">
      <c r="A455">
        <v>2540</v>
      </c>
      <c r="C455" s="107">
        <f>VLOOKUP(2540,收盤價!$A:$C,3,0)</f>
        <v>25.7</v>
      </c>
      <c r="D455" s="107">
        <f t="shared" si="77"/>
        <v>16.607831790123456</v>
      </c>
      <c r="E455" s="167">
        <f t="shared" si="78"/>
        <v>2</v>
      </c>
      <c r="F455" s="104">
        <f t="shared" si="79"/>
        <v>3.8007243087290297</v>
      </c>
      <c r="G455" s="167">
        <f>RANK(1.63,AE:AE,0)</f>
        <v>551</v>
      </c>
      <c r="H455" s="365">
        <f t="shared" si="80"/>
        <v>0.49795361527967258</v>
      </c>
      <c r="I455" s="213">
        <f t="shared" si="81"/>
        <v>1344</v>
      </c>
      <c r="J455" s="213">
        <f t="shared" si="82"/>
        <v>768</v>
      </c>
      <c r="K455">
        <f>RANK(0.74,AI:AI,0)</f>
        <v>1324</v>
      </c>
      <c r="L455" s="357">
        <v>0</v>
      </c>
      <c r="M455" s="357">
        <v>1</v>
      </c>
      <c r="N455" s="357">
        <v>1</v>
      </c>
      <c r="O455" s="357">
        <v>0</v>
      </c>
      <c r="P455" s="357">
        <v>0</v>
      </c>
      <c r="Q455" s="358">
        <v>0.78378378378378377</v>
      </c>
      <c r="R455" s="359">
        <v>0.38686567164179103</v>
      </c>
      <c r="S455" s="196">
        <v>991290000</v>
      </c>
      <c r="T455" s="196">
        <v>146600000</v>
      </c>
      <c r="U455" s="200">
        <f t="shared" si="83"/>
        <v>3767620000</v>
      </c>
      <c r="V455" s="196">
        <v>126000000</v>
      </c>
      <c r="W455" s="196">
        <v>3203000000</v>
      </c>
      <c r="X455" s="196">
        <v>835000000</v>
      </c>
      <c r="Y455" s="196">
        <v>3825000000</v>
      </c>
      <c r="Z455" s="196">
        <v>3158000000</v>
      </c>
      <c r="AA455" s="198">
        <v>0.03</v>
      </c>
      <c r="AB455" s="198">
        <v>0.02</v>
      </c>
      <c r="AC455" s="213">
        <f t="shared" si="84"/>
        <v>469</v>
      </c>
      <c r="AD455" s="213">
        <f t="shared" si="85"/>
        <v>487</v>
      </c>
      <c r="AE455" s="213">
        <v>1.63</v>
      </c>
      <c r="AF455" s="196">
        <v>-73000000</v>
      </c>
      <c r="AG455" s="104">
        <f t="shared" si="86"/>
        <v>-0.49795361527967258</v>
      </c>
      <c r="AH455" s="104">
        <f t="shared" si="87"/>
        <v>0</v>
      </c>
      <c r="AI455" s="195">
        <v>0.74</v>
      </c>
      <c r="AO455" s="213"/>
      <c r="AP455" s="213"/>
      <c r="AQ455" s="213"/>
      <c r="AR455" s="213"/>
      <c r="AS455" s="213"/>
      <c r="AT455" s="213"/>
      <c r="AU455" s="213"/>
      <c r="AV455" s="213"/>
    </row>
    <row r="456" spans="1:48">
      <c r="A456">
        <v>2542</v>
      </c>
      <c r="C456" s="107">
        <f>VLOOKUP(2542,收盤價!$A:$C,3,0)</f>
        <v>47.85</v>
      </c>
      <c r="D456" s="107">
        <f t="shared" si="77"/>
        <v>24.324755674653215</v>
      </c>
      <c r="E456" s="167">
        <f t="shared" si="78"/>
        <v>1</v>
      </c>
      <c r="F456" s="104">
        <f t="shared" si="79"/>
        <v>1.2778696520445378</v>
      </c>
      <c r="G456" s="167">
        <f>RANK(1.2,AE:AE,0)</f>
        <v>710</v>
      </c>
      <c r="H456" s="365">
        <f t="shared" si="80"/>
        <v>1.5126935824904278E-2</v>
      </c>
      <c r="I456" s="213">
        <f t="shared" si="81"/>
        <v>1018</v>
      </c>
      <c r="J456" s="213">
        <f t="shared" si="82"/>
        <v>758</v>
      </c>
      <c r="K456">
        <f>RANK(0.88,AI:AI,0)</f>
        <v>1021</v>
      </c>
      <c r="L456" s="357">
        <v>0</v>
      </c>
      <c r="M456" s="357">
        <v>1</v>
      </c>
      <c r="N456" s="357">
        <v>0</v>
      </c>
      <c r="O456" s="357">
        <v>0</v>
      </c>
      <c r="P456" s="357">
        <v>0</v>
      </c>
      <c r="Q456" s="358">
        <v>0.34155555555555556</v>
      </c>
      <c r="R456" s="359">
        <v>0.49178294573643411</v>
      </c>
      <c r="S456" s="196">
        <v>43683493000</v>
      </c>
      <c r="T456" s="196">
        <v>1166600000</v>
      </c>
      <c r="U456" s="200">
        <f t="shared" si="83"/>
        <v>55821810000</v>
      </c>
      <c r="V456" s="196">
        <v>960000000</v>
      </c>
      <c r="W456" s="196">
        <v>38734000000</v>
      </c>
      <c r="X456" s="196">
        <v>2536000000</v>
      </c>
      <c r="Y456" s="196">
        <v>34858000000</v>
      </c>
      <c r="Z456" s="196">
        <v>35215000000</v>
      </c>
      <c r="AA456" s="198">
        <v>0.02</v>
      </c>
      <c r="AB456" s="198">
        <v>0.01</v>
      </c>
      <c r="AC456" s="213">
        <f t="shared" si="84"/>
        <v>616</v>
      </c>
      <c r="AD456" s="213">
        <f t="shared" si="85"/>
        <v>680</v>
      </c>
      <c r="AE456" s="213">
        <v>1.2</v>
      </c>
      <c r="AF456" s="196">
        <v>82000000</v>
      </c>
      <c r="AG456" s="104">
        <f t="shared" si="86"/>
        <v>7.0289730841762391E-2</v>
      </c>
      <c r="AH456" s="104">
        <f t="shared" si="87"/>
        <v>8.5416666666666669E-2</v>
      </c>
      <c r="AI456" s="195">
        <v>0.88</v>
      </c>
    </row>
    <row r="457" spans="1:48">
      <c r="A457">
        <v>2543</v>
      </c>
      <c r="C457" s="107">
        <f>VLOOKUP(2543,收盤價!$A:$C,3,0)</f>
        <v>9.7899999999999991</v>
      </c>
      <c r="D457" s="107">
        <f t="shared" si="77"/>
        <v>73.107142857142847</v>
      </c>
      <c r="E457" s="167">
        <f t="shared" si="78"/>
        <v>1</v>
      </c>
      <c r="F457" s="104">
        <f t="shared" si="79"/>
        <v>0.50271720390795271</v>
      </c>
      <c r="G457" s="167">
        <f>RANK(0.93,AE:AE,0)</f>
        <v>920</v>
      </c>
      <c r="H457" s="365">
        <f t="shared" si="80"/>
        <v>0.25206611570247933</v>
      </c>
      <c r="I457" s="213">
        <f t="shared" si="81"/>
        <v>1244</v>
      </c>
      <c r="J457" s="213">
        <f t="shared" si="82"/>
        <v>768</v>
      </c>
      <c r="K457">
        <f>RANK(0.77,AI:AI,0)</f>
        <v>1243</v>
      </c>
      <c r="L457" s="357">
        <v>0</v>
      </c>
      <c r="M457" s="357">
        <v>1</v>
      </c>
      <c r="N457" s="357">
        <v>0</v>
      </c>
      <c r="O457" s="357">
        <v>0</v>
      </c>
      <c r="P457" s="357">
        <v>0</v>
      </c>
      <c r="Q457" s="358">
        <v>3.47985347985348E-2</v>
      </c>
      <c r="R457" s="359">
        <v>3.3478260869565221E-2</v>
      </c>
      <c r="S457" s="196">
        <v>4712749000</v>
      </c>
      <c r="T457" s="196">
        <v>242000000</v>
      </c>
      <c r="U457" s="200">
        <f t="shared" si="83"/>
        <v>2369180000</v>
      </c>
      <c r="V457" s="196">
        <v>15000000</v>
      </c>
      <c r="W457" s="196">
        <v>1954000000</v>
      </c>
      <c r="X457" s="196">
        <v>657000000</v>
      </c>
      <c r="Y457" s="196">
        <v>2708000000</v>
      </c>
      <c r="Z457" s="196">
        <v>391000000</v>
      </c>
      <c r="AA457" s="198">
        <v>0.01</v>
      </c>
      <c r="AB457" s="198">
        <v>0</v>
      </c>
      <c r="AC457" s="213">
        <f t="shared" si="84"/>
        <v>769</v>
      </c>
      <c r="AD457" s="213">
        <f t="shared" si="85"/>
        <v>911</v>
      </c>
      <c r="AE457" s="213">
        <v>0.93</v>
      </c>
      <c r="AF457" s="196">
        <v>-61000000</v>
      </c>
      <c r="AG457" s="104">
        <f t="shared" si="86"/>
        <v>-0.25206611570247933</v>
      </c>
      <c r="AH457" s="104">
        <f t="shared" si="87"/>
        <v>0</v>
      </c>
      <c r="AI457" s="195">
        <v>0.77</v>
      </c>
    </row>
    <row r="458" spans="1:48">
      <c r="A458">
        <v>2545</v>
      </c>
      <c r="C458" s="107">
        <f>VLOOKUP(2545,收盤價!$A:$C,3,0)</f>
        <v>38.1</v>
      </c>
      <c r="D458" s="107">
        <f t="shared" si="77"/>
        <v>1.7193720898846072</v>
      </c>
      <c r="E458" s="167">
        <f t="shared" si="78"/>
        <v>5</v>
      </c>
      <c r="F458" s="104">
        <f t="shared" si="79"/>
        <v>0.95614638400901941</v>
      </c>
      <c r="G458" s="167">
        <f>RANK(32.46,AE:AE,0)</f>
        <v>16</v>
      </c>
      <c r="H458" s="365">
        <f t="shared" si="80"/>
        <v>-20.361660909756885</v>
      </c>
      <c r="I458" s="213">
        <f t="shared" si="81"/>
        <v>1</v>
      </c>
      <c r="J458" s="213">
        <f t="shared" si="82"/>
        <v>129</v>
      </c>
      <c r="K458">
        <f>RANK(11.98,AI:AI,0)</f>
        <v>10</v>
      </c>
      <c r="L458" s="357">
        <v>1</v>
      </c>
      <c r="M458" s="357">
        <v>1</v>
      </c>
      <c r="N458" s="357">
        <v>2</v>
      </c>
      <c r="O458" s="357">
        <v>1</v>
      </c>
      <c r="P458" s="357">
        <v>0</v>
      </c>
      <c r="Q458" s="358">
        <v>0.25303494141243532</v>
      </c>
      <c r="R458" s="359">
        <v>5.5398130841121507</v>
      </c>
      <c r="S458" s="196">
        <v>13058011000</v>
      </c>
      <c r="T458" s="196">
        <v>327700000</v>
      </c>
      <c r="U458" s="200">
        <f t="shared" si="83"/>
        <v>12485370000</v>
      </c>
      <c r="V458" s="196">
        <v>2199000000</v>
      </c>
      <c r="W458" s="196">
        <v>4761000000</v>
      </c>
      <c r="X458" s="196">
        <v>157000000</v>
      </c>
      <c r="Y458" s="196">
        <v>11695000000</v>
      </c>
      <c r="Z458" s="196">
        <v>16080000000</v>
      </c>
      <c r="AA458" s="198">
        <v>0.45</v>
      </c>
      <c r="AB458" s="198">
        <v>0.08</v>
      </c>
      <c r="AC458" s="213">
        <f t="shared" si="84"/>
        <v>6</v>
      </c>
      <c r="AD458" s="213">
        <f t="shared" si="85"/>
        <v>42</v>
      </c>
      <c r="AE458" s="213">
        <v>32.46</v>
      </c>
      <c r="AF458" s="196">
        <v>7841000000</v>
      </c>
      <c r="AG458" s="104">
        <f t="shared" si="86"/>
        <v>23.927372596887398</v>
      </c>
      <c r="AH458" s="104">
        <f t="shared" si="87"/>
        <v>3.5657116871305137</v>
      </c>
      <c r="AI458" s="195">
        <v>11.98</v>
      </c>
    </row>
    <row r="459" spans="1:48">
      <c r="A459">
        <v>2546</v>
      </c>
      <c r="C459" s="107">
        <f>VLOOKUP(2546,收盤價!$A:$C,3,0)</f>
        <v>15.15</v>
      </c>
      <c r="D459" s="107">
        <f t="shared" si="77"/>
        <v>8.9682875264270621</v>
      </c>
      <c r="E459" s="167">
        <f t="shared" si="78"/>
        <v>4</v>
      </c>
      <c r="F459" s="104">
        <f t="shared" si="79"/>
        <v>0.20369489526056431</v>
      </c>
      <c r="G459" s="167">
        <f>RANK(1.94,AE:AE,0)</f>
        <v>435</v>
      </c>
      <c r="H459" s="365">
        <f t="shared" si="80"/>
        <v>0.54236706689536873</v>
      </c>
      <c r="I459" s="213">
        <f t="shared" si="81"/>
        <v>702</v>
      </c>
      <c r="J459" s="213">
        <f t="shared" si="82"/>
        <v>494</v>
      </c>
      <c r="K459">
        <f>RANK(1.3,AI:AI,0)</f>
        <v>676</v>
      </c>
      <c r="L459" s="357">
        <v>0</v>
      </c>
      <c r="M459" s="357">
        <v>0</v>
      </c>
      <c r="N459" s="357">
        <v>2</v>
      </c>
      <c r="O459" s="357">
        <v>1</v>
      </c>
      <c r="P459" s="357">
        <v>1</v>
      </c>
      <c r="Q459" s="358">
        <v>4.2581801882563872E-2</v>
      </c>
      <c r="R459" s="359">
        <v>0.42232142857142857</v>
      </c>
      <c r="S459" s="196">
        <v>7883850000</v>
      </c>
      <c r="T459" s="196">
        <v>106000000</v>
      </c>
      <c r="U459" s="200">
        <f t="shared" si="83"/>
        <v>1605900000</v>
      </c>
      <c r="V459" s="196">
        <v>55000000</v>
      </c>
      <c r="W459" s="196">
        <v>1511000000</v>
      </c>
      <c r="X459" s="196">
        <v>64000000</v>
      </c>
      <c r="Y459" s="196">
        <v>2036000000</v>
      </c>
      <c r="Z459" s="196">
        <v>0</v>
      </c>
      <c r="AA459" s="198">
        <v>0.03</v>
      </c>
      <c r="AB459" s="198">
        <v>0.03</v>
      </c>
      <c r="AC459" s="213">
        <f t="shared" si="84"/>
        <v>469</v>
      </c>
      <c r="AD459" s="213">
        <f t="shared" si="85"/>
        <v>334</v>
      </c>
      <c r="AE459" s="213">
        <v>1.94</v>
      </c>
      <c r="AF459" s="196">
        <v>62000000</v>
      </c>
      <c r="AG459" s="104">
        <f t="shared" si="86"/>
        <v>0.58490566037735847</v>
      </c>
      <c r="AH459" s="104">
        <f t="shared" si="87"/>
        <v>1.1272727272727272</v>
      </c>
      <c r="AI459" s="195">
        <v>1.3</v>
      </c>
    </row>
    <row r="460" spans="1:48">
      <c r="A460">
        <v>2547</v>
      </c>
      <c r="C460" s="107">
        <f>VLOOKUP(2547,收盤價!$A:$C,3,0)</f>
        <v>9.35</v>
      </c>
      <c r="D460" s="107">
        <f t="shared" si="77"/>
        <v>0</v>
      </c>
      <c r="E460" s="167">
        <f t="shared" si="78"/>
        <v>0</v>
      </c>
      <c r="F460" s="104">
        <f t="shared" si="79"/>
        <v>2.6334436868161228</v>
      </c>
      <c r="G460" s="167">
        <f>RANK(0.84,AE:AE,0)</f>
        <v>946</v>
      </c>
      <c r="H460" s="365">
        <f t="shared" si="80"/>
        <v>1.6279069767441861</v>
      </c>
      <c r="I460" s="213">
        <f t="shared" si="81"/>
        <v>1487</v>
      </c>
      <c r="J460" s="213">
        <f t="shared" si="82"/>
        <v>768</v>
      </c>
      <c r="K460">
        <f>RANK(0.69,AI:AI,0)</f>
        <v>1474</v>
      </c>
      <c r="L460" s="357">
        <v>0</v>
      </c>
      <c r="M460" s="357">
        <v>0</v>
      </c>
      <c r="N460" s="357">
        <v>0</v>
      </c>
      <c r="O460" s="357">
        <v>0</v>
      </c>
      <c r="P460" s="357">
        <v>0</v>
      </c>
      <c r="Q460" s="358">
        <v>0.51670951156812339</v>
      </c>
      <c r="R460" s="359">
        <v>-3.7</v>
      </c>
      <c r="S460" s="196">
        <v>3175553000</v>
      </c>
      <c r="T460" s="196">
        <v>894400000</v>
      </c>
      <c r="U460" s="200">
        <f t="shared" si="83"/>
        <v>8362640000</v>
      </c>
      <c r="V460" s="196">
        <v>0</v>
      </c>
      <c r="W460" s="196">
        <v>0</v>
      </c>
      <c r="X460" s="196">
        <v>8120000000</v>
      </c>
      <c r="Y460" s="196">
        <v>10864000000</v>
      </c>
      <c r="Z460" s="196">
        <v>33694000000</v>
      </c>
      <c r="AA460" s="198">
        <v>0</v>
      </c>
      <c r="AB460" s="198">
        <v>0</v>
      </c>
      <c r="AC460" s="213">
        <f t="shared" si="84"/>
        <v>945</v>
      </c>
      <c r="AD460" s="213">
        <f t="shared" si="85"/>
        <v>911</v>
      </c>
      <c r="AE460" s="213">
        <v>0.84</v>
      </c>
      <c r="AF460" s="196">
        <v>-1456000000</v>
      </c>
      <c r="AG460" s="104">
        <f t="shared" si="86"/>
        <v>-1.6279069767441861</v>
      </c>
      <c r="AH460" s="104">
        <f t="shared" si="87"/>
        <v>0</v>
      </c>
      <c r="AI460" s="195">
        <v>0.69</v>
      </c>
    </row>
    <row r="461" spans="1:48">
      <c r="A461">
        <v>2548</v>
      </c>
      <c r="C461" s="107">
        <f>VLOOKUP(2548,收盤價!$A:$C,3,0)</f>
        <v>55.8</v>
      </c>
      <c r="D461" s="107">
        <f t="shared" si="77"/>
        <v>0</v>
      </c>
      <c r="E461" s="167">
        <f t="shared" si="78"/>
        <v>1</v>
      </c>
      <c r="F461" s="104">
        <f t="shared" si="79"/>
        <v>3.7188472648290376</v>
      </c>
      <c r="G461" s="167">
        <f>RANK(0.93,AE:AE,0)</f>
        <v>920</v>
      </c>
      <c r="H461" s="365">
        <f t="shared" si="80"/>
        <v>9.3930635838150284E-2</v>
      </c>
      <c r="I461" s="213">
        <f t="shared" si="81"/>
        <v>1131</v>
      </c>
      <c r="J461" s="213">
        <f t="shared" si="82"/>
        <v>768</v>
      </c>
      <c r="K461">
        <f>RANK(0.82,AI:AI,0)</f>
        <v>1121</v>
      </c>
      <c r="L461" s="357">
        <v>0</v>
      </c>
      <c r="M461" s="357">
        <v>1</v>
      </c>
      <c r="N461" s="357">
        <v>0</v>
      </c>
      <c r="O461" s="357">
        <v>0</v>
      </c>
      <c r="P461" s="357">
        <v>0</v>
      </c>
      <c r="Q461" s="358">
        <v>0.28019925280199254</v>
      </c>
      <c r="R461" s="359">
        <v>-0.21894736842105264</v>
      </c>
      <c r="S461" s="196">
        <v>4153287000</v>
      </c>
      <c r="T461" s="196">
        <v>276800000</v>
      </c>
      <c r="U461" s="200">
        <f t="shared" si="83"/>
        <v>15445440000</v>
      </c>
      <c r="V461" s="196">
        <v>115000000</v>
      </c>
      <c r="W461" s="196">
        <v>12717000000</v>
      </c>
      <c r="X461" s="196">
        <v>13000000</v>
      </c>
      <c r="Y461" s="196">
        <v>12761000000</v>
      </c>
      <c r="Z461" s="196">
        <v>15520000000</v>
      </c>
      <c r="AA461" s="198">
        <v>0.01</v>
      </c>
      <c r="AB461" s="198">
        <v>0</v>
      </c>
      <c r="AC461" s="213">
        <f t="shared" si="84"/>
        <v>769</v>
      </c>
      <c r="AD461" s="213">
        <f t="shared" si="85"/>
        <v>911</v>
      </c>
      <c r="AE461" s="213">
        <v>0.93</v>
      </c>
      <c r="AF461" s="196">
        <v>-26000000</v>
      </c>
      <c r="AG461" s="104">
        <f t="shared" si="86"/>
        <v>-9.3930635838150284E-2</v>
      </c>
      <c r="AH461" s="104">
        <f t="shared" si="87"/>
        <v>0</v>
      </c>
      <c r="AI461" s="195">
        <v>0.82</v>
      </c>
    </row>
    <row r="462" spans="1:48">
      <c r="A462">
        <v>2596</v>
      </c>
      <c r="C462" s="107">
        <f>VLOOKUP(2596,收盤價!$A:$C,3,0)</f>
        <v>17</v>
      </c>
      <c r="D462" s="107">
        <f t="shared" si="77"/>
        <v>4.5595708639186903</v>
      </c>
      <c r="E462" s="167">
        <f t="shared" si="78"/>
        <v>3</v>
      </c>
      <c r="F462" s="104">
        <f t="shared" si="79"/>
        <v>4.6885525815552693</v>
      </c>
      <c r="G462" s="167">
        <f>RANK(2.68,AE:AE,0)</f>
        <v>341</v>
      </c>
      <c r="H462" s="365">
        <f t="shared" si="80"/>
        <v>0.79806529625151146</v>
      </c>
      <c r="I462" s="213">
        <f t="shared" si="81"/>
        <v>1408</v>
      </c>
      <c r="J462" s="213">
        <f t="shared" si="82"/>
        <v>768</v>
      </c>
      <c r="K462">
        <f>RANK(0.72,AI:AI,0)</f>
        <v>1381</v>
      </c>
      <c r="L462" s="357">
        <v>1</v>
      </c>
      <c r="M462" s="357">
        <v>1</v>
      </c>
      <c r="N462" s="357">
        <v>1</v>
      </c>
      <c r="O462" s="357">
        <v>0</v>
      </c>
      <c r="P462" s="357">
        <v>0</v>
      </c>
      <c r="Q462" s="358">
        <v>0.56741573033707871</v>
      </c>
      <c r="R462" s="359">
        <v>0.93210526315789466</v>
      </c>
      <c r="S462" s="196">
        <v>299858000</v>
      </c>
      <c r="T462" s="196">
        <v>82700000</v>
      </c>
      <c r="U462" s="200">
        <f t="shared" si="83"/>
        <v>1405900000</v>
      </c>
      <c r="V462" s="196">
        <v>79000000</v>
      </c>
      <c r="W462" s="196">
        <v>1444000000</v>
      </c>
      <c r="X462" s="196">
        <v>50000000</v>
      </c>
      <c r="Y462" s="196">
        <v>1585000000</v>
      </c>
      <c r="Z462" s="196">
        <v>805000000</v>
      </c>
      <c r="AA462" s="198">
        <v>0.05</v>
      </c>
      <c r="AB462" s="198">
        <v>0.03</v>
      </c>
      <c r="AC462" s="213">
        <f t="shared" si="84"/>
        <v>247</v>
      </c>
      <c r="AD462" s="213">
        <f t="shared" si="85"/>
        <v>334</v>
      </c>
      <c r="AE462" s="213">
        <v>2.68</v>
      </c>
      <c r="AF462" s="196">
        <v>-66000000</v>
      </c>
      <c r="AG462" s="104">
        <f t="shared" si="86"/>
        <v>-0.79806529625151146</v>
      </c>
      <c r="AH462" s="104">
        <f t="shared" si="87"/>
        <v>0</v>
      </c>
      <c r="AI462" s="195">
        <v>0.72</v>
      </c>
      <c r="AO462" s="213"/>
      <c r="AP462" s="213"/>
      <c r="AQ462" s="213"/>
      <c r="AR462" s="213"/>
      <c r="AS462" s="213"/>
      <c r="AT462" s="213"/>
      <c r="AU462" s="213"/>
      <c r="AV462" s="213"/>
    </row>
    <row r="463" spans="1:48">
      <c r="A463">
        <v>2597</v>
      </c>
      <c r="C463" s="107">
        <f>VLOOKUP(2597,收盤價!$A:$C,3,0)</f>
        <v>36.6</v>
      </c>
      <c r="D463" s="107">
        <f t="shared" si="77"/>
        <v>20.677966101694917</v>
      </c>
      <c r="E463" s="167">
        <f t="shared" si="78"/>
        <v>1</v>
      </c>
      <c r="F463" s="104">
        <f t="shared" si="79"/>
        <v>0.59466040449905544</v>
      </c>
      <c r="G463" s="167">
        <f>RANK(1.89,AE:AE,0)</f>
        <v>498</v>
      </c>
      <c r="H463" s="365">
        <f t="shared" si="80"/>
        <v>5.7813911472448104E-3</v>
      </c>
      <c r="I463" s="213">
        <f t="shared" si="81"/>
        <v>1029</v>
      </c>
      <c r="J463" s="213">
        <f t="shared" si="82"/>
        <v>763</v>
      </c>
      <c r="K463">
        <f>RANK(0.87,AI:AI,0)</f>
        <v>1035</v>
      </c>
      <c r="L463" s="357">
        <v>0</v>
      </c>
      <c r="M463" s="357">
        <v>0</v>
      </c>
      <c r="N463" s="357">
        <v>1</v>
      </c>
      <c r="O463" s="357">
        <v>0</v>
      </c>
      <c r="P463" s="357">
        <v>0</v>
      </c>
      <c r="Q463" s="358">
        <v>0.13207547169811321</v>
      </c>
      <c r="R463" s="359">
        <v>0.4425</v>
      </c>
      <c r="S463" s="196">
        <v>8308944000</v>
      </c>
      <c r="T463" s="196">
        <v>135000000</v>
      </c>
      <c r="U463" s="200">
        <f t="shared" si="83"/>
        <v>4941000000</v>
      </c>
      <c r="V463" s="196">
        <v>123000000</v>
      </c>
      <c r="W463" s="196">
        <v>62000000</v>
      </c>
      <c r="X463" s="196">
        <v>3245000000</v>
      </c>
      <c r="Y463" s="196">
        <v>4743000000</v>
      </c>
      <c r="Z463" s="196">
        <v>270000000</v>
      </c>
      <c r="AA463" s="198">
        <v>0.04</v>
      </c>
      <c r="AB463" s="198">
        <v>0.02</v>
      </c>
      <c r="AC463" s="213">
        <f t="shared" si="84"/>
        <v>337</v>
      </c>
      <c r="AD463" s="213">
        <f t="shared" si="85"/>
        <v>487</v>
      </c>
      <c r="AE463" s="213">
        <v>1.89</v>
      </c>
      <c r="AF463" s="196">
        <v>8000000</v>
      </c>
      <c r="AG463" s="104">
        <f t="shared" si="86"/>
        <v>5.9259259259259262E-2</v>
      </c>
      <c r="AH463" s="104">
        <f t="shared" si="87"/>
        <v>6.5040650406504072E-2</v>
      </c>
      <c r="AI463" s="195">
        <v>0.87</v>
      </c>
      <c r="AO463" s="213"/>
      <c r="AP463" s="213"/>
      <c r="AQ463" s="213"/>
      <c r="AR463" s="213"/>
      <c r="AS463" s="213"/>
      <c r="AT463" s="213"/>
      <c r="AU463" s="213"/>
      <c r="AV463" s="213"/>
    </row>
    <row r="464" spans="1:48">
      <c r="A464">
        <v>2601</v>
      </c>
      <c r="C464" s="107">
        <f>VLOOKUP(2601,收盤價!$A:$C,3,0)</f>
        <v>7.19</v>
      </c>
      <c r="D464" s="107">
        <f t="shared" si="77"/>
        <v>0</v>
      </c>
      <c r="E464" s="167">
        <f t="shared" si="78"/>
        <v>2</v>
      </c>
      <c r="F464" s="104">
        <f t="shared" si="79"/>
        <v>0.34304414683855872</v>
      </c>
      <c r="G464" s="167">
        <f>RANK(1.08,AE:AE,0)</f>
        <v>769</v>
      </c>
      <c r="H464" s="365">
        <f t="shared" si="80"/>
        <v>0.29422244629747124</v>
      </c>
      <c r="I464" s="213">
        <f t="shared" si="81"/>
        <v>869</v>
      </c>
      <c r="J464" s="213">
        <f t="shared" si="82"/>
        <v>655</v>
      </c>
      <c r="K464">
        <f>RANK(1.02,AI:AI,0)</f>
        <v>862</v>
      </c>
      <c r="L464" s="357">
        <v>0</v>
      </c>
      <c r="M464" s="357">
        <v>1</v>
      </c>
      <c r="N464" s="357">
        <v>0</v>
      </c>
      <c r="O464" s="357">
        <v>1</v>
      </c>
      <c r="P464" s="357">
        <v>0</v>
      </c>
      <c r="Q464" s="358">
        <v>0.7149146945514584</v>
      </c>
      <c r="R464" s="359">
        <v>0</v>
      </c>
      <c r="S464" s="196">
        <v>7914270000</v>
      </c>
      <c r="T464" s="196">
        <v>377600000</v>
      </c>
      <c r="U464" s="200">
        <f t="shared" si="83"/>
        <v>2714944000</v>
      </c>
      <c r="V464" s="196">
        <v>187000000</v>
      </c>
      <c r="W464" s="196">
        <v>684000000</v>
      </c>
      <c r="X464" s="196">
        <v>13322000000</v>
      </c>
      <c r="Y464" s="196">
        <v>11776000000</v>
      </c>
      <c r="Z464" s="196">
        <v>8752000000</v>
      </c>
      <c r="AA464" s="198">
        <v>0.01</v>
      </c>
      <c r="AB464" s="198">
        <v>0.01</v>
      </c>
      <c r="AC464" s="213">
        <f t="shared" si="84"/>
        <v>769</v>
      </c>
      <c r="AD464" s="213">
        <f t="shared" si="85"/>
        <v>680</v>
      </c>
      <c r="AE464" s="213">
        <v>1.08</v>
      </c>
      <c r="AF464" s="196">
        <v>109000000</v>
      </c>
      <c r="AG464" s="104">
        <f t="shared" si="86"/>
        <v>0.28866525423728812</v>
      </c>
      <c r="AH464" s="104">
        <f t="shared" si="87"/>
        <v>0.58288770053475936</v>
      </c>
      <c r="AI464" s="195">
        <v>1.02</v>
      </c>
    </row>
    <row r="465" spans="1:48">
      <c r="A465">
        <v>2603</v>
      </c>
      <c r="C465" s="107">
        <f>VLOOKUP(2603,收盤價!$A:$C,3,0)</f>
        <v>12</v>
      </c>
      <c r="D465" s="107">
        <f t="shared" si="77"/>
        <v>0</v>
      </c>
      <c r="E465" s="167">
        <f t="shared" si="78"/>
        <v>4</v>
      </c>
      <c r="F465" s="104">
        <f t="shared" si="79"/>
        <v>0.34644148802852764</v>
      </c>
      <c r="G465" s="167">
        <f>RANK(0.61,AE:AE,0)</f>
        <v>1295</v>
      </c>
      <c r="H465" s="365">
        <f t="shared" si="80"/>
        <v>-0.87632388110693538</v>
      </c>
      <c r="I465" s="213">
        <f t="shared" si="81"/>
        <v>574</v>
      </c>
      <c r="J465" s="213">
        <f t="shared" si="82"/>
        <v>768</v>
      </c>
      <c r="K465">
        <f>RANK(1.16,AI:AI,0)</f>
        <v>750</v>
      </c>
      <c r="L465" s="357">
        <v>0</v>
      </c>
      <c r="M465" s="357">
        <v>1</v>
      </c>
      <c r="N465" s="357">
        <v>2</v>
      </c>
      <c r="O465" s="357">
        <v>1</v>
      </c>
      <c r="P465" s="357">
        <v>0</v>
      </c>
      <c r="Q465" s="358">
        <v>-3.881078899576243E-2</v>
      </c>
      <c r="R465" s="359">
        <v>0</v>
      </c>
      <c r="S465" s="196">
        <v>121662103000</v>
      </c>
      <c r="T465" s="196">
        <v>3512400000</v>
      </c>
      <c r="U465" s="200">
        <f t="shared" si="83"/>
        <v>42148800000</v>
      </c>
      <c r="V465" s="196">
        <v>-826000000</v>
      </c>
      <c r="W465" s="196">
        <v>6028000000</v>
      </c>
      <c r="X465" s="196">
        <v>103254000000</v>
      </c>
      <c r="Y465" s="196">
        <v>55163000000</v>
      </c>
      <c r="Z465" s="196">
        <v>21915000000</v>
      </c>
      <c r="AA465" s="198">
        <v>-0.01</v>
      </c>
      <c r="AB465" s="198">
        <v>-0.01</v>
      </c>
      <c r="AC465" s="213">
        <f t="shared" si="84"/>
        <v>1277</v>
      </c>
      <c r="AD465" s="213">
        <f t="shared" si="85"/>
        <v>1294</v>
      </c>
      <c r="AE465" s="213">
        <v>0.61</v>
      </c>
      <c r="AF465" s="196">
        <v>3078000000</v>
      </c>
      <c r="AG465" s="104">
        <f t="shared" si="86"/>
        <v>0.87632388110693538</v>
      </c>
      <c r="AH465" s="104">
        <f t="shared" si="87"/>
        <v>0</v>
      </c>
      <c r="AI465" s="195">
        <v>1.1599999999999999</v>
      </c>
    </row>
    <row r="466" spans="1:48">
      <c r="A466">
        <v>2605</v>
      </c>
      <c r="C466" s="107">
        <f>VLOOKUP(2605,收盤價!$A:$C,3,0)</f>
        <v>17.649999999999999</v>
      </c>
      <c r="D466" s="107">
        <f t="shared" si="77"/>
        <v>17.664037645811238</v>
      </c>
      <c r="E466" s="167">
        <f t="shared" si="78"/>
        <v>3</v>
      </c>
      <c r="F466" s="104">
        <f t="shared" si="79"/>
        <v>2.0946507806835535</v>
      </c>
      <c r="G466" s="167">
        <f>RANK(1.24,AE:AE,0)</f>
        <v>704</v>
      </c>
      <c r="H466" s="365">
        <f t="shared" si="80"/>
        <v>0.61371172917580097</v>
      </c>
      <c r="I466" s="213">
        <f t="shared" si="81"/>
        <v>479</v>
      </c>
      <c r="J466" s="213">
        <f t="shared" si="82"/>
        <v>326</v>
      </c>
      <c r="K466">
        <f>RANK(1.94,AI:AI,0)</f>
        <v>365</v>
      </c>
      <c r="L466" s="357">
        <v>0</v>
      </c>
      <c r="M466" s="357">
        <v>0</v>
      </c>
      <c r="N466" s="357">
        <v>2</v>
      </c>
      <c r="O466" s="357">
        <v>1</v>
      </c>
      <c r="P466" s="357">
        <v>0</v>
      </c>
      <c r="Q466" s="358">
        <v>0.31096408317580343</v>
      </c>
      <c r="R466" s="359">
        <v>0.24980132450331127</v>
      </c>
      <c r="S466" s="196">
        <v>4788624000</v>
      </c>
      <c r="T466" s="196">
        <v>568300000</v>
      </c>
      <c r="U466" s="200">
        <f t="shared" si="83"/>
        <v>10030495000</v>
      </c>
      <c r="V466" s="196">
        <v>362000000</v>
      </c>
      <c r="W466" s="196">
        <v>2729000000</v>
      </c>
      <c r="X466" s="196">
        <v>21451000000</v>
      </c>
      <c r="Y466" s="196">
        <v>19128000000</v>
      </c>
      <c r="Z466" s="196">
        <v>2226000000</v>
      </c>
      <c r="AA466" s="198">
        <v>0.01</v>
      </c>
      <c r="AB466" s="198">
        <v>0.02</v>
      </c>
      <c r="AC466" s="213">
        <f t="shared" si="84"/>
        <v>769</v>
      </c>
      <c r="AD466" s="213">
        <f t="shared" si="85"/>
        <v>487</v>
      </c>
      <c r="AE466" s="213">
        <v>1.24</v>
      </c>
      <c r="AF466" s="196">
        <v>612000000</v>
      </c>
      <c r="AG466" s="104">
        <f t="shared" si="86"/>
        <v>1.0768960056308288</v>
      </c>
      <c r="AH466" s="104">
        <f t="shared" si="87"/>
        <v>1.6906077348066297</v>
      </c>
      <c r="AI466" s="195">
        <v>1.94</v>
      </c>
    </row>
    <row r="467" spans="1:48">
      <c r="A467">
        <v>2606</v>
      </c>
      <c r="C467" s="107">
        <f>VLOOKUP(2606,收盤價!$A:$C,3,0)</f>
        <v>22</v>
      </c>
      <c r="D467" s="107">
        <f t="shared" si="77"/>
        <v>0</v>
      </c>
      <c r="E467" s="167">
        <f t="shared" si="78"/>
        <v>4</v>
      </c>
      <c r="F467" s="104">
        <f t="shared" si="79"/>
        <v>2.6721381287387005</v>
      </c>
      <c r="G467" s="167">
        <f>RANK(0.84,AE:AE,0)</f>
        <v>946</v>
      </c>
      <c r="H467" s="365">
        <f t="shared" si="80"/>
        <v>-0.89811856585019523</v>
      </c>
      <c r="I467" s="213">
        <f t="shared" si="81"/>
        <v>564</v>
      </c>
      <c r="J467" s="213">
        <f t="shared" si="82"/>
        <v>768</v>
      </c>
      <c r="K467">
        <f>RANK(1.17,AI:AI,0)</f>
        <v>743</v>
      </c>
      <c r="L467" s="357">
        <v>0</v>
      </c>
      <c r="M467" s="357">
        <v>1</v>
      </c>
      <c r="N467" s="357">
        <v>2</v>
      </c>
      <c r="O467" s="357">
        <v>1</v>
      </c>
      <c r="P467" s="357">
        <v>0</v>
      </c>
      <c r="Q467" s="358">
        <v>-0.10026737967914438</v>
      </c>
      <c r="R467" s="359">
        <v>0</v>
      </c>
      <c r="S467" s="196">
        <v>6957799000</v>
      </c>
      <c r="T467" s="196">
        <v>845100000</v>
      </c>
      <c r="U467" s="200">
        <f t="shared" si="83"/>
        <v>18592200000</v>
      </c>
      <c r="V467" s="196">
        <v>-88000000</v>
      </c>
      <c r="W467" s="196">
        <v>11836000000</v>
      </c>
      <c r="X467" s="196">
        <v>28663000000</v>
      </c>
      <c r="Y467" s="196">
        <v>24177000000</v>
      </c>
      <c r="Z467" s="196">
        <v>18596000000</v>
      </c>
      <c r="AA467" s="198">
        <v>0</v>
      </c>
      <c r="AB467" s="198">
        <v>0</v>
      </c>
      <c r="AC467" s="213">
        <f t="shared" si="84"/>
        <v>945</v>
      </c>
      <c r="AD467" s="213">
        <f t="shared" si="85"/>
        <v>911</v>
      </c>
      <c r="AE467" s="213">
        <v>0.84</v>
      </c>
      <c r="AF467" s="196">
        <v>759000000</v>
      </c>
      <c r="AG467" s="104">
        <f t="shared" si="86"/>
        <v>0.89811856585019523</v>
      </c>
      <c r="AH467" s="104">
        <f t="shared" si="87"/>
        <v>0</v>
      </c>
      <c r="AI467" s="195">
        <v>1.17</v>
      </c>
      <c r="AO467" s="213"/>
      <c r="AP467" s="213"/>
      <c r="AQ467" s="213"/>
      <c r="AR467" s="213"/>
      <c r="AS467" s="213"/>
      <c r="AT467" s="213"/>
      <c r="AU467" s="213"/>
      <c r="AV467" s="213"/>
    </row>
    <row r="468" spans="1:48">
      <c r="A468">
        <v>2607</v>
      </c>
      <c r="C468" s="107">
        <f>VLOOKUP(2607,收盤價!$A:$C,3,0)</f>
        <v>12.95</v>
      </c>
      <c r="D468" s="107">
        <f t="shared" si="77"/>
        <v>17.256785480706345</v>
      </c>
      <c r="E468" s="167">
        <f t="shared" si="78"/>
        <v>4</v>
      </c>
      <c r="F468" s="104">
        <f t="shared" si="79"/>
        <v>1.8771116571420654</v>
      </c>
      <c r="G468" s="167">
        <f>RANK(1.08,AE:AE,0)</f>
        <v>769</v>
      </c>
      <c r="H468" s="365">
        <f t="shared" si="80"/>
        <v>0.90250411874277026</v>
      </c>
      <c r="I468" s="213">
        <f t="shared" si="81"/>
        <v>811</v>
      </c>
      <c r="J468" s="213">
        <f t="shared" si="82"/>
        <v>430</v>
      </c>
      <c r="K468">
        <f>RANK(1.26,AI:AI,0)</f>
        <v>696</v>
      </c>
      <c r="L468" s="357">
        <v>1</v>
      </c>
      <c r="M468" s="357">
        <v>1</v>
      </c>
      <c r="N468" s="357">
        <v>1</v>
      </c>
      <c r="O468" s="357">
        <v>1</v>
      </c>
      <c r="P468" s="357">
        <v>0</v>
      </c>
      <c r="Q468" s="358">
        <v>0.18031914893617021</v>
      </c>
      <c r="R468" s="359">
        <v>0.18760736196319017</v>
      </c>
      <c r="S468" s="196">
        <v>7361813000</v>
      </c>
      <c r="T468" s="196">
        <v>1067100000</v>
      </c>
      <c r="U468" s="200">
        <f t="shared" si="83"/>
        <v>13818945000</v>
      </c>
      <c r="V468" s="196">
        <v>317000000</v>
      </c>
      <c r="W468" s="196">
        <v>2735000000</v>
      </c>
      <c r="X468" s="196">
        <v>25526000000</v>
      </c>
      <c r="Y468" s="196">
        <v>21279000000</v>
      </c>
      <c r="Z468" s="196">
        <v>1297000000</v>
      </c>
      <c r="AA468" s="198">
        <v>0.01</v>
      </c>
      <c r="AB468" s="198">
        <v>0.01</v>
      </c>
      <c r="AC468" s="213">
        <f t="shared" si="84"/>
        <v>769</v>
      </c>
      <c r="AD468" s="213">
        <f t="shared" si="85"/>
        <v>680</v>
      </c>
      <c r="AE468" s="213">
        <v>1.08</v>
      </c>
      <c r="AF468" s="196">
        <v>407000000</v>
      </c>
      <c r="AG468" s="104">
        <f t="shared" si="86"/>
        <v>0.38140755318152003</v>
      </c>
      <c r="AH468" s="104">
        <f t="shared" si="87"/>
        <v>1.2839116719242902</v>
      </c>
      <c r="AI468" s="195">
        <v>1.26</v>
      </c>
    </row>
    <row r="469" spans="1:48">
      <c r="A469">
        <v>2608</v>
      </c>
      <c r="C469" s="107">
        <f>VLOOKUP(2608,收盤價!$A:$C,3,0)</f>
        <v>41</v>
      </c>
      <c r="D469" s="107">
        <f t="shared" si="77"/>
        <v>14.171935129191864</v>
      </c>
      <c r="E469" s="167">
        <f t="shared" si="78"/>
        <v>2</v>
      </c>
      <c r="F469" s="104">
        <f t="shared" si="79"/>
        <v>2.1322895786814917</v>
      </c>
      <c r="G469" s="167">
        <f>RANK(3.92,AE:AE,0)</f>
        <v>209</v>
      </c>
      <c r="H469" s="365">
        <f t="shared" si="80"/>
        <v>6.6875656090535252E-2</v>
      </c>
      <c r="I469" s="213">
        <f t="shared" si="81"/>
        <v>718</v>
      </c>
      <c r="J469" s="213">
        <f t="shared" si="82"/>
        <v>649</v>
      </c>
      <c r="K469">
        <f>RANK(1.14,AI:AI,0)</f>
        <v>767</v>
      </c>
      <c r="L469" s="357">
        <v>0</v>
      </c>
      <c r="M469" s="357">
        <v>1</v>
      </c>
      <c r="N469" s="357">
        <v>0</v>
      </c>
      <c r="O469" s="357">
        <v>1</v>
      </c>
      <c r="P469" s="357">
        <v>0</v>
      </c>
      <c r="Q469" s="358">
        <v>0.21949115998275118</v>
      </c>
      <c r="R469" s="359">
        <v>0.72326043737574552</v>
      </c>
      <c r="S469" s="196">
        <v>9298737000</v>
      </c>
      <c r="T469" s="196">
        <v>483600000</v>
      </c>
      <c r="U469" s="200">
        <f t="shared" si="83"/>
        <v>19827600000</v>
      </c>
      <c r="V469" s="196">
        <v>431000000</v>
      </c>
      <c r="W469" s="196">
        <v>0</v>
      </c>
      <c r="X469" s="196">
        <v>9089000000</v>
      </c>
      <c r="Y469" s="196">
        <v>8162000000</v>
      </c>
      <c r="Z469" s="196">
        <v>565000000</v>
      </c>
      <c r="AA469" s="198">
        <v>0.05</v>
      </c>
      <c r="AB469" s="198">
        <v>0.05</v>
      </c>
      <c r="AC469" s="213">
        <f t="shared" si="84"/>
        <v>247</v>
      </c>
      <c r="AD469" s="213">
        <f t="shared" si="85"/>
        <v>150</v>
      </c>
      <c r="AE469" s="213">
        <v>3.92</v>
      </c>
      <c r="AF469" s="196">
        <v>265000000</v>
      </c>
      <c r="AG469" s="104">
        <f t="shared" si="86"/>
        <v>0.5479735318444996</v>
      </c>
      <c r="AH469" s="104">
        <f t="shared" si="87"/>
        <v>0.61484918793503485</v>
      </c>
      <c r="AI469" s="195">
        <v>1.1399999999999999</v>
      </c>
      <c r="AO469" s="213"/>
      <c r="AP469" s="213"/>
      <c r="AQ469" s="213"/>
      <c r="AR469" s="213"/>
      <c r="AS469" s="213"/>
      <c r="AT469" s="213"/>
      <c r="AU469" s="213"/>
      <c r="AV469" s="213"/>
    </row>
    <row r="470" spans="1:48">
      <c r="A470">
        <v>2609</v>
      </c>
      <c r="C470" s="107">
        <f>VLOOKUP(2609,收盤價!$A:$C,3,0)</f>
        <v>7.09</v>
      </c>
      <c r="D470" s="107">
        <f t="shared" si="77"/>
        <v>0</v>
      </c>
      <c r="E470" s="167">
        <f t="shared" si="78"/>
        <v>1</v>
      </c>
      <c r="F470" s="104">
        <f t="shared" si="79"/>
        <v>0.18374277579928494</v>
      </c>
      <c r="G470" s="167">
        <f>RANK(0.52,AE:AE,0)</f>
        <v>1493</v>
      </c>
      <c r="H470" s="365">
        <f t="shared" si="80"/>
        <v>0.5471974437491679</v>
      </c>
      <c r="I470" s="213">
        <f t="shared" si="81"/>
        <v>1364</v>
      </c>
      <c r="J470" s="213">
        <f t="shared" si="82"/>
        <v>768</v>
      </c>
      <c r="K470">
        <f>RANK(0.73,AI:AI,0)</f>
        <v>1352</v>
      </c>
      <c r="L470" s="357">
        <v>0</v>
      </c>
      <c r="M470" s="357">
        <v>0</v>
      </c>
      <c r="N470" s="357">
        <v>1</v>
      </c>
      <c r="O470" s="357">
        <v>0</v>
      </c>
      <c r="P470" s="357">
        <v>0</v>
      </c>
      <c r="Q470" s="358">
        <v>-0.11627237045839185</v>
      </c>
      <c r="R470" s="359">
        <v>0</v>
      </c>
      <c r="S470" s="196">
        <v>115929434000</v>
      </c>
      <c r="T470" s="196">
        <v>3004400000</v>
      </c>
      <c r="U470" s="200">
        <f t="shared" si="83"/>
        <v>21301196000</v>
      </c>
      <c r="V470" s="196">
        <v>-4065000000</v>
      </c>
      <c r="W470" s="196">
        <v>0</v>
      </c>
      <c r="X470" s="196">
        <v>88021000000</v>
      </c>
      <c r="Y470" s="196">
        <v>22634000000</v>
      </c>
      <c r="Z470" s="196">
        <v>22412000000</v>
      </c>
      <c r="AA470" s="198">
        <v>-0.05</v>
      </c>
      <c r="AB470" s="198">
        <v>-0.09</v>
      </c>
      <c r="AC470" s="213">
        <f t="shared" si="84"/>
        <v>1468</v>
      </c>
      <c r="AD470" s="213">
        <f t="shared" si="85"/>
        <v>1533</v>
      </c>
      <c r="AE470" s="213">
        <v>0.52</v>
      </c>
      <c r="AF470" s="196">
        <v>-1644000000</v>
      </c>
      <c r="AG470" s="104">
        <f t="shared" si="86"/>
        <v>-0.5471974437491679</v>
      </c>
      <c r="AH470" s="104">
        <f t="shared" si="87"/>
        <v>0</v>
      </c>
      <c r="AI470" s="195">
        <v>0.73</v>
      </c>
    </row>
    <row r="471" spans="1:48">
      <c r="A471">
        <v>2610</v>
      </c>
      <c r="C471" s="107">
        <f>VLOOKUP(2610,收盤價!$A:$C,3,0)</f>
        <v>9.42</v>
      </c>
      <c r="D471" s="107">
        <f t="shared" si="77"/>
        <v>0</v>
      </c>
      <c r="E471" s="167">
        <f t="shared" si="78"/>
        <v>2</v>
      </c>
      <c r="F471" s="104">
        <f t="shared" si="79"/>
        <v>0.36619599115056473</v>
      </c>
      <c r="G471" s="167">
        <f>RANK(1.08,AE:AE,0)</f>
        <v>769</v>
      </c>
      <c r="H471" s="365">
        <f t="shared" si="80"/>
        <v>4.6665795563502659</v>
      </c>
      <c r="I471" s="213">
        <f t="shared" si="81"/>
        <v>525</v>
      </c>
      <c r="J471" s="213">
        <f t="shared" si="82"/>
        <v>71</v>
      </c>
      <c r="K471">
        <f>RANK(2.61,AI:AI,0)</f>
        <v>213</v>
      </c>
      <c r="L471" s="357">
        <v>0</v>
      </c>
      <c r="M471" s="357">
        <v>0</v>
      </c>
      <c r="N471" s="357">
        <v>1</v>
      </c>
      <c r="O471" s="357">
        <v>1</v>
      </c>
      <c r="P471" s="357">
        <v>0</v>
      </c>
      <c r="Q471" s="358">
        <v>0.11464459878823703</v>
      </c>
      <c r="R471" s="359">
        <v>0</v>
      </c>
      <c r="S471" s="196">
        <v>140733048000</v>
      </c>
      <c r="T471" s="196">
        <v>5470900000</v>
      </c>
      <c r="U471" s="200">
        <f t="shared" si="83"/>
        <v>51535878000</v>
      </c>
      <c r="V471" s="196">
        <v>949000000</v>
      </c>
      <c r="W471" s="196">
        <v>0</v>
      </c>
      <c r="X471" s="196">
        <v>125418000000</v>
      </c>
      <c r="Y471" s="196">
        <v>59238000000</v>
      </c>
      <c r="Z471" s="196">
        <v>39390000000</v>
      </c>
      <c r="AA471" s="198">
        <v>0.01</v>
      </c>
      <c r="AB471" s="198">
        <v>0.01</v>
      </c>
      <c r="AC471" s="213">
        <f t="shared" si="84"/>
        <v>769</v>
      </c>
      <c r="AD471" s="213">
        <f t="shared" si="85"/>
        <v>680</v>
      </c>
      <c r="AE471" s="213">
        <v>1.08</v>
      </c>
      <c r="AF471" s="196">
        <v>5358000000</v>
      </c>
      <c r="AG471" s="104">
        <f t="shared" si="86"/>
        <v>0.97936354164762651</v>
      </c>
      <c r="AH471" s="104">
        <f t="shared" si="87"/>
        <v>5.6459430979978924</v>
      </c>
      <c r="AI471" s="195">
        <v>2.61</v>
      </c>
    </row>
    <row r="472" spans="1:48">
      <c r="A472">
        <v>2611</v>
      </c>
      <c r="C472" s="107">
        <f>VLOOKUP(2611,收盤價!$A:$C,3,0)</f>
        <v>6.78</v>
      </c>
      <c r="D472" s="107">
        <f t="shared" si="77"/>
        <v>37.666666666666671</v>
      </c>
      <c r="E472" s="167">
        <f t="shared" si="78"/>
        <v>3</v>
      </c>
      <c r="F472" s="104">
        <f t="shared" si="79"/>
        <v>0.92946972896633728</v>
      </c>
      <c r="G472" s="167">
        <f>RANK(0.93,AE:AE,0)</f>
        <v>920</v>
      </c>
      <c r="H472" s="365">
        <f t="shared" si="80"/>
        <v>1.9244095432202375</v>
      </c>
      <c r="I472" s="213">
        <f t="shared" si="81"/>
        <v>905</v>
      </c>
      <c r="J472" s="213">
        <f t="shared" si="82"/>
        <v>240</v>
      </c>
      <c r="K472">
        <f>RANK(1.36,AI:AI,0)</f>
        <v>649</v>
      </c>
      <c r="L472" s="357">
        <v>0</v>
      </c>
      <c r="M472" s="357">
        <v>1</v>
      </c>
      <c r="N472" s="357">
        <v>1</v>
      </c>
      <c r="O472" s="357">
        <v>1</v>
      </c>
      <c r="P472" s="357">
        <v>0</v>
      </c>
      <c r="Q472" s="358">
        <v>0.29936305732484075</v>
      </c>
      <c r="R472" s="359">
        <v>4.4999999999999998E-2</v>
      </c>
      <c r="S472" s="196">
        <v>1280911000</v>
      </c>
      <c r="T472" s="196">
        <v>175600000</v>
      </c>
      <c r="U472" s="200">
        <f t="shared" si="83"/>
        <v>1190568000</v>
      </c>
      <c r="V472" s="196">
        <v>19000000</v>
      </c>
      <c r="W472" s="196">
        <v>161000000</v>
      </c>
      <c r="X472" s="196">
        <v>1395000000</v>
      </c>
      <c r="Y472" s="196">
        <v>2801000000</v>
      </c>
      <c r="Z472" s="196">
        <v>1111000000</v>
      </c>
      <c r="AA472" s="198">
        <v>0.01</v>
      </c>
      <c r="AB472" s="198">
        <v>0</v>
      </c>
      <c r="AC472" s="213">
        <f t="shared" si="84"/>
        <v>769</v>
      </c>
      <c r="AD472" s="213">
        <f t="shared" si="85"/>
        <v>911</v>
      </c>
      <c r="AE472" s="213">
        <v>0.93</v>
      </c>
      <c r="AF472" s="196">
        <v>41000000</v>
      </c>
      <c r="AG472" s="104">
        <f t="shared" si="86"/>
        <v>0.23348519362186787</v>
      </c>
      <c r="AH472" s="104">
        <f t="shared" si="87"/>
        <v>2.1578947368421053</v>
      </c>
      <c r="AI472" s="195">
        <v>1.36</v>
      </c>
    </row>
    <row r="473" spans="1:48">
      <c r="A473">
        <v>2612</v>
      </c>
      <c r="C473" s="107">
        <f>VLOOKUP(2612,收盤價!$A:$C,3,0)</f>
        <v>24.75</v>
      </c>
      <c r="D473" s="107">
        <f t="shared" si="77"/>
        <v>26.727071005917157</v>
      </c>
      <c r="E473" s="167">
        <f t="shared" si="78"/>
        <v>3</v>
      </c>
      <c r="F473" s="104">
        <f t="shared" si="79"/>
        <v>1.9059776250003377</v>
      </c>
      <c r="G473" s="167">
        <f>RANK(1.08,AE:AE,0)</f>
        <v>769</v>
      </c>
      <c r="H473" s="365">
        <f t="shared" si="80"/>
        <v>0.29731039222977163</v>
      </c>
      <c r="I473" s="213">
        <f t="shared" si="81"/>
        <v>687</v>
      </c>
      <c r="J473" s="213">
        <f t="shared" si="82"/>
        <v>556</v>
      </c>
      <c r="K473">
        <f>RANK(1.25,AI:AI,0)</f>
        <v>709</v>
      </c>
      <c r="L473" s="357">
        <v>0</v>
      </c>
      <c r="M473" s="357">
        <v>1</v>
      </c>
      <c r="N473" s="357">
        <v>1</v>
      </c>
      <c r="O473" s="357">
        <v>1</v>
      </c>
      <c r="P473" s="357">
        <v>0</v>
      </c>
      <c r="Q473" s="358">
        <v>0.26520681265206814</v>
      </c>
      <c r="R473" s="359">
        <v>0.23150684931506851</v>
      </c>
      <c r="S473" s="196">
        <v>3330771000</v>
      </c>
      <c r="T473" s="196">
        <v>256500000</v>
      </c>
      <c r="U473" s="200">
        <f t="shared" si="83"/>
        <v>6348375000</v>
      </c>
      <c r="V473" s="196">
        <v>173000000</v>
      </c>
      <c r="W473" s="196">
        <v>1910000000</v>
      </c>
      <c r="X473" s="196">
        <v>13653000000</v>
      </c>
      <c r="Y473" s="196">
        <v>11003000000</v>
      </c>
      <c r="Z473" s="196">
        <v>3610000000</v>
      </c>
      <c r="AA473" s="198">
        <v>0.01</v>
      </c>
      <c r="AB473" s="198">
        <v>0.01</v>
      </c>
      <c r="AC473" s="213">
        <f t="shared" si="84"/>
        <v>769</v>
      </c>
      <c r="AD473" s="213">
        <f t="shared" si="85"/>
        <v>680</v>
      </c>
      <c r="AE473" s="213">
        <v>1.08</v>
      </c>
      <c r="AF473" s="196">
        <v>158000000</v>
      </c>
      <c r="AG473" s="104">
        <f t="shared" si="86"/>
        <v>0.61598440545808963</v>
      </c>
      <c r="AH473" s="104">
        <f t="shared" si="87"/>
        <v>0.91329479768786126</v>
      </c>
      <c r="AI473" s="195">
        <v>1.25</v>
      </c>
    </row>
    <row r="474" spans="1:48">
      <c r="A474">
        <v>2613</v>
      </c>
      <c r="C474" s="107">
        <f>VLOOKUP(2613,收盤價!$A:$C,3,0)</f>
        <v>13.4</v>
      </c>
      <c r="D474" s="107">
        <f t="shared" si="77"/>
        <v>8.1125356125356127</v>
      </c>
      <c r="E474" s="167">
        <f t="shared" si="78"/>
        <v>3</v>
      </c>
      <c r="F474" s="104">
        <f t="shared" si="79"/>
        <v>0.52505692972124063</v>
      </c>
      <c r="G474" s="167">
        <f>RANK(1.08,AE:AE,0)</f>
        <v>769</v>
      </c>
      <c r="H474" s="365">
        <f t="shared" si="80"/>
        <v>0.44668929696126947</v>
      </c>
      <c r="I474" s="213">
        <f t="shared" si="81"/>
        <v>785</v>
      </c>
      <c r="J474" s="213">
        <f t="shared" si="82"/>
        <v>565</v>
      </c>
      <c r="K474">
        <f>RANK(1.15,AI:AI,0)</f>
        <v>757</v>
      </c>
      <c r="L474" s="357">
        <v>1</v>
      </c>
      <c r="M474" s="357">
        <v>1</v>
      </c>
      <c r="N474" s="357">
        <v>0</v>
      </c>
      <c r="O474" s="357">
        <v>1</v>
      </c>
      <c r="P474" s="357">
        <v>0</v>
      </c>
      <c r="Q474" s="358">
        <v>0.11128048780487805</v>
      </c>
      <c r="R474" s="359">
        <v>0.4129411764705882</v>
      </c>
      <c r="S474" s="196">
        <v>2547000000</v>
      </c>
      <c r="T474" s="196">
        <v>99800000</v>
      </c>
      <c r="U474" s="200">
        <f t="shared" si="83"/>
        <v>1337320000</v>
      </c>
      <c r="V474" s="196">
        <v>49000000</v>
      </c>
      <c r="W474" s="196">
        <v>0</v>
      </c>
      <c r="X474" s="196">
        <v>4406000000</v>
      </c>
      <c r="Y474" s="196">
        <v>2697000000</v>
      </c>
      <c r="Z474" s="196">
        <v>1073000000</v>
      </c>
      <c r="AA474" s="198">
        <v>0.01</v>
      </c>
      <c r="AB474" s="198">
        <v>0.01</v>
      </c>
      <c r="AC474" s="213">
        <f t="shared" si="84"/>
        <v>769</v>
      </c>
      <c r="AD474" s="213">
        <f t="shared" si="85"/>
        <v>680</v>
      </c>
      <c r="AE474" s="213">
        <v>1.08</v>
      </c>
      <c r="AF474" s="196">
        <v>43000000</v>
      </c>
      <c r="AG474" s="104">
        <f t="shared" si="86"/>
        <v>0.43086172344689377</v>
      </c>
      <c r="AH474" s="104">
        <f t="shared" si="87"/>
        <v>0.87755102040816324</v>
      </c>
      <c r="AI474" s="195">
        <v>1.1499999999999999</v>
      </c>
      <c r="AO474" s="213"/>
      <c r="AP474" s="213"/>
      <c r="AQ474" s="213"/>
      <c r="AR474" s="213"/>
      <c r="AS474" s="213"/>
      <c r="AT474" s="213"/>
      <c r="AU474" s="213"/>
      <c r="AV474" s="213"/>
    </row>
    <row r="475" spans="1:48">
      <c r="A475">
        <v>2614</v>
      </c>
      <c r="C475" s="107">
        <f>VLOOKUP(2614,收盤價!$A:$C,3,0)</f>
        <v>7.72</v>
      </c>
      <c r="D475" s="107">
        <f t="shared" si="77"/>
        <v>0</v>
      </c>
      <c r="E475" s="167">
        <f t="shared" si="78"/>
        <v>2</v>
      </c>
      <c r="F475" s="104">
        <f t="shared" si="79"/>
        <v>0.48746442419290059</v>
      </c>
      <c r="G475" s="167">
        <f>RANK(1.91,AE:AE,0)</f>
        <v>497</v>
      </c>
      <c r="H475" s="365">
        <f t="shared" si="80"/>
        <v>0.52442528735632188</v>
      </c>
      <c r="I475" s="213">
        <f t="shared" si="81"/>
        <v>1352</v>
      </c>
      <c r="J475" s="213">
        <f t="shared" si="82"/>
        <v>768</v>
      </c>
      <c r="K475">
        <f>RANK(0.73,AI:AI,0)</f>
        <v>1352</v>
      </c>
      <c r="L475" s="357">
        <v>1</v>
      </c>
      <c r="M475" s="357">
        <v>1</v>
      </c>
      <c r="N475" s="357">
        <v>0</v>
      </c>
      <c r="O475" s="357">
        <v>0</v>
      </c>
      <c r="P475" s="357">
        <v>0</v>
      </c>
      <c r="Q475" s="358">
        <v>0.36714399363564043</v>
      </c>
      <c r="R475" s="359">
        <v>0</v>
      </c>
      <c r="S475" s="196">
        <v>11022589000</v>
      </c>
      <c r="T475" s="196">
        <v>696000000</v>
      </c>
      <c r="U475" s="200">
        <f t="shared" si="83"/>
        <v>5373120000</v>
      </c>
      <c r="V475" s="196">
        <v>137000000</v>
      </c>
      <c r="W475" s="196">
        <v>0</v>
      </c>
      <c r="X475" s="196">
        <v>2084000000</v>
      </c>
      <c r="Y475" s="196">
        <v>5234000000</v>
      </c>
      <c r="Z475" s="196">
        <v>4189000000</v>
      </c>
      <c r="AA475" s="198">
        <v>7.0000000000000007E-2</v>
      </c>
      <c r="AB475" s="198">
        <v>0.01</v>
      </c>
      <c r="AC475" s="213">
        <f t="shared" si="84"/>
        <v>134</v>
      </c>
      <c r="AD475" s="213">
        <f t="shared" si="85"/>
        <v>680</v>
      </c>
      <c r="AE475" s="213">
        <v>1.91</v>
      </c>
      <c r="AF475" s="196">
        <v>-365000000</v>
      </c>
      <c r="AG475" s="104">
        <f t="shared" si="86"/>
        <v>-0.52442528735632188</v>
      </c>
      <c r="AH475" s="104">
        <f t="shared" si="87"/>
        <v>0</v>
      </c>
      <c r="AI475" s="195">
        <v>0.73</v>
      </c>
    </row>
    <row r="476" spans="1:48">
      <c r="A476">
        <v>2615</v>
      </c>
      <c r="C476" s="107">
        <f>VLOOKUP(2615,收盤價!$A:$C,3,0)</f>
        <v>15.85</v>
      </c>
      <c r="D476" s="107">
        <f t="shared" si="77"/>
        <v>33.416827852998061</v>
      </c>
      <c r="E476" s="167">
        <f t="shared" si="78"/>
        <v>3</v>
      </c>
      <c r="F476" s="104">
        <f t="shared" si="79"/>
        <v>0.60388983452156264</v>
      </c>
      <c r="G476" s="167">
        <f>RANK(1.24,AE:AE,0)</f>
        <v>704</v>
      </c>
      <c r="H476" s="365">
        <f t="shared" si="80"/>
        <v>1.404661920597547</v>
      </c>
      <c r="I476" s="213">
        <f t="shared" si="81"/>
        <v>738</v>
      </c>
      <c r="J476" s="213">
        <f t="shared" si="82"/>
        <v>279</v>
      </c>
      <c r="K476">
        <f>RANK(1.53,AI:AI,0)</f>
        <v>541</v>
      </c>
      <c r="L476" s="357">
        <v>0</v>
      </c>
      <c r="M476" s="357">
        <v>1</v>
      </c>
      <c r="N476" s="357">
        <v>2</v>
      </c>
      <c r="O476" s="357">
        <v>0</v>
      </c>
      <c r="P476" s="357">
        <v>0</v>
      </c>
      <c r="Q476" s="358">
        <v>0.10147151126298905</v>
      </c>
      <c r="R476" s="359">
        <v>0.11857798165137616</v>
      </c>
      <c r="S476" s="196">
        <v>58222631000</v>
      </c>
      <c r="T476" s="196">
        <v>2218300000</v>
      </c>
      <c r="U476" s="200">
        <f t="shared" si="83"/>
        <v>35160055000</v>
      </c>
      <c r="V476" s="196">
        <v>598000000</v>
      </c>
      <c r="W476" s="196">
        <v>12066000000</v>
      </c>
      <c r="X476" s="196">
        <v>45328000000</v>
      </c>
      <c r="Y476" s="196">
        <v>33645000000</v>
      </c>
      <c r="Z476" s="196">
        <v>4273000000</v>
      </c>
      <c r="AA476" s="198">
        <v>0.01</v>
      </c>
      <c r="AB476" s="198">
        <v>0.02</v>
      </c>
      <c r="AC476" s="213">
        <f t="shared" si="84"/>
        <v>769</v>
      </c>
      <c r="AD476" s="213">
        <f t="shared" si="85"/>
        <v>487</v>
      </c>
      <c r="AE476" s="213">
        <v>1.24</v>
      </c>
      <c r="AF476" s="196">
        <v>1150000000</v>
      </c>
      <c r="AG476" s="104">
        <f t="shared" si="86"/>
        <v>0.51841500247937611</v>
      </c>
      <c r="AH476" s="104">
        <f t="shared" si="87"/>
        <v>1.9230769230769231</v>
      </c>
      <c r="AI476" s="195">
        <v>1.53</v>
      </c>
      <c r="AO476" s="213"/>
      <c r="AP476" s="213"/>
      <c r="AQ476" s="213"/>
      <c r="AR476" s="213"/>
      <c r="AS476" s="213"/>
      <c r="AT476" s="213"/>
      <c r="AU476" s="213"/>
      <c r="AV476" s="213"/>
    </row>
    <row r="477" spans="1:48">
      <c r="A477">
        <v>2616</v>
      </c>
      <c r="C477" s="107">
        <f>VLOOKUP(2616,收盤價!$A:$C,3,0)</f>
        <v>25.3</v>
      </c>
      <c r="D477" s="107">
        <f t="shared" si="77"/>
        <v>7.8125</v>
      </c>
      <c r="E477" s="167">
        <f t="shared" si="78"/>
        <v>4</v>
      </c>
      <c r="F477" s="104">
        <f t="shared" si="79"/>
        <v>0.19391459487799673</v>
      </c>
      <c r="G477" s="167">
        <f>RANK(2.68,AE:AE,0)</f>
        <v>341</v>
      </c>
      <c r="H477" s="365">
        <f t="shared" si="80"/>
        <v>-7.7498479775519602E-2</v>
      </c>
      <c r="I477" s="213">
        <f t="shared" si="81"/>
        <v>204</v>
      </c>
      <c r="J477" s="213">
        <f t="shared" si="82"/>
        <v>253</v>
      </c>
      <c r="K477">
        <f>RANK(3.41,AI:AI,0)</f>
        <v>134</v>
      </c>
      <c r="L477" s="357">
        <v>0</v>
      </c>
      <c r="M477" s="357">
        <v>1</v>
      </c>
      <c r="N477" s="357">
        <v>2</v>
      </c>
      <c r="O477" s="357">
        <v>1</v>
      </c>
      <c r="P477" s="357">
        <v>0</v>
      </c>
      <c r="Q477" s="358">
        <v>9.6491228070175433E-2</v>
      </c>
      <c r="R477" s="359">
        <v>0.80959999999999999</v>
      </c>
      <c r="S477" s="196">
        <v>14964887000</v>
      </c>
      <c r="T477" s="196">
        <v>114700000</v>
      </c>
      <c r="U477" s="200">
        <f t="shared" si="83"/>
        <v>2901910000</v>
      </c>
      <c r="V477" s="196">
        <v>119000000</v>
      </c>
      <c r="W477" s="196">
        <v>0</v>
      </c>
      <c r="X477" s="196">
        <v>2396000000</v>
      </c>
      <c r="Y477" s="196">
        <v>2897000000</v>
      </c>
      <c r="Z477" s="196">
        <v>562000000</v>
      </c>
      <c r="AA477" s="198">
        <v>0.05</v>
      </c>
      <c r="AB477" s="198">
        <v>0.03</v>
      </c>
      <c r="AC477" s="213">
        <f t="shared" si="84"/>
        <v>247</v>
      </c>
      <c r="AD477" s="213">
        <f t="shared" si="85"/>
        <v>334</v>
      </c>
      <c r="AE477" s="213">
        <v>2.68</v>
      </c>
      <c r="AF477" s="196">
        <v>246000000</v>
      </c>
      <c r="AG477" s="104">
        <f t="shared" si="86"/>
        <v>2.1447253705318223</v>
      </c>
      <c r="AH477" s="104">
        <f t="shared" si="87"/>
        <v>2.0672268907563027</v>
      </c>
      <c r="AI477" s="195">
        <v>3.41</v>
      </c>
    </row>
    <row r="478" spans="1:48">
      <c r="A478">
        <v>2617</v>
      </c>
      <c r="C478" s="107">
        <f>VLOOKUP(2617,收盤價!$A:$C,3,0)</f>
        <v>11.95</v>
      </c>
      <c r="D478" s="107">
        <f t="shared" si="77"/>
        <v>0</v>
      </c>
      <c r="E478" s="167">
        <f t="shared" si="78"/>
        <v>4</v>
      </c>
      <c r="F478" s="104">
        <f t="shared" si="79"/>
        <v>2.0210165276628924</v>
      </c>
      <c r="G478" s="167">
        <f>RANK(0.84,AE:AE,0)</f>
        <v>946</v>
      </c>
      <c r="H478" s="365">
        <f t="shared" si="80"/>
        <v>31.198058950395399</v>
      </c>
      <c r="I478" s="213">
        <f t="shared" si="81"/>
        <v>859</v>
      </c>
      <c r="J478" s="213">
        <f t="shared" si="82"/>
        <v>7</v>
      </c>
      <c r="K478">
        <f>RANK(1.8,AI:AI,0)</f>
        <v>414</v>
      </c>
      <c r="L478" s="357">
        <v>0</v>
      </c>
      <c r="M478" s="357">
        <v>1</v>
      </c>
      <c r="N478" s="357">
        <v>2</v>
      </c>
      <c r="O478" s="357">
        <v>1</v>
      </c>
      <c r="P478" s="357">
        <v>0</v>
      </c>
      <c r="Q478" s="358">
        <v>3.553299492385787E-2</v>
      </c>
      <c r="R478" s="359">
        <v>0</v>
      </c>
      <c r="S478" s="196">
        <v>2467439000</v>
      </c>
      <c r="T478" s="196">
        <v>417300000</v>
      </c>
      <c r="U478" s="200">
        <f t="shared" si="83"/>
        <v>4986735000</v>
      </c>
      <c r="V478" s="196">
        <v>4000000</v>
      </c>
      <c r="W478" s="196">
        <v>546000000</v>
      </c>
      <c r="X478" s="196">
        <v>8790000000</v>
      </c>
      <c r="Y478" s="196">
        <v>9818000000</v>
      </c>
      <c r="Z478" s="196">
        <v>152000000</v>
      </c>
      <c r="AA478" s="198">
        <v>0</v>
      </c>
      <c r="AB478" s="198">
        <v>0</v>
      </c>
      <c r="AC478" s="213">
        <f t="shared" si="84"/>
        <v>945</v>
      </c>
      <c r="AD478" s="213">
        <f t="shared" si="85"/>
        <v>911</v>
      </c>
      <c r="AE478" s="213">
        <v>0.84</v>
      </c>
      <c r="AF478" s="196">
        <v>126000000</v>
      </c>
      <c r="AG478" s="104">
        <f t="shared" si="86"/>
        <v>0.301941049604601</v>
      </c>
      <c r="AH478" s="104">
        <f t="shared" si="87"/>
        <v>31.5</v>
      </c>
      <c r="AI478" s="195">
        <v>1.8</v>
      </c>
    </row>
    <row r="479" spans="1:48">
      <c r="A479">
        <v>2618</v>
      </c>
      <c r="C479" s="107">
        <f>VLOOKUP(2618,收盤價!$A:$C,3,0)</f>
        <v>14.7</v>
      </c>
      <c r="D479" s="107">
        <f t="shared" si="77"/>
        <v>10.061532079646017</v>
      </c>
      <c r="E479" s="167">
        <f t="shared" si="78"/>
        <v>3</v>
      </c>
      <c r="F479" s="104">
        <f t="shared" si="79"/>
        <v>0.40081294486538788</v>
      </c>
      <c r="G479" s="167">
        <f>RANK(1.64,AE:AE,0)</f>
        <v>539</v>
      </c>
      <c r="H479" s="365">
        <f t="shared" si="80"/>
        <v>0.5229030669779704</v>
      </c>
      <c r="I479" s="213">
        <f t="shared" si="81"/>
        <v>508</v>
      </c>
      <c r="J479" s="213">
        <f t="shared" si="82"/>
        <v>366</v>
      </c>
      <c r="K479">
        <f>RANK(1.78,AI:AI,0)</f>
        <v>423</v>
      </c>
      <c r="L479" s="357">
        <v>0</v>
      </c>
      <c r="M479" s="357">
        <v>1</v>
      </c>
      <c r="N479" s="357">
        <v>1</v>
      </c>
      <c r="O479" s="357">
        <v>1</v>
      </c>
      <c r="P479" s="357">
        <v>0</v>
      </c>
      <c r="Q479" s="358">
        <v>0.13920157827550192</v>
      </c>
      <c r="R479" s="359">
        <v>0.36525252525252527</v>
      </c>
      <c r="S479" s="196">
        <v>141526941000</v>
      </c>
      <c r="T479" s="196">
        <v>3858900000</v>
      </c>
      <c r="U479" s="200">
        <f t="shared" si="83"/>
        <v>56725830000</v>
      </c>
      <c r="V479" s="196">
        <v>2542000000</v>
      </c>
      <c r="W479" s="196">
        <v>0</v>
      </c>
      <c r="X479" s="196">
        <v>120787000000</v>
      </c>
      <c r="Y479" s="196">
        <v>57827000000</v>
      </c>
      <c r="Z479" s="196">
        <v>26342000000</v>
      </c>
      <c r="AA479" s="198">
        <v>0.02</v>
      </c>
      <c r="AB479" s="198">
        <v>0.03</v>
      </c>
      <c r="AC479" s="213">
        <f t="shared" si="84"/>
        <v>616</v>
      </c>
      <c r="AD479" s="213">
        <f t="shared" si="85"/>
        <v>334</v>
      </c>
      <c r="AE479" s="213">
        <v>1.64</v>
      </c>
      <c r="AF479" s="196">
        <v>3895000000</v>
      </c>
      <c r="AG479" s="104">
        <f t="shared" si="86"/>
        <v>1.0093549975381586</v>
      </c>
      <c r="AH479" s="104">
        <f t="shared" si="87"/>
        <v>1.532258064516129</v>
      </c>
      <c r="AI479" s="195">
        <v>1.78</v>
      </c>
    </row>
    <row r="480" spans="1:48">
      <c r="A480">
        <v>2634</v>
      </c>
      <c r="C480" s="107">
        <f>VLOOKUP(2634,收盤價!$A:$C,3,0)</f>
        <v>40.049999999999997</v>
      </c>
      <c r="D480" s="107">
        <f t="shared" si="77"/>
        <v>14.678585615920094</v>
      </c>
      <c r="E480" s="167">
        <f t="shared" si="78"/>
        <v>2</v>
      </c>
      <c r="F480" s="104">
        <f t="shared" si="79"/>
        <v>1.2960737895340839</v>
      </c>
      <c r="G480" s="167">
        <f>RANK(4.79,AE:AE,0)</f>
        <v>191</v>
      </c>
      <c r="H480" s="365">
        <f t="shared" si="80"/>
        <v>7.5063895332529107E-2</v>
      </c>
      <c r="I480" s="213">
        <f t="shared" si="81"/>
        <v>409</v>
      </c>
      <c r="J480" s="213">
        <f t="shared" si="82"/>
        <v>414</v>
      </c>
      <c r="K480">
        <f>RANK(1.89,AI:AI,0)</f>
        <v>384</v>
      </c>
      <c r="L480" s="357">
        <v>0</v>
      </c>
      <c r="M480" s="357">
        <v>1</v>
      </c>
      <c r="N480" s="357">
        <v>0</v>
      </c>
      <c r="O480" s="357">
        <v>1</v>
      </c>
      <c r="P480" s="357">
        <v>0</v>
      </c>
      <c r="Q480" s="358">
        <v>0.15334224598930482</v>
      </c>
      <c r="R480" s="359">
        <v>0.68211612903225816</v>
      </c>
      <c r="S480" s="196">
        <v>28067395000</v>
      </c>
      <c r="T480" s="196">
        <v>908300000</v>
      </c>
      <c r="U480" s="200">
        <f t="shared" si="83"/>
        <v>36377415000</v>
      </c>
      <c r="V480" s="196">
        <v>858000000</v>
      </c>
      <c r="W480" s="196">
        <v>4515000000</v>
      </c>
      <c r="X480" s="196">
        <v>6575000000</v>
      </c>
      <c r="Y480" s="196">
        <v>11346000000</v>
      </c>
      <c r="Z480" s="196">
        <v>12033000000</v>
      </c>
      <c r="AA480" s="198">
        <v>0.08</v>
      </c>
      <c r="AB480" s="198">
        <v>0.04</v>
      </c>
      <c r="AC480" s="213">
        <f t="shared" si="84"/>
        <v>97</v>
      </c>
      <c r="AD480" s="213">
        <f t="shared" si="85"/>
        <v>228</v>
      </c>
      <c r="AE480" s="213">
        <v>4.79</v>
      </c>
      <c r="AF480" s="196">
        <v>1163000000</v>
      </c>
      <c r="AG480" s="104">
        <f t="shared" si="86"/>
        <v>1.2804139601453264</v>
      </c>
      <c r="AH480" s="104">
        <f t="shared" si="87"/>
        <v>1.3554778554778555</v>
      </c>
      <c r="AI480" s="195">
        <v>1.89</v>
      </c>
      <c r="AO480" s="213"/>
      <c r="AP480" s="213"/>
      <c r="AQ480" s="213"/>
      <c r="AR480" s="213"/>
      <c r="AS480" s="213"/>
      <c r="AT480" s="213"/>
      <c r="AU480" s="213"/>
      <c r="AV480" s="213"/>
    </row>
    <row r="481" spans="1:48">
      <c r="A481">
        <v>2636</v>
      </c>
      <c r="C481" s="107">
        <f>VLOOKUP(2636,收盤價!$A:$C,3,0)</f>
        <v>21.2</v>
      </c>
      <c r="D481" s="107">
        <f t="shared" si="77"/>
        <v>16.783333333333331</v>
      </c>
      <c r="E481" s="167">
        <f t="shared" si="78"/>
        <v>3</v>
      </c>
      <c r="F481" s="104">
        <f t="shared" si="79"/>
        <v>0.2649173414614937</v>
      </c>
      <c r="G481" s="167">
        <f>RANK(1.89,AE:AE,0)</f>
        <v>498</v>
      </c>
      <c r="H481" s="365">
        <f t="shared" si="80"/>
        <v>0.54170249355116085</v>
      </c>
      <c r="I481" s="213">
        <f t="shared" si="81"/>
        <v>1361</v>
      </c>
      <c r="J481" s="213">
        <f t="shared" si="82"/>
        <v>768</v>
      </c>
      <c r="K481">
        <f>RANK(0.73,AI:AI,0)</f>
        <v>1352</v>
      </c>
      <c r="L481" s="357">
        <v>0</v>
      </c>
      <c r="M481" s="357">
        <v>1</v>
      </c>
      <c r="N481" s="357">
        <v>2</v>
      </c>
      <c r="O481" s="357">
        <v>0</v>
      </c>
      <c r="P481" s="357">
        <v>0</v>
      </c>
      <c r="Q481" s="358">
        <v>0.1952991452991453</v>
      </c>
      <c r="R481" s="359">
        <v>0.31578947368421056</v>
      </c>
      <c r="S481" s="196">
        <v>9306903000</v>
      </c>
      <c r="T481" s="196">
        <v>116300000</v>
      </c>
      <c r="U481" s="200">
        <f t="shared" si="83"/>
        <v>2465560000</v>
      </c>
      <c r="V481" s="196">
        <v>66000000</v>
      </c>
      <c r="W481" s="196">
        <v>1422000000</v>
      </c>
      <c r="X481" s="196">
        <v>323000000</v>
      </c>
      <c r="Y481" s="196">
        <v>2394000000</v>
      </c>
      <c r="Z481" s="196">
        <v>464000000</v>
      </c>
      <c r="AA481" s="198">
        <v>0.04</v>
      </c>
      <c r="AB481" s="198">
        <v>0.02</v>
      </c>
      <c r="AC481" s="213">
        <f t="shared" si="84"/>
        <v>337</v>
      </c>
      <c r="AD481" s="213">
        <f t="shared" si="85"/>
        <v>487</v>
      </c>
      <c r="AE481" s="213">
        <v>1.89</v>
      </c>
      <c r="AF481" s="196">
        <v>-63000000</v>
      </c>
      <c r="AG481" s="104">
        <f t="shared" si="86"/>
        <v>-0.54170249355116085</v>
      </c>
      <c r="AH481" s="104">
        <f t="shared" si="87"/>
        <v>0</v>
      </c>
      <c r="AI481" s="195">
        <v>0.73</v>
      </c>
      <c r="AO481" s="213"/>
      <c r="AP481" s="213"/>
      <c r="AQ481" s="213"/>
      <c r="AR481" s="213"/>
      <c r="AS481" s="213"/>
      <c r="AT481" s="213"/>
      <c r="AU481" s="213"/>
      <c r="AV481" s="213"/>
    </row>
    <row r="482" spans="1:48">
      <c r="A482">
        <v>2637</v>
      </c>
      <c r="C482" s="107">
        <f>VLOOKUP(2637,收盤價!$A:$C,3,0)</f>
        <v>28.5</v>
      </c>
      <c r="D482" s="107">
        <f t="shared" si="77"/>
        <v>0</v>
      </c>
      <c r="E482" s="167">
        <f t="shared" si="78"/>
        <v>2</v>
      </c>
      <c r="F482" s="104">
        <f t="shared" si="79"/>
        <v>1.3285586494325747</v>
      </c>
      <c r="G482" s="167">
        <f>RANK(1.24,AE:AE,0)</f>
        <v>704</v>
      </c>
      <c r="H482" s="365">
        <f t="shared" si="80"/>
        <v>-0.43158049589429481</v>
      </c>
      <c r="I482" s="213">
        <f t="shared" si="81"/>
        <v>225</v>
      </c>
      <c r="J482" s="213">
        <f t="shared" si="82"/>
        <v>348</v>
      </c>
      <c r="K482">
        <f>RANK(2.72,AI:AI,0)</f>
        <v>197</v>
      </c>
      <c r="L482" s="357">
        <v>0</v>
      </c>
      <c r="M482" s="357">
        <v>0</v>
      </c>
      <c r="N482" s="357">
        <v>1</v>
      </c>
      <c r="O482" s="357">
        <v>1</v>
      </c>
      <c r="P482" s="357">
        <v>0</v>
      </c>
      <c r="Q482" s="358">
        <v>0.15558103975535167</v>
      </c>
      <c r="R482" s="359">
        <v>0</v>
      </c>
      <c r="S482" s="196">
        <v>11036961000</v>
      </c>
      <c r="T482" s="196">
        <v>514500000</v>
      </c>
      <c r="U482" s="200">
        <f t="shared" si="83"/>
        <v>14663250000</v>
      </c>
      <c r="V482" s="196">
        <v>654000000</v>
      </c>
      <c r="W482" s="196">
        <v>0</v>
      </c>
      <c r="X482" s="196">
        <v>76504000000</v>
      </c>
      <c r="Y482" s="196">
        <v>23614000000</v>
      </c>
      <c r="Z482" s="196">
        <v>9579000000</v>
      </c>
      <c r="AA482" s="198">
        <v>0.01</v>
      </c>
      <c r="AB482" s="198">
        <v>0.02</v>
      </c>
      <c r="AC482" s="213">
        <f t="shared" si="84"/>
        <v>769</v>
      </c>
      <c r="AD482" s="213">
        <f t="shared" si="85"/>
        <v>487</v>
      </c>
      <c r="AE482" s="213">
        <v>1.24</v>
      </c>
      <c r="AF482" s="196">
        <v>1041000000</v>
      </c>
      <c r="AG482" s="104">
        <f t="shared" si="86"/>
        <v>2.0233236151603498</v>
      </c>
      <c r="AH482" s="104">
        <f t="shared" si="87"/>
        <v>1.5917431192660549</v>
      </c>
      <c r="AI482" s="195">
        <v>2.72</v>
      </c>
      <c r="AO482" s="213"/>
      <c r="AP482" s="213"/>
      <c r="AQ482" s="213"/>
      <c r="AR482" s="213"/>
      <c r="AS482" s="213"/>
      <c r="AT482" s="213"/>
      <c r="AU482" s="213"/>
      <c r="AV482" s="213"/>
    </row>
    <row r="483" spans="1:48">
      <c r="A483">
        <v>2640</v>
      </c>
      <c r="C483" s="107">
        <f>VLOOKUP(2640,收盤價!$A:$C,3,0)</f>
        <v>45.2</v>
      </c>
      <c r="D483" s="107">
        <f t="shared" si="77"/>
        <v>20.545454545454547</v>
      </c>
      <c r="E483" s="167">
        <f t="shared" si="78"/>
        <v>1</v>
      </c>
      <c r="F483" s="104">
        <f t="shared" si="79"/>
        <v>1.1871962691241262</v>
      </c>
      <c r="G483" s="167">
        <f>RANK(0.84,AE:AE,0)</f>
        <v>946</v>
      </c>
      <c r="H483" s="365">
        <f t="shared" si="80"/>
        <v>-2.7149321266968327</v>
      </c>
      <c r="I483" s="213">
        <f t="shared" si="81"/>
        <v>142</v>
      </c>
      <c r="J483" s="213">
        <f t="shared" si="82"/>
        <v>768</v>
      </c>
      <c r="K483">
        <f>RANK(1.71,AI:AI,0)</f>
        <v>449</v>
      </c>
      <c r="L483" s="357">
        <v>0</v>
      </c>
      <c r="M483" s="357">
        <v>0</v>
      </c>
      <c r="N483" s="357">
        <v>0</v>
      </c>
      <c r="O483" s="357">
        <v>1</v>
      </c>
      <c r="P483" s="357">
        <v>0</v>
      </c>
      <c r="Q483" s="358">
        <v>0.40952380952380951</v>
      </c>
      <c r="R483" s="359">
        <v>0.55000000000000004</v>
      </c>
      <c r="S483" s="196">
        <v>1682822000</v>
      </c>
      <c r="T483" s="196">
        <v>44200000</v>
      </c>
      <c r="U483" s="200">
        <f t="shared" si="83"/>
        <v>1997840000.0000002</v>
      </c>
      <c r="V483" s="196">
        <v>0</v>
      </c>
      <c r="W483" s="196">
        <v>82000000</v>
      </c>
      <c r="X483" s="196">
        <v>938000000</v>
      </c>
      <c r="Y483" s="196">
        <v>1131000000</v>
      </c>
      <c r="Z483" s="196">
        <v>311000000</v>
      </c>
      <c r="AA483" s="198">
        <v>0</v>
      </c>
      <c r="AB483" s="198">
        <v>0</v>
      </c>
      <c r="AC483" s="213">
        <f t="shared" si="84"/>
        <v>945</v>
      </c>
      <c r="AD483" s="213">
        <f t="shared" si="85"/>
        <v>911</v>
      </c>
      <c r="AE483" s="213">
        <v>0.84</v>
      </c>
      <c r="AF483" s="196">
        <v>120000000</v>
      </c>
      <c r="AG483" s="104">
        <f t="shared" si="86"/>
        <v>2.7149321266968327</v>
      </c>
      <c r="AH483" s="104">
        <f t="shared" si="87"/>
        <v>0</v>
      </c>
      <c r="AI483" s="195">
        <v>1.71</v>
      </c>
      <c r="AO483" s="213"/>
      <c r="AP483" s="213"/>
      <c r="AQ483" s="213"/>
      <c r="AR483" s="213"/>
      <c r="AS483" s="213"/>
      <c r="AT483" s="213"/>
      <c r="AU483" s="213"/>
      <c r="AV483" s="213"/>
    </row>
    <row r="484" spans="1:48">
      <c r="A484">
        <v>2641</v>
      </c>
      <c r="C484" s="107">
        <f>VLOOKUP(2641,收盤價!$A:$C,3,0)</f>
        <v>12.2</v>
      </c>
      <c r="D484" s="107">
        <f t="shared" si="77"/>
        <v>0</v>
      </c>
      <c r="E484" s="167">
        <f t="shared" si="78"/>
        <v>3</v>
      </c>
      <c r="F484" s="104">
        <f t="shared" si="79"/>
        <v>2.4400293782801397</v>
      </c>
      <c r="G484" s="167">
        <f>RANK(1.24,AE:AE,0)</f>
        <v>704</v>
      </c>
      <c r="H484" s="365">
        <f t="shared" si="80"/>
        <v>1.2561168808308396</v>
      </c>
      <c r="I484" s="213">
        <f t="shared" si="81"/>
        <v>787</v>
      </c>
      <c r="J484" s="213">
        <f t="shared" si="82"/>
        <v>327</v>
      </c>
      <c r="K484">
        <f>RANK(1.4,AI:AI,0)</f>
        <v>622</v>
      </c>
      <c r="L484" s="357">
        <v>0</v>
      </c>
      <c r="M484" s="357">
        <v>1</v>
      </c>
      <c r="N484" s="357">
        <v>1</v>
      </c>
      <c r="O484" s="357">
        <v>1</v>
      </c>
      <c r="P484" s="357">
        <v>0</v>
      </c>
      <c r="Q484" s="358">
        <v>0.15121951219512195</v>
      </c>
      <c r="R484" s="359">
        <v>0</v>
      </c>
      <c r="S484" s="196">
        <v>747491000</v>
      </c>
      <c r="T484" s="196">
        <v>149500000</v>
      </c>
      <c r="U484" s="200">
        <f t="shared" si="83"/>
        <v>1823900000</v>
      </c>
      <c r="V484" s="196">
        <v>38000000</v>
      </c>
      <c r="W484" s="196">
        <v>0</v>
      </c>
      <c r="X484" s="196">
        <v>4642000000</v>
      </c>
      <c r="Y484" s="196">
        <v>1708000000</v>
      </c>
      <c r="Z484" s="196">
        <v>760000000</v>
      </c>
      <c r="AA484" s="198">
        <v>0.01</v>
      </c>
      <c r="AB484" s="198">
        <v>0.02</v>
      </c>
      <c r="AC484" s="213">
        <f t="shared" si="84"/>
        <v>769</v>
      </c>
      <c r="AD484" s="213">
        <f t="shared" si="85"/>
        <v>487</v>
      </c>
      <c r="AE484" s="213">
        <v>1.24</v>
      </c>
      <c r="AF484" s="196">
        <v>64000000</v>
      </c>
      <c r="AG484" s="104">
        <f t="shared" si="86"/>
        <v>0.42809364548494983</v>
      </c>
      <c r="AH484" s="104">
        <f t="shared" si="87"/>
        <v>1.6842105263157894</v>
      </c>
      <c r="AI484" s="195">
        <v>1.4</v>
      </c>
    </row>
    <row r="485" spans="1:48">
      <c r="A485">
        <v>2642</v>
      </c>
      <c r="C485" s="107">
        <f>VLOOKUP(2642,收盤價!$A:$C,3,0)</f>
        <v>25.15</v>
      </c>
      <c r="D485" s="107">
        <f t="shared" si="77"/>
        <v>45.791316526610643</v>
      </c>
      <c r="E485" s="167">
        <f t="shared" si="78"/>
        <v>1</v>
      </c>
      <c r="F485" s="104">
        <f t="shared" si="79"/>
        <v>0.92370068686495754</v>
      </c>
      <c r="G485" s="167">
        <f>RANK(1.08,AE:AE,0)</f>
        <v>769</v>
      </c>
      <c r="H485" s="365">
        <f t="shared" si="80"/>
        <v>3.3363104404065291</v>
      </c>
      <c r="I485" s="213">
        <f t="shared" si="81"/>
        <v>639</v>
      </c>
      <c r="J485" s="213">
        <f t="shared" si="82"/>
        <v>111</v>
      </c>
      <c r="K485">
        <f>RANK(2.08,AI:AI,0)</f>
        <v>314</v>
      </c>
      <c r="L485" s="357">
        <v>0</v>
      </c>
      <c r="M485" s="357">
        <v>0</v>
      </c>
      <c r="N485" s="357">
        <v>0</v>
      </c>
      <c r="O485" s="357">
        <v>1</v>
      </c>
      <c r="P485" s="357">
        <v>0</v>
      </c>
      <c r="Q485" s="358">
        <v>0.17628705148205928</v>
      </c>
      <c r="R485" s="359">
        <v>0.1373076923076923</v>
      </c>
      <c r="S485" s="196">
        <v>2600220000</v>
      </c>
      <c r="T485" s="196">
        <v>95500000</v>
      </c>
      <c r="U485" s="200">
        <f t="shared" si="83"/>
        <v>2401825000</v>
      </c>
      <c r="V485" s="196">
        <v>17000000</v>
      </c>
      <c r="W485" s="196">
        <v>982000000</v>
      </c>
      <c r="X485" s="196">
        <v>328000000</v>
      </c>
      <c r="Y485" s="196">
        <v>1633000000</v>
      </c>
      <c r="Z485" s="196">
        <v>0</v>
      </c>
      <c r="AA485" s="198">
        <v>0.01</v>
      </c>
      <c r="AB485" s="198">
        <v>0.01</v>
      </c>
      <c r="AC485" s="213">
        <f t="shared" si="84"/>
        <v>769</v>
      </c>
      <c r="AD485" s="213">
        <f t="shared" si="85"/>
        <v>680</v>
      </c>
      <c r="AE485" s="213">
        <v>1.08</v>
      </c>
      <c r="AF485" s="196">
        <v>69000000</v>
      </c>
      <c r="AG485" s="104">
        <f t="shared" si="86"/>
        <v>0.72251308900523559</v>
      </c>
      <c r="AH485" s="104">
        <f t="shared" si="87"/>
        <v>4.0588235294117645</v>
      </c>
      <c r="AI485" s="195">
        <v>2.08</v>
      </c>
    </row>
    <row r="486" spans="1:48">
      <c r="A486">
        <v>2643</v>
      </c>
      <c r="C486" s="107">
        <f>VLOOKUP(2643,收盤價!$A:$C,3,0)</f>
        <v>41.4</v>
      </c>
      <c r="D486" s="107">
        <f t="shared" si="77"/>
        <v>8.1496062992125982</v>
      </c>
      <c r="E486" s="167">
        <f t="shared" si="78"/>
        <v>2</v>
      </c>
      <c r="F486" s="104">
        <f t="shared" si="79"/>
        <v>0.37528492009781739</v>
      </c>
      <c r="G486" s="167">
        <f>RANK(0.84,AE:AE,0)</f>
        <v>946</v>
      </c>
      <c r="H486" s="365">
        <f t="shared" si="80"/>
        <v>-0.83969465648854957</v>
      </c>
      <c r="I486" s="213">
        <f t="shared" si="81"/>
        <v>587</v>
      </c>
      <c r="J486" s="213">
        <f t="shared" si="82"/>
        <v>768</v>
      </c>
      <c r="K486">
        <f>RANK(1.15,AI:AI,0)</f>
        <v>757</v>
      </c>
      <c r="L486" s="357">
        <v>0</v>
      </c>
      <c r="M486" s="357">
        <v>1</v>
      </c>
      <c r="N486" s="357">
        <v>1</v>
      </c>
      <c r="O486" s="357">
        <v>0</v>
      </c>
      <c r="P486" s="357">
        <v>0</v>
      </c>
      <c r="Q486" s="358">
        <v>0.15078236130867709</v>
      </c>
      <c r="R486" s="359">
        <v>1.27</v>
      </c>
      <c r="S486" s="196">
        <v>2890284000</v>
      </c>
      <c r="T486" s="196">
        <v>26200000</v>
      </c>
      <c r="U486" s="200">
        <f t="shared" si="83"/>
        <v>1084680000</v>
      </c>
      <c r="V486" s="196">
        <v>0</v>
      </c>
      <c r="W486" s="196">
        <v>505000000</v>
      </c>
      <c r="X486" s="196">
        <v>121000000</v>
      </c>
      <c r="Y486" s="196">
        <v>583000000</v>
      </c>
      <c r="Z486" s="196">
        <v>1000000</v>
      </c>
      <c r="AA486" s="198">
        <v>0</v>
      </c>
      <c r="AB486" s="198">
        <v>0</v>
      </c>
      <c r="AC486" s="213">
        <f t="shared" si="84"/>
        <v>945</v>
      </c>
      <c r="AD486" s="213">
        <f t="shared" si="85"/>
        <v>911</v>
      </c>
      <c r="AE486" s="213">
        <v>0.84</v>
      </c>
      <c r="AF486" s="196">
        <v>22000000</v>
      </c>
      <c r="AG486" s="104">
        <f t="shared" si="86"/>
        <v>0.83969465648854957</v>
      </c>
      <c r="AH486" s="104">
        <f t="shared" si="87"/>
        <v>0</v>
      </c>
      <c r="AI486" s="195">
        <v>1.1499999999999999</v>
      </c>
    </row>
    <row r="487" spans="1:48">
      <c r="A487">
        <v>2701</v>
      </c>
      <c r="C487" s="107">
        <f>VLOOKUP(2701,收盤價!$A:$C,3,0)</f>
        <v>13.9</v>
      </c>
      <c r="D487" s="107">
        <f t="shared" si="77"/>
        <v>40.422138836772987</v>
      </c>
      <c r="E487" s="167">
        <f t="shared" si="78"/>
        <v>4</v>
      </c>
      <c r="F487" s="104">
        <f t="shared" si="79"/>
        <v>14.2785243993403</v>
      </c>
      <c r="G487" s="167">
        <f>RANK(1.36,AE:AE,0)</f>
        <v>694</v>
      </c>
      <c r="H487" s="365">
        <f t="shared" si="80"/>
        <v>0.87510724353474689</v>
      </c>
      <c r="I487" s="213">
        <f t="shared" si="81"/>
        <v>989</v>
      </c>
      <c r="J487" s="213">
        <f t="shared" si="82"/>
        <v>537</v>
      </c>
      <c r="K487">
        <f>RANK(1.02,AI:AI,0)</f>
        <v>862</v>
      </c>
      <c r="L487" s="357">
        <v>0</v>
      </c>
      <c r="M487" s="357">
        <v>1</v>
      </c>
      <c r="N487" s="357">
        <v>2</v>
      </c>
      <c r="O487" s="357">
        <v>1</v>
      </c>
      <c r="P487" s="357">
        <v>0</v>
      </c>
      <c r="Q487" s="358">
        <v>0.52173913043478259</v>
      </c>
      <c r="R487" s="359">
        <v>8.5967741935483871E-2</v>
      </c>
      <c r="S487" s="196">
        <v>387449000</v>
      </c>
      <c r="T487" s="196">
        <v>398000000</v>
      </c>
      <c r="U487" s="200">
        <f t="shared" si="83"/>
        <v>5532200000</v>
      </c>
      <c r="V487" s="196">
        <v>41000000</v>
      </c>
      <c r="W487" s="196">
        <v>1013000000</v>
      </c>
      <c r="X487" s="196">
        <v>365000000</v>
      </c>
      <c r="Y487" s="196">
        <v>6757000000</v>
      </c>
      <c r="Z487" s="196">
        <v>0</v>
      </c>
      <c r="AA487" s="198">
        <v>0.03</v>
      </c>
      <c r="AB487" s="198">
        <v>0.01</v>
      </c>
      <c r="AC487" s="213">
        <f t="shared" si="84"/>
        <v>469</v>
      </c>
      <c r="AD487" s="213">
        <f t="shared" si="85"/>
        <v>680</v>
      </c>
      <c r="AE487" s="213">
        <v>1.36</v>
      </c>
      <c r="AF487" s="196">
        <v>40000000</v>
      </c>
      <c r="AG487" s="104">
        <f t="shared" si="86"/>
        <v>0.10050251256281408</v>
      </c>
      <c r="AH487" s="104">
        <f t="shared" si="87"/>
        <v>0.97560975609756095</v>
      </c>
      <c r="AI487" s="195">
        <v>1.02</v>
      </c>
    </row>
    <row r="488" spans="1:48">
      <c r="A488">
        <v>2702</v>
      </c>
      <c r="C488" s="107">
        <f>VLOOKUP(2702,收盤價!$A:$C,3,0)</f>
        <v>16.7</v>
      </c>
      <c r="D488" s="107">
        <f t="shared" si="77"/>
        <v>13.303389830508475</v>
      </c>
      <c r="E488" s="167">
        <f t="shared" si="78"/>
        <v>4</v>
      </c>
      <c r="F488" s="104">
        <f t="shared" si="79"/>
        <v>1.2569798176057694</v>
      </c>
      <c r="G488" s="167">
        <f>RANK(1.64,AE:AE,0)</f>
        <v>539</v>
      </c>
      <c r="H488" s="365">
        <f t="shared" si="80"/>
        <v>0.41475804557199902</v>
      </c>
      <c r="I488" s="213">
        <f t="shared" si="81"/>
        <v>396</v>
      </c>
      <c r="J488" s="213">
        <f t="shared" si="82"/>
        <v>318</v>
      </c>
      <c r="K488">
        <f>RANK(2.18,AI:AI,0)</f>
        <v>300</v>
      </c>
      <c r="L488" s="357">
        <v>1</v>
      </c>
      <c r="M488" s="357">
        <v>1</v>
      </c>
      <c r="N488" s="357">
        <v>1</v>
      </c>
      <c r="O488" s="357">
        <v>1</v>
      </c>
      <c r="P488" s="357">
        <v>0</v>
      </c>
      <c r="Q488" s="358">
        <v>0.78012048192771088</v>
      </c>
      <c r="R488" s="359">
        <v>0.31382978723404253</v>
      </c>
      <c r="S488" s="196">
        <v>1256838000</v>
      </c>
      <c r="T488" s="196">
        <v>94600000</v>
      </c>
      <c r="U488" s="200">
        <f t="shared" si="83"/>
        <v>1579820000</v>
      </c>
      <c r="V488" s="196">
        <v>72000000</v>
      </c>
      <c r="W488" s="196">
        <v>498000000</v>
      </c>
      <c r="X488" s="196">
        <v>2812000000</v>
      </c>
      <c r="Y488" s="196">
        <v>1218000000</v>
      </c>
      <c r="Z488" s="196">
        <v>1157000000</v>
      </c>
      <c r="AA488" s="198">
        <v>0.02</v>
      </c>
      <c r="AB488" s="198">
        <v>0.03</v>
      </c>
      <c r="AC488" s="213">
        <f t="shared" si="84"/>
        <v>616</v>
      </c>
      <c r="AD488" s="213">
        <f t="shared" si="85"/>
        <v>334</v>
      </c>
      <c r="AE488" s="213">
        <v>1.64</v>
      </c>
      <c r="AF488" s="196">
        <v>125000000</v>
      </c>
      <c r="AG488" s="104">
        <f t="shared" si="86"/>
        <v>1.3213530655391121</v>
      </c>
      <c r="AH488" s="104">
        <f t="shared" si="87"/>
        <v>1.7361111111111112</v>
      </c>
      <c r="AI488" s="195">
        <v>2.1800000000000002</v>
      </c>
    </row>
    <row r="489" spans="1:48">
      <c r="A489">
        <v>2704</v>
      </c>
      <c r="C489" s="107">
        <f>VLOOKUP(2704,收盤價!$A:$C,3,0)</f>
        <v>23.65</v>
      </c>
      <c r="D489" s="107">
        <f t="shared" si="77"/>
        <v>42.872023809523803</v>
      </c>
      <c r="E489" s="167">
        <f t="shared" si="78"/>
        <v>1</v>
      </c>
      <c r="F489" s="104">
        <f t="shared" si="79"/>
        <v>2.3800078664481177</v>
      </c>
      <c r="G489" s="167">
        <f>RANK(1.08,AE:AE,0)</f>
        <v>769</v>
      </c>
      <c r="H489" s="365">
        <f t="shared" si="80"/>
        <v>0.76105090614551296</v>
      </c>
      <c r="I489" s="213">
        <f t="shared" si="81"/>
        <v>943</v>
      </c>
      <c r="J489" s="213">
        <f t="shared" si="82"/>
        <v>547</v>
      </c>
      <c r="K489">
        <f>RANK(1.05,AI:AI,0)</f>
        <v>841</v>
      </c>
      <c r="L489" s="357">
        <v>0</v>
      </c>
      <c r="M489" s="357">
        <v>0</v>
      </c>
      <c r="N489" s="357">
        <v>0</v>
      </c>
      <c r="O489" s="357">
        <v>1</v>
      </c>
      <c r="P489" s="357">
        <v>0</v>
      </c>
      <c r="Q489" s="358">
        <v>0.37072018890200709</v>
      </c>
      <c r="R489" s="359">
        <v>0.13791044776119404</v>
      </c>
      <c r="S489" s="196">
        <v>3645864000</v>
      </c>
      <c r="T489" s="196">
        <v>366900000</v>
      </c>
      <c r="U489" s="200">
        <f t="shared" si="83"/>
        <v>8677185000</v>
      </c>
      <c r="V489" s="196">
        <v>71000000</v>
      </c>
      <c r="W489" s="196">
        <v>2002000000</v>
      </c>
      <c r="X489" s="196">
        <v>6423000000</v>
      </c>
      <c r="Y489" s="196">
        <v>9132000000</v>
      </c>
      <c r="Z489" s="196">
        <v>505000000</v>
      </c>
      <c r="AA489" s="198">
        <v>0.01</v>
      </c>
      <c r="AB489" s="198">
        <v>0.01</v>
      </c>
      <c r="AC489" s="213">
        <f t="shared" si="84"/>
        <v>769</v>
      </c>
      <c r="AD489" s="213">
        <f t="shared" si="85"/>
        <v>680</v>
      </c>
      <c r="AE489" s="213">
        <v>1.08</v>
      </c>
      <c r="AF489" s="196">
        <v>67000000</v>
      </c>
      <c r="AG489" s="104">
        <f t="shared" si="86"/>
        <v>0.18261106568547289</v>
      </c>
      <c r="AH489" s="104">
        <f t="shared" si="87"/>
        <v>0.94366197183098588</v>
      </c>
      <c r="AI489" s="195">
        <v>1.05</v>
      </c>
    </row>
    <row r="490" spans="1:48">
      <c r="A490">
        <v>2705</v>
      </c>
      <c r="C490" s="107">
        <f>VLOOKUP(2705,收盤價!$A:$C,3,0)</f>
        <v>8.6300000000000008</v>
      </c>
      <c r="D490" s="107">
        <f t="shared" si="77"/>
        <v>0</v>
      </c>
      <c r="E490" s="167">
        <f t="shared" si="78"/>
        <v>1</v>
      </c>
      <c r="F490" s="104">
        <f t="shared" si="79"/>
        <v>0.92998178301884959</v>
      </c>
      <c r="G490" s="167">
        <f>RANK(0.58,AE:AE,0)</f>
        <v>1374</v>
      </c>
      <c r="H490" s="365">
        <f t="shared" si="80"/>
        <v>0.2180496668685645</v>
      </c>
      <c r="I490" s="213">
        <f t="shared" si="81"/>
        <v>1219</v>
      </c>
      <c r="J490" s="213">
        <f t="shared" si="82"/>
        <v>768</v>
      </c>
      <c r="K490">
        <f>RANK(0.78,AI:AI,0)</f>
        <v>1217</v>
      </c>
      <c r="L490" s="357">
        <v>0</v>
      </c>
      <c r="M490" s="357">
        <v>0</v>
      </c>
      <c r="N490" s="357">
        <v>1</v>
      </c>
      <c r="O490" s="357">
        <v>0</v>
      </c>
      <c r="P490" s="357">
        <v>0</v>
      </c>
      <c r="Q490" s="358">
        <v>0.19591836734693877</v>
      </c>
      <c r="R490" s="359">
        <v>0</v>
      </c>
      <c r="S490" s="196">
        <v>3064174000</v>
      </c>
      <c r="T490" s="196">
        <v>330200000</v>
      </c>
      <c r="U490" s="200">
        <f t="shared" si="83"/>
        <v>2849626000.0000005</v>
      </c>
      <c r="V490" s="196">
        <v>-92000000</v>
      </c>
      <c r="W490" s="196">
        <v>445000000</v>
      </c>
      <c r="X490" s="196">
        <v>7410000000</v>
      </c>
      <c r="Y490" s="196">
        <v>4718000000</v>
      </c>
      <c r="Z490" s="196">
        <v>923000000</v>
      </c>
      <c r="AA490" s="198">
        <v>-0.01</v>
      </c>
      <c r="AB490" s="198">
        <v>-0.02</v>
      </c>
      <c r="AC490" s="213">
        <f t="shared" si="84"/>
        <v>1277</v>
      </c>
      <c r="AD490" s="213">
        <f t="shared" si="85"/>
        <v>1388</v>
      </c>
      <c r="AE490" s="213">
        <v>0.57999999999999996</v>
      </c>
      <c r="AF490" s="196">
        <v>-72000000</v>
      </c>
      <c r="AG490" s="104">
        <f t="shared" si="86"/>
        <v>-0.2180496668685645</v>
      </c>
      <c r="AH490" s="104">
        <f t="shared" si="87"/>
        <v>0</v>
      </c>
      <c r="AI490" s="195">
        <v>0.78</v>
      </c>
      <c r="AO490" s="213"/>
      <c r="AP490" s="213"/>
      <c r="AQ490" s="213"/>
      <c r="AR490" s="213"/>
      <c r="AS490" s="213"/>
      <c r="AT490" s="213"/>
      <c r="AU490" s="213"/>
      <c r="AV490" s="213"/>
    </row>
    <row r="491" spans="1:48">
      <c r="A491">
        <v>2706</v>
      </c>
      <c r="C491" s="107">
        <f>VLOOKUP(2706,收盤價!$A:$C,3,0)</f>
        <v>16.55</v>
      </c>
      <c r="D491" s="107">
        <f t="shared" si="77"/>
        <v>12.169117647058822</v>
      </c>
      <c r="E491" s="167">
        <f t="shared" si="78"/>
        <v>3</v>
      </c>
      <c r="F491" s="104">
        <f t="shared" si="79"/>
        <v>20.267451992993848</v>
      </c>
      <c r="G491" s="167">
        <f>RANK(0.84,AE:AE,0)</f>
        <v>946</v>
      </c>
      <c r="H491" s="365">
        <f t="shared" si="80"/>
        <v>-9.0433127082341747E-2</v>
      </c>
      <c r="I491" s="213">
        <f t="shared" si="81"/>
        <v>998</v>
      </c>
      <c r="J491" s="213">
        <f t="shared" si="82"/>
        <v>768</v>
      </c>
      <c r="K491">
        <f>RANK(0.88,AI:AI,0)</f>
        <v>1021</v>
      </c>
      <c r="L491" s="357">
        <v>0</v>
      </c>
      <c r="M491" s="357">
        <v>1</v>
      </c>
      <c r="N491" s="357">
        <v>1</v>
      </c>
      <c r="O491" s="357">
        <v>1</v>
      </c>
      <c r="P491" s="357">
        <v>0</v>
      </c>
      <c r="Q491" s="358">
        <v>0.74390243902439024</v>
      </c>
      <c r="R491" s="359">
        <v>0.34</v>
      </c>
      <c r="S491" s="196">
        <v>343127000</v>
      </c>
      <c r="T491" s="196">
        <v>420200000</v>
      </c>
      <c r="U491" s="200">
        <f t="shared" si="83"/>
        <v>6954310000</v>
      </c>
      <c r="V491" s="196">
        <v>0</v>
      </c>
      <c r="W491" s="196">
        <v>2147000000</v>
      </c>
      <c r="X491" s="196">
        <v>388000000</v>
      </c>
      <c r="Y491" s="196">
        <v>7874000000</v>
      </c>
      <c r="Z491" s="196">
        <v>0</v>
      </c>
      <c r="AA491" s="198">
        <v>0</v>
      </c>
      <c r="AB491" s="198">
        <v>0</v>
      </c>
      <c r="AC491" s="213">
        <f t="shared" si="84"/>
        <v>945</v>
      </c>
      <c r="AD491" s="213">
        <f t="shared" si="85"/>
        <v>911</v>
      </c>
      <c r="AE491" s="213">
        <v>0.84</v>
      </c>
      <c r="AF491" s="196">
        <v>38000000</v>
      </c>
      <c r="AG491" s="104">
        <f t="shared" si="86"/>
        <v>9.0433127082341747E-2</v>
      </c>
      <c r="AH491" s="104">
        <f t="shared" si="87"/>
        <v>0</v>
      </c>
      <c r="AI491" s="195">
        <v>0.88</v>
      </c>
    </row>
    <row r="492" spans="1:48">
      <c r="A492">
        <v>2707</v>
      </c>
      <c r="C492" s="107">
        <f>VLOOKUP(2707,收盤價!$A:$C,3,0)</f>
        <v>176</v>
      </c>
      <c r="D492" s="107">
        <f t="shared" si="77"/>
        <v>24.675709563433259</v>
      </c>
      <c r="E492" s="167">
        <f t="shared" si="78"/>
        <v>1</v>
      </c>
      <c r="F492" s="104">
        <f t="shared" si="79"/>
        <v>3.3449320136928131</v>
      </c>
      <c r="G492" s="167">
        <f>RANK(7.11,AE:AE,0)</f>
        <v>108</v>
      </c>
      <c r="H492" s="365">
        <f t="shared" si="80"/>
        <v>5.5248618784530384E-2</v>
      </c>
      <c r="I492" s="213">
        <f t="shared" si="81"/>
        <v>1104</v>
      </c>
      <c r="J492" s="213">
        <f t="shared" si="82"/>
        <v>768</v>
      </c>
      <c r="K492">
        <f>RANK(0.83,AI:AI,0)</f>
        <v>1098</v>
      </c>
      <c r="L492" s="357">
        <v>0</v>
      </c>
      <c r="M492" s="357">
        <v>0</v>
      </c>
      <c r="N492" s="357">
        <v>1</v>
      </c>
      <c r="O492" s="357">
        <v>0</v>
      </c>
      <c r="P492" s="357">
        <v>0</v>
      </c>
      <c r="Q492" s="358">
        <v>0.32944785276073618</v>
      </c>
      <c r="R492" s="359">
        <v>1.7831300813008131</v>
      </c>
      <c r="S492" s="196">
        <v>6666563000</v>
      </c>
      <c r="T492" s="196">
        <v>126700000</v>
      </c>
      <c r="U492" s="200">
        <f t="shared" si="83"/>
        <v>22299200000</v>
      </c>
      <c r="V492" s="196">
        <v>294000000</v>
      </c>
      <c r="W492" s="196">
        <v>0</v>
      </c>
      <c r="X492" s="196">
        <v>3401000000</v>
      </c>
      <c r="Y492" s="196">
        <v>3389000000</v>
      </c>
      <c r="Z492" s="196">
        <v>2046000000</v>
      </c>
      <c r="AA492" s="198">
        <v>0.09</v>
      </c>
      <c r="AB492" s="198">
        <v>0.05</v>
      </c>
      <c r="AC492" s="213">
        <f t="shared" si="84"/>
        <v>69</v>
      </c>
      <c r="AD492" s="213">
        <f t="shared" si="85"/>
        <v>150</v>
      </c>
      <c r="AE492" s="213">
        <v>7.11</v>
      </c>
      <c r="AF492" s="196">
        <v>-7000000</v>
      </c>
      <c r="AG492" s="104">
        <f t="shared" si="86"/>
        <v>-5.5248618784530384E-2</v>
      </c>
      <c r="AH492" s="104">
        <f t="shared" si="87"/>
        <v>0</v>
      </c>
      <c r="AI492" s="195">
        <v>0.83</v>
      </c>
      <c r="AO492" s="213"/>
      <c r="AP492" s="213"/>
      <c r="AQ492" s="213"/>
      <c r="AR492" s="213"/>
      <c r="AS492" s="213"/>
      <c r="AT492" s="213"/>
      <c r="AU492" s="213"/>
      <c r="AV492" s="213"/>
    </row>
    <row r="493" spans="1:48">
      <c r="A493">
        <v>2712</v>
      </c>
      <c r="C493" s="107">
        <f>VLOOKUP(2712,收盤價!$A:$C,3,0)</f>
        <v>25.7</v>
      </c>
      <c r="D493" s="107">
        <f t="shared" si="77"/>
        <v>57.660256410256409</v>
      </c>
      <c r="E493" s="167">
        <f t="shared" si="78"/>
        <v>1</v>
      </c>
      <c r="F493" s="104">
        <f t="shared" si="79"/>
        <v>5.0740565940171827</v>
      </c>
      <c r="G493" s="167">
        <f>RANK(1.08,AE:AE,0)</f>
        <v>769</v>
      </c>
      <c r="H493" s="365">
        <f t="shared" si="80"/>
        <v>2.3523809523809525</v>
      </c>
      <c r="I493" s="213">
        <f t="shared" si="81"/>
        <v>821</v>
      </c>
      <c r="J493" s="213">
        <f t="shared" si="82"/>
        <v>169</v>
      </c>
      <c r="K493">
        <f>RANK(1.57,AI:AI,0)</f>
        <v>517</v>
      </c>
      <c r="L493" s="357">
        <v>0</v>
      </c>
      <c r="M493" s="357">
        <v>0</v>
      </c>
      <c r="N493" s="357">
        <v>0</v>
      </c>
      <c r="O493" s="357">
        <v>1</v>
      </c>
      <c r="P493" s="357">
        <v>0</v>
      </c>
      <c r="Q493" s="358">
        <v>0.35537190082644626</v>
      </c>
      <c r="R493" s="359">
        <v>0.11142857142857143</v>
      </c>
      <c r="S493" s="196">
        <v>531823000</v>
      </c>
      <c r="T493" s="196">
        <v>105000000</v>
      </c>
      <c r="U493" s="200">
        <f t="shared" si="83"/>
        <v>2698500000</v>
      </c>
      <c r="V493" s="196">
        <v>14000000</v>
      </c>
      <c r="W493" s="196">
        <v>0</v>
      </c>
      <c r="X493" s="196">
        <v>1467000000</v>
      </c>
      <c r="Y493" s="196">
        <v>1242000000</v>
      </c>
      <c r="Z493" s="196">
        <v>31000000</v>
      </c>
      <c r="AA493" s="198">
        <v>0.01</v>
      </c>
      <c r="AB493" s="198">
        <v>0.01</v>
      </c>
      <c r="AC493" s="213">
        <f t="shared" si="84"/>
        <v>769</v>
      </c>
      <c r="AD493" s="213">
        <f t="shared" si="85"/>
        <v>680</v>
      </c>
      <c r="AE493" s="213">
        <v>1.08</v>
      </c>
      <c r="AF493" s="196">
        <v>38000000</v>
      </c>
      <c r="AG493" s="104">
        <f t="shared" si="86"/>
        <v>0.3619047619047619</v>
      </c>
      <c r="AH493" s="104">
        <f t="shared" si="87"/>
        <v>2.7142857142857144</v>
      </c>
      <c r="AI493" s="195">
        <v>1.57</v>
      </c>
      <c r="AO493" s="213"/>
      <c r="AP493" s="213"/>
      <c r="AQ493" s="213"/>
      <c r="AR493" s="213"/>
      <c r="AS493" s="213"/>
      <c r="AT493" s="213"/>
      <c r="AU493" s="213"/>
      <c r="AV493" s="213"/>
    </row>
    <row r="494" spans="1:48">
      <c r="A494">
        <v>2718</v>
      </c>
      <c r="C494" s="107">
        <f>VLOOKUP(2718,收盤價!$A:$C,3,0)</f>
        <v>0</v>
      </c>
      <c r="D494" s="107">
        <f t="shared" si="77"/>
        <v>0</v>
      </c>
      <c r="E494" s="167">
        <f t="shared" si="78"/>
        <v>2</v>
      </c>
      <c r="F494" s="104">
        <f t="shared" si="79"/>
        <v>0</v>
      </c>
      <c r="G494" s="167">
        <f>RANK(0.84,AE:AE,0)</f>
        <v>946</v>
      </c>
      <c r="H494" s="365">
        <f t="shared" si="80"/>
        <v>5.7345132743362832</v>
      </c>
      <c r="I494" s="213">
        <f t="shared" si="81"/>
        <v>882</v>
      </c>
      <c r="J494" s="213">
        <f t="shared" si="82"/>
        <v>67</v>
      </c>
      <c r="K494">
        <f>RANK(1.64,AI:AI,0)</f>
        <v>484</v>
      </c>
      <c r="L494" s="357">
        <v>0</v>
      </c>
      <c r="M494" s="357">
        <v>0</v>
      </c>
      <c r="N494" s="357">
        <v>1</v>
      </c>
      <c r="O494" s="357">
        <v>1</v>
      </c>
      <c r="P494" s="357">
        <v>0</v>
      </c>
      <c r="Q494" s="358">
        <v>0.17460317460317459</v>
      </c>
      <c r="R494" s="359">
        <v>4.6666666666666669E-2</v>
      </c>
      <c r="S494" s="196">
        <v>267524000</v>
      </c>
      <c r="T494" s="196">
        <v>22600000</v>
      </c>
      <c r="U494" s="200">
        <f t="shared" si="83"/>
        <v>0</v>
      </c>
      <c r="V494" s="196">
        <v>1000000</v>
      </c>
      <c r="W494" s="196">
        <v>165000000</v>
      </c>
      <c r="X494" s="196">
        <v>537000000</v>
      </c>
      <c r="Y494" s="196">
        <v>588000000</v>
      </c>
      <c r="Z494" s="196">
        <v>25000000</v>
      </c>
      <c r="AA494" s="198">
        <v>0</v>
      </c>
      <c r="AB494" s="198">
        <v>0</v>
      </c>
      <c r="AC494" s="213">
        <f t="shared" si="84"/>
        <v>945</v>
      </c>
      <c r="AD494" s="213">
        <f t="shared" si="85"/>
        <v>911</v>
      </c>
      <c r="AE494" s="213">
        <v>0.84</v>
      </c>
      <c r="AF494" s="196">
        <v>6000000</v>
      </c>
      <c r="AG494" s="104">
        <f t="shared" si="86"/>
        <v>0.26548672566371684</v>
      </c>
      <c r="AH494" s="104">
        <f t="shared" si="87"/>
        <v>6</v>
      </c>
      <c r="AI494" s="195">
        <v>1.64</v>
      </c>
    </row>
    <row r="495" spans="1:48">
      <c r="A495">
        <v>2719</v>
      </c>
      <c r="C495" s="107">
        <f>VLOOKUP(2719,收盤價!$A:$C,3,0)</f>
        <v>14</v>
      </c>
      <c r="D495" s="107">
        <f t="shared" si="77"/>
        <v>0</v>
      </c>
      <c r="E495" s="167">
        <f t="shared" si="78"/>
        <v>1</v>
      </c>
      <c r="F495" s="104">
        <f t="shared" si="79"/>
        <v>0.1943080957118398</v>
      </c>
      <c r="G495" s="167">
        <f>RANK(0.53,AE:AE,0)</f>
        <v>1475</v>
      </c>
      <c r="H495" s="365">
        <f t="shared" si="80"/>
        <v>-1.1019283746556474</v>
      </c>
      <c r="I495" s="213">
        <f t="shared" si="81"/>
        <v>471</v>
      </c>
      <c r="J495" s="213">
        <f t="shared" si="82"/>
        <v>768</v>
      </c>
      <c r="K495">
        <f>RANK(1.26,AI:AI,0)</f>
        <v>696</v>
      </c>
      <c r="L495" s="357">
        <v>0</v>
      </c>
      <c r="M495" s="357">
        <v>0</v>
      </c>
      <c r="N495" s="357">
        <v>0</v>
      </c>
      <c r="O495" s="357">
        <v>1</v>
      </c>
      <c r="P495" s="357">
        <v>0</v>
      </c>
      <c r="Q495" s="358">
        <v>0.13770491803278689</v>
      </c>
      <c r="R495" s="359">
        <v>0</v>
      </c>
      <c r="S495" s="196">
        <v>2615434000</v>
      </c>
      <c r="T495" s="196">
        <v>36300000</v>
      </c>
      <c r="U495" s="200">
        <f t="shared" si="83"/>
        <v>508200000</v>
      </c>
      <c r="V495" s="196">
        <v>-15000000</v>
      </c>
      <c r="W495" s="196">
        <v>203000000</v>
      </c>
      <c r="X495" s="196">
        <v>21000000</v>
      </c>
      <c r="Y495" s="196">
        <v>453000000</v>
      </c>
      <c r="Z495" s="196">
        <v>0</v>
      </c>
      <c r="AA495" s="198">
        <v>-7.0000000000000007E-2</v>
      </c>
      <c r="AB495" s="198">
        <v>-0.03</v>
      </c>
      <c r="AC495" s="213">
        <f t="shared" si="84"/>
        <v>1502</v>
      </c>
      <c r="AD495" s="213">
        <f t="shared" si="85"/>
        <v>1444</v>
      </c>
      <c r="AE495" s="213">
        <v>0.53</v>
      </c>
      <c r="AF495" s="196">
        <v>40000000</v>
      </c>
      <c r="AG495" s="104">
        <f t="shared" si="86"/>
        <v>1.1019283746556474</v>
      </c>
      <c r="AH495" s="104">
        <f t="shared" si="87"/>
        <v>0</v>
      </c>
      <c r="AI495" s="195">
        <v>1.26</v>
      </c>
    </row>
    <row r="496" spans="1:48">
      <c r="A496">
        <v>2722</v>
      </c>
      <c r="C496" s="107">
        <f>VLOOKUP(2722,收盤價!$A:$C,3,0)</f>
        <v>41.75</v>
      </c>
      <c r="D496" s="107">
        <f t="shared" si="77"/>
        <v>24.568790584415581</v>
      </c>
      <c r="E496" s="167">
        <f t="shared" si="78"/>
        <v>2</v>
      </c>
      <c r="F496" s="104">
        <f t="shared" si="79"/>
        <v>5.6449476978166704</v>
      </c>
      <c r="G496" s="167">
        <f>RANK(4.33,AE:AE,0)</f>
        <v>199</v>
      </c>
      <c r="H496" s="365">
        <f t="shared" si="80"/>
        <v>0.94335035679306012</v>
      </c>
      <c r="I496" s="213">
        <f t="shared" si="81"/>
        <v>454</v>
      </c>
      <c r="J496" s="213">
        <f t="shared" si="82"/>
        <v>250</v>
      </c>
      <c r="K496">
        <f>RANK(2.21,AI:AI,0)</f>
        <v>291</v>
      </c>
      <c r="L496" s="357">
        <v>0</v>
      </c>
      <c r="M496" s="357">
        <v>1</v>
      </c>
      <c r="N496" s="357">
        <v>0</v>
      </c>
      <c r="O496" s="357">
        <v>1</v>
      </c>
      <c r="P496" s="357">
        <v>0</v>
      </c>
      <c r="Q496" s="358">
        <v>0.57499999999999996</v>
      </c>
      <c r="R496" s="359">
        <v>0.42482758620689659</v>
      </c>
      <c r="S496" s="196">
        <v>755131000</v>
      </c>
      <c r="T496" s="196">
        <v>102100000</v>
      </c>
      <c r="U496" s="200">
        <f t="shared" si="83"/>
        <v>4262675000</v>
      </c>
      <c r="V496" s="196">
        <v>56000000</v>
      </c>
      <c r="W496" s="196">
        <v>0</v>
      </c>
      <c r="X496" s="196">
        <v>446000000</v>
      </c>
      <c r="Y496" s="196">
        <v>1613000000</v>
      </c>
      <c r="Z496" s="196">
        <v>0</v>
      </c>
      <c r="AA496" s="198">
        <v>0.13</v>
      </c>
      <c r="AB496" s="198">
        <v>0.03</v>
      </c>
      <c r="AC496" s="213">
        <f t="shared" si="84"/>
        <v>26</v>
      </c>
      <c r="AD496" s="213">
        <f t="shared" si="85"/>
        <v>334</v>
      </c>
      <c r="AE496" s="213">
        <v>4.33</v>
      </c>
      <c r="AF496" s="196">
        <v>117000000</v>
      </c>
      <c r="AG496" s="104">
        <f t="shared" si="86"/>
        <v>1.1459353574926543</v>
      </c>
      <c r="AH496" s="104">
        <f t="shared" si="87"/>
        <v>2.0892857142857144</v>
      </c>
      <c r="AI496" s="195">
        <v>2.21</v>
      </c>
      <c r="AO496" s="213"/>
      <c r="AP496" s="213"/>
      <c r="AQ496" s="213"/>
      <c r="AR496" s="213"/>
      <c r="AS496" s="213"/>
      <c r="AT496" s="213"/>
      <c r="AU496" s="213"/>
      <c r="AV496" s="213"/>
    </row>
    <row r="497" spans="1:48">
      <c r="A497">
        <v>2723</v>
      </c>
      <c r="C497" s="107">
        <f>VLOOKUP(2723,收盤價!$A:$C,3,0)</f>
        <v>285</v>
      </c>
      <c r="D497" s="107">
        <f t="shared" si="77"/>
        <v>26.688206274245232</v>
      </c>
      <c r="E497" s="167">
        <f t="shared" si="78"/>
        <v>3</v>
      </c>
      <c r="F497" s="104">
        <f t="shared" si="79"/>
        <v>1.8331118155130122</v>
      </c>
      <c r="G497" s="167">
        <f>RANK(9.68,AE:AE,0)</f>
        <v>76</v>
      </c>
      <c r="H497" s="365">
        <f t="shared" si="80"/>
        <v>-2.9412935064597296</v>
      </c>
      <c r="I497" s="213">
        <f t="shared" si="81"/>
        <v>67</v>
      </c>
      <c r="J497" s="213">
        <f t="shared" si="82"/>
        <v>524</v>
      </c>
      <c r="K497">
        <f>RANK(2.64,AI:AI,0)</f>
        <v>207</v>
      </c>
      <c r="L497" s="357">
        <v>0</v>
      </c>
      <c r="M497" s="357">
        <v>1</v>
      </c>
      <c r="N497" s="357">
        <v>1</v>
      </c>
      <c r="O497" s="357">
        <v>1</v>
      </c>
      <c r="P497" s="357">
        <v>0</v>
      </c>
      <c r="Q497" s="358">
        <v>0.58453038674033153</v>
      </c>
      <c r="R497" s="359">
        <v>2.6697185741088183</v>
      </c>
      <c r="S497" s="196">
        <v>21937287000</v>
      </c>
      <c r="T497" s="196">
        <v>141100000</v>
      </c>
      <c r="U497" s="200">
        <f t="shared" si="83"/>
        <v>40213500000</v>
      </c>
      <c r="V497" s="196">
        <v>545000000</v>
      </c>
      <c r="W497" s="196">
        <v>1954000000</v>
      </c>
      <c r="X497" s="196">
        <v>5093000000</v>
      </c>
      <c r="Y497" s="196">
        <v>7905000000</v>
      </c>
      <c r="Z497" s="196">
        <v>140000000</v>
      </c>
      <c r="AA497" s="198">
        <v>0.08</v>
      </c>
      <c r="AB497" s="198">
        <v>7.0000000000000007E-2</v>
      </c>
      <c r="AC497" s="213">
        <f t="shared" si="84"/>
        <v>97</v>
      </c>
      <c r="AD497" s="213">
        <f t="shared" si="85"/>
        <v>64</v>
      </c>
      <c r="AE497" s="213">
        <v>9.68</v>
      </c>
      <c r="AF497" s="196">
        <v>560000000</v>
      </c>
      <c r="AG497" s="104">
        <f t="shared" si="86"/>
        <v>3.9688164422395462</v>
      </c>
      <c r="AH497" s="104">
        <f t="shared" si="87"/>
        <v>1.0275229357798166</v>
      </c>
      <c r="AI497" s="195">
        <v>2.64</v>
      </c>
    </row>
    <row r="498" spans="1:48">
      <c r="A498">
        <v>2724</v>
      </c>
      <c r="C498" s="107">
        <f>VLOOKUP(2724,收盤價!$A:$C,3,0)</f>
        <v>8.93</v>
      </c>
      <c r="D498" s="107">
        <f t="shared" si="77"/>
        <v>0</v>
      </c>
      <c r="E498" s="167">
        <f t="shared" si="78"/>
        <v>2</v>
      </c>
      <c r="F498" s="104">
        <f t="shared" si="79"/>
        <v>0.39496804371989624</v>
      </c>
      <c r="G498" s="167">
        <f>RANK(0.61,AE:AE,0)</f>
        <v>1295</v>
      </c>
      <c r="H498" s="365">
        <f t="shared" si="80"/>
        <v>-0.41884816753926701</v>
      </c>
      <c r="I498" s="213">
        <f t="shared" si="81"/>
        <v>792</v>
      </c>
      <c r="J498" s="213">
        <f t="shared" si="82"/>
        <v>768</v>
      </c>
      <c r="K498">
        <f>RANK(1,AI:AI,0)</f>
        <v>884</v>
      </c>
      <c r="L498" s="357">
        <v>0</v>
      </c>
      <c r="M498" s="357">
        <v>1</v>
      </c>
      <c r="N498" s="357">
        <v>1</v>
      </c>
      <c r="O498" s="357">
        <v>0</v>
      </c>
      <c r="P498" s="357">
        <v>0</v>
      </c>
      <c r="Q498" s="358">
        <v>0.12328767123287671</v>
      </c>
      <c r="R498" s="359">
        <v>0</v>
      </c>
      <c r="S498" s="196">
        <v>863680000</v>
      </c>
      <c r="T498" s="196">
        <v>38200000</v>
      </c>
      <c r="U498" s="200">
        <f t="shared" si="83"/>
        <v>341126000</v>
      </c>
      <c r="V498" s="196">
        <v>-17000000</v>
      </c>
      <c r="W498" s="196">
        <v>0</v>
      </c>
      <c r="X498" s="196">
        <v>1286000000</v>
      </c>
      <c r="Y498" s="196">
        <v>500000000</v>
      </c>
      <c r="Z498" s="196">
        <v>1084000000</v>
      </c>
      <c r="AA498" s="198">
        <v>-0.01</v>
      </c>
      <c r="AB498" s="198">
        <v>-0.01</v>
      </c>
      <c r="AC498" s="213">
        <f t="shared" si="84"/>
        <v>1277</v>
      </c>
      <c r="AD498" s="213">
        <f t="shared" si="85"/>
        <v>1294</v>
      </c>
      <c r="AE498" s="213">
        <v>0.61</v>
      </c>
      <c r="AF498" s="196">
        <v>16000000</v>
      </c>
      <c r="AG498" s="104">
        <f t="shared" si="86"/>
        <v>0.41884816753926701</v>
      </c>
      <c r="AH498" s="104">
        <f t="shared" si="87"/>
        <v>0</v>
      </c>
      <c r="AI498" s="195">
        <v>1</v>
      </c>
    </row>
    <row r="499" spans="1:48">
      <c r="A499">
        <v>2726</v>
      </c>
      <c r="C499" s="107">
        <f>VLOOKUP(2726,收盤價!$A:$C,3,0)</f>
        <v>66.900000000000006</v>
      </c>
      <c r="D499" s="107">
        <f t="shared" si="77"/>
        <v>16.397058823529413</v>
      </c>
      <c r="E499" s="167">
        <f t="shared" si="78"/>
        <v>3</v>
      </c>
      <c r="F499" s="104">
        <f t="shared" si="79"/>
        <v>1.0840504903792931</v>
      </c>
      <c r="G499" s="167">
        <f>RANK(0.84,AE:AE,0)</f>
        <v>946</v>
      </c>
      <c r="H499" s="365">
        <f t="shared" si="80"/>
        <v>1.0948905109489051</v>
      </c>
      <c r="I499" s="213">
        <f t="shared" si="81"/>
        <v>1447</v>
      </c>
      <c r="J499" s="213">
        <f t="shared" si="82"/>
        <v>768</v>
      </c>
      <c r="K499">
        <f>RANK(0.7,AI:AI,0)</f>
        <v>1442</v>
      </c>
      <c r="L499" s="357">
        <v>0</v>
      </c>
      <c r="M499" s="357">
        <v>1</v>
      </c>
      <c r="N499" s="357">
        <v>2</v>
      </c>
      <c r="O499" s="357">
        <v>0</v>
      </c>
      <c r="P499" s="357">
        <v>0</v>
      </c>
      <c r="Q499" s="358">
        <v>0.53206650831353919</v>
      </c>
      <c r="R499" s="359">
        <v>1.02</v>
      </c>
      <c r="S499" s="196">
        <v>1690936000</v>
      </c>
      <c r="T499" s="196">
        <v>27400000</v>
      </c>
      <c r="U499" s="200">
        <f t="shared" si="83"/>
        <v>1833060000.0000002</v>
      </c>
      <c r="V499" s="196">
        <v>0</v>
      </c>
      <c r="W499" s="196">
        <v>484000000</v>
      </c>
      <c r="X499" s="196">
        <v>182000000</v>
      </c>
      <c r="Y499" s="196">
        <v>514000000</v>
      </c>
      <c r="Z499" s="196">
        <v>36000000</v>
      </c>
      <c r="AA499" s="198">
        <v>0</v>
      </c>
      <c r="AB499" s="198">
        <v>0</v>
      </c>
      <c r="AC499" s="213">
        <f t="shared" si="84"/>
        <v>945</v>
      </c>
      <c r="AD499" s="213">
        <f t="shared" si="85"/>
        <v>911</v>
      </c>
      <c r="AE499" s="213">
        <v>0.84</v>
      </c>
      <c r="AF499" s="196">
        <v>-30000000</v>
      </c>
      <c r="AG499" s="104">
        <f t="shared" si="86"/>
        <v>-1.0948905109489051</v>
      </c>
      <c r="AH499" s="104">
        <f t="shared" si="87"/>
        <v>0</v>
      </c>
      <c r="AI499" s="195">
        <v>0.7</v>
      </c>
    </row>
    <row r="500" spans="1:48">
      <c r="A500">
        <v>2727</v>
      </c>
      <c r="C500" s="107">
        <f>VLOOKUP(2727,收盤價!$A:$C,3,0)</f>
        <v>116</v>
      </c>
      <c r="D500" s="107">
        <f t="shared" si="77"/>
        <v>23.692810457516341</v>
      </c>
      <c r="E500" s="167">
        <f t="shared" si="78"/>
        <v>5</v>
      </c>
      <c r="F500" s="104">
        <f t="shared" si="79"/>
        <v>0.54479359812628081</v>
      </c>
      <c r="G500" s="167">
        <f>RANK(3.28,AE:AE,0)</f>
        <v>256</v>
      </c>
      <c r="H500" s="365">
        <f t="shared" si="80"/>
        <v>-5.0289024700789415</v>
      </c>
      <c r="I500" s="213">
        <f t="shared" si="81"/>
        <v>11</v>
      </c>
      <c r="J500" s="213">
        <f t="shared" si="82"/>
        <v>153</v>
      </c>
      <c r="K500">
        <f>RANK(9.5,AI:AI,0)</f>
        <v>16</v>
      </c>
      <c r="L500" s="357">
        <v>1</v>
      </c>
      <c r="M500" s="357">
        <v>1</v>
      </c>
      <c r="N500" s="357">
        <v>2</v>
      </c>
      <c r="O500" s="357">
        <v>1</v>
      </c>
      <c r="P500" s="357">
        <v>0</v>
      </c>
      <c r="Q500" s="358">
        <v>0.49227261211046364</v>
      </c>
      <c r="R500" s="359">
        <v>1.224</v>
      </c>
      <c r="S500" s="196">
        <v>16395200000</v>
      </c>
      <c r="T500" s="196">
        <v>77000000</v>
      </c>
      <c r="U500" s="200">
        <f t="shared" si="83"/>
        <v>8932000000</v>
      </c>
      <c r="V500" s="196">
        <v>204000000</v>
      </c>
      <c r="W500" s="196">
        <v>1242000000</v>
      </c>
      <c r="X500" s="196">
        <v>2525000000</v>
      </c>
      <c r="Y500" s="196">
        <v>4582000000</v>
      </c>
      <c r="Z500" s="196">
        <v>0</v>
      </c>
      <c r="AA500" s="198">
        <v>0.05</v>
      </c>
      <c r="AB500" s="198">
        <v>0.04</v>
      </c>
      <c r="AC500" s="213">
        <f t="shared" si="84"/>
        <v>247</v>
      </c>
      <c r="AD500" s="213">
        <f t="shared" si="85"/>
        <v>228</v>
      </c>
      <c r="AE500" s="213">
        <v>3.28</v>
      </c>
      <c r="AF500" s="196">
        <v>622000000</v>
      </c>
      <c r="AG500" s="104">
        <f t="shared" si="86"/>
        <v>8.0779220779220786</v>
      </c>
      <c r="AH500" s="104">
        <f t="shared" si="87"/>
        <v>3.0490196078431371</v>
      </c>
      <c r="AI500" s="195">
        <v>9.5</v>
      </c>
    </row>
    <row r="501" spans="1:48">
      <c r="A501">
        <v>2729</v>
      </c>
      <c r="C501" s="107">
        <f>VLOOKUP(2729,收盤價!$A:$C,3,0)</f>
        <v>215.5</v>
      </c>
      <c r="D501" s="107">
        <f t="shared" si="77"/>
        <v>15.267606621773288</v>
      </c>
      <c r="E501" s="167">
        <f t="shared" si="78"/>
        <v>4</v>
      </c>
      <c r="F501" s="104">
        <f t="shared" si="79"/>
        <v>1.3459449693559387</v>
      </c>
      <c r="G501" s="167">
        <f>RANK(5.79,AE:AE,0)</f>
        <v>129</v>
      </c>
      <c r="H501" s="365">
        <f t="shared" si="80"/>
        <v>-3.8068236008150174</v>
      </c>
      <c r="I501" s="213">
        <f t="shared" si="81"/>
        <v>39</v>
      </c>
      <c r="J501" s="213">
        <f t="shared" si="82"/>
        <v>474</v>
      </c>
      <c r="K501">
        <f>RANK(3.04,AI:AI,0)</f>
        <v>162</v>
      </c>
      <c r="L501" s="357">
        <v>0</v>
      </c>
      <c r="M501" s="357">
        <v>1</v>
      </c>
      <c r="N501" s="357">
        <v>2</v>
      </c>
      <c r="O501" s="357">
        <v>1</v>
      </c>
      <c r="P501" s="357">
        <v>0</v>
      </c>
      <c r="Q501" s="358">
        <v>0.52</v>
      </c>
      <c r="R501" s="359">
        <v>3.5287128712871287</v>
      </c>
      <c r="S501" s="196">
        <v>3730576000</v>
      </c>
      <c r="T501" s="196">
        <v>23300000</v>
      </c>
      <c r="U501" s="200">
        <f t="shared" si="83"/>
        <v>5021150000</v>
      </c>
      <c r="V501" s="196">
        <v>99000000</v>
      </c>
      <c r="W501" s="196">
        <v>725000000</v>
      </c>
      <c r="X501" s="196">
        <v>984000000</v>
      </c>
      <c r="Y501" s="196">
        <v>1752000000</v>
      </c>
      <c r="Z501" s="196">
        <v>0</v>
      </c>
      <c r="AA501" s="198">
        <v>0.06</v>
      </c>
      <c r="AB501" s="198">
        <v>0.06</v>
      </c>
      <c r="AC501" s="213">
        <f t="shared" si="84"/>
        <v>174</v>
      </c>
      <c r="AD501" s="213">
        <f t="shared" si="85"/>
        <v>95</v>
      </c>
      <c r="AE501" s="213">
        <v>5.79</v>
      </c>
      <c r="AF501" s="196">
        <v>116000000</v>
      </c>
      <c r="AG501" s="104">
        <f t="shared" si="86"/>
        <v>4.9785407725321891</v>
      </c>
      <c r="AH501" s="104">
        <f t="shared" si="87"/>
        <v>1.1717171717171717</v>
      </c>
      <c r="AI501" s="195">
        <v>3.04</v>
      </c>
    </row>
    <row r="502" spans="1:48">
      <c r="A502">
        <v>2731</v>
      </c>
      <c r="C502" s="107">
        <f>VLOOKUP(2731,收盤價!$A:$C,3,0)</f>
        <v>79.5</v>
      </c>
      <c r="D502" s="107">
        <f t="shared" si="77"/>
        <v>14.196428571428573</v>
      </c>
      <c r="E502" s="167">
        <f t="shared" si="78"/>
        <v>3</v>
      </c>
      <c r="F502" s="104">
        <f t="shared" si="79"/>
        <v>0.26216562752817291</v>
      </c>
      <c r="G502" s="167">
        <f>RANK(0.84,AE:AE,0)</f>
        <v>946</v>
      </c>
      <c r="H502" s="365">
        <f t="shared" si="80"/>
        <v>-8.4857142857142858</v>
      </c>
      <c r="I502" s="213">
        <f t="shared" si="81"/>
        <v>10</v>
      </c>
      <c r="J502" s="213">
        <f t="shared" si="82"/>
        <v>768</v>
      </c>
      <c r="K502">
        <f>RANK(2,AI:AI,0)</f>
        <v>338</v>
      </c>
      <c r="L502" s="357">
        <v>0</v>
      </c>
      <c r="M502" s="357">
        <v>1</v>
      </c>
      <c r="N502" s="357">
        <v>1</v>
      </c>
      <c r="O502" s="357">
        <v>1</v>
      </c>
      <c r="P502" s="357">
        <v>0</v>
      </c>
      <c r="Q502" s="358">
        <v>0.11689419795221843</v>
      </c>
      <c r="R502" s="359">
        <v>1.4</v>
      </c>
      <c r="S502" s="196">
        <v>21227039000</v>
      </c>
      <c r="T502" s="196">
        <v>70000000</v>
      </c>
      <c r="U502" s="200">
        <f t="shared" si="83"/>
        <v>5565000000</v>
      </c>
      <c r="V502" s="196">
        <v>0</v>
      </c>
      <c r="W502" s="196">
        <v>318000000</v>
      </c>
      <c r="X502" s="196">
        <v>435000000</v>
      </c>
      <c r="Y502" s="196">
        <v>2110000000</v>
      </c>
      <c r="Z502" s="196">
        <v>7000000</v>
      </c>
      <c r="AA502" s="198">
        <v>0</v>
      </c>
      <c r="AB502" s="198">
        <v>0</v>
      </c>
      <c r="AC502" s="213">
        <f t="shared" si="84"/>
        <v>945</v>
      </c>
      <c r="AD502" s="213">
        <f t="shared" si="85"/>
        <v>911</v>
      </c>
      <c r="AE502" s="213">
        <v>0.84</v>
      </c>
      <c r="AF502" s="196">
        <v>594000000</v>
      </c>
      <c r="AG502" s="104">
        <f t="shared" si="86"/>
        <v>8.4857142857142858</v>
      </c>
      <c r="AH502" s="104">
        <f t="shared" si="87"/>
        <v>0</v>
      </c>
      <c r="AI502" s="195">
        <v>2</v>
      </c>
      <c r="AO502" s="213"/>
      <c r="AP502" s="213"/>
      <c r="AQ502" s="213"/>
      <c r="AR502" s="213"/>
      <c r="AS502" s="213"/>
      <c r="AT502" s="213"/>
      <c r="AU502" s="213"/>
      <c r="AV502" s="213"/>
    </row>
    <row r="503" spans="1:48">
      <c r="A503">
        <v>2732</v>
      </c>
      <c r="C503" s="107">
        <f>VLOOKUP(2732,收盤價!$A:$C,3,0)</f>
        <v>75.3</v>
      </c>
      <c r="D503" s="107">
        <f t="shared" si="77"/>
        <v>19.407216494845361</v>
      </c>
      <c r="E503" s="167">
        <f t="shared" si="78"/>
        <v>4</v>
      </c>
      <c r="F503" s="104">
        <f t="shared" si="79"/>
        <v>1.1158785653215089</v>
      </c>
      <c r="G503" s="167">
        <f>RANK(2.76,AE:AE,0)</f>
        <v>305</v>
      </c>
      <c r="H503" s="365">
        <f t="shared" si="80"/>
        <v>-0.38168923275306277</v>
      </c>
      <c r="I503" s="213">
        <f t="shared" si="81"/>
        <v>152</v>
      </c>
      <c r="J503" s="213">
        <f t="shared" si="82"/>
        <v>223</v>
      </c>
      <c r="K503">
        <f>RANK(4.15,AI:AI,0)</f>
        <v>95</v>
      </c>
      <c r="L503" s="357">
        <v>0</v>
      </c>
      <c r="M503" s="357">
        <v>1</v>
      </c>
      <c r="N503" s="357">
        <v>2</v>
      </c>
      <c r="O503" s="357">
        <v>1</v>
      </c>
      <c r="P503" s="357">
        <v>0</v>
      </c>
      <c r="Q503" s="358">
        <v>0.53557312252964429</v>
      </c>
      <c r="R503" s="359">
        <v>0.97</v>
      </c>
      <c r="S503" s="196">
        <v>1902949000</v>
      </c>
      <c r="T503" s="196">
        <v>28200000</v>
      </c>
      <c r="U503" s="200">
        <f t="shared" si="83"/>
        <v>2123460000</v>
      </c>
      <c r="V503" s="196">
        <v>33000000</v>
      </c>
      <c r="W503" s="196">
        <v>499000000</v>
      </c>
      <c r="X503" s="196">
        <v>405000000</v>
      </c>
      <c r="Y503" s="196">
        <v>817000000</v>
      </c>
      <c r="Z503" s="196">
        <v>5000000</v>
      </c>
      <c r="AA503" s="198">
        <v>0.04</v>
      </c>
      <c r="AB503" s="198">
        <v>0.04</v>
      </c>
      <c r="AC503" s="213">
        <f t="shared" si="84"/>
        <v>337</v>
      </c>
      <c r="AD503" s="213">
        <f t="shared" si="85"/>
        <v>228</v>
      </c>
      <c r="AE503" s="213">
        <v>2.76</v>
      </c>
      <c r="AF503" s="196">
        <v>74000000</v>
      </c>
      <c r="AG503" s="104">
        <f t="shared" si="86"/>
        <v>2.624113475177305</v>
      </c>
      <c r="AH503" s="104">
        <f t="shared" si="87"/>
        <v>2.2424242424242422</v>
      </c>
      <c r="AI503" s="195">
        <v>4.1500000000000004</v>
      </c>
    </row>
    <row r="504" spans="1:48">
      <c r="A504">
        <v>2734</v>
      </c>
      <c r="C504" s="107">
        <f>VLOOKUP(2734,收盤價!$A:$C,3,0)</f>
        <v>18.2</v>
      </c>
      <c r="D504" s="107">
        <f t="shared" si="77"/>
        <v>0</v>
      </c>
      <c r="E504" s="167">
        <f t="shared" si="78"/>
        <v>2</v>
      </c>
      <c r="F504" s="104">
        <f t="shared" si="79"/>
        <v>0.31460476727827458</v>
      </c>
      <c r="G504" s="167">
        <f>RANK(0.61,AE:AE,0)</f>
        <v>1295</v>
      </c>
      <c r="H504" s="365">
        <f t="shared" si="80"/>
        <v>-9.9009900990099015E-2</v>
      </c>
      <c r="I504" s="213">
        <f t="shared" si="81"/>
        <v>991</v>
      </c>
      <c r="J504" s="213">
        <f t="shared" si="82"/>
        <v>768</v>
      </c>
      <c r="K504">
        <f>RANK(0.89,AI:AI,0)</f>
        <v>1004</v>
      </c>
      <c r="L504" s="357">
        <v>0</v>
      </c>
      <c r="M504" s="357">
        <v>1</v>
      </c>
      <c r="N504" s="357">
        <v>0</v>
      </c>
      <c r="O504" s="357">
        <v>1</v>
      </c>
      <c r="P504" s="357">
        <v>0</v>
      </c>
      <c r="Q504" s="358">
        <v>0.12987012987012986</v>
      </c>
      <c r="R504" s="359">
        <v>0</v>
      </c>
      <c r="S504" s="196">
        <v>1752866000</v>
      </c>
      <c r="T504" s="196">
        <v>30300000</v>
      </c>
      <c r="U504" s="200">
        <f t="shared" si="83"/>
        <v>551460000</v>
      </c>
      <c r="V504" s="196">
        <v>-8000000</v>
      </c>
      <c r="W504" s="196">
        <v>488000000</v>
      </c>
      <c r="X504" s="196">
        <v>194000000</v>
      </c>
      <c r="Y504" s="196">
        <v>544000000</v>
      </c>
      <c r="Z504" s="196">
        <v>0</v>
      </c>
      <c r="AA504" s="198">
        <v>-0.01</v>
      </c>
      <c r="AB504" s="198">
        <v>-0.01</v>
      </c>
      <c r="AC504" s="213">
        <f t="shared" si="84"/>
        <v>1277</v>
      </c>
      <c r="AD504" s="213">
        <f t="shared" si="85"/>
        <v>1294</v>
      </c>
      <c r="AE504" s="213">
        <v>0.61</v>
      </c>
      <c r="AF504" s="196">
        <v>3000000</v>
      </c>
      <c r="AG504" s="104">
        <f t="shared" si="86"/>
        <v>9.9009900990099015E-2</v>
      </c>
      <c r="AH504" s="104">
        <f t="shared" si="87"/>
        <v>0</v>
      </c>
      <c r="AI504" s="195">
        <v>0.89</v>
      </c>
    </row>
    <row r="505" spans="1:48">
      <c r="A505">
        <v>2736</v>
      </c>
      <c r="C505" s="107">
        <f>VLOOKUP(2736,收盤價!$A:$C,3,0)</f>
        <v>20.5</v>
      </c>
      <c r="D505" s="107">
        <f t="shared" si="77"/>
        <v>0</v>
      </c>
      <c r="E505" s="167">
        <f t="shared" si="78"/>
        <v>0</v>
      </c>
      <c r="F505" s="104">
        <f t="shared" si="79"/>
        <v>1.2535112666266508</v>
      </c>
      <c r="G505" s="167">
        <f>RANK(1.08,AE:AE,0)</f>
        <v>769</v>
      </c>
      <c r="H505" s="365">
        <f t="shared" si="80"/>
        <v>0.12244897959183673</v>
      </c>
      <c r="I505" s="213">
        <f t="shared" si="81"/>
        <v>1153</v>
      </c>
      <c r="J505" s="213">
        <f t="shared" si="82"/>
        <v>768</v>
      </c>
      <c r="K505">
        <f>RANK(0.81,AI:AI,0)</f>
        <v>1144</v>
      </c>
      <c r="L505" s="357">
        <v>0</v>
      </c>
      <c r="M505" s="357">
        <v>0</v>
      </c>
      <c r="N505" s="357">
        <v>0</v>
      </c>
      <c r="O505" s="357">
        <v>0</v>
      </c>
      <c r="P505" s="357">
        <v>0</v>
      </c>
      <c r="Q505" s="358">
        <v>0.51829268292682928</v>
      </c>
      <c r="R505" s="359">
        <v>-0.01</v>
      </c>
      <c r="S505" s="196">
        <v>801349000</v>
      </c>
      <c r="T505" s="196">
        <v>49000000</v>
      </c>
      <c r="U505" s="200">
        <f t="shared" si="83"/>
        <v>1004500000</v>
      </c>
      <c r="V505" s="196">
        <v>14000000</v>
      </c>
      <c r="W505" s="196">
        <v>261000000</v>
      </c>
      <c r="X505" s="196">
        <v>1113000000</v>
      </c>
      <c r="Y505" s="196">
        <v>1345000000</v>
      </c>
      <c r="Z505" s="196">
        <v>15000000</v>
      </c>
      <c r="AA505" s="198">
        <v>0.01</v>
      </c>
      <c r="AB505" s="198">
        <v>0.01</v>
      </c>
      <c r="AC505" s="213">
        <f t="shared" si="84"/>
        <v>769</v>
      </c>
      <c r="AD505" s="213">
        <f t="shared" si="85"/>
        <v>680</v>
      </c>
      <c r="AE505" s="213">
        <v>1.08</v>
      </c>
      <c r="AF505" s="196">
        <v>-6000000</v>
      </c>
      <c r="AG505" s="104">
        <f t="shared" si="86"/>
        <v>-0.12244897959183673</v>
      </c>
      <c r="AH505" s="104">
        <f t="shared" si="87"/>
        <v>0</v>
      </c>
      <c r="AI505" s="195">
        <v>0.81</v>
      </c>
      <c r="AO505" s="213"/>
      <c r="AP505" s="213"/>
      <c r="AQ505" s="213"/>
      <c r="AR505" s="213"/>
      <c r="AS505" s="213"/>
      <c r="AT505" s="213"/>
      <c r="AU505" s="213"/>
      <c r="AV505" s="213"/>
    </row>
    <row r="506" spans="1:48">
      <c r="A506">
        <v>2739</v>
      </c>
      <c r="C506" s="107">
        <f>VLOOKUP(2739,收盤價!$A:$C,3,0)</f>
        <v>33.6</v>
      </c>
      <c r="D506" s="107">
        <f t="shared" si="77"/>
        <v>35.564516129032263</v>
      </c>
      <c r="E506" s="167">
        <f t="shared" si="78"/>
        <v>0</v>
      </c>
      <c r="F506" s="104">
        <f t="shared" si="79"/>
        <v>0.86067452126358157</v>
      </c>
      <c r="G506" s="167">
        <f>RANK(1.89,AE:AE,0)</f>
        <v>498</v>
      </c>
      <c r="H506" s="365">
        <f t="shared" si="80"/>
        <v>0.21524663677130046</v>
      </c>
      <c r="I506" s="213">
        <f t="shared" si="81"/>
        <v>1218</v>
      </c>
      <c r="J506" s="213">
        <f t="shared" si="82"/>
        <v>768</v>
      </c>
      <c r="K506">
        <f>RANK(0.78,AI:AI,0)</f>
        <v>1217</v>
      </c>
      <c r="L506" s="357">
        <v>0</v>
      </c>
      <c r="M506" s="357">
        <v>0</v>
      </c>
      <c r="N506" s="357">
        <v>0</v>
      </c>
      <c r="O506" s="357">
        <v>0</v>
      </c>
      <c r="P506" s="357">
        <v>0</v>
      </c>
      <c r="Q506" s="358">
        <v>0.3911290322580645</v>
      </c>
      <c r="R506" s="359">
        <v>0.23619047619047617</v>
      </c>
      <c r="S506" s="196">
        <v>4352865000</v>
      </c>
      <c r="T506" s="196">
        <v>111500000</v>
      </c>
      <c r="U506" s="200">
        <f t="shared" si="83"/>
        <v>3746400000</v>
      </c>
      <c r="V506" s="196">
        <v>32000000</v>
      </c>
      <c r="W506" s="196">
        <v>0</v>
      </c>
      <c r="X506" s="196">
        <v>911000000</v>
      </c>
      <c r="Y506" s="196">
        <v>1823000000</v>
      </c>
      <c r="Z506" s="196">
        <v>37000000</v>
      </c>
      <c r="AA506" s="198">
        <v>0.04</v>
      </c>
      <c r="AB506" s="198">
        <v>0.02</v>
      </c>
      <c r="AC506" s="213">
        <f t="shared" si="84"/>
        <v>337</v>
      </c>
      <c r="AD506" s="213">
        <f t="shared" si="85"/>
        <v>487</v>
      </c>
      <c r="AE506" s="213">
        <v>1.89</v>
      </c>
      <c r="AF506" s="196">
        <v>-24000000</v>
      </c>
      <c r="AG506" s="104">
        <f t="shared" si="86"/>
        <v>-0.21524663677130046</v>
      </c>
      <c r="AH506" s="104">
        <f t="shared" si="87"/>
        <v>0</v>
      </c>
      <c r="AI506" s="195">
        <v>0.78</v>
      </c>
      <c r="AO506" s="213"/>
      <c r="AP506" s="213"/>
      <c r="AQ506" s="213"/>
      <c r="AR506" s="213"/>
      <c r="AS506" s="213"/>
      <c r="AT506" s="213"/>
      <c r="AU506" s="213"/>
      <c r="AV506" s="213"/>
    </row>
    <row r="507" spans="1:48">
      <c r="A507">
        <v>2740</v>
      </c>
      <c r="C507" s="107">
        <f>VLOOKUP(2740,收盤價!$A:$C,3,0)</f>
        <v>0</v>
      </c>
      <c r="D507" s="107">
        <f t="shared" si="77"/>
        <v>0</v>
      </c>
      <c r="E507" s="167">
        <f t="shared" si="78"/>
        <v>1</v>
      </c>
      <c r="F507" s="104">
        <f t="shared" si="79"/>
        <v>0</v>
      </c>
      <c r="G507" s="167">
        <f>RANK(0.55,AE:AE,0)</f>
        <v>1436</v>
      </c>
      <c r="H507" s="365">
        <f t="shared" si="80"/>
        <v>0.4375</v>
      </c>
      <c r="I507" s="213">
        <f t="shared" si="81"/>
        <v>1331</v>
      </c>
      <c r="J507" s="213">
        <f t="shared" si="82"/>
        <v>768</v>
      </c>
      <c r="K507">
        <f>RANK(0.74,AI:AI,0)</f>
        <v>1324</v>
      </c>
      <c r="L507" s="357">
        <v>0</v>
      </c>
      <c r="M507" s="357">
        <v>1</v>
      </c>
      <c r="N507" s="357">
        <v>0</v>
      </c>
      <c r="O507" s="357">
        <v>0</v>
      </c>
      <c r="P507" s="357">
        <v>0</v>
      </c>
      <c r="Q507" s="358">
        <v>0.46938775510204084</v>
      </c>
      <c r="R507" s="359">
        <v>0</v>
      </c>
      <c r="S507" s="196">
        <v>831309000</v>
      </c>
      <c r="T507" s="196">
        <v>16000000</v>
      </c>
      <c r="U507" s="200">
        <f t="shared" si="83"/>
        <v>0</v>
      </c>
      <c r="V507" s="196">
        <v>-8000000</v>
      </c>
      <c r="W507" s="196">
        <v>47000000</v>
      </c>
      <c r="X507" s="196">
        <v>247000000</v>
      </c>
      <c r="Y507" s="196">
        <v>250000000</v>
      </c>
      <c r="Z507" s="196">
        <v>0</v>
      </c>
      <c r="AA507" s="198">
        <v>-0.03</v>
      </c>
      <c r="AB507" s="198">
        <v>-0.03</v>
      </c>
      <c r="AC507" s="213">
        <f t="shared" si="84"/>
        <v>1405</v>
      </c>
      <c r="AD507" s="213">
        <f t="shared" si="85"/>
        <v>1444</v>
      </c>
      <c r="AE507" s="213">
        <v>0.55000000000000004</v>
      </c>
      <c r="AF507" s="196">
        <v>-7000000</v>
      </c>
      <c r="AG507" s="104">
        <f t="shared" si="86"/>
        <v>-0.4375</v>
      </c>
      <c r="AH507" s="104">
        <f t="shared" si="87"/>
        <v>0</v>
      </c>
      <c r="AI507" s="195">
        <v>0.74</v>
      </c>
    </row>
    <row r="508" spans="1:48">
      <c r="A508">
        <v>2841</v>
      </c>
      <c r="C508" s="107">
        <f>VLOOKUP(2841,收盤價!$A:$C,3,0)</f>
        <v>9.91</v>
      </c>
      <c r="D508" s="107">
        <f t="shared" si="77"/>
        <v>0</v>
      </c>
      <c r="E508" s="167">
        <f t="shared" si="78"/>
        <v>2</v>
      </c>
      <c r="F508" s="104">
        <f t="shared" si="79"/>
        <v>16.600940624790862</v>
      </c>
      <c r="G508" s="167">
        <f>RANK(0.67,AE:AE,0)</f>
        <v>1294</v>
      </c>
      <c r="H508" s="365">
        <f t="shared" si="80"/>
        <v>0.508334481333517</v>
      </c>
      <c r="I508" s="213">
        <f t="shared" si="81"/>
        <v>1346</v>
      </c>
      <c r="J508" s="213">
        <f t="shared" si="82"/>
        <v>768</v>
      </c>
      <c r="K508">
        <f>RANK(0.74,AI:AI,0)</f>
        <v>1324</v>
      </c>
      <c r="L508" s="357">
        <v>0</v>
      </c>
      <c r="M508" s="357">
        <v>1</v>
      </c>
      <c r="N508" s="357">
        <v>1</v>
      </c>
      <c r="O508" s="357">
        <v>0</v>
      </c>
      <c r="P508" s="357">
        <v>0</v>
      </c>
      <c r="Q508" s="358">
        <v>0.45070422535211269</v>
      </c>
      <c r="R508" s="359">
        <v>0</v>
      </c>
      <c r="S508" s="196">
        <v>433329000</v>
      </c>
      <c r="T508" s="196">
        <v>725900000</v>
      </c>
      <c r="U508" s="200">
        <f t="shared" si="83"/>
        <v>7193669000</v>
      </c>
      <c r="V508" s="196">
        <v>-87000000</v>
      </c>
      <c r="W508" s="196">
        <v>574000000</v>
      </c>
      <c r="X508" s="196">
        <v>2152000000</v>
      </c>
      <c r="Y508" s="196">
        <v>18083000000</v>
      </c>
      <c r="Z508" s="196">
        <v>6186000000</v>
      </c>
      <c r="AA508" s="198">
        <v>-0.03</v>
      </c>
      <c r="AB508" s="198">
        <v>0</v>
      </c>
      <c r="AC508" s="213">
        <f t="shared" si="84"/>
        <v>1405</v>
      </c>
      <c r="AD508" s="213">
        <f t="shared" si="85"/>
        <v>911</v>
      </c>
      <c r="AE508" s="213">
        <v>0.67</v>
      </c>
      <c r="AF508" s="196">
        <v>-369000000</v>
      </c>
      <c r="AG508" s="104">
        <f t="shared" si="86"/>
        <v>-0.508334481333517</v>
      </c>
      <c r="AH508" s="104">
        <f t="shared" si="87"/>
        <v>0</v>
      </c>
      <c r="AI508" s="195">
        <v>0.74</v>
      </c>
    </row>
    <row r="509" spans="1:48">
      <c r="A509">
        <v>2901</v>
      </c>
      <c r="C509" s="107">
        <f>VLOOKUP(2901,收盤價!$A:$C,3,0)</f>
        <v>25.7</v>
      </c>
      <c r="D509" s="107">
        <f t="shared" si="77"/>
        <v>214.16666666666666</v>
      </c>
      <c r="E509" s="167">
        <f t="shared" si="78"/>
        <v>2</v>
      </c>
      <c r="F509" s="104">
        <f t="shared" si="79"/>
        <v>12.213079537021365</v>
      </c>
      <c r="G509" s="167">
        <f>RANK(0.84,AE:AE,0)</f>
        <v>946</v>
      </c>
      <c r="H509" s="365">
        <f t="shared" si="80"/>
        <v>7.0319634703196341</v>
      </c>
      <c r="I509" s="213">
        <f t="shared" si="81"/>
        <v>860</v>
      </c>
      <c r="J509" s="213">
        <f t="shared" si="82"/>
        <v>56</v>
      </c>
      <c r="K509">
        <f>RANK(1.7,AI:AI,0)</f>
        <v>456</v>
      </c>
      <c r="L509" s="357">
        <v>0</v>
      </c>
      <c r="M509" s="357">
        <v>0</v>
      </c>
      <c r="N509" s="357">
        <v>1</v>
      </c>
      <c r="O509" s="357">
        <v>1</v>
      </c>
      <c r="P509" s="357">
        <v>0</v>
      </c>
      <c r="Q509" s="358">
        <v>0.84848484848484851</v>
      </c>
      <c r="R509" s="359">
        <v>0.03</v>
      </c>
      <c r="S509" s="196">
        <v>153614000</v>
      </c>
      <c r="T509" s="196">
        <v>73000000</v>
      </c>
      <c r="U509" s="200">
        <f t="shared" si="83"/>
        <v>1876100000</v>
      </c>
      <c r="V509" s="196">
        <v>3000000</v>
      </c>
      <c r="W509" s="196">
        <v>293000000</v>
      </c>
      <c r="X509" s="196">
        <v>460000000</v>
      </c>
      <c r="Y509" s="196">
        <v>842000000</v>
      </c>
      <c r="Z509" s="196">
        <v>0</v>
      </c>
      <c r="AA509" s="198">
        <v>0</v>
      </c>
      <c r="AB509" s="198">
        <v>0</v>
      </c>
      <c r="AC509" s="213">
        <f t="shared" si="84"/>
        <v>945</v>
      </c>
      <c r="AD509" s="213">
        <f t="shared" si="85"/>
        <v>911</v>
      </c>
      <c r="AE509" s="213">
        <v>0.84</v>
      </c>
      <c r="AF509" s="196">
        <v>22000000</v>
      </c>
      <c r="AG509" s="104">
        <f t="shared" si="86"/>
        <v>0.30136986301369861</v>
      </c>
      <c r="AH509" s="104">
        <f t="shared" si="87"/>
        <v>7.333333333333333</v>
      </c>
      <c r="AI509" s="195">
        <v>1.7</v>
      </c>
      <c r="AO509" s="213"/>
      <c r="AP509" s="213"/>
      <c r="AQ509" s="213"/>
      <c r="AR509" s="213"/>
      <c r="AS509" s="213"/>
      <c r="AT509" s="213"/>
      <c r="AU509" s="213"/>
      <c r="AV509" s="213"/>
    </row>
    <row r="510" spans="1:48">
      <c r="A510">
        <v>2903</v>
      </c>
      <c r="C510" s="107">
        <f>VLOOKUP(2903,收盤價!$A:$C,3,0)</f>
        <v>16.899999999999999</v>
      </c>
      <c r="D510" s="107">
        <f t="shared" si="77"/>
        <v>38.763854679802954</v>
      </c>
      <c r="E510" s="167">
        <f t="shared" si="78"/>
        <v>1</v>
      </c>
      <c r="F510" s="104">
        <f t="shared" si="79"/>
        <v>0.53672155559170709</v>
      </c>
      <c r="G510" s="167">
        <f>RANK(1.08,AE:AE,0)</f>
        <v>769</v>
      </c>
      <c r="H510" s="365">
        <f t="shared" si="80"/>
        <v>0.93719458958713664</v>
      </c>
      <c r="I510" s="213">
        <f t="shared" si="81"/>
        <v>679</v>
      </c>
      <c r="J510" s="213">
        <f t="shared" si="82"/>
        <v>354</v>
      </c>
      <c r="K510">
        <f>RANK(1.51,AI:AI,0)</f>
        <v>558</v>
      </c>
      <c r="L510" s="357">
        <v>0</v>
      </c>
      <c r="M510" s="357">
        <v>0</v>
      </c>
      <c r="N510" s="357">
        <v>1</v>
      </c>
      <c r="O510" s="357">
        <v>0</v>
      </c>
      <c r="P510" s="357">
        <v>0</v>
      </c>
      <c r="Q510" s="358">
        <v>0.51460651828298887</v>
      </c>
      <c r="R510" s="359">
        <v>0.10899328859060403</v>
      </c>
      <c r="S510" s="196">
        <v>44614586000</v>
      </c>
      <c r="T510" s="196">
        <v>1416900000</v>
      </c>
      <c r="U510" s="200">
        <f t="shared" si="83"/>
        <v>23945609999.999996</v>
      </c>
      <c r="V510" s="196">
        <v>572000000</v>
      </c>
      <c r="W510" s="196">
        <v>0</v>
      </c>
      <c r="X510" s="196">
        <v>44525000000</v>
      </c>
      <c r="Y510" s="196">
        <v>35690000000</v>
      </c>
      <c r="Z510" s="196">
        <v>19316000000</v>
      </c>
      <c r="AA510" s="198">
        <v>0.01</v>
      </c>
      <c r="AB510" s="198">
        <v>0.01</v>
      </c>
      <c r="AC510" s="213">
        <f t="shared" si="84"/>
        <v>769</v>
      </c>
      <c r="AD510" s="213">
        <f t="shared" si="85"/>
        <v>680</v>
      </c>
      <c r="AE510" s="213">
        <v>1.08</v>
      </c>
      <c r="AF510" s="196">
        <v>899000000</v>
      </c>
      <c r="AG510" s="104">
        <f t="shared" si="86"/>
        <v>0.63448373209118503</v>
      </c>
      <c r="AH510" s="104">
        <f t="shared" si="87"/>
        <v>1.5716783216783217</v>
      </c>
      <c r="AI510" s="195">
        <v>1.51</v>
      </c>
      <c r="AO510" s="213"/>
      <c r="AP510" s="213"/>
      <c r="AQ510" s="213"/>
      <c r="AR510" s="213"/>
      <c r="AS510" s="213"/>
      <c r="AT510" s="213"/>
      <c r="AU510" s="213"/>
      <c r="AV510" s="213"/>
    </row>
    <row r="511" spans="1:48">
      <c r="A511">
        <v>2904</v>
      </c>
      <c r="C511" s="107">
        <f>VLOOKUP(2904,收盤價!$A:$C,3,0)</f>
        <v>25.5</v>
      </c>
      <c r="D511" s="107">
        <f t="shared" si="77"/>
        <v>17.708333333333336</v>
      </c>
      <c r="E511" s="167">
        <f t="shared" si="78"/>
        <v>3</v>
      </c>
      <c r="F511" s="104">
        <f t="shared" si="79"/>
        <v>3.4956907341844579</v>
      </c>
      <c r="G511" s="167">
        <f>RANK(2.32,AE:AE,0)</f>
        <v>360</v>
      </c>
      <c r="H511" s="365">
        <f t="shared" si="80"/>
        <v>0.99855072463768113</v>
      </c>
      <c r="I511" s="213">
        <f t="shared" si="81"/>
        <v>624</v>
      </c>
      <c r="J511" s="213">
        <f t="shared" si="82"/>
        <v>313</v>
      </c>
      <c r="K511">
        <f>RANK(1.66,AI:AI,0)</f>
        <v>476</v>
      </c>
      <c r="L511" s="357">
        <v>0</v>
      </c>
      <c r="M511" s="357">
        <v>0</v>
      </c>
      <c r="N511" s="357">
        <v>1</v>
      </c>
      <c r="O511" s="357">
        <v>1</v>
      </c>
      <c r="P511" s="357">
        <v>1</v>
      </c>
      <c r="Q511" s="358">
        <v>0.38333333333333336</v>
      </c>
      <c r="R511" s="359">
        <v>0.36</v>
      </c>
      <c r="S511" s="196">
        <v>503334000</v>
      </c>
      <c r="T511" s="196">
        <v>69000000</v>
      </c>
      <c r="U511" s="200">
        <f t="shared" si="83"/>
        <v>1759500000</v>
      </c>
      <c r="V511" s="196">
        <v>30000000</v>
      </c>
      <c r="W511" s="196">
        <v>501000000</v>
      </c>
      <c r="X511" s="196">
        <v>320000000</v>
      </c>
      <c r="Y511" s="196">
        <v>892000000</v>
      </c>
      <c r="Z511" s="196">
        <v>50000000</v>
      </c>
      <c r="AA511" s="198">
        <v>0.04</v>
      </c>
      <c r="AB511" s="198">
        <v>0.03</v>
      </c>
      <c r="AC511" s="213">
        <f t="shared" si="84"/>
        <v>337</v>
      </c>
      <c r="AD511" s="213">
        <f t="shared" si="85"/>
        <v>334</v>
      </c>
      <c r="AE511" s="213">
        <v>2.3199999999999998</v>
      </c>
      <c r="AF511" s="196">
        <v>53000000</v>
      </c>
      <c r="AG511" s="104">
        <f t="shared" si="86"/>
        <v>0.76811594202898548</v>
      </c>
      <c r="AH511" s="104">
        <f t="shared" si="87"/>
        <v>1.7666666666666666</v>
      </c>
      <c r="AI511" s="195">
        <v>1.66</v>
      </c>
    </row>
    <row r="512" spans="1:48">
      <c r="A512">
        <v>2906</v>
      </c>
      <c r="C512" s="107">
        <f>VLOOKUP(2906,收盤價!$A:$C,3,0)</f>
        <v>10.7</v>
      </c>
      <c r="D512" s="107">
        <f t="shared" si="77"/>
        <v>0</v>
      </c>
      <c r="E512" s="167">
        <f t="shared" si="78"/>
        <v>0</v>
      </c>
      <c r="F512" s="104">
        <f t="shared" si="79"/>
        <v>0.37214014872809736</v>
      </c>
      <c r="G512" s="167">
        <f>RANK(1.2,AE:AE,0)</f>
        <v>710</v>
      </c>
      <c r="H512" s="365">
        <f t="shared" si="80"/>
        <v>0.14150943396226415</v>
      </c>
      <c r="I512" s="213">
        <f t="shared" si="81"/>
        <v>1167</v>
      </c>
      <c r="J512" s="213">
        <f t="shared" si="82"/>
        <v>768</v>
      </c>
      <c r="K512">
        <f>RANK(0.81,AI:AI,0)</f>
        <v>1144</v>
      </c>
      <c r="L512" s="357">
        <v>0</v>
      </c>
      <c r="M512" s="357">
        <v>0</v>
      </c>
      <c r="N512" s="357">
        <v>0</v>
      </c>
      <c r="O512" s="357">
        <v>0</v>
      </c>
      <c r="P512" s="357">
        <v>0</v>
      </c>
      <c r="Q512" s="358">
        <v>0.23457583547557839</v>
      </c>
      <c r="R512" s="359">
        <v>-4.1379310344827593E-2</v>
      </c>
      <c r="S512" s="196">
        <v>6095553000</v>
      </c>
      <c r="T512" s="196">
        <v>212000000</v>
      </c>
      <c r="U512" s="200">
        <f t="shared" si="83"/>
        <v>2268400000</v>
      </c>
      <c r="V512" s="196">
        <v>63000000</v>
      </c>
      <c r="W512" s="196">
        <v>1737000000</v>
      </c>
      <c r="X512" s="196">
        <v>1378000000</v>
      </c>
      <c r="Y512" s="196">
        <v>5262000000</v>
      </c>
      <c r="Z512" s="196">
        <v>1887000000</v>
      </c>
      <c r="AA512" s="198">
        <v>0.02</v>
      </c>
      <c r="AB512" s="198">
        <v>0.01</v>
      </c>
      <c r="AC512" s="213">
        <f t="shared" si="84"/>
        <v>616</v>
      </c>
      <c r="AD512" s="213">
        <f t="shared" si="85"/>
        <v>680</v>
      </c>
      <c r="AE512" s="213">
        <v>1.2</v>
      </c>
      <c r="AF512" s="196">
        <v>-30000000</v>
      </c>
      <c r="AG512" s="104">
        <f t="shared" si="86"/>
        <v>-0.14150943396226415</v>
      </c>
      <c r="AH512" s="104">
        <f t="shared" si="87"/>
        <v>0</v>
      </c>
      <c r="AI512" s="195">
        <v>0.81</v>
      </c>
    </row>
    <row r="513" spans="1:48">
      <c r="A513">
        <v>2908</v>
      </c>
      <c r="C513" s="107">
        <f>VLOOKUP(2908,收盤價!$A:$C,3,0)</f>
        <v>19.45</v>
      </c>
      <c r="D513" s="107">
        <f t="shared" si="77"/>
        <v>25.017210144927532</v>
      </c>
      <c r="E513" s="167">
        <f t="shared" si="78"/>
        <v>2</v>
      </c>
      <c r="F513" s="104">
        <f t="shared" si="79"/>
        <v>0.27775258001799508</v>
      </c>
      <c r="G513" s="167">
        <f>RANK(1.89,AE:AE,0)</f>
        <v>498</v>
      </c>
      <c r="H513" s="365">
        <f t="shared" si="80"/>
        <v>1.5617910741762442</v>
      </c>
      <c r="I513" s="213">
        <f t="shared" si="81"/>
        <v>418</v>
      </c>
      <c r="J513" s="213">
        <f t="shared" si="82"/>
        <v>165</v>
      </c>
      <c r="K513">
        <f>RANK(2.67,AI:AI,0)</f>
        <v>203</v>
      </c>
      <c r="L513" s="357">
        <v>0</v>
      </c>
      <c r="M513" s="357">
        <v>1</v>
      </c>
      <c r="N513" s="357">
        <v>0</v>
      </c>
      <c r="O513" s="357">
        <v>1</v>
      </c>
      <c r="P513" s="357">
        <v>0</v>
      </c>
      <c r="Q513" s="358">
        <v>0.31240009134505597</v>
      </c>
      <c r="R513" s="359">
        <v>0.19436619718309861</v>
      </c>
      <c r="S513" s="196">
        <v>35706437000</v>
      </c>
      <c r="T513" s="196">
        <v>509900000</v>
      </c>
      <c r="U513" s="200">
        <f t="shared" si="83"/>
        <v>9917555000</v>
      </c>
      <c r="V513" s="196">
        <v>227000000</v>
      </c>
      <c r="W513" s="196">
        <v>0</v>
      </c>
      <c r="X513" s="196">
        <v>5994000000</v>
      </c>
      <c r="Y513" s="196">
        <v>7317000000</v>
      </c>
      <c r="Z513" s="196">
        <v>3867000000</v>
      </c>
      <c r="AA513" s="198">
        <v>0.04</v>
      </c>
      <c r="AB513" s="198">
        <v>0.02</v>
      </c>
      <c r="AC513" s="213">
        <f t="shared" si="84"/>
        <v>337</v>
      </c>
      <c r="AD513" s="213">
        <f t="shared" si="85"/>
        <v>487</v>
      </c>
      <c r="AE513" s="213">
        <v>1.89</v>
      </c>
      <c r="AF513" s="196">
        <v>639000000</v>
      </c>
      <c r="AG513" s="104">
        <f t="shared" si="86"/>
        <v>1.2531868993920376</v>
      </c>
      <c r="AH513" s="104">
        <f t="shared" si="87"/>
        <v>2.8149779735682818</v>
      </c>
      <c r="AI513" s="195">
        <v>2.67</v>
      </c>
    </row>
    <row r="514" spans="1:48">
      <c r="A514">
        <v>2910</v>
      </c>
      <c r="C514" s="107">
        <f>VLOOKUP(2910,收盤價!$A:$C,3,0)</f>
        <v>22.6</v>
      </c>
      <c r="D514" s="107">
        <f t="shared" ref="D514:D577" si="88">IF(AND(ISNUMBER(C514),R514&gt;0),C514/(R514*4),0)</f>
        <v>308.18181818181819</v>
      </c>
      <c r="E514" s="167">
        <f t="shared" ref="E514:E577" si="89">SUM(L514:P514)</f>
        <v>0</v>
      </c>
      <c r="F514" s="104">
        <f t="shared" ref="F514:F577" si="90">IF(AND(ISNUMBER(U514),ISNUMBER(S514)),U514/S514,0)</f>
        <v>6.9684863706877449</v>
      </c>
      <c r="G514" s="167">
        <f>RANK(0.93,AE:AE,0)</f>
        <v>920</v>
      </c>
      <c r="H514" s="365">
        <f t="shared" ref="H514:H577" si="91">AH514-AG514</f>
        <v>4.3124101581217059E-2</v>
      </c>
      <c r="I514" s="213">
        <f t="shared" ref="I514:I577" si="92">RANK(AG514,AG:AG)</f>
        <v>1099</v>
      </c>
      <c r="J514" s="213">
        <f t="shared" ref="J514:J577" si="93">RANK(AH514,AH:AH)</f>
        <v>768</v>
      </c>
      <c r="K514">
        <f>RANK(0.83,AI:AI,0)</f>
        <v>1098</v>
      </c>
      <c r="L514" s="357">
        <v>0</v>
      </c>
      <c r="M514" s="357">
        <v>0</v>
      </c>
      <c r="N514" s="357">
        <v>0</v>
      </c>
      <c r="O514" s="357">
        <v>0</v>
      </c>
      <c r="P514" s="357">
        <v>0</v>
      </c>
      <c r="Q514" s="358">
        <v>0.5449438202247191</v>
      </c>
      <c r="R514" s="359">
        <v>1.8333333333333333E-2</v>
      </c>
      <c r="S514" s="196">
        <v>676850000</v>
      </c>
      <c r="T514" s="196">
        <v>208700000</v>
      </c>
      <c r="U514" s="200">
        <f t="shared" ref="U514:U577" si="94">C514*T514</f>
        <v>4716620000</v>
      </c>
      <c r="V514" s="196">
        <v>19000000</v>
      </c>
      <c r="W514" s="196">
        <v>0</v>
      </c>
      <c r="X514" s="196">
        <v>1367000000</v>
      </c>
      <c r="Y514" s="196">
        <v>2222000000</v>
      </c>
      <c r="Z514" s="196">
        <v>2561000000</v>
      </c>
      <c r="AA514" s="198">
        <v>0.01</v>
      </c>
      <c r="AB514" s="198">
        <v>0</v>
      </c>
      <c r="AC514" s="213">
        <f t="shared" ref="AC514:AC577" si="95">RANK(AA514,AA:AA)</f>
        <v>769</v>
      </c>
      <c r="AD514" s="213">
        <f t="shared" ref="AD514:AD577" si="96">RANK(AB514,AB:AB)</f>
        <v>911</v>
      </c>
      <c r="AE514" s="213">
        <v>0.93</v>
      </c>
      <c r="AF514" s="196">
        <v>-9000000</v>
      </c>
      <c r="AG514" s="104">
        <f t="shared" ref="AG514:AG577" si="97">AF514/T514</f>
        <v>-4.3124101581217059E-2</v>
      </c>
      <c r="AH514" s="104">
        <f t="shared" ref="AH514:AH577" si="98">IF(AND(AF514&gt;0,V514&gt;0),AF514/V514,0)</f>
        <v>0</v>
      </c>
      <c r="AI514" s="195">
        <v>0.83</v>
      </c>
    </row>
    <row r="515" spans="1:48">
      <c r="A515">
        <v>2911</v>
      </c>
      <c r="C515" s="107">
        <f>VLOOKUP(2911,收盤價!$A:$C,3,0)</f>
        <v>12.7</v>
      </c>
      <c r="D515" s="107">
        <f t="shared" si="88"/>
        <v>0</v>
      </c>
      <c r="E515" s="167">
        <f t="shared" si="89"/>
        <v>0</v>
      </c>
      <c r="F515" s="104">
        <f t="shared" si="90"/>
        <v>0.2977008873737837</v>
      </c>
      <c r="G515" s="167">
        <f>RANK(0.54,AE:AE,0)</f>
        <v>1453</v>
      </c>
      <c r="H515" s="365">
        <f t="shared" si="91"/>
        <v>1.4684287812041116E-2</v>
      </c>
      <c r="I515" s="213">
        <f t="shared" si="92"/>
        <v>1080</v>
      </c>
      <c r="J515" s="213">
        <f t="shared" si="93"/>
        <v>768</v>
      </c>
      <c r="K515">
        <f>RANK(0.84,AI:AI,0)</f>
        <v>1076</v>
      </c>
      <c r="L515" s="357">
        <v>0</v>
      </c>
      <c r="M515" s="357">
        <v>0</v>
      </c>
      <c r="N515" s="357">
        <v>0</v>
      </c>
      <c r="O515" s="357">
        <v>0</v>
      </c>
      <c r="P515" s="357">
        <v>0</v>
      </c>
      <c r="Q515" s="358">
        <v>0.46662927650028041</v>
      </c>
      <c r="R515" s="359">
        <v>0</v>
      </c>
      <c r="S515" s="196">
        <v>8715493000</v>
      </c>
      <c r="T515" s="196">
        <v>204300000</v>
      </c>
      <c r="U515" s="200">
        <f t="shared" si="94"/>
        <v>2594610000</v>
      </c>
      <c r="V515" s="196">
        <v>-128000000</v>
      </c>
      <c r="W515" s="196">
        <v>1415000000</v>
      </c>
      <c r="X515" s="196">
        <v>1409000000</v>
      </c>
      <c r="Y515" s="196">
        <v>3032000000</v>
      </c>
      <c r="Z515" s="196">
        <v>1007000000</v>
      </c>
      <c r="AA515" s="198">
        <v>-0.05</v>
      </c>
      <c r="AB515" s="198">
        <v>-0.03</v>
      </c>
      <c r="AC515" s="213">
        <f t="shared" si="95"/>
        <v>1468</v>
      </c>
      <c r="AD515" s="213">
        <f t="shared" si="96"/>
        <v>1444</v>
      </c>
      <c r="AE515" s="213">
        <v>0.54</v>
      </c>
      <c r="AF515" s="196">
        <v>-3000000</v>
      </c>
      <c r="AG515" s="104">
        <f t="shared" si="97"/>
        <v>-1.4684287812041116E-2</v>
      </c>
      <c r="AH515" s="104">
        <f t="shared" si="98"/>
        <v>0</v>
      </c>
      <c r="AI515" s="195">
        <v>0.84</v>
      </c>
    </row>
    <row r="516" spans="1:48">
      <c r="A516">
        <v>2912</v>
      </c>
      <c r="C516" s="107">
        <f>VLOOKUP(2912,收盤價!$A:$C,3,0)</f>
        <v>242.5</v>
      </c>
      <c r="D516" s="107">
        <f t="shared" si="88"/>
        <v>31.062106592559346</v>
      </c>
      <c r="E516" s="167">
        <f t="shared" si="89"/>
        <v>5</v>
      </c>
      <c r="F516" s="104">
        <f t="shared" si="90"/>
        <v>1.1844804239782425</v>
      </c>
      <c r="G516" s="167">
        <f>RANK(26.86,AE:AE,0)</f>
        <v>25</v>
      </c>
      <c r="H516" s="365">
        <f t="shared" si="91"/>
        <v>-1.3731766096663049</v>
      </c>
      <c r="I516" s="213">
        <f t="shared" si="92"/>
        <v>201</v>
      </c>
      <c r="J516" s="213">
        <f t="shared" si="93"/>
        <v>595</v>
      </c>
      <c r="K516">
        <f>RANK(1.96,AI:AI,0)</f>
        <v>355</v>
      </c>
      <c r="L516" s="357">
        <v>1</v>
      </c>
      <c r="M516" s="357">
        <v>1</v>
      </c>
      <c r="N516" s="357">
        <v>2</v>
      </c>
      <c r="O516" s="357">
        <v>1</v>
      </c>
      <c r="P516" s="357">
        <v>0</v>
      </c>
      <c r="Q516" s="358">
        <v>0.33119433534325388</v>
      </c>
      <c r="R516" s="359">
        <v>1.9517349803481192</v>
      </c>
      <c r="S516" s="196">
        <v>212838469000</v>
      </c>
      <c r="T516" s="196">
        <v>1039600000</v>
      </c>
      <c r="U516" s="200">
        <f t="shared" si="94"/>
        <v>252103000000</v>
      </c>
      <c r="V516" s="196">
        <v>2816000000</v>
      </c>
      <c r="W516" s="196">
        <v>0</v>
      </c>
      <c r="X516" s="196">
        <v>21948000000</v>
      </c>
      <c r="Y516" s="196">
        <v>28570000000</v>
      </c>
      <c r="Z516" s="196">
        <v>2467000000</v>
      </c>
      <c r="AA516" s="198">
        <v>0.13</v>
      </c>
      <c r="AB516" s="198">
        <v>0.09</v>
      </c>
      <c r="AC516" s="213">
        <f t="shared" si="95"/>
        <v>26</v>
      </c>
      <c r="AD516" s="213">
        <f t="shared" si="96"/>
        <v>32</v>
      </c>
      <c r="AE516" s="213">
        <v>26.86</v>
      </c>
      <c r="AF516" s="196">
        <v>2263000000</v>
      </c>
      <c r="AG516" s="104">
        <f t="shared" si="97"/>
        <v>2.1767987687572141</v>
      </c>
      <c r="AH516" s="104">
        <f t="shared" si="98"/>
        <v>0.80362215909090906</v>
      </c>
      <c r="AI516" s="195">
        <v>1.96</v>
      </c>
    </row>
    <row r="517" spans="1:48">
      <c r="A517">
        <v>2913</v>
      </c>
      <c r="C517" s="107">
        <f>VLOOKUP(2913,收盤價!$A:$C,3,0)</f>
        <v>14.05</v>
      </c>
      <c r="D517" s="107">
        <f t="shared" si="88"/>
        <v>73.834183673469383</v>
      </c>
      <c r="E517" s="167">
        <f t="shared" si="89"/>
        <v>2</v>
      </c>
      <c r="F517" s="104">
        <f t="shared" si="90"/>
        <v>13.942695566329778</v>
      </c>
      <c r="G517" s="167">
        <f>RANK(1.02,AE:AE,0)</f>
        <v>912</v>
      </c>
      <c r="H517" s="365">
        <f t="shared" si="91"/>
        <v>0.43666333666333668</v>
      </c>
      <c r="I517" s="213">
        <f t="shared" si="92"/>
        <v>1041</v>
      </c>
      <c r="J517" s="213">
        <f t="shared" si="93"/>
        <v>685</v>
      </c>
      <c r="K517">
        <f>RANK(0.9,AI:AI,0)</f>
        <v>988</v>
      </c>
      <c r="L517" s="357">
        <v>0</v>
      </c>
      <c r="M517" s="357">
        <v>0</v>
      </c>
      <c r="N517" s="357">
        <v>1</v>
      </c>
      <c r="O517" s="357">
        <v>1</v>
      </c>
      <c r="P517" s="357">
        <v>0</v>
      </c>
      <c r="Q517" s="358">
        <v>0.47297297297297297</v>
      </c>
      <c r="R517" s="359">
        <v>4.7572815533980586E-2</v>
      </c>
      <c r="S517" s="196">
        <v>775926000</v>
      </c>
      <c r="T517" s="196">
        <v>770000000</v>
      </c>
      <c r="U517" s="200">
        <f t="shared" si="94"/>
        <v>10818500000</v>
      </c>
      <c r="V517" s="196">
        <v>65000000</v>
      </c>
      <c r="W517" s="196">
        <v>1451000000</v>
      </c>
      <c r="X517" s="196">
        <v>1510000000</v>
      </c>
      <c r="Y517" s="196">
        <v>15950000000</v>
      </c>
      <c r="Z517" s="196">
        <v>130000000</v>
      </c>
      <c r="AA517" s="198">
        <v>0.02</v>
      </c>
      <c r="AB517" s="198">
        <v>0</v>
      </c>
      <c r="AC517" s="213">
        <f t="shared" si="95"/>
        <v>616</v>
      </c>
      <c r="AD517" s="213">
        <f t="shared" si="96"/>
        <v>911</v>
      </c>
      <c r="AE517" s="213">
        <v>1.02</v>
      </c>
      <c r="AF517" s="196">
        <v>31000000</v>
      </c>
      <c r="AG517" s="104">
        <f t="shared" si="97"/>
        <v>4.0259740259740259E-2</v>
      </c>
      <c r="AH517" s="104">
        <f t="shared" si="98"/>
        <v>0.47692307692307695</v>
      </c>
      <c r="AI517" s="195">
        <v>0.9</v>
      </c>
    </row>
    <row r="518" spans="1:48">
      <c r="A518">
        <v>2915</v>
      </c>
      <c r="C518" s="107">
        <f>VLOOKUP(2915,收盤價!$A:$C,3,0)</f>
        <v>49.05</v>
      </c>
      <c r="D518" s="107">
        <f t="shared" si="88"/>
        <v>0</v>
      </c>
      <c r="E518" s="167">
        <f t="shared" si="89"/>
        <v>1</v>
      </c>
      <c r="F518" s="104">
        <f t="shared" si="90"/>
        <v>5.4339628636539352</v>
      </c>
      <c r="G518" s="167">
        <f>RANK(0.93,AE:AE,0)</f>
        <v>920</v>
      </c>
      <c r="H518" s="365">
        <f t="shared" si="91"/>
        <v>3.1333253664754621</v>
      </c>
      <c r="I518" s="213">
        <f t="shared" si="92"/>
        <v>1032</v>
      </c>
      <c r="J518" s="213">
        <f t="shared" si="93"/>
        <v>146</v>
      </c>
      <c r="K518">
        <f>RANK(1.32,AI:AI,0)</f>
        <v>665</v>
      </c>
      <c r="L518" s="357">
        <v>0</v>
      </c>
      <c r="M518" s="357">
        <v>0</v>
      </c>
      <c r="N518" s="357">
        <v>0</v>
      </c>
      <c r="O518" s="357">
        <v>1</v>
      </c>
      <c r="P518" s="357">
        <v>0</v>
      </c>
      <c r="Q518" s="358">
        <v>0.20584045584045585</v>
      </c>
      <c r="R518" s="359">
        <v>0</v>
      </c>
      <c r="S518" s="196">
        <v>8497605000</v>
      </c>
      <c r="T518" s="196">
        <v>941400000</v>
      </c>
      <c r="U518" s="200">
        <f t="shared" si="94"/>
        <v>46175670000</v>
      </c>
      <c r="V518" s="196">
        <v>16000000</v>
      </c>
      <c r="W518" s="196">
        <v>0</v>
      </c>
      <c r="X518" s="196">
        <v>1838000000</v>
      </c>
      <c r="Y518" s="196">
        <v>35541000000</v>
      </c>
      <c r="Z518" s="196">
        <v>4167000000</v>
      </c>
      <c r="AA518" s="198">
        <v>0.01</v>
      </c>
      <c r="AB518" s="198">
        <v>0</v>
      </c>
      <c r="AC518" s="213">
        <f t="shared" si="95"/>
        <v>769</v>
      </c>
      <c r="AD518" s="213">
        <f t="shared" si="96"/>
        <v>911</v>
      </c>
      <c r="AE518" s="213">
        <v>0.93</v>
      </c>
      <c r="AF518" s="196">
        <v>51000000</v>
      </c>
      <c r="AG518" s="104">
        <f t="shared" si="97"/>
        <v>5.417463352453792E-2</v>
      </c>
      <c r="AH518" s="104">
        <f t="shared" si="98"/>
        <v>3.1875</v>
      </c>
      <c r="AI518" s="195">
        <v>1.32</v>
      </c>
      <c r="AO518" s="213"/>
      <c r="AP518" s="213"/>
      <c r="AQ518" s="213"/>
      <c r="AR518" s="213"/>
      <c r="AS518" s="213"/>
      <c r="AT518" s="213"/>
      <c r="AU518" s="213"/>
      <c r="AV518" s="213"/>
    </row>
    <row r="519" spans="1:48">
      <c r="A519">
        <v>2916</v>
      </c>
      <c r="C519" s="107">
        <f>VLOOKUP(2916,收盤價!$A:$C,3,0)</f>
        <v>16.2</v>
      </c>
      <c r="D519" s="107">
        <f t="shared" si="88"/>
        <v>0</v>
      </c>
      <c r="E519" s="167">
        <f t="shared" si="89"/>
        <v>1</v>
      </c>
      <c r="F519" s="104">
        <f t="shared" si="90"/>
        <v>0.64512505807452936</v>
      </c>
      <c r="G519" s="167">
        <f>RANK(1.08,AE:AE,0)</f>
        <v>769</v>
      </c>
      <c r="H519" s="365">
        <f t="shared" si="91"/>
        <v>14.686813186813186</v>
      </c>
      <c r="I519" s="213">
        <f t="shared" si="92"/>
        <v>265</v>
      </c>
      <c r="J519" s="213">
        <f t="shared" si="93"/>
        <v>19</v>
      </c>
      <c r="K519">
        <f>RANK(5.49,AI:AI,0)</f>
        <v>58</v>
      </c>
      <c r="L519" s="357">
        <v>0</v>
      </c>
      <c r="M519" s="357">
        <v>0</v>
      </c>
      <c r="N519" s="357">
        <v>0</v>
      </c>
      <c r="O519" s="357">
        <v>1</v>
      </c>
      <c r="P519" s="357">
        <v>0</v>
      </c>
      <c r="Q519" s="358">
        <v>0.46925566343042069</v>
      </c>
      <c r="R519" s="359">
        <v>0</v>
      </c>
      <c r="S519" s="196">
        <v>1371083000</v>
      </c>
      <c r="T519" s="196">
        <v>54600000</v>
      </c>
      <c r="U519" s="200">
        <f t="shared" si="94"/>
        <v>884520000</v>
      </c>
      <c r="V519" s="196">
        <v>6000000</v>
      </c>
      <c r="W519" s="196">
        <v>549000000</v>
      </c>
      <c r="X519" s="196">
        <v>224000000</v>
      </c>
      <c r="Y519" s="196">
        <v>846000000</v>
      </c>
      <c r="Z519" s="196">
        <v>83000000</v>
      </c>
      <c r="AA519" s="198">
        <v>0.01</v>
      </c>
      <c r="AB519" s="198">
        <v>0.01</v>
      </c>
      <c r="AC519" s="213">
        <f t="shared" si="95"/>
        <v>769</v>
      </c>
      <c r="AD519" s="213">
        <f t="shared" si="96"/>
        <v>680</v>
      </c>
      <c r="AE519" s="213">
        <v>1.08</v>
      </c>
      <c r="AF519" s="196">
        <v>99000000</v>
      </c>
      <c r="AG519" s="104">
        <f t="shared" si="97"/>
        <v>1.8131868131868132</v>
      </c>
      <c r="AH519" s="104">
        <f t="shared" si="98"/>
        <v>16.5</v>
      </c>
      <c r="AI519" s="195">
        <v>5.49</v>
      </c>
    </row>
    <row r="520" spans="1:48">
      <c r="A520">
        <v>2923</v>
      </c>
      <c r="C520" s="107">
        <f>VLOOKUP(2923,收盤價!$A:$C,3,0)</f>
        <v>21.75</v>
      </c>
      <c r="D520" s="107">
        <f t="shared" si="88"/>
        <v>9.2201086956521721</v>
      </c>
      <c r="E520" s="167">
        <f t="shared" si="89"/>
        <v>1</v>
      </c>
      <c r="F520" s="104">
        <f t="shared" si="90"/>
        <v>3.4959057988783444</v>
      </c>
      <c r="G520" s="167">
        <f>RANK(4.3,AE:AE,0)</f>
        <v>200</v>
      </c>
      <c r="H520" s="365">
        <f t="shared" si="91"/>
        <v>0.47635465149686834</v>
      </c>
      <c r="I520" s="213">
        <f t="shared" si="92"/>
        <v>1337</v>
      </c>
      <c r="J520" s="213">
        <f t="shared" si="93"/>
        <v>768</v>
      </c>
      <c r="K520">
        <f>RANK(0.74,AI:AI,0)</f>
        <v>1324</v>
      </c>
      <c r="L520" s="357">
        <v>0</v>
      </c>
      <c r="M520" s="357">
        <v>1</v>
      </c>
      <c r="N520" s="357">
        <v>0</v>
      </c>
      <c r="O520" s="357">
        <v>0</v>
      </c>
      <c r="P520" s="357">
        <v>0</v>
      </c>
      <c r="Q520" s="358">
        <v>0.62792251169004676</v>
      </c>
      <c r="R520" s="359">
        <v>0.58974358974358987</v>
      </c>
      <c r="S520" s="196">
        <v>10827387000</v>
      </c>
      <c r="T520" s="196">
        <v>1740300000</v>
      </c>
      <c r="U520" s="200">
        <f t="shared" si="94"/>
        <v>37851525000</v>
      </c>
      <c r="V520" s="196">
        <v>2514000000</v>
      </c>
      <c r="W520" s="196">
        <v>34680000000</v>
      </c>
      <c r="X520" s="196">
        <v>946000000</v>
      </c>
      <c r="Y520" s="196">
        <v>56226000000</v>
      </c>
      <c r="Z520" s="196">
        <v>2145000000</v>
      </c>
      <c r="AA520" s="198">
        <v>7.0000000000000007E-2</v>
      </c>
      <c r="AB520" s="198">
        <v>0.04</v>
      </c>
      <c r="AC520" s="213">
        <f t="shared" si="95"/>
        <v>134</v>
      </c>
      <c r="AD520" s="213">
        <f t="shared" si="96"/>
        <v>228</v>
      </c>
      <c r="AE520" s="213">
        <v>4.3</v>
      </c>
      <c r="AF520" s="196">
        <v>-829000000</v>
      </c>
      <c r="AG520" s="104">
        <f t="shared" si="97"/>
        <v>-0.47635465149686834</v>
      </c>
      <c r="AH520" s="104">
        <f t="shared" si="98"/>
        <v>0</v>
      </c>
      <c r="AI520" s="195">
        <v>0.74</v>
      </c>
      <c r="AO520" s="213"/>
      <c r="AP520" s="213"/>
      <c r="AQ520" s="213"/>
      <c r="AR520" s="213"/>
      <c r="AS520" s="213"/>
      <c r="AT520" s="213"/>
      <c r="AU520" s="213"/>
      <c r="AV520" s="213"/>
    </row>
    <row r="521" spans="1:48">
      <c r="A521">
        <v>2924</v>
      </c>
      <c r="C521" s="107">
        <f>VLOOKUP(2924,收盤價!$A:$C,3,0)</f>
        <v>53.5</v>
      </c>
      <c r="D521" s="107">
        <f t="shared" si="88"/>
        <v>573.21428571428567</v>
      </c>
      <c r="E521" s="167">
        <f t="shared" si="89"/>
        <v>1</v>
      </c>
      <c r="F521" s="104">
        <f t="shared" si="90"/>
        <v>1.5695105957064954</v>
      </c>
      <c r="G521" s="167">
        <f>RANK(1.08,AE:AE,0)</f>
        <v>769</v>
      </c>
      <c r="H521" s="365">
        <f t="shared" si="91"/>
        <v>0.89869281045751648</v>
      </c>
      <c r="I521" s="213">
        <f t="shared" si="92"/>
        <v>847</v>
      </c>
      <c r="J521" s="213">
        <f t="shared" si="93"/>
        <v>451</v>
      </c>
      <c r="K521">
        <f>RANK(1.2,AI:AI,0)</f>
        <v>733</v>
      </c>
      <c r="L521" s="357">
        <v>0</v>
      </c>
      <c r="M521" s="357">
        <v>0</v>
      </c>
      <c r="N521" s="357">
        <v>1</v>
      </c>
      <c r="O521" s="357">
        <v>0</v>
      </c>
      <c r="P521" s="357">
        <v>0</v>
      </c>
      <c r="Q521" s="358">
        <v>0.66153846153846152</v>
      </c>
      <c r="R521" s="359">
        <v>2.3333333333333334E-2</v>
      </c>
      <c r="S521" s="196">
        <v>1158960000</v>
      </c>
      <c r="T521" s="196">
        <v>34000000</v>
      </c>
      <c r="U521" s="200">
        <f t="shared" si="94"/>
        <v>1819000000</v>
      </c>
      <c r="V521" s="196">
        <v>9000000</v>
      </c>
      <c r="W521" s="196">
        <v>765000000</v>
      </c>
      <c r="X521" s="196">
        <v>180000000</v>
      </c>
      <c r="Y521" s="196">
        <v>792000000</v>
      </c>
      <c r="Z521" s="196">
        <v>100000000</v>
      </c>
      <c r="AA521" s="198">
        <v>0.01</v>
      </c>
      <c r="AB521" s="198">
        <v>0.01</v>
      </c>
      <c r="AC521" s="213">
        <f t="shared" si="95"/>
        <v>769</v>
      </c>
      <c r="AD521" s="213">
        <f t="shared" si="96"/>
        <v>680</v>
      </c>
      <c r="AE521" s="213">
        <v>1.08</v>
      </c>
      <c r="AF521" s="196">
        <v>11000000</v>
      </c>
      <c r="AG521" s="104">
        <f t="shared" si="97"/>
        <v>0.3235294117647059</v>
      </c>
      <c r="AH521" s="104">
        <f t="shared" si="98"/>
        <v>1.2222222222222223</v>
      </c>
      <c r="AI521" s="195">
        <v>1.2</v>
      </c>
    </row>
    <row r="522" spans="1:48">
      <c r="A522">
        <v>2926</v>
      </c>
      <c r="C522" s="107">
        <f>VLOOKUP(2926,收盤價!$A:$C,3,0)</f>
        <v>181</v>
      </c>
      <c r="D522" s="107">
        <f t="shared" si="88"/>
        <v>29.997191011235955</v>
      </c>
      <c r="E522" s="167">
        <f t="shared" si="89"/>
        <v>2</v>
      </c>
      <c r="F522" s="104">
        <f t="shared" si="90"/>
        <v>1.9280123081399716</v>
      </c>
      <c r="G522" s="167">
        <f>RANK(5.79,AE:AE,0)</f>
        <v>129</v>
      </c>
      <c r="H522" s="365">
        <f t="shared" si="91"/>
        <v>-1.6077381100675152</v>
      </c>
      <c r="I522" s="213">
        <f t="shared" si="92"/>
        <v>100</v>
      </c>
      <c r="J522" s="213">
        <f t="shared" si="93"/>
        <v>336</v>
      </c>
      <c r="K522">
        <f>RANK(3.57,AI:AI,0)</f>
        <v>122</v>
      </c>
      <c r="L522" s="357">
        <v>0</v>
      </c>
      <c r="M522" s="357">
        <v>1</v>
      </c>
      <c r="N522" s="357">
        <v>0</v>
      </c>
      <c r="O522" s="357">
        <v>1</v>
      </c>
      <c r="P522" s="357">
        <v>0</v>
      </c>
      <c r="Q522" s="358">
        <v>0.49108910891089108</v>
      </c>
      <c r="R522" s="359">
        <v>1.5084745762711864</v>
      </c>
      <c r="S522" s="196">
        <v>4233946000</v>
      </c>
      <c r="T522" s="196">
        <v>45100000</v>
      </c>
      <c r="U522" s="200">
        <f t="shared" si="94"/>
        <v>8163100000</v>
      </c>
      <c r="V522" s="196">
        <v>89000000</v>
      </c>
      <c r="W522" s="196">
        <v>165000000</v>
      </c>
      <c r="X522" s="196">
        <v>1333000000</v>
      </c>
      <c r="Y522" s="196">
        <v>1454000000</v>
      </c>
      <c r="Z522" s="196">
        <v>0</v>
      </c>
      <c r="AA522" s="198">
        <v>0.06</v>
      </c>
      <c r="AB522" s="198">
        <v>0.06</v>
      </c>
      <c r="AC522" s="213">
        <f t="shared" si="95"/>
        <v>174</v>
      </c>
      <c r="AD522" s="213">
        <f t="shared" si="96"/>
        <v>95</v>
      </c>
      <c r="AE522" s="213">
        <v>5.79</v>
      </c>
      <c r="AF522" s="196">
        <v>147000000</v>
      </c>
      <c r="AG522" s="104">
        <f t="shared" si="97"/>
        <v>3.2594235033259422</v>
      </c>
      <c r="AH522" s="104">
        <f t="shared" si="98"/>
        <v>1.651685393258427</v>
      </c>
      <c r="AI522" s="195">
        <v>3.57</v>
      </c>
    </row>
    <row r="523" spans="1:48">
      <c r="A523">
        <v>2928</v>
      </c>
      <c r="C523" s="107">
        <f>VLOOKUP(2928,收盤價!$A:$C,3,0)</f>
        <v>51</v>
      </c>
      <c r="D523" s="107">
        <f t="shared" si="88"/>
        <v>0</v>
      </c>
      <c r="E523" s="167">
        <f t="shared" si="89"/>
        <v>2</v>
      </c>
      <c r="F523" s="104">
        <f t="shared" si="90"/>
        <v>0.76573513811039307</v>
      </c>
      <c r="G523" s="167">
        <f>RANK(0.61,AE:AE,0)</f>
        <v>1295</v>
      </c>
      <c r="H523" s="365">
        <f t="shared" si="91"/>
        <v>-2.2410147991543341</v>
      </c>
      <c r="I523" s="213">
        <f t="shared" si="92"/>
        <v>197</v>
      </c>
      <c r="J523" s="213">
        <f t="shared" si="93"/>
        <v>768</v>
      </c>
      <c r="K523">
        <f>RANK(1.61,AI:AI,0)</f>
        <v>498</v>
      </c>
      <c r="L523" s="357">
        <v>0</v>
      </c>
      <c r="M523" s="357">
        <v>1</v>
      </c>
      <c r="N523" s="357">
        <v>0</v>
      </c>
      <c r="O523" s="357">
        <v>1</v>
      </c>
      <c r="P523" s="357">
        <v>0</v>
      </c>
      <c r="Q523" s="358">
        <v>0.46182152713891444</v>
      </c>
      <c r="R523" s="359">
        <v>0</v>
      </c>
      <c r="S523" s="196">
        <v>3150306000</v>
      </c>
      <c r="T523" s="196">
        <v>47300000</v>
      </c>
      <c r="U523" s="200">
        <f t="shared" si="94"/>
        <v>2412300000</v>
      </c>
      <c r="V523" s="196">
        <v>-7000000</v>
      </c>
      <c r="W523" s="196">
        <v>830000000</v>
      </c>
      <c r="X523" s="196">
        <v>131000000</v>
      </c>
      <c r="Y523" s="196">
        <v>1253000000</v>
      </c>
      <c r="Z523" s="196">
        <v>69000000</v>
      </c>
      <c r="AA523" s="198">
        <v>-0.01</v>
      </c>
      <c r="AB523" s="198">
        <v>-0.01</v>
      </c>
      <c r="AC523" s="213">
        <f t="shared" si="95"/>
        <v>1277</v>
      </c>
      <c r="AD523" s="213">
        <f t="shared" si="96"/>
        <v>1294</v>
      </c>
      <c r="AE523" s="213">
        <v>0.61</v>
      </c>
      <c r="AF523" s="196">
        <v>106000000</v>
      </c>
      <c r="AG523" s="104">
        <f t="shared" si="97"/>
        <v>2.2410147991543341</v>
      </c>
      <c r="AH523" s="104">
        <f t="shared" si="98"/>
        <v>0</v>
      </c>
      <c r="AI523" s="195">
        <v>1.61</v>
      </c>
      <c r="AO523" s="213"/>
      <c r="AP523" s="213"/>
      <c r="AQ523" s="213"/>
      <c r="AR523" s="213"/>
      <c r="AS523" s="213"/>
      <c r="AT523" s="213"/>
      <c r="AU523" s="213"/>
      <c r="AV523" s="213"/>
    </row>
    <row r="524" spans="1:48">
      <c r="A524">
        <v>2929</v>
      </c>
      <c r="C524" s="107">
        <f>VLOOKUP(2929,收盤價!$A:$C,3,0)</f>
        <v>161</v>
      </c>
      <c r="D524" s="107">
        <f t="shared" si="88"/>
        <v>8.1808943089430901</v>
      </c>
      <c r="E524" s="167">
        <f t="shared" si="89"/>
        <v>4</v>
      </c>
      <c r="F524" s="104">
        <f t="shared" si="90"/>
        <v>1.6844300649364798</v>
      </c>
      <c r="G524" s="167">
        <f>RANK(27.33,AE:AE,0)</f>
        <v>23</v>
      </c>
      <c r="H524" s="365">
        <f t="shared" si="91"/>
        <v>-0.99648282571278901</v>
      </c>
      <c r="I524" s="213">
        <f t="shared" si="92"/>
        <v>446</v>
      </c>
      <c r="J524" s="213">
        <f t="shared" si="93"/>
        <v>741</v>
      </c>
      <c r="K524">
        <f>RANK(1.31,AI:AI,0)</f>
        <v>671</v>
      </c>
      <c r="L524" s="357">
        <v>0</v>
      </c>
      <c r="M524" s="357">
        <v>1</v>
      </c>
      <c r="N524" s="357">
        <v>2</v>
      </c>
      <c r="O524" s="357">
        <v>1</v>
      </c>
      <c r="P524" s="357">
        <v>0</v>
      </c>
      <c r="Q524" s="358">
        <v>0.3881856540084388</v>
      </c>
      <c r="R524" s="359">
        <v>4.92</v>
      </c>
      <c r="S524" s="196">
        <v>5553273000</v>
      </c>
      <c r="T524" s="196">
        <v>58100000</v>
      </c>
      <c r="U524" s="200">
        <f t="shared" si="94"/>
        <v>9354100000</v>
      </c>
      <c r="V524" s="196">
        <v>391000000</v>
      </c>
      <c r="W524" s="196">
        <v>3215000000</v>
      </c>
      <c r="X524" s="196">
        <v>396000000</v>
      </c>
      <c r="Y524" s="196">
        <v>3592000000</v>
      </c>
      <c r="Z524" s="196">
        <v>418000000</v>
      </c>
      <c r="AA524" s="198">
        <v>0.11</v>
      </c>
      <c r="AB524" s="198">
        <v>0.1</v>
      </c>
      <c r="AC524" s="213">
        <f t="shared" si="95"/>
        <v>40</v>
      </c>
      <c r="AD524" s="213">
        <f t="shared" si="96"/>
        <v>17</v>
      </c>
      <c r="AE524" s="213">
        <v>27.33</v>
      </c>
      <c r="AF524" s="196">
        <v>68000000</v>
      </c>
      <c r="AG524" s="104">
        <f t="shared" si="97"/>
        <v>1.1703958691910499</v>
      </c>
      <c r="AH524" s="104">
        <f t="shared" si="98"/>
        <v>0.17391304347826086</v>
      </c>
      <c r="AI524" s="195">
        <v>1.31</v>
      </c>
    </row>
    <row r="525" spans="1:48">
      <c r="A525">
        <v>3002</v>
      </c>
      <c r="C525" s="107">
        <f>VLOOKUP(3002,收盤價!$A:$C,3,0)</f>
        <v>10</v>
      </c>
      <c r="D525" s="107">
        <f t="shared" si="88"/>
        <v>22.727272727272727</v>
      </c>
      <c r="E525" s="167">
        <f t="shared" si="89"/>
        <v>2</v>
      </c>
      <c r="F525" s="104">
        <f t="shared" si="90"/>
        <v>2.3558323016943516</v>
      </c>
      <c r="G525" s="167">
        <f>RANK(0.84,AE:AE,0)</f>
        <v>946</v>
      </c>
      <c r="H525" s="365">
        <f t="shared" si="91"/>
        <v>-0.22549019607843138</v>
      </c>
      <c r="I525" s="213">
        <f t="shared" si="92"/>
        <v>913</v>
      </c>
      <c r="J525" s="213">
        <f t="shared" si="93"/>
        <v>768</v>
      </c>
      <c r="K525">
        <f>RANK(0.93,AI:AI,0)</f>
        <v>950</v>
      </c>
      <c r="L525" s="357">
        <v>0</v>
      </c>
      <c r="M525" s="357">
        <v>1</v>
      </c>
      <c r="N525" s="357">
        <v>0</v>
      </c>
      <c r="O525" s="357">
        <v>1</v>
      </c>
      <c r="P525" s="357">
        <v>0</v>
      </c>
      <c r="Q525" s="358">
        <v>0.35632183908045978</v>
      </c>
      <c r="R525" s="359">
        <v>0.11</v>
      </c>
      <c r="S525" s="196">
        <v>432968000</v>
      </c>
      <c r="T525" s="196">
        <v>102000000</v>
      </c>
      <c r="U525" s="200">
        <f t="shared" si="94"/>
        <v>1020000000</v>
      </c>
      <c r="V525" s="196">
        <v>0</v>
      </c>
      <c r="W525" s="196">
        <v>1200000000</v>
      </c>
      <c r="X525" s="196">
        <v>205000000</v>
      </c>
      <c r="Y525" s="196">
        <v>1290000000</v>
      </c>
      <c r="Z525" s="196">
        <v>0</v>
      </c>
      <c r="AA525" s="198">
        <v>0</v>
      </c>
      <c r="AB525" s="198">
        <v>0</v>
      </c>
      <c r="AC525" s="213">
        <f t="shared" si="95"/>
        <v>945</v>
      </c>
      <c r="AD525" s="213">
        <f t="shared" si="96"/>
        <v>911</v>
      </c>
      <c r="AE525" s="213">
        <v>0.84</v>
      </c>
      <c r="AF525" s="196">
        <v>23000000</v>
      </c>
      <c r="AG525" s="104">
        <f t="shared" si="97"/>
        <v>0.22549019607843138</v>
      </c>
      <c r="AH525" s="104">
        <f t="shared" si="98"/>
        <v>0</v>
      </c>
      <c r="AI525" s="195">
        <v>0.93</v>
      </c>
      <c r="AO525" s="213"/>
      <c r="AP525" s="213"/>
      <c r="AQ525" s="213"/>
      <c r="AR525" s="213"/>
      <c r="AS525" s="213"/>
      <c r="AT525" s="213"/>
      <c r="AU525" s="213"/>
      <c r="AV525" s="213"/>
    </row>
    <row r="526" spans="1:48">
      <c r="A526">
        <v>3003</v>
      </c>
      <c r="C526" s="107">
        <f>VLOOKUP(3003,收盤價!$A:$C,3,0)</f>
        <v>35.799999999999997</v>
      </c>
      <c r="D526" s="107">
        <f t="shared" si="88"/>
        <v>14.916666666666666</v>
      </c>
      <c r="E526" s="167">
        <f t="shared" si="89"/>
        <v>3</v>
      </c>
      <c r="F526" s="104">
        <f t="shared" si="90"/>
        <v>1.9297868429006315</v>
      </c>
      <c r="G526" s="167">
        <f>RANK(0.84,AE:AE,0)</f>
        <v>946</v>
      </c>
      <c r="H526" s="365">
        <f t="shared" si="91"/>
        <v>-1.8432883750802826</v>
      </c>
      <c r="I526" s="213">
        <f t="shared" si="92"/>
        <v>259</v>
      </c>
      <c r="J526" s="213">
        <f t="shared" si="93"/>
        <v>768</v>
      </c>
      <c r="K526">
        <f>RANK(1.52,AI:AI,0)</f>
        <v>548</v>
      </c>
      <c r="L526" s="357">
        <v>0</v>
      </c>
      <c r="M526" s="357">
        <v>1</v>
      </c>
      <c r="N526" s="357">
        <v>1</v>
      </c>
      <c r="O526" s="357">
        <v>1</v>
      </c>
      <c r="P526" s="357">
        <v>0</v>
      </c>
      <c r="Q526" s="358">
        <v>0.35778635778635781</v>
      </c>
      <c r="R526" s="359">
        <v>0.6</v>
      </c>
      <c r="S526" s="196">
        <v>2888433000</v>
      </c>
      <c r="T526" s="196">
        <v>155700000</v>
      </c>
      <c r="U526" s="200">
        <f t="shared" si="94"/>
        <v>5574060000</v>
      </c>
      <c r="V526" s="196">
        <v>0</v>
      </c>
      <c r="W526" s="196">
        <v>3220000000</v>
      </c>
      <c r="X526" s="196">
        <v>1131000000</v>
      </c>
      <c r="Y526" s="196">
        <v>4071000000</v>
      </c>
      <c r="Z526" s="196">
        <v>341000000</v>
      </c>
      <c r="AA526" s="198">
        <v>0</v>
      </c>
      <c r="AB526" s="198">
        <v>0</v>
      </c>
      <c r="AC526" s="213">
        <f t="shared" si="95"/>
        <v>945</v>
      </c>
      <c r="AD526" s="213">
        <f t="shared" si="96"/>
        <v>911</v>
      </c>
      <c r="AE526" s="213">
        <v>0.84</v>
      </c>
      <c r="AF526" s="196">
        <v>287000000</v>
      </c>
      <c r="AG526" s="104">
        <f t="shared" si="97"/>
        <v>1.8432883750802826</v>
      </c>
      <c r="AH526" s="104">
        <f t="shared" si="98"/>
        <v>0</v>
      </c>
      <c r="AI526" s="195">
        <v>1.52</v>
      </c>
      <c r="AO526" s="213"/>
      <c r="AP526" s="213"/>
      <c r="AQ526" s="213"/>
      <c r="AR526" s="213"/>
      <c r="AS526" s="213"/>
      <c r="AT526" s="213"/>
      <c r="AU526" s="213"/>
      <c r="AV526" s="213"/>
    </row>
    <row r="527" spans="1:48">
      <c r="A527">
        <v>3004</v>
      </c>
      <c r="C527" s="107">
        <f>VLOOKUP(3004,收盤價!$A:$C,3,0)</f>
        <v>57.2</v>
      </c>
      <c r="D527" s="107">
        <f t="shared" si="88"/>
        <v>13.24074074074074</v>
      </c>
      <c r="E527" s="167">
        <f t="shared" si="89"/>
        <v>1</v>
      </c>
      <c r="F527" s="104">
        <f t="shared" si="90"/>
        <v>1.862697330256821</v>
      </c>
      <c r="G527" s="167">
        <f>RANK(3.28,AE:AE,0)</f>
        <v>256</v>
      </c>
      <c r="H527" s="365">
        <f t="shared" si="91"/>
        <v>9.5057034220532313E-2</v>
      </c>
      <c r="I527" s="213">
        <f t="shared" si="92"/>
        <v>1133</v>
      </c>
      <c r="J527" s="213">
        <f t="shared" si="93"/>
        <v>768</v>
      </c>
      <c r="K527">
        <f>RANK(0.82,AI:AI,0)</f>
        <v>1121</v>
      </c>
      <c r="L527" s="357">
        <v>0</v>
      </c>
      <c r="M527" s="357">
        <v>1</v>
      </c>
      <c r="N527" s="357">
        <v>0</v>
      </c>
      <c r="O527" s="357">
        <v>0</v>
      </c>
      <c r="P527" s="357">
        <v>0</v>
      </c>
      <c r="Q527" s="358">
        <v>0.32169576059850374</v>
      </c>
      <c r="R527" s="359">
        <v>1.08</v>
      </c>
      <c r="S527" s="196">
        <v>1615249000</v>
      </c>
      <c r="T527" s="196">
        <v>52600000</v>
      </c>
      <c r="U527" s="200">
        <f t="shared" si="94"/>
        <v>3008720000</v>
      </c>
      <c r="V527" s="196">
        <v>72000000</v>
      </c>
      <c r="W527" s="196">
        <v>31000000</v>
      </c>
      <c r="X527" s="196">
        <v>1528000000</v>
      </c>
      <c r="Y527" s="196">
        <v>1332000000</v>
      </c>
      <c r="Z527" s="196">
        <v>290000000</v>
      </c>
      <c r="AA527" s="198">
        <v>0.05</v>
      </c>
      <c r="AB527" s="198">
        <v>0.04</v>
      </c>
      <c r="AC527" s="213">
        <f t="shared" si="95"/>
        <v>247</v>
      </c>
      <c r="AD527" s="213">
        <f t="shared" si="96"/>
        <v>228</v>
      </c>
      <c r="AE527" s="213">
        <v>3.28</v>
      </c>
      <c r="AF527" s="196">
        <v>-5000000</v>
      </c>
      <c r="AG527" s="104">
        <f t="shared" si="97"/>
        <v>-9.5057034220532313E-2</v>
      </c>
      <c r="AH527" s="104">
        <f t="shared" si="98"/>
        <v>0</v>
      </c>
      <c r="AI527" s="195">
        <v>0.82</v>
      </c>
    </row>
    <row r="528" spans="1:48">
      <c r="A528">
        <v>3005</v>
      </c>
      <c r="C528" s="107">
        <f>VLOOKUP(3005,收盤價!$A:$C,3,0)</f>
        <v>42.2</v>
      </c>
      <c r="D528" s="107">
        <f t="shared" si="88"/>
        <v>18.06153742459475</v>
      </c>
      <c r="E528" s="167">
        <f t="shared" si="89"/>
        <v>5</v>
      </c>
      <c r="F528" s="104">
        <f t="shared" si="90"/>
        <v>1.2790614104511133</v>
      </c>
      <c r="G528" s="167">
        <f>RANK(2.32,AE:AE,0)</f>
        <v>360</v>
      </c>
      <c r="H528" s="365">
        <f t="shared" si="91"/>
        <v>0.1426559350145461</v>
      </c>
      <c r="I528" s="213">
        <f t="shared" si="92"/>
        <v>633</v>
      </c>
      <c r="J528" s="213">
        <f t="shared" si="93"/>
        <v>571</v>
      </c>
      <c r="K528">
        <f>RANK(1.29,AI:AI,0)</f>
        <v>682</v>
      </c>
      <c r="L528" s="357">
        <v>1</v>
      </c>
      <c r="M528" s="357">
        <v>1</v>
      </c>
      <c r="N528" s="357">
        <v>2</v>
      </c>
      <c r="O528" s="357">
        <v>1</v>
      </c>
      <c r="P528" s="357">
        <v>0</v>
      </c>
      <c r="Q528" s="358">
        <v>0.26635612957865762</v>
      </c>
      <c r="R528" s="359">
        <v>0.58411417322834647</v>
      </c>
      <c r="S528" s="196">
        <v>18700400000</v>
      </c>
      <c r="T528" s="196">
        <v>566800000</v>
      </c>
      <c r="U528" s="200">
        <f t="shared" si="94"/>
        <v>23918960000</v>
      </c>
      <c r="V528" s="196">
        <v>474000000</v>
      </c>
      <c r="W528" s="196">
        <v>5842000000</v>
      </c>
      <c r="X528" s="196">
        <v>5699000000</v>
      </c>
      <c r="Y528" s="196">
        <v>13858000000</v>
      </c>
      <c r="Z528" s="196">
        <v>782000000</v>
      </c>
      <c r="AA528" s="198">
        <v>0.04</v>
      </c>
      <c r="AB528" s="198">
        <v>0.03</v>
      </c>
      <c r="AC528" s="213">
        <f t="shared" si="95"/>
        <v>337</v>
      </c>
      <c r="AD528" s="213">
        <f t="shared" si="96"/>
        <v>334</v>
      </c>
      <c r="AE528" s="213">
        <v>2.3199999999999998</v>
      </c>
      <c r="AF528" s="196">
        <v>413000000</v>
      </c>
      <c r="AG528" s="104">
        <f t="shared" si="97"/>
        <v>0.72865208186309105</v>
      </c>
      <c r="AH528" s="104">
        <f t="shared" si="98"/>
        <v>0.87130801687763715</v>
      </c>
      <c r="AI528" s="195">
        <v>1.29</v>
      </c>
      <c r="AO528" s="213"/>
      <c r="AP528" s="213"/>
      <c r="AQ528" s="213"/>
      <c r="AR528" s="213"/>
      <c r="AS528" s="213"/>
      <c r="AT528" s="213"/>
      <c r="AU528" s="213"/>
      <c r="AV528" s="213"/>
    </row>
    <row r="529" spans="1:48">
      <c r="A529">
        <v>3006</v>
      </c>
      <c r="C529" s="107">
        <f>VLOOKUP(3006,收盤價!$A:$C,3,0)</f>
        <v>33.5</v>
      </c>
      <c r="D529" s="107">
        <f t="shared" si="88"/>
        <v>71.818284936479131</v>
      </c>
      <c r="E529" s="167">
        <f t="shared" si="89"/>
        <v>4</v>
      </c>
      <c r="F529" s="104">
        <f t="shared" si="90"/>
        <v>1.0569225696412812</v>
      </c>
      <c r="G529" s="167">
        <f>RANK(1.08,AE:AE,0)</f>
        <v>769</v>
      </c>
      <c r="H529" s="365">
        <f t="shared" si="91"/>
        <v>8.4378558090813875</v>
      </c>
      <c r="I529" s="213">
        <f t="shared" si="92"/>
        <v>385</v>
      </c>
      <c r="J529" s="213">
        <f t="shared" si="93"/>
        <v>41</v>
      </c>
      <c r="K529">
        <f>RANK(3.66,AI:AI,0)</f>
        <v>117</v>
      </c>
      <c r="L529" s="357">
        <v>0</v>
      </c>
      <c r="M529" s="357">
        <v>1</v>
      </c>
      <c r="N529" s="357">
        <v>2</v>
      </c>
      <c r="O529" s="357">
        <v>1</v>
      </c>
      <c r="P529" s="357">
        <v>0</v>
      </c>
      <c r="Q529" s="358">
        <v>0.14836223506743737</v>
      </c>
      <c r="R529" s="359">
        <v>0.1166137566137566</v>
      </c>
      <c r="S529" s="196">
        <v>8922366000</v>
      </c>
      <c r="T529" s="196">
        <v>281500000</v>
      </c>
      <c r="U529" s="200">
        <f t="shared" si="94"/>
        <v>9430250000</v>
      </c>
      <c r="V529" s="196">
        <v>39000000</v>
      </c>
      <c r="W529" s="196">
        <v>5160000000</v>
      </c>
      <c r="X529" s="196">
        <v>783000000</v>
      </c>
      <c r="Y529" s="196">
        <v>6696000000</v>
      </c>
      <c r="Z529" s="196">
        <v>0</v>
      </c>
      <c r="AA529" s="198">
        <v>0.01</v>
      </c>
      <c r="AB529" s="198">
        <v>0.01</v>
      </c>
      <c r="AC529" s="213">
        <f t="shared" si="95"/>
        <v>769</v>
      </c>
      <c r="AD529" s="213">
        <f t="shared" si="96"/>
        <v>680</v>
      </c>
      <c r="AE529" s="213">
        <v>1.08</v>
      </c>
      <c r="AF529" s="196">
        <v>382000000</v>
      </c>
      <c r="AG529" s="104">
        <f t="shared" si="97"/>
        <v>1.3570159857904085</v>
      </c>
      <c r="AH529" s="104">
        <f t="shared" si="98"/>
        <v>9.7948717948717956</v>
      </c>
      <c r="AI529" s="195">
        <v>3.66</v>
      </c>
      <c r="AO529" s="213"/>
      <c r="AP529" s="213"/>
      <c r="AQ529" s="213"/>
      <c r="AR529" s="213"/>
      <c r="AS529" s="213"/>
      <c r="AT529" s="213"/>
      <c r="AU529" s="213"/>
      <c r="AV529" s="213"/>
    </row>
    <row r="530" spans="1:48">
      <c r="A530">
        <v>3008</v>
      </c>
      <c r="C530" s="107">
        <f>VLOOKUP(3008,收盤價!$A:$C,3,0)</f>
        <v>3770</v>
      </c>
      <c r="D530" s="107">
        <f t="shared" si="88"/>
        <v>35.556123727029075</v>
      </c>
      <c r="E530" s="167">
        <f t="shared" si="89"/>
        <v>2</v>
      </c>
      <c r="F530" s="104">
        <f t="shared" si="90"/>
        <v>10.272019965823937</v>
      </c>
      <c r="G530" s="167">
        <f>RANK(18.55,AE:AE,0)</f>
        <v>42</v>
      </c>
      <c r="H530" s="365">
        <f t="shared" si="91"/>
        <v>-9.8703755220951042</v>
      </c>
      <c r="I530" s="213">
        <f t="shared" si="92"/>
        <v>6</v>
      </c>
      <c r="J530" s="213">
        <f t="shared" si="93"/>
        <v>734</v>
      </c>
      <c r="K530">
        <f>RANK(2.11,AI:AI,0)</f>
        <v>307</v>
      </c>
      <c r="L530" s="357">
        <v>0</v>
      </c>
      <c r="M530" s="357">
        <v>1</v>
      </c>
      <c r="N530" s="357">
        <v>0</v>
      </c>
      <c r="O530" s="357">
        <v>1</v>
      </c>
      <c r="P530" s="357">
        <v>0</v>
      </c>
      <c r="Q530" s="358">
        <v>0.66367980884109912</v>
      </c>
      <c r="R530" s="359">
        <v>26.507388916625064</v>
      </c>
      <c r="S530" s="196">
        <v>49216902000</v>
      </c>
      <c r="T530" s="196">
        <v>134100000</v>
      </c>
      <c r="U530" s="200">
        <f t="shared" si="94"/>
        <v>505557000000</v>
      </c>
      <c r="V530" s="196">
        <v>5790000000</v>
      </c>
      <c r="W530" s="196">
        <v>38745000000</v>
      </c>
      <c r="X530" s="196">
        <v>20153000000</v>
      </c>
      <c r="Y530" s="196">
        <v>61662000000</v>
      </c>
      <c r="Z530" s="196">
        <v>79000000</v>
      </c>
      <c r="AA530" s="198">
        <v>0.1</v>
      </c>
      <c r="AB530" s="198">
        <v>0.09</v>
      </c>
      <c r="AC530" s="213">
        <f t="shared" si="95"/>
        <v>52</v>
      </c>
      <c r="AD530" s="213">
        <f t="shared" si="96"/>
        <v>32</v>
      </c>
      <c r="AE530" s="213">
        <v>18.55</v>
      </c>
      <c r="AF530" s="196">
        <v>1355000000</v>
      </c>
      <c r="AG530" s="104">
        <f t="shared" si="97"/>
        <v>10.104399701715138</v>
      </c>
      <c r="AH530" s="104">
        <f t="shared" si="98"/>
        <v>0.23402417962003455</v>
      </c>
      <c r="AI530" s="195">
        <v>2.11</v>
      </c>
      <c r="AO530" s="213"/>
      <c r="AP530" s="213"/>
      <c r="AQ530" s="213"/>
      <c r="AR530" s="213"/>
      <c r="AS530" s="213"/>
      <c r="AT530" s="213"/>
      <c r="AU530" s="213"/>
      <c r="AV530" s="213"/>
    </row>
    <row r="531" spans="1:48">
      <c r="A531">
        <v>3010</v>
      </c>
      <c r="C531" s="107">
        <f>VLOOKUP(3010,收盤價!$A:$C,3,0)</f>
        <v>45.55</v>
      </c>
      <c r="D531" s="107">
        <f t="shared" si="88"/>
        <v>13.241279069767442</v>
      </c>
      <c r="E531" s="167">
        <f t="shared" si="89"/>
        <v>3</v>
      </c>
      <c r="F531" s="104">
        <f t="shared" si="90"/>
        <v>0.26008537244048557</v>
      </c>
      <c r="G531" s="167">
        <f>RANK(0.84,AE:AE,0)</f>
        <v>946</v>
      </c>
      <c r="H531" s="365">
        <f t="shared" si="91"/>
        <v>-1.9749351771823682</v>
      </c>
      <c r="I531" s="213">
        <f t="shared" si="92"/>
        <v>234</v>
      </c>
      <c r="J531" s="213">
        <f t="shared" si="93"/>
        <v>768</v>
      </c>
      <c r="K531">
        <f>RANK(1.55,AI:AI,0)</f>
        <v>529</v>
      </c>
      <c r="L531" s="357">
        <v>0</v>
      </c>
      <c r="M531" s="357">
        <v>0</v>
      </c>
      <c r="N531" s="357">
        <v>2</v>
      </c>
      <c r="O531" s="357">
        <v>1</v>
      </c>
      <c r="P531" s="357">
        <v>0</v>
      </c>
      <c r="Q531" s="358">
        <v>9.1554853985793216E-2</v>
      </c>
      <c r="R531" s="359">
        <v>0.86</v>
      </c>
      <c r="S531" s="196">
        <v>40526193000</v>
      </c>
      <c r="T531" s="196">
        <v>231400000</v>
      </c>
      <c r="U531" s="200">
        <f t="shared" si="94"/>
        <v>10540270000</v>
      </c>
      <c r="V531" s="196">
        <v>0</v>
      </c>
      <c r="W531" s="196">
        <v>6891000000</v>
      </c>
      <c r="X531" s="196">
        <v>2526000000</v>
      </c>
      <c r="Y531" s="196">
        <v>10527000000</v>
      </c>
      <c r="Z531" s="196">
        <v>3074000000</v>
      </c>
      <c r="AA531" s="198">
        <v>0</v>
      </c>
      <c r="AB531" s="198">
        <v>0</v>
      </c>
      <c r="AC531" s="213">
        <f t="shared" si="95"/>
        <v>945</v>
      </c>
      <c r="AD531" s="213">
        <f t="shared" si="96"/>
        <v>911</v>
      </c>
      <c r="AE531" s="213">
        <v>0.84</v>
      </c>
      <c r="AF531" s="196">
        <v>457000000</v>
      </c>
      <c r="AG531" s="104">
        <f t="shared" si="97"/>
        <v>1.9749351771823682</v>
      </c>
      <c r="AH531" s="104">
        <f t="shared" si="98"/>
        <v>0</v>
      </c>
      <c r="AI531" s="195">
        <v>1.55</v>
      </c>
    </row>
    <row r="532" spans="1:48">
      <c r="A532">
        <v>3011</v>
      </c>
      <c r="C532" s="107">
        <f>VLOOKUP(3011,收盤價!$A:$C,3,0)</f>
        <v>7.07</v>
      </c>
      <c r="D532" s="107">
        <f t="shared" si="88"/>
        <v>0</v>
      </c>
      <c r="E532" s="167">
        <f t="shared" si="89"/>
        <v>4</v>
      </c>
      <c r="F532" s="104">
        <f t="shared" si="90"/>
        <v>0.37463249727884601</v>
      </c>
      <c r="G532" s="167">
        <f>RANK(0.84,AE:AE,0)</f>
        <v>946</v>
      </c>
      <c r="H532" s="365">
        <f t="shared" si="91"/>
        <v>-7.0984915705412599E-2</v>
      </c>
      <c r="I532" s="213">
        <f t="shared" si="92"/>
        <v>1017</v>
      </c>
      <c r="J532" s="213">
        <f t="shared" si="93"/>
        <v>768</v>
      </c>
      <c r="K532">
        <f>RANK(0.87,AI:AI,0)</f>
        <v>1035</v>
      </c>
      <c r="L532" s="357">
        <v>0</v>
      </c>
      <c r="M532" s="357">
        <v>1</v>
      </c>
      <c r="N532" s="357">
        <v>2</v>
      </c>
      <c r="O532" s="357">
        <v>1</v>
      </c>
      <c r="P532" s="357">
        <v>0</v>
      </c>
      <c r="Q532" s="358">
        <v>9.2495636998254804E-2</v>
      </c>
      <c r="R532" s="359">
        <v>0</v>
      </c>
      <c r="S532" s="196">
        <v>2126855000</v>
      </c>
      <c r="T532" s="196">
        <v>112700000</v>
      </c>
      <c r="U532" s="200">
        <f t="shared" si="94"/>
        <v>796789000</v>
      </c>
      <c r="V532" s="196">
        <v>-4000000</v>
      </c>
      <c r="W532" s="196">
        <v>631000000</v>
      </c>
      <c r="X532" s="196">
        <v>446000000</v>
      </c>
      <c r="Y532" s="196">
        <v>1309000000</v>
      </c>
      <c r="Z532" s="196">
        <v>227000000</v>
      </c>
      <c r="AA532" s="198">
        <v>0</v>
      </c>
      <c r="AB532" s="198">
        <v>0</v>
      </c>
      <c r="AC532" s="213">
        <f t="shared" si="95"/>
        <v>945</v>
      </c>
      <c r="AD532" s="213">
        <f t="shared" si="96"/>
        <v>911</v>
      </c>
      <c r="AE532" s="213">
        <v>0.84</v>
      </c>
      <c r="AF532" s="196">
        <v>8000000</v>
      </c>
      <c r="AG532" s="104">
        <f t="shared" si="97"/>
        <v>7.0984915705412599E-2</v>
      </c>
      <c r="AH532" s="104">
        <f t="shared" si="98"/>
        <v>0</v>
      </c>
      <c r="AI532" s="195">
        <v>0.87</v>
      </c>
      <c r="AO532" s="213"/>
      <c r="AP532" s="213"/>
      <c r="AQ532" s="213"/>
      <c r="AR532" s="213"/>
      <c r="AS532" s="213"/>
      <c r="AT532" s="213"/>
      <c r="AU532" s="213"/>
      <c r="AV532" s="213"/>
    </row>
    <row r="533" spans="1:48">
      <c r="A533">
        <v>3013</v>
      </c>
      <c r="C533" s="107">
        <f>VLOOKUP(3013,收盤價!$A:$C,3,0)</f>
        <v>18.45</v>
      </c>
      <c r="D533" s="107">
        <f t="shared" si="88"/>
        <v>22.937837837837836</v>
      </c>
      <c r="E533" s="167">
        <f t="shared" si="89"/>
        <v>4</v>
      </c>
      <c r="F533" s="104">
        <f t="shared" si="90"/>
        <v>0.93036785791931831</v>
      </c>
      <c r="G533" s="167">
        <f>RANK(2.32,AE:AE,0)</f>
        <v>360</v>
      </c>
      <c r="H533" s="365">
        <f t="shared" si="91"/>
        <v>1.1983447235288898</v>
      </c>
      <c r="I533" s="213">
        <f t="shared" si="92"/>
        <v>567</v>
      </c>
      <c r="J533" s="213">
        <f t="shared" si="93"/>
        <v>248</v>
      </c>
      <c r="K533">
        <f>RANK(1.91,AI:AI,0)</f>
        <v>376</v>
      </c>
      <c r="L533" s="357">
        <v>0</v>
      </c>
      <c r="M533" s="357">
        <v>1</v>
      </c>
      <c r="N533" s="357">
        <v>1</v>
      </c>
      <c r="O533" s="357">
        <v>1</v>
      </c>
      <c r="P533" s="357">
        <v>1</v>
      </c>
      <c r="Q533" s="358">
        <v>0.13821892393320964</v>
      </c>
      <c r="R533" s="359">
        <v>0.20108695652173914</v>
      </c>
      <c r="S533" s="196">
        <v>3527911000</v>
      </c>
      <c r="T533" s="196">
        <v>177900000</v>
      </c>
      <c r="U533" s="200">
        <f t="shared" si="94"/>
        <v>3282255000</v>
      </c>
      <c r="V533" s="196">
        <v>76000000</v>
      </c>
      <c r="W533" s="196">
        <v>971000000</v>
      </c>
      <c r="X533" s="196">
        <v>1179000000</v>
      </c>
      <c r="Y533" s="196">
        <v>2493000000</v>
      </c>
      <c r="Z533" s="196">
        <v>198000000</v>
      </c>
      <c r="AA533" s="198">
        <v>0.04</v>
      </c>
      <c r="AB533" s="198">
        <v>0.03</v>
      </c>
      <c r="AC533" s="213">
        <f t="shared" si="95"/>
        <v>337</v>
      </c>
      <c r="AD533" s="213">
        <f t="shared" si="96"/>
        <v>334</v>
      </c>
      <c r="AE533" s="213">
        <v>2.3199999999999998</v>
      </c>
      <c r="AF533" s="196">
        <v>159000000</v>
      </c>
      <c r="AG533" s="104">
        <f t="shared" si="97"/>
        <v>0.89376053962900504</v>
      </c>
      <c r="AH533" s="104">
        <f t="shared" si="98"/>
        <v>2.0921052631578947</v>
      </c>
      <c r="AI533" s="195">
        <v>1.91</v>
      </c>
      <c r="AO533" s="213"/>
      <c r="AP533" s="213"/>
      <c r="AQ533" s="213"/>
      <c r="AR533" s="213"/>
      <c r="AS533" s="213"/>
      <c r="AT533" s="213"/>
      <c r="AU533" s="213"/>
      <c r="AV533" s="213"/>
    </row>
    <row r="534" spans="1:48">
      <c r="A534">
        <v>3014</v>
      </c>
      <c r="C534" s="107">
        <f>VLOOKUP(3014,收盤價!$A:$C,3,0)</f>
        <v>29.45</v>
      </c>
      <c r="D534" s="107">
        <f t="shared" si="88"/>
        <v>13.160377358490566</v>
      </c>
      <c r="E534" s="167">
        <f t="shared" si="89"/>
        <v>3</v>
      </c>
      <c r="F534" s="104">
        <f t="shared" si="90"/>
        <v>1.4917122906900688</v>
      </c>
      <c r="G534" s="167">
        <f>RANK(2.32,AE:AE,0)</f>
        <v>360</v>
      </c>
      <c r="H534" s="365">
        <f t="shared" si="91"/>
        <v>0.26599113362887905</v>
      </c>
      <c r="I534" s="213">
        <f t="shared" si="92"/>
        <v>1254</v>
      </c>
      <c r="J534" s="213">
        <f t="shared" si="93"/>
        <v>768</v>
      </c>
      <c r="K534">
        <f>RANK(0.77,AI:AI,0)</f>
        <v>1243</v>
      </c>
      <c r="L534" s="357">
        <v>0</v>
      </c>
      <c r="M534" s="357">
        <v>1</v>
      </c>
      <c r="N534" s="357">
        <v>2</v>
      </c>
      <c r="O534" s="357">
        <v>0</v>
      </c>
      <c r="P534" s="357">
        <v>0</v>
      </c>
      <c r="Q534" s="358">
        <v>0.4986910994764398</v>
      </c>
      <c r="R534" s="359">
        <v>0.55944444444444441</v>
      </c>
      <c r="S534" s="196">
        <v>3117327000</v>
      </c>
      <c r="T534" s="196">
        <v>157900000</v>
      </c>
      <c r="U534" s="200">
        <f t="shared" si="94"/>
        <v>4650155000</v>
      </c>
      <c r="V534" s="196">
        <v>107000000</v>
      </c>
      <c r="W534" s="196">
        <v>2760000000</v>
      </c>
      <c r="X534" s="196">
        <v>266000000</v>
      </c>
      <c r="Y534" s="196">
        <v>3579000000</v>
      </c>
      <c r="Z534" s="196">
        <v>0</v>
      </c>
      <c r="AA534" s="198">
        <v>0.04</v>
      </c>
      <c r="AB534" s="198">
        <v>0.03</v>
      </c>
      <c r="AC534" s="213">
        <f t="shared" si="95"/>
        <v>337</v>
      </c>
      <c r="AD534" s="213">
        <f t="shared" si="96"/>
        <v>334</v>
      </c>
      <c r="AE534" s="213">
        <v>2.3199999999999998</v>
      </c>
      <c r="AF534" s="196">
        <v>-42000000</v>
      </c>
      <c r="AG534" s="104">
        <f t="shared" si="97"/>
        <v>-0.26599113362887905</v>
      </c>
      <c r="AH534" s="104">
        <f t="shared" si="98"/>
        <v>0</v>
      </c>
      <c r="AI534" s="195">
        <v>0.77</v>
      </c>
      <c r="AO534" s="213"/>
      <c r="AP534" s="213"/>
      <c r="AQ534" s="213"/>
      <c r="AR534" s="213"/>
      <c r="AS534" s="213"/>
      <c r="AT534" s="213"/>
      <c r="AU534" s="213"/>
      <c r="AV534" s="213"/>
    </row>
    <row r="535" spans="1:48">
      <c r="A535">
        <v>3015</v>
      </c>
      <c r="C535" s="107">
        <f>VLOOKUP(3015,收盤價!$A:$C,3,0)</f>
        <v>24.4</v>
      </c>
      <c r="D535" s="107">
        <f t="shared" si="88"/>
        <v>21.146666666666668</v>
      </c>
      <c r="E535" s="167">
        <f t="shared" si="89"/>
        <v>3</v>
      </c>
      <c r="F535" s="104">
        <f t="shared" si="90"/>
        <v>0.31459236791078998</v>
      </c>
      <c r="G535" s="167">
        <f>RANK(1.08,AE:AE,0)</f>
        <v>769</v>
      </c>
      <c r="H535" s="365">
        <f t="shared" si="91"/>
        <v>2.4076963078523139</v>
      </c>
      <c r="I535" s="213">
        <f t="shared" si="92"/>
        <v>1527</v>
      </c>
      <c r="J535" s="213">
        <f t="shared" si="93"/>
        <v>768</v>
      </c>
      <c r="K535">
        <f>RANK(0.68,AI:AI,0)</f>
        <v>1507</v>
      </c>
      <c r="L535" s="357">
        <v>0</v>
      </c>
      <c r="M535" s="357">
        <v>1</v>
      </c>
      <c r="N535" s="357">
        <v>2</v>
      </c>
      <c r="O535" s="357">
        <v>0</v>
      </c>
      <c r="P535" s="357">
        <v>0</v>
      </c>
      <c r="Q535" s="358">
        <v>0.12446781868269471</v>
      </c>
      <c r="R535" s="359">
        <v>0.28846153846153844</v>
      </c>
      <c r="S535" s="196">
        <v>14914920000</v>
      </c>
      <c r="T535" s="196">
        <v>192300000</v>
      </c>
      <c r="U535" s="200">
        <f t="shared" si="94"/>
        <v>4692120000</v>
      </c>
      <c r="V535" s="196">
        <v>76000000</v>
      </c>
      <c r="W535" s="196">
        <v>3940000000</v>
      </c>
      <c r="X535" s="196">
        <v>1273000000</v>
      </c>
      <c r="Y535" s="196">
        <v>8251000000</v>
      </c>
      <c r="Z535" s="196">
        <v>129000000</v>
      </c>
      <c r="AA535" s="198">
        <v>0.01</v>
      </c>
      <c r="AB535" s="198">
        <v>0.01</v>
      </c>
      <c r="AC535" s="213">
        <f t="shared" si="95"/>
        <v>769</v>
      </c>
      <c r="AD535" s="213">
        <f t="shared" si="96"/>
        <v>680</v>
      </c>
      <c r="AE535" s="213">
        <v>1.08</v>
      </c>
      <c r="AF535" s="196">
        <v>-463000000</v>
      </c>
      <c r="AG535" s="104">
        <f t="shared" si="97"/>
        <v>-2.4076963078523139</v>
      </c>
      <c r="AH535" s="104">
        <f t="shared" si="98"/>
        <v>0</v>
      </c>
      <c r="AI535" s="195">
        <v>0.68</v>
      </c>
    </row>
    <row r="536" spans="1:48">
      <c r="A536">
        <v>3016</v>
      </c>
      <c r="C536" s="107">
        <f>VLOOKUP(3016,收盤價!$A:$C,3,0)</f>
        <v>18.3</v>
      </c>
      <c r="D536" s="107">
        <f t="shared" si="88"/>
        <v>77.078804347826093</v>
      </c>
      <c r="E536" s="167">
        <f t="shared" si="89"/>
        <v>2</v>
      </c>
      <c r="F536" s="104">
        <f t="shared" si="90"/>
        <v>2.3066611975760578</v>
      </c>
      <c r="G536" s="167">
        <f>RANK(1.08,AE:AE,0)</f>
        <v>769</v>
      </c>
      <c r="H536" s="365">
        <f t="shared" si="91"/>
        <v>0.71389343703097285</v>
      </c>
      <c r="I536" s="213">
        <f t="shared" si="92"/>
        <v>1016</v>
      </c>
      <c r="J536" s="213">
        <f t="shared" si="93"/>
        <v>599</v>
      </c>
      <c r="K536">
        <f>RANK(0.96,AI:AI,0)</f>
        <v>922</v>
      </c>
      <c r="L536" s="357">
        <v>0</v>
      </c>
      <c r="M536" s="357">
        <v>1</v>
      </c>
      <c r="N536" s="357">
        <v>0</v>
      </c>
      <c r="O536" s="357">
        <v>1</v>
      </c>
      <c r="P536" s="357">
        <v>0</v>
      </c>
      <c r="Q536" s="358">
        <v>0.10335570469798658</v>
      </c>
      <c r="R536" s="359">
        <v>5.9354838709677421E-2</v>
      </c>
      <c r="S536" s="196">
        <v>1938165000</v>
      </c>
      <c r="T536" s="196">
        <v>244300000</v>
      </c>
      <c r="U536" s="200">
        <f t="shared" si="94"/>
        <v>4470690000</v>
      </c>
      <c r="V536" s="196">
        <v>24000000</v>
      </c>
      <c r="W536" s="196">
        <v>1148000000</v>
      </c>
      <c r="X536" s="196">
        <v>1404000000</v>
      </c>
      <c r="Y536" s="196">
        <v>2730000000</v>
      </c>
      <c r="Z536" s="196">
        <v>231000000</v>
      </c>
      <c r="AA536" s="198">
        <v>0.01</v>
      </c>
      <c r="AB536" s="198">
        <v>0.01</v>
      </c>
      <c r="AC536" s="213">
        <f t="shared" si="95"/>
        <v>769</v>
      </c>
      <c r="AD536" s="213">
        <f t="shared" si="96"/>
        <v>680</v>
      </c>
      <c r="AE536" s="213">
        <v>1.08</v>
      </c>
      <c r="AF536" s="196">
        <v>19000000</v>
      </c>
      <c r="AG536" s="104">
        <f t="shared" si="97"/>
        <v>7.7773229635693816E-2</v>
      </c>
      <c r="AH536" s="104">
        <f t="shared" si="98"/>
        <v>0.79166666666666663</v>
      </c>
      <c r="AI536" s="195">
        <v>0.96</v>
      </c>
      <c r="AO536" s="213"/>
      <c r="AP536" s="213"/>
      <c r="AQ536" s="213"/>
      <c r="AR536" s="213"/>
      <c r="AS536" s="213"/>
      <c r="AT536" s="213"/>
      <c r="AU536" s="213"/>
      <c r="AV536" s="213"/>
    </row>
    <row r="537" spans="1:48">
      <c r="A537">
        <v>3017</v>
      </c>
      <c r="C537" s="107">
        <f>VLOOKUP(3017,收盤價!$A:$C,3,0)</f>
        <v>24</v>
      </c>
      <c r="D537" s="107">
        <f t="shared" si="88"/>
        <v>10.187805505531257</v>
      </c>
      <c r="E537" s="167">
        <f t="shared" si="89"/>
        <v>3</v>
      </c>
      <c r="F537" s="104">
        <f t="shared" si="90"/>
        <v>0.32478957835768829</v>
      </c>
      <c r="G537" s="167">
        <f>RANK(1.94,AE:AE,0)</f>
        <v>435</v>
      </c>
      <c r="H537" s="365">
        <f t="shared" si="91"/>
        <v>0.11038777243136146</v>
      </c>
      <c r="I537" s="213">
        <f t="shared" si="92"/>
        <v>1147</v>
      </c>
      <c r="J537" s="213">
        <f t="shared" si="93"/>
        <v>768</v>
      </c>
      <c r="K537">
        <f>RANK(0.81,AI:AI,0)</f>
        <v>1144</v>
      </c>
      <c r="L537" s="357">
        <v>0</v>
      </c>
      <c r="M537" s="357">
        <v>1</v>
      </c>
      <c r="N537" s="357">
        <v>2</v>
      </c>
      <c r="O537" s="357">
        <v>0</v>
      </c>
      <c r="P537" s="357">
        <v>0</v>
      </c>
      <c r="Q537" s="358">
        <v>0.12839116719242902</v>
      </c>
      <c r="R537" s="359">
        <v>0.58893939393939398</v>
      </c>
      <c r="S537" s="196">
        <v>26106749000</v>
      </c>
      <c r="T537" s="196">
        <v>353300000</v>
      </c>
      <c r="U537" s="200">
        <f t="shared" si="94"/>
        <v>8479200000</v>
      </c>
      <c r="V537" s="196">
        <v>327000000</v>
      </c>
      <c r="W537" s="196">
        <v>4940000000</v>
      </c>
      <c r="X537" s="196">
        <v>5547000000</v>
      </c>
      <c r="Y537" s="196">
        <v>8482000000</v>
      </c>
      <c r="Z537" s="196">
        <v>2861000000</v>
      </c>
      <c r="AA537" s="198">
        <v>0.03</v>
      </c>
      <c r="AB537" s="198">
        <v>0.03</v>
      </c>
      <c r="AC537" s="213">
        <f t="shared" si="95"/>
        <v>469</v>
      </c>
      <c r="AD537" s="213">
        <f t="shared" si="96"/>
        <v>334</v>
      </c>
      <c r="AE537" s="213">
        <v>1.94</v>
      </c>
      <c r="AF537" s="196">
        <v>-39000000</v>
      </c>
      <c r="AG537" s="104">
        <f t="shared" si="97"/>
        <v>-0.11038777243136146</v>
      </c>
      <c r="AH537" s="104">
        <f t="shared" si="98"/>
        <v>0</v>
      </c>
      <c r="AI537" s="195">
        <v>0.81</v>
      </c>
    </row>
    <row r="538" spans="1:48">
      <c r="A538">
        <v>3018</v>
      </c>
      <c r="C538" s="107">
        <f>VLOOKUP(3018,收盤價!$A:$C,3,0)</f>
        <v>17.8</v>
      </c>
      <c r="D538" s="107">
        <f t="shared" si="88"/>
        <v>0</v>
      </c>
      <c r="E538" s="167">
        <f t="shared" si="89"/>
        <v>1</v>
      </c>
      <c r="F538" s="104">
        <f t="shared" si="90"/>
        <v>0.72863797538761033</v>
      </c>
      <c r="G538" s="167">
        <f>RANK(0.84,AE:AE,0)</f>
        <v>946</v>
      </c>
      <c r="H538" s="365">
        <f t="shared" si="91"/>
        <v>-0.83969465648854957</v>
      </c>
      <c r="I538" s="213">
        <f t="shared" si="92"/>
        <v>587</v>
      </c>
      <c r="J538" s="213">
        <f t="shared" si="93"/>
        <v>768</v>
      </c>
      <c r="K538">
        <f>RANK(1.15,AI:AI,0)</f>
        <v>757</v>
      </c>
      <c r="L538" s="357">
        <v>0</v>
      </c>
      <c r="M538" s="357">
        <v>0</v>
      </c>
      <c r="N538" s="357">
        <v>0</v>
      </c>
      <c r="O538" s="357">
        <v>1</v>
      </c>
      <c r="P538" s="357">
        <v>0</v>
      </c>
      <c r="Q538" s="358">
        <v>4.8442906574394463E-2</v>
      </c>
      <c r="R538" s="359">
        <v>0</v>
      </c>
      <c r="S538" s="196">
        <v>1280087000</v>
      </c>
      <c r="T538" s="196">
        <v>52400000</v>
      </c>
      <c r="U538" s="200">
        <f t="shared" si="94"/>
        <v>932720000</v>
      </c>
      <c r="V538" s="196">
        <v>-3000000</v>
      </c>
      <c r="W538" s="196">
        <v>463000000</v>
      </c>
      <c r="X538" s="196">
        <v>185000000</v>
      </c>
      <c r="Y538" s="196">
        <v>533000000</v>
      </c>
      <c r="Z538" s="196">
        <v>225000000</v>
      </c>
      <c r="AA538" s="198">
        <v>0</v>
      </c>
      <c r="AB538" s="198">
        <v>0</v>
      </c>
      <c r="AC538" s="213">
        <f t="shared" si="95"/>
        <v>945</v>
      </c>
      <c r="AD538" s="213">
        <f t="shared" si="96"/>
        <v>911</v>
      </c>
      <c r="AE538" s="213">
        <v>0.84</v>
      </c>
      <c r="AF538" s="196">
        <v>44000000</v>
      </c>
      <c r="AG538" s="104">
        <f t="shared" si="97"/>
        <v>0.83969465648854957</v>
      </c>
      <c r="AH538" s="104">
        <f t="shared" si="98"/>
        <v>0</v>
      </c>
      <c r="AI538" s="195">
        <v>1.1499999999999999</v>
      </c>
    </row>
    <row r="539" spans="1:48">
      <c r="A539">
        <v>3019</v>
      </c>
      <c r="C539" s="107">
        <f>VLOOKUP(3019,收盤價!$A:$C,3,0)</f>
        <v>29.8</v>
      </c>
      <c r="D539" s="107">
        <f t="shared" si="88"/>
        <v>21.504810919668831</v>
      </c>
      <c r="E539" s="167">
        <f t="shared" si="89"/>
        <v>4</v>
      </c>
      <c r="F539" s="104">
        <f t="shared" si="90"/>
        <v>0.46593423463411215</v>
      </c>
      <c r="G539" s="167">
        <f>RANK(1.2,AE:AE,0)</f>
        <v>710</v>
      </c>
      <c r="H539" s="365">
        <f t="shared" si="91"/>
        <v>0.44704375667022433</v>
      </c>
      <c r="I539" s="213">
        <f t="shared" si="92"/>
        <v>268</v>
      </c>
      <c r="J539" s="213">
        <f t="shared" si="93"/>
        <v>224</v>
      </c>
      <c r="K539">
        <f>RANK(3.17,AI:AI,0)</f>
        <v>153</v>
      </c>
      <c r="L539" s="357">
        <v>0</v>
      </c>
      <c r="M539" s="357">
        <v>1</v>
      </c>
      <c r="N539" s="357">
        <v>2</v>
      </c>
      <c r="O539" s="357">
        <v>1</v>
      </c>
      <c r="P539" s="357">
        <v>0</v>
      </c>
      <c r="Q539" s="358">
        <v>0.17751355861493534</v>
      </c>
      <c r="R539" s="359">
        <v>0.34643410852713175</v>
      </c>
      <c r="S539" s="196">
        <v>17978460000</v>
      </c>
      <c r="T539" s="196">
        <v>281100000</v>
      </c>
      <c r="U539" s="200">
        <f t="shared" si="94"/>
        <v>8376780000</v>
      </c>
      <c r="V539" s="196">
        <v>225000000</v>
      </c>
      <c r="W539" s="196">
        <v>9628000000</v>
      </c>
      <c r="X539" s="196">
        <v>5171000000</v>
      </c>
      <c r="Y539" s="196">
        <v>15185000000</v>
      </c>
      <c r="Z539" s="196">
        <v>1166000000</v>
      </c>
      <c r="AA539" s="198">
        <v>0.02</v>
      </c>
      <c r="AB539" s="198">
        <v>0.01</v>
      </c>
      <c r="AC539" s="213">
        <f t="shared" si="95"/>
        <v>616</v>
      </c>
      <c r="AD539" s="213">
        <f t="shared" si="96"/>
        <v>680</v>
      </c>
      <c r="AE539" s="213">
        <v>1.2</v>
      </c>
      <c r="AF539" s="196">
        <v>504000000</v>
      </c>
      <c r="AG539" s="104">
        <f t="shared" si="97"/>
        <v>1.7929562433297759</v>
      </c>
      <c r="AH539" s="104">
        <f t="shared" si="98"/>
        <v>2.2400000000000002</v>
      </c>
      <c r="AI539" s="195">
        <v>3.17</v>
      </c>
    </row>
    <row r="540" spans="1:48">
      <c r="A540">
        <v>3021</v>
      </c>
      <c r="C540" s="107">
        <f>VLOOKUP(3021,收盤價!$A:$C,3,0)</f>
        <v>13.75</v>
      </c>
      <c r="D540" s="107">
        <f t="shared" si="88"/>
        <v>11.02941176470588</v>
      </c>
      <c r="E540" s="167">
        <f t="shared" si="89"/>
        <v>5</v>
      </c>
      <c r="F540" s="104">
        <f t="shared" si="90"/>
        <v>0.82305211000631839</v>
      </c>
      <c r="G540" s="167">
        <f>RANK(2.32,AE:AE,0)</f>
        <v>360</v>
      </c>
      <c r="H540" s="365">
        <f t="shared" si="91"/>
        <v>9.2592592592592587E-3</v>
      </c>
      <c r="I540" s="213">
        <f t="shared" si="92"/>
        <v>1077</v>
      </c>
      <c r="J540" s="213">
        <f t="shared" si="93"/>
        <v>768</v>
      </c>
      <c r="K540">
        <f>RANK(0.84,AI:AI,0)</f>
        <v>1076</v>
      </c>
      <c r="L540" s="357">
        <v>1</v>
      </c>
      <c r="M540" s="357">
        <v>1</v>
      </c>
      <c r="N540" s="357">
        <v>2</v>
      </c>
      <c r="O540" s="357">
        <v>0</v>
      </c>
      <c r="P540" s="357">
        <v>1</v>
      </c>
      <c r="Q540" s="358">
        <v>0.25661914460285135</v>
      </c>
      <c r="R540" s="359">
        <v>0.3116666666666667</v>
      </c>
      <c r="S540" s="196">
        <v>1804260000</v>
      </c>
      <c r="T540" s="196">
        <v>108000000</v>
      </c>
      <c r="U540" s="200">
        <f t="shared" si="94"/>
        <v>1485000000</v>
      </c>
      <c r="V540" s="196">
        <v>45000000</v>
      </c>
      <c r="W540" s="196">
        <v>791000000</v>
      </c>
      <c r="X540" s="196">
        <v>319000000</v>
      </c>
      <c r="Y540" s="196">
        <v>1221000000</v>
      </c>
      <c r="Z540" s="196">
        <v>352000000</v>
      </c>
      <c r="AA540" s="198">
        <v>0.04</v>
      </c>
      <c r="AB540" s="198">
        <v>0.03</v>
      </c>
      <c r="AC540" s="213">
        <f t="shared" si="95"/>
        <v>337</v>
      </c>
      <c r="AD540" s="213">
        <f t="shared" si="96"/>
        <v>334</v>
      </c>
      <c r="AE540" s="213">
        <v>2.3199999999999998</v>
      </c>
      <c r="AF540" s="196">
        <v>-1000000</v>
      </c>
      <c r="AG540" s="104">
        <f t="shared" si="97"/>
        <v>-9.2592592592592587E-3</v>
      </c>
      <c r="AH540" s="104">
        <f t="shared" si="98"/>
        <v>0</v>
      </c>
      <c r="AI540" s="195">
        <v>0.84</v>
      </c>
      <c r="AO540" s="213"/>
      <c r="AP540" s="213"/>
      <c r="AQ540" s="213"/>
      <c r="AR540" s="213"/>
      <c r="AS540" s="213"/>
      <c r="AT540" s="213"/>
      <c r="AU540" s="213"/>
      <c r="AV540" s="213"/>
    </row>
    <row r="541" spans="1:48">
      <c r="A541">
        <v>3022</v>
      </c>
      <c r="C541" s="107">
        <f>VLOOKUP(3022,收盤價!$A:$C,3,0)</f>
        <v>46.8</v>
      </c>
      <c r="D541" s="107">
        <f t="shared" si="88"/>
        <v>21.311179087875416</v>
      </c>
      <c r="E541" s="167">
        <f t="shared" si="89"/>
        <v>1</v>
      </c>
      <c r="F541" s="104">
        <f t="shared" si="90"/>
        <v>2.4074179693155444</v>
      </c>
      <c r="G541" s="167">
        <f>RANK(2.68,AE:AE,0)</f>
        <v>341</v>
      </c>
      <c r="H541" s="365">
        <f t="shared" si="91"/>
        <v>0.13751458341714606</v>
      </c>
      <c r="I541" s="213">
        <f t="shared" si="92"/>
        <v>708</v>
      </c>
      <c r="J541" s="213">
        <f t="shared" si="93"/>
        <v>624</v>
      </c>
      <c r="K541">
        <f>RANK(1.17,AI:AI,0)</f>
        <v>743</v>
      </c>
      <c r="L541" s="357">
        <v>0</v>
      </c>
      <c r="M541" s="357">
        <v>1</v>
      </c>
      <c r="N541" s="357">
        <v>0</v>
      </c>
      <c r="O541" s="357">
        <v>0</v>
      </c>
      <c r="P541" s="357">
        <v>0</v>
      </c>
      <c r="Q541" s="358">
        <v>0.35052219321148825</v>
      </c>
      <c r="R541" s="359">
        <v>0.54900763358778626</v>
      </c>
      <c r="S541" s="196">
        <v>6382124000</v>
      </c>
      <c r="T541" s="196">
        <v>328300000</v>
      </c>
      <c r="U541" s="200">
        <f t="shared" si="94"/>
        <v>15364440000</v>
      </c>
      <c r="V541" s="196">
        <v>265000000</v>
      </c>
      <c r="W541" s="196">
        <v>3936000000</v>
      </c>
      <c r="X541" s="196">
        <v>1445000000</v>
      </c>
      <c r="Y541" s="196">
        <v>7285000000</v>
      </c>
      <c r="Z541" s="196">
        <v>997000000</v>
      </c>
      <c r="AA541" s="198">
        <v>0.05</v>
      </c>
      <c r="AB541" s="198">
        <v>0.03</v>
      </c>
      <c r="AC541" s="213">
        <f t="shared" si="95"/>
        <v>247</v>
      </c>
      <c r="AD541" s="213">
        <f t="shared" si="96"/>
        <v>334</v>
      </c>
      <c r="AE541" s="213">
        <v>2.68</v>
      </c>
      <c r="AF541" s="196">
        <v>189000000</v>
      </c>
      <c r="AG541" s="104">
        <f t="shared" si="97"/>
        <v>0.57569296375266521</v>
      </c>
      <c r="AH541" s="104">
        <f t="shared" si="98"/>
        <v>0.71320754716981127</v>
      </c>
      <c r="AI541" s="195">
        <v>1.17</v>
      </c>
      <c r="AO541" s="213"/>
      <c r="AP541" s="213"/>
      <c r="AQ541" s="213"/>
      <c r="AR541" s="213"/>
      <c r="AS541" s="213"/>
      <c r="AT541" s="213"/>
      <c r="AU541" s="213"/>
      <c r="AV541" s="213"/>
    </row>
    <row r="542" spans="1:48">
      <c r="A542">
        <v>3023</v>
      </c>
      <c r="C542" s="107">
        <f>VLOOKUP(3023,收盤價!$A:$C,3,0)</f>
        <v>71</v>
      </c>
      <c r="D542" s="107">
        <f t="shared" si="88"/>
        <v>14.341085271317832</v>
      </c>
      <c r="E542" s="167">
        <f t="shared" si="89"/>
        <v>5</v>
      </c>
      <c r="F542" s="104">
        <f t="shared" si="90"/>
        <v>1.1910481807547204</v>
      </c>
      <c r="G542" s="167">
        <f>RANK(9.5,AE:AE,0)</f>
        <v>85</v>
      </c>
      <c r="H542" s="365">
        <f t="shared" si="91"/>
        <v>-1.2695488001115363</v>
      </c>
      <c r="I542" s="213">
        <f t="shared" si="92"/>
        <v>132</v>
      </c>
      <c r="J542" s="213">
        <f t="shared" si="93"/>
        <v>360</v>
      </c>
      <c r="K542">
        <f>RANK(3.17,AI:AI,0)</f>
        <v>153</v>
      </c>
      <c r="L542" s="357">
        <v>1</v>
      </c>
      <c r="M542" s="357">
        <v>1</v>
      </c>
      <c r="N542" s="357">
        <v>2</v>
      </c>
      <c r="O542" s="357">
        <v>1</v>
      </c>
      <c r="P542" s="357">
        <v>0</v>
      </c>
      <c r="Q542" s="358">
        <v>0.24058394160583943</v>
      </c>
      <c r="R542" s="359">
        <v>1.2377027027027026</v>
      </c>
      <c r="S542" s="196">
        <v>12989315000</v>
      </c>
      <c r="T542" s="196">
        <v>217900000</v>
      </c>
      <c r="U542" s="200">
        <f t="shared" si="94"/>
        <v>15470900000</v>
      </c>
      <c r="V542" s="196">
        <v>395000000</v>
      </c>
      <c r="W542" s="196">
        <v>3164000000</v>
      </c>
      <c r="X542" s="196">
        <v>1414000000</v>
      </c>
      <c r="Y542" s="196">
        <v>5398000000</v>
      </c>
      <c r="Z542" s="196">
        <v>1733000000</v>
      </c>
      <c r="AA542" s="198">
        <v>0.09</v>
      </c>
      <c r="AB542" s="198">
        <v>0.06</v>
      </c>
      <c r="AC542" s="213">
        <f t="shared" si="95"/>
        <v>69</v>
      </c>
      <c r="AD542" s="213">
        <f t="shared" si="96"/>
        <v>95</v>
      </c>
      <c r="AE542" s="213">
        <v>9.5</v>
      </c>
      <c r="AF542" s="196">
        <v>617000000</v>
      </c>
      <c r="AG542" s="104">
        <f t="shared" si="97"/>
        <v>2.8315741165672326</v>
      </c>
      <c r="AH542" s="104">
        <f t="shared" si="98"/>
        <v>1.5620253164556963</v>
      </c>
      <c r="AI542" s="195">
        <v>3.17</v>
      </c>
      <c r="AO542" s="213"/>
      <c r="AP542" s="213"/>
      <c r="AQ542" s="213"/>
      <c r="AR542" s="213"/>
      <c r="AS542" s="213"/>
      <c r="AT542" s="213"/>
      <c r="AU542" s="213"/>
      <c r="AV542" s="213"/>
    </row>
    <row r="543" spans="1:48">
      <c r="A543">
        <v>3024</v>
      </c>
      <c r="C543" s="107">
        <f>VLOOKUP(3024,收盤價!$A:$C,3,0)</f>
        <v>6.64</v>
      </c>
      <c r="D543" s="107">
        <f t="shared" si="88"/>
        <v>0</v>
      </c>
      <c r="E543" s="167">
        <f t="shared" si="89"/>
        <v>0</v>
      </c>
      <c r="F543" s="104">
        <f t="shared" si="90"/>
        <v>0.44535292238901308</v>
      </c>
      <c r="G543" s="167">
        <f>RANK(0.54,AE:AE,0)</f>
        <v>1453</v>
      </c>
      <c r="H543" s="365">
        <f t="shared" si="91"/>
        <v>0.15512265512265513</v>
      </c>
      <c r="I543" s="213">
        <f t="shared" si="92"/>
        <v>1180</v>
      </c>
      <c r="J543" s="213">
        <f t="shared" si="93"/>
        <v>768</v>
      </c>
      <c r="K543">
        <f>RANK(0.8,AI:AI,0)</f>
        <v>1168</v>
      </c>
      <c r="L543" s="357">
        <v>0</v>
      </c>
      <c r="M543" s="357">
        <v>0</v>
      </c>
      <c r="N543" s="357">
        <v>0</v>
      </c>
      <c r="O543" s="357">
        <v>0</v>
      </c>
      <c r="P543" s="357">
        <v>0</v>
      </c>
      <c r="Q543" s="358">
        <v>0.13645621181262729</v>
      </c>
      <c r="R543" s="359">
        <v>0</v>
      </c>
      <c r="S543" s="196">
        <v>4132920000</v>
      </c>
      <c r="T543" s="196">
        <v>277200000</v>
      </c>
      <c r="U543" s="200">
        <f t="shared" si="94"/>
        <v>1840608000</v>
      </c>
      <c r="V543" s="196">
        <v>-60000000</v>
      </c>
      <c r="W543" s="196">
        <v>0</v>
      </c>
      <c r="X543" s="196">
        <v>879000000</v>
      </c>
      <c r="Y543" s="196">
        <v>2045000000</v>
      </c>
      <c r="Z543" s="196">
        <v>1284000000</v>
      </c>
      <c r="AA543" s="198">
        <v>-7.0000000000000007E-2</v>
      </c>
      <c r="AB543" s="198">
        <v>-0.02</v>
      </c>
      <c r="AC543" s="213">
        <f t="shared" si="95"/>
        <v>1502</v>
      </c>
      <c r="AD543" s="213">
        <f t="shared" si="96"/>
        <v>1388</v>
      </c>
      <c r="AE543" s="213">
        <v>0.54</v>
      </c>
      <c r="AF543" s="196">
        <v>-43000000</v>
      </c>
      <c r="AG543" s="104">
        <f t="shared" si="97"/>
        <v>-0.15512265512265513</v>
      </c>
      <c r="AH543" s="104">
        <f t="shared" si="98"/>
        <v>0</v>
      </c>
      <c r="AI543" s="195">
        <v>0.8</v>
      </c>
      <c r="AO543" s="213"/>
      <c r="AP543" s="213"/>
      <c r="AQ543" s="213"/>
      <c r="AR543" s="213"/>
      <c r="AS543" s="213"/>
      <c r="AT543" s="213"/>
      <c r="AU543" s="213"/>
      <c r="AV543" s="213"/>
    </row>
    <row r="544" spans="1:48">
      <c r="A544">
        <v>3025</v>
      </c>
      <c r="C544" s="107">
        <f>VLOOKUP(3025,收盤價!$A:$C,3,0)</f>
        <v>11.05</v>
      </c>
      <c r="D544" s="107">
        <f t="shared" si="88"/>
        <v>46.041666666666671</v>
      </c>
      <c r="E544" s="167">
        <f t="shared" si="89"/>
        <v>2</v>
      </c>
      <c r="F544" s="104">
        <f t="shared" si="90"/>
        <v>1.6601471033855817</v>
      </c>
      <c r="G544" s="167">
        <f>RANK(1.08,AE:AE,0)</f>
        <v>769</v>
      </c>
      <c r="H544" s="365">
        <f t="shared" si="91"/>
        <v>7.1704278326281141</v>
      </c>
      <c r="I544" s="213">
        <f t="shared" si="92"/>
        <v>663</v>
      </c>
      <c r="J544" s="213">
        <f t="shared" si="93"/>
        <v>49</v>
      </c>
      <c r="K544">
        <f>RANK(2.19,AI:AI,0)</f>
        <v>296</v>
      </c>
      <c r="L544" s="357">
        <v>0</v>
      </c>
      <c r="M544" s="357">
        <v>1</v>
      </c>
      <c r="N544" s="357">
        <v>0</v>
      </c>
      <c r="O544" s="357">
        <v>1</v>
      </c>
      <c r="P544" s="357">
        <v>0</v>
      </c>
      <c r="Q544" s="358">
        <v>0.5304347826086957</v>
      </c>
      <c r="R544" s="359">
        <v>0.06</v>
      </c>
      <c r="S544" s="196">
        <v>471913000</v>
      </c>
      <c r="T544" s="196">
        <v>70900000</v>
      </c>
      <c r="U544" s="200">
        <f t="shared" si="94"/>
        <v>783445000</v>
      </c>
      <c r="V544" s="196">
        <v>6000000</v>
      </c>
      <c r="W544" s="196">
        <v>564000000</v>
      </c>
      <c r="X544" s="196">
        <v>229000000</v>
      </c>
      <c r="Y544" s="196">
        <v>763000000</v>
      </c>
      <c r="Z544" s="196">
        <v>4000000</v>
      </c>
      <c r="AA544" s="198">
        <v>0.01</v>
      </c>
      <c r="AB544" s="198">
        <v>0.01</v>
      </c>
      <c r="AC544" s="213">
        <f t="shared" si="95"/>
        <v>769</v>
      </c>
      <c r="AD544" s="213">
        <f t="shared" si="96"/>
        <v>680</v>
      </c>
      <c r="AE544" s="213">
        <v>1.08</v>
      </c>
      <c r="AF544" s="196">
        <v>47000000</v>
      </c>
      <c r="AG544" s="104">
        <f t="shared" si="97"/>
        <v>0.66290550070521859</v>
      </c>
      <c r="AH544" s="104">
        <f t="shared" si="98"/>
        <v>7.833333333333333</v>
      </c>
      <c r="AI544" s="195">
        <v>2.19</v>
      </c>
      <c r="AO544" s="213"/>
      <c r="AP544" s="213"/>
      <c r="AQ544" s="213"/>
      <c r="AR544" s="213"/>
      <c r="AS544" s="213"/>
      <c r="AT544" s="213"/>
      <c r="AU544" s="213"/>
      <c r="AV544" s="213"/>
    </row>
    <row r="545" spans="1:48">
      <c r="A545">
        <v>3026</v>
      </c>
      <c r="C545" s="107">
        <f>VLOOKUP(3026,收盤價!$A:$C,3,0)</f>
        <v>31.8</v>
      </c>
      <c r="D545" s="107">
        <f t="shared" si="88"/>
        <v>15</v>
      </c>
      <c r="E545" s="167">
        <f t="shared" si="89"/>
        <v>0</v>
      </c>
      <c r="F545" s="104">
        <f t="shared" si="90"/>
        <v>0.55571170485257448</v>
      </c>
      <c r="G545" s="167">
        <f>RANK(0.84,AE:AE,0)</f>
        <v>946</v>
      </c>
      <c r="H545" s="365">
        <f t="shared" si="91"/>
        <v>4.4603033006244425E-3</v>
      </c>
      <c r="I545" s="213">
        <f t="shared" si="92"/>
        <v>1074</v>
      </c>
      <c r="J545" s="213">
        <f t="shared" si="93"/>
        <v>768</v>
      </c>
      <c r="K545">
        <f>RANK(0.85,AI:AI,0)</f>
        <v>1059</v>
      </c>
      <c r="L545" s="357">
        <v>0</v>
      </c>
      <c r="M545" s="357">
        <v>0</v>
      </c>
      <c r="N545" s="357">
        <v>0</v>
      </c>
      <c r="O545" s="357">
        <v>0</v>
      </c>
      <c r="P545" s="357">
        <v>0</v>
      </c>
      <c r="Q545" s="358">
        <v>0.14112527199253963</v>
      </c>
      <c r="R545" s="359">
        <v>0.53</v>
      </c>
      <c r="S545" s="196">
        <v>12829602000</v>
      </c>
      <c r="T545" s="196">
        <v>224200000</v>
      </c>
      <c r="U545" s="200">
        <f t="shared" si="94"/>
        <v>7129560000</v>
      </c>
      <c r="V545" s="196">
        <v>0</v>
      </c>
      <c r="W545" s="196">
        <v>5156000000</v>
      </c>
      <c r="X545" s="196">
        <v>2512000000</v>
      </c>
      <c r="Y545" s="196">
        <v>8694000000</v>
      </c>
      <c r="Z545" s="196">
        <v>1461000000</v>
      </c>
      <c r="AA545" s="198">
        <v>0</v>
      </c>
      <c r="AB545" s="198">
        <v>0</v>
      </c>
      <c r="AC545" s="213">
        <f t="shared" si="95"/>
        <v>945</v>
      </c>
      <c r="AD545" s="213">
        <f t="shared" si="96"/>
        <v>911</v>
      </c>
      <c r="AE545" s="213">
        <v>0.84</v>
      </c>
      <c r="AF545" s="196">
        <v>-1000000</v>
      </c>
      <c r="AG545" s="104">
        <f t="shared" si="97"/>
        <v>-4.4603033006244425E-3</v>
      </c>
      <c r="AH545" s="104">
        <f t="shared" si="98"/>
        <v>0</v>
      </c>
      <c r="AI545" s="195">
        <v>0.85</v>
      </c>
    </row>
    <row r="546" spans="1:48">
      <c r="A546">
        <v>3027</v>
      </c>
      <c r="C546" s="107">
        <f>VLOOKUP(3027,收盤價!$A:$C,3,0)</f>
        <v>12.7</v>
      </c>
      <c r="D546" s="107">
        <f t="shared" si="88"/>
        <v>16.136675824175821</v>
      </c>
      <c r="E546" s="167">
        <f t="shared" si="89"/>
        <v>5</v>
      </c>
      <c r="F546" s="104">
        <f t="shared" si="90"/>
        <v>0.75367116146178836</v>
      </c>
      <c r="G546" s="167">
        <f>RANK(1.2,AE:AE,0)</f>
        <v>710</v>
      </c>
      <c r="H546" s="365">
        <f t="shared" si="91"/>
        <v>1.6700819672131149</v>
      </c>
      <c r="I546" s="213">
        <f t="shared" si="92"/>
        <v>1494</v>
      </c>
      <c r="J546" s="213">
        <f t="shared" si="93"/>
        <v>768</v>
      </c>
      <c r="K546">
        <f>RANK(0.69,AI:AI,0)</f>
        <v>1474</v>
      </c>
      <c r="L546" s="357">
        <v>1</v>
      </c>
      <c r="M546" s="357">
        <v>1</v>
      </c>
      <c r="N546" s="357">
        <v>2</v>
      </c>
      <c r="O546" s="357">
        <v>0</v>
      </c>
      <c r="P546" s="357">
        <v>1</v>
      </c>
      <c r="Q546" s="358">
        <v>0.2537313432835821</v>
      </c>
      <c r="R546" s="359">
        <v>0.19675675675675677</v>
      </c>
      <c r="S546" s="196">
        <v>1644643000</v>
      </c>
      <c r="T546" s="196">
        <v>97600000</v>
      </c>
      <c r="U546" s="200">
        <f t="shared" si="94"/>
        <v>1239520000</v>
      </c>
      <c r="V546" s="196">
        <v>29000000</v>
      </c>
      <c r="W546" s="196">
        <v>874000000</v>
      </c>
      <c r="X546" s="196">
        <v>586000000</v>
      </c>
      <c r="Y546" s="196">
        <v>1603000000</v>
      </c>
      <c r="Z546" s="196">
        <v>711000000</v>
      </c>
      <c r="AA546" s="198">
        <v>0.02</v>
      </c>
      <c r="AB546" s="198">
        <v>0.01</v>
      </c>
      <c r="AC546" s="213">
        <f t="shared" si="95"/>
        <v>616</v>
      </c>
      <c r="AD546" s="213">
        <f t="shared" si="96"/>
        <v>680</v>
      </c>
      <c r="AE546" s="213">
        <v>1.2</v>
      </c>
      <c r="AF546" s="196">
        <v>-163000000</v>
      </c>
      <c r="AG546" s="104">
        <f t="shared" si="97"/>
        <v>-1.6700819672131149</v>
      </c>
      <c r="AH546" s="104">
        <f t="shared" si="98"/>
        <v>0</v>
      </c>
      <c r="AI546" s="195">
        <v>0.69</v>
      </c>
      <c r="AO546" s="213"/>
      <c r="AP546" s="213"/>
      <c r="AQ546" s="213"/>
      <c r="AR546" s="213"/>
      <c r="AS546" s="213"/>
      <c r="AT546" s="213"/>
      <c r="AU546" s="213"/>
      <c r="AV546" s="213"/>
    </row>
    <row r="547" spans="1:48">
      <c r="A547">
        <v>3028</v>
      </c>
      <c r="C547" s="107">
        <f>VLOOKUP(3028,收盤價!$A:$C,3,0)</f>
        <v>16.850000000000001</v>
      </c>
      <c r="D547" s="107">
        <f t="shared" si="88"/>
        <v>18.315217391304348</v>
      </c>
      <c r="E547" s="167">
        <f t="shared" si="89"/>
        <v>1</v>
      </c>
      <c r="F547" s="104">
        <f t="shared" si="90"/>
        <v>0.15906842534608964</v>
      </c>
      <c r="G547" s="167">
        <f>RANK(0.84,AE:AE,0)</f>
        <v>946</v>
      </c>
      <c r="H547" s="365">
        <f t="shared" si="91"/>
        <v>-3.7418147801683815E-2</v>
      </c>
      <c r="I547" s="213">
        <f t="shared" si="92"/>
        <v>1042</v>
      </c>
      <c r="J547" s="213">
        <f t="shared" si="93"/>
        <v>768</v>
      </c>
      <c r="K547">
        <f>RANK(0.86,AI:AI,0)</f>
        <v>1045</v>
      </c>
      <c r="L547" s="357">
        <v>0</v>
      </c>
      <c r="M547" s="357">
        <v>0</v>
      </c>
      <c r="N547" s="357">
        <v>1</v>
      </c>
      <c r="O547" s="357">
        <v>0</v>
      </c>
      <c r="P547" s="357">
        <v>0</v>
      </c>
      <c r="Q547" s="358">
        <v>5.7247037374658159E-2</v>
      </c>
      <c r="R547" s="359">
        <v>0.23</v>
      </c>
      <c r="S547" s="196">
        <v>22647675000</v>
      </c>
      <c r="T547" s="196">
        <v>213800000</v>
      </c>
      <c r="U547" s="200">
        <f t="shared" si="94"/>
        <v>3602530000.0000005</v>
      </c>
      <c r="V547" s="196">
        <v>0</v>
      </c>
      <c r="W547" s="196">
        <v>4005000000</v>
      </c>
      <c r="X547" s="196">
        <v>487000000</v>
      </c>
      <c r="Y547" s="196">
        <v>4718000000</v>
      </c>
      <c r="Z547" s="196">
        <v>3782000000</v>
      </c>
      <c r="AA547" s="198">
        <v>0</v>
      </c>
      <c r="AB547" s="198">
        <v>0</v>
      </c>
      <c r="AC547" s="213">
        <f t="shared" si="95"/>
        <v>945</v>
      </c>
      <c r="AD547" s="213">
        <f t="shared" si="96"/>
        <v>911</v>
      </c>
      <c r="AE547" s="213">
        <v>0.84</v>
      </c>
      <c r="AF547" s="196">
        <v>8000000</v>
      </c>
      <c r="AG547" s="104">
        <f t="shared" si="97"/>
        <v>3.7418147801683815E-2</v>
      </c>
      <c r="AH547" s="104">
        <f t="shared" si="98"/>
        <v>0</v>
      </c>
      <c r="AI547" s="195">
        <v>0.86</v>
      </c>
    </row>
    <row r="548" spans="1:48">
      <c r="A548">
        <v>3029</v>
      </c>
      <c r="C548" s="107">
        <f>VLOOKUP(3029,收盤價!$A:$C,3,0)</f>
        <v>16.55</v>
      </c>
      <c r="D548" s="107">
        <f t="shared" si="88"/>
        <v>10.433546920214965</v>
      </c>
      <c r="E548" s="167">
        <f t="shared" si="89"/>
        <v>3</v>
      </c>
      <c r="F548" s="104">
        <f t="shared" si="90"/>
        <v>0.35645316568884705</v>
      </c>
      <c r="G548" s="167">
        <f>RANK(1.94,AE:AE,0)</f>
        <v>435</v>
      </c>
      <c r="H548" s="365">
        <f t="shared" si="91"/>
        <v>0.2225886232481451</v>
      </c>
      <c r="I548" s="213">
        <f t="shared" si="92"/>
        <v>1223</v>
      </c>
      <c r="J548" s="213">
        <f t="shared" si="93"/>
        <v>768</v>
      </c>
      <c r="K548">
        <f>RANK(0.78,AI:AI,0)</f>
        <v>1217</v>
      </c>
      <c r="L548" s="357">
        <v>0</v>
      </c>
      <c r="M548" s="357">
        <v>1</v>
      </c>
      <c r="N548" s="357">
        <v>2</v>
      </c>
      <c r="O548" s="357">
        <v>0</v>
      </c>
      <c r="P548" s="357">
        <v>0</v>
      </c>
      <c r="Q548" s="358">
        <v>0.10673352435530085</v>
      </c>
      <c r="R548" s="359">
        <v>0.39655737704918032</v>
      </c>
      <c r="S548" s="196">
        <v>5631918000</v>
      </c>
      <c r="T548" s="196">
        <v>121300000</v>
      </c>
      <c r="U548" s="200">
        <f t="shared" si="94"/>
        <v>2007515000</v>
      </c>
      <c r="V548" s="196">
        <v>60000000</v>
      </c>
      <c r="W548" s="196">
        <v>1505000000</v>
      </c>
      <c r="X548" s="196">
        <v>305000000</v>
      </c>
      <c r="Y548" s="196">
        <v>1859000000</v>
      </c>
      <c r="Z548" s="196">
        <v>37000000</v>
      </c>
      <c r="AA548" s="198">
        <v>0.03</v>
      </c>
      <c r="AB548" s="198">
        <v>0.03</v>
      </c>
      <c r="AC548" s="213">
        <f t="shared" si="95"/>
        <v>469</v>
      </c>
      <c r="AD548" s="213">
        <f t="shared" si="96"/>
        <v>334</v>
      </c>
      <c r="AE548" s="213">
        <v>1.94</v>
      </c>
      <c r="AF548" s="196">
        <v>-27000000</v>
      </c>
      <c r="AG548" s="104">
        <f t="shared" si="97"/>
        <v>-0.2225886232481451</v>
      </c>
      <c r="AH548" s="104">
        <f t="shared" si="98"/>
        <v>0</v>
      </c>
      <c r="AI548" s="195">
        <v>0.78</v>
      </c>
    </row>
    <row r="549" spans="1:48">
      <c r="A549">
        <v>3030</v>
      </c>
      <c r="C549" s="107">
        <f>VLOOKUP(3030,收盤價!$A:$C,3,0)</f>
        <v>41.4</v>
      </c>
      <c r="D549" s="107">
        <f t="shared" si="88"/>
        <v>12.882911392405063</v>
      </c>
      <c r="E549" s="167">
        <f t="shared" si="89"/>
        <v>2</v>
      </c>
      <c r="F549" s="104">
        <f t="shared" si="90"/>
        <v>2.6251680213521009</v>
      </c>
      <c r="G549" s="167">
        <f>RANK(3.92,AE:AE,0)</f>
        <v>209</v>
      </c>
      <c r="H549" s="365">
        <f t="shared" si="91"/>
        <v>-1.8635337284786724E-2</v>
      </c>
      <c r="I549" s="213">
        <f t="shared" si="92"/>
        <v>439</v>
      </c>
      <c r="J549" s="213">
        <f t="shared" si="93"/>
        <v>482</v>
      </c>
      <c r="K549">
        <f>RANK(1.69,AI:AI,0)</f>
        <v>464</v>
      </c>
      <c r="L549" s="357">
        <v>0</v>
      </c>
      <c r="M549" s="357">
        <v>1</v>
      </c>
      <c r="N549" s="357">
        <v>0</v>
      </c>
      <c r="O549" s="357">
        <v>1</v>
      </c>
      <c r="P549" s="357">
        <v>0</v>
      </c>
      <c r="Q549" s="358">
        <v>0.55055055055055058</v>
      </c>
      <c r="R549" s="359">
        <v>0.80338983050847457</v>
      </c>
      <c r="S549" s="196">
        <v>3724973000</v>
      </c>
      <c r="T549" s="196">
        <v>236200000</v>
      </c>
      <c r="U549" s="200">
        <f t="shared" si="94"/>
        <v>9778680000</v>
      </c>
      <c r="V549" s="196">
        <v>240000000</v>
      </c>
      <c r="W549" s="196">
        <v>2868000000</v>
      </c>
      <c r="X549" s="196">
        <v>2199000000</v>
      </c>
      <c r="Y549" s="196">
        <v>5018000000</v>
      </c>
      <c r="Z549" s="196">
        <v>0</v>
      </c>
      <c r="AA549" s="198">
        <v>0.05</v>
      </c>
      <c r="AB549" s="198">
        <v>0.05</v>
      </c>
      <c r="AC549" s="213">
        <f t="shared" si="95"/>
        <v>247</v>
      </c>
      <c r="AD549" s="213">
        <f t="shared" si="96"/>
        <v>150</v>
      </c>
      <c r="AE549" s="213">
        <v>3.92</v>
      </c>
      <c r="AF549" s="196">
        <v>278000000</v>
      </c>
      <c r="AG549" s="104">
        <f t="shared" si="97"/>
        <v>1.1769686706181202</v>
      </c>
      <c r="AH549" s="104">
        <f t="shared" si="98"/>
        <v>1.1583333333333334</v>
      </c>
      <c r="AI549" s="195">
        <v>1.69</v>
      </c>
    </row>
    <row r="550" spans="1:48">
      <c r="A550">
        <v>3031</v>
      </c>
      <c r="C550" s="107">
        <f>VLOOKUP(3031,收盤價!$A:$C,3,0)</f>
        <v>9.9499999999999993</v>
      </c>
      <c r="D550" s="107">
        <f t="shared" si="88"/>
        <v>0</v>
      </c>
      <c r="E550" s="167">
        <f t="shared" si="89"/>
        <v>4</v>
      </c>
      <c r="F550" s="104">
        <f t="shared" si="90"/>
        <v>0.95629368493830047</v>
      </c>
      <c r="G550" s="167">
        <f>RANK(0.84,AE:AE,0)</f>
        <v>946</v>
      </c>
      <c r="H550" s="365">
        <f t="shared" si="91"/>
        <v>8.1342145399084895E-2</v>
      </c>
      <c r="I550" s="213">
        <f t="shared" si="92"/>
        <v>1123</v>
      </c>
      <c r="J550" s="213">
        <f t="shared" si="93"/>
        <v>768</v>
      </c>
      <c r="K550">
        <f>RANK(0.82,AI:AI,0)</f>
        <v>1121</v>
      </c>
      <c r="L550" s="357">
        <v>1</v>
      </c>
      <c r="M550" s="357">
        <v>1</v>
      </c>
      <c r="N550" s="357">
        <v>2</v>
      </c>
      <c r="O550" s="357">
        <v>0</v>
      </c>
      <c r="P550" s="357">
        <v>0</v>
      </c>
      <c r="Q550" s="358">
        <v>0.10732538330494037</v>
      </c>
      <c r="R550" s="359">
        <v>0</v>
      </c>
      <c r="S550" s="196">
        <v>2046615000</v>
      </c>
      <c r="T550" s="196">
        <v>196700000</v>
      </c>
      <c r="U550" s="200">
        <f t="shared" si="94"/>
        <v>1957164999.9999998</v>
      </c>
      <c r="V550" s="196">
        <v>-4000000</v>
      </c>
      <c r="W550" s="196">
        <v>1463000000</v>
      </c>
      <c r="X550" s="196">
        <v>893000000</v>
      </c>
      <c r="Y550" s="196">
        <v>2972000000</v>
      </c>
      <c r="Z550" s="196">
        <v>91000000</v>
      </c>
      <c r="AA550" s="198">
        <v>0</v>
      </c>
      <c r="AB550" s="198">
        <v>0</v>
      </c>
      <c r="AC550" s="213">
        <f t="shared" si="95"/>
        <v>945</v>
      </c>
      <c r="AD550" s="213">
        <f t="shared" si="96"/>
        <v>911</v>
      </c>
      <c r="AE550" s="213">
        <v>0.84</v>
      </c>
      <c r="AF550" s="196">
        <v>-16000000</v>
      </c>
      <c r="AG550" s="104">
        <f t="shared" si="97"/>
        <v>-8.1342145399084895E-2</v>
      </c>
      <c r="AH550" s="104">
        <f t="shared" si="98"/>
        <v>0</v>
      </c>
      <c r="AI550" s="195">
        <v>0.82</v>
      </c>
    </row>
    <row r="551" spans="1:48">
      <c r="A551">
        <v>3032</v>
      </c>
      <c r="C551" s="107">
        <f>VLOOKUP(3032,收盤價!$A:$C,3,0)</f>
        <v>45</v>
      </c>
      <c r="D551" s="107">
        <f t="shared" si="88"/>
        <v>34.102020860495443</v>
      </c>
      <c r="E551" s="167">
        <f t="shared" si="89"/>
        <v>2</v>
      </c>
      <c r="F551" s="104">
        <f t="shared" si="90"/>
        <v>0.99971461303829157</v>
      </c>
      <c r="G551" s="167">
        <f>RANK(1.2,AE:AE,0)</f>
        <v>710</v>
      </c>
      <c r="H551" s="365">
        <f t="shared" si="91"/>
        <v>2.0114437837090309</v>
      </c>
      <c r="I551" s="213">
        <f t="shared" si="92"/>
        <v>179</v>
      </c>
      <c r="J551" s="213">
        <f t="shared" si="93"/>
        <v>97</v>
      </c>
      <c r="K551">
        <f>RANK(5.64,AI:AI,0)</f>
        <v>56</v>
      </c>
      <c r="L551" s="357">
        <v>0</v>
      </c>
      <c r="M551" s="357">
        <v>1</v>
      </c>
      <c r="N551" s="357">
        <v>0</v>
      </c>
      <c r="O551" s="357">
        <v>1</v>
      </c>
      <c r="P551" s="357">
        <v>0</v>
      </c>
      <c r="Q551" s="358">
        <v>0.16681534344335414</v>
      </c>
      <c r="R551" s="359">
        <v>0.32989247311827952</v>
      </c>
      <c r="S551" s="196">
        <v>4649827000</v>
      </c>
      <c r="T551" s="196">
        <v>103300000</v>
      </c>
      <c r="U551" s="200">
        <f t="shared" si="94"/>
        <v>4648500000</v>
      </c>
      <c r="V551" s="196">
        <v>56000000</v>
      </c>
      <c r="W551" s="196">
        <v>2176000000</v>
      </c>
      <c r="X551" s="196">
        <v>896000000</v>
      </c>
      <c r="Y551" s="196">
        <v>2725000000</v>
      </c>
      <c r="Z551" s="196">
        <v>1282000000</v>
      </c>
      <c r="AA551" s="198">
        <v>0.02</v>
      </c>
      <c r="AB551" s="198">
        <v>0.01</v>
      </c>
      <c r="AC551" s="213">
        <f t="shared" si="95"/>
        <v>616</v>
      </c>
      <c r="AD551" s="213">
        <f t="shared" si="96"/>
        <v>680</v>
      </c>
      <c r="AE551" s="213">
        <v>1.2</v>
      </c>
      <c r="AF551" s="196">
        <v>246000000</v>
      </c>
      <c r="AG551" s="104">
        <f t="shared" si="97"/>
        <v>2.3814133591481124</v>
      </c>
      <c r="AH551" s="104">
        <f t="shared" si="98"/>
        <v>4.3928571428571432</v>
      </c>
      <c r="AI551" s="195">
        <v>5.64</v>
      </c>
    </row>
    <row r="552" spans="1:48">
      <c r="A552">
        <v>3033</v>
      </c>
      <c r="C552" s="107">
        <f>VLOOKUP(3033,收盤價!$A:$C,3,0)</f>
        <v>17.649999999999999</v>
      </c>
      <c r="D552" s="107">
        <f t="shared" si="88"/>
        <v>9.1562161674485729</v>
      </c>
      <c r="E552" s="167">
        <f t="shared" si="89"/>
        <v>0</v>
      </c>
      <c r="F552" s="104">
        <f t="shared" si="90"/>
        <v>0.12315222657632914</v>
      </c>
      <c r="G552" s="167">
        <f>RANK(1.89,AE:AE,0)</f>
        <v>498</v>
      </c>
      <c r="H552" s="365">
        <f t="shared" si="91"/>
        <v>1.6643109540636043</v>
      </c>
      <c r="I552" s="213">
        <f t="shared" si="92"/>
        <v>1490</v>
      </c>
      <c r="J552" s="213">
        <f t="shared" si="93"/>
        <v>768</v>
      </c>
      <c r="K552">
        <f>RANK(0.69,AI:AI,0)</f>
        <v>1474</v>
      </c>
      <c r="L552" s="357">
        <v>0</v>
      </c>
      <c r="M552" s="357">
        <v>0</v>
      </c>
      <c r="N552" s="357">
        <v>0</v>
      </c>
      <c r="O552" s="357">
        <v>0</v>
      </c>
      <c r="P552" s="357">
        <v>0</v>
      </c>
      <c r="Q552" s="358">
        <v>5.8678500986193295E-2</v>
      </c>
      <c r="R552" s="359">
        <v>0.48191304347826092</v>
      </c>
      <c r="S552" s="196">
        <v>40559153000</v>
      </c>
      <c r="T552" s="196">
        <v>283000000</v>
      </c>
      <c r="U552" s="200">
        <f t="shared" si="94"/>
        <v>4994950000</v>
      </c>
      <c r="V552" s="196">
        <v>202000000</v>
      </c>
      <c r="W552" s="196">
        <v>4469000000</v>
      </c>
      <c r="X552" s="196">
        <v>163000000</v>
      </c>
      <c r="Y552" s="196">
        <v>4506000000</v>
      </c>
      <c r="Z552" s="196">
        <v>7680000000</v>
      </c>
      <c r="AA552" s="198">
        <v>0.04</v>
      </c>
      <c r="AB552" s="198">
        <v>0.02</v>
      </c>
      <c r="AC552" s="213">
        <f t="shared" si="95"/>
        <v>337</v>
      </c>
      <c r="AD552" s="213">
        <f t="shared" si="96"/>
        <v>487</v>
      </c>
      <c r="AE552" s="213">
        <v>1.89</v>
      </c>
      <c r="AF552" s="196">
        <v>-471000000</v>
      </c>
      <c r="AG552" s="104">
        <f t="shared" si="97"/>
        <v>-1.6643109540636043</v>
      </c>
      <c r="AH552" s="104">
        <f t="shared" si="98"/>
        <v>0</v>
      </c>
      <c r="AI552" s="195">
        <v>0.69</v>
      </c>
      <c r="AO552" s="213"/>
      <c r="AP552" s="213"/>
      <c r="AQ552" s="213"/>
      <c r="AR552" s="213"/>
      <c r="AS552" s="213"/>
      <c r="AT552" s="213"/>
      <c r="AU552" s="213"/>
      <c r="AV552" s="213"/>
    </row>
    <row r="553" spans="1:48">
      <c r="A553">
        <v>3034</v>
      </c>
      <c r="C553" s="107">
        <f>VLOOKUP(3034,收盤價!$A:$C,3,0)</f>
        <v>119</v>
      </c>
      <c r="D553" s="107">
        <f t="shared" si="88"/>
        <v>14.688767413154645</v>
      </c>
      <c r="E553" s="167">
        <f t="shared" si="89"/>
        <v>3</v>
      </c>
      <c r="F553" s="104">
        <f t="shared" si="90"/>
        <v>1.5230287119564363</v>
      </c>
      <c r="G553" s="167">
        <f>RANK(5.49,AE:AE,0)</f>
        <v>154</v>
      </c>
      <c r="H553" s="365">
        <f t="shared" si="91"/>
        <v>-0.9687401514344095</v>
      </c>
      <c r="I553" s="213">
        <f t="shared" si="92"/>
        <v>289</v>
      </c>
      <c r="J553" s="213">
        <f t="shared" si="93"/>
        <v>623</v>
      </c>
      <c r="K553">
        <f>RANK(1.71,AI:AI,0)</f>
        <v>449</v>
      </c>
      <c r="L553" s="357">
        <v>0</v>
      </c>
      <c r="M553" s="357">
        <v>1</v>
      </c>
      <c r="N553" s="357">
        <v>1</v>
      </c>
      <c r="O553" s="357">
        <v>1</v>
      </c>
      <c r="P553" s="357">
        <v>0</v>
      </c>
      <c r="Q553" s="358">
        <v>0.28190559440559443</v>
      </c>
      <c r="R553" s="359">
        <v>2.0253571428571431</v>
      </c>
      <c r="S553" s="196">
        <v>47544409000</v>
      </c>
      <c r="T553" s="196">
        <v>608500000</v>
      </c>
      <c r="U553" s="200">
        <f t="shared" si="94"/>
        <v>72411500000</v>
      </c>
      <c r="V553" s="196">
        <v>1434000000</v>
      </c>
      <c r="W553" s="196">
        <v>19842000000</v>
      </c>
      <c r="X553" s="196">
        <v>1938000000</v>
      </c>
      <c r="Y553" s="196">
        <v>25509000000</v>
      </c>
      <c r="Z553" s="196">
        <v>2776000000</v>
      </c>
      <c r="AA553" s="198">
        <v>7.0000000000000007E-2</v>
      </c>
      <c r="AB553" s="198">
        <v>0.05</v>
      </c>
      <c r="AC553" s="213">
        <f t="shared" si="95"/>
        <v>134</v>
      </c>
      <c r="AD553" s="213">
        <f t="shared" si="96"/>
        <v>150</v>
      </c>
      <c r="AE553" s="213">
        <v>5.49</v>
      </c>
      <c r="AF553" s="196">
        <v>1024000000</v>
      </c>
      <c r="AG553" s="104">
        <f t="shared" si="97"/>
        <v>1.6828266228430566</v>
      </c>
      <c r="AH553" s="104">
        <f t="shared" si="98"/>
        <v>0.71408647140864712</v>
      </c>
      <c r="AI553" s="195">
        <v>1.71</v>
      </c>
      <c r="AO553" s="213"/>
      <c r="AP553" s="213"/>
      <c r="AQ553" s="213"/>
      <c r="AR553" s="213"/>
      <c r="AS553" s="213"/>
      <c r="AT553" s="213"/>
      <c r="AU553" s="213"/>
      <c r="AV553" s="213"/>
    </row>
    <row r="554" spans="1:48">
      <c r="A554">
        <v>3035</v>
      </c>
      <c r="C554" s="107">
        <f>VLOOKUP(3035,收盤價!$A:$C,3,0)</f>
        <v>31.55</v>
      </c>
      <c r="D554" s="107">
        <f t="shared" si="88"/>
        <v>14.767235926628715</v>
      </c>
      <c r="E554" s="167">
        <f t="shared" si="89"/>
        <v>2</v>
      </c>
      <c r="F554" s="104">
        <f t="shared" si="90"/>
        <v>1.2001122485405471</v>
      </c>
      <c r="G554" s="167">
        <f>RANK(2.68,AE:AE,0)</f>
        <v>341</v>
      </c>
      <c r="H554" s="365">
        <f t="shared" si="91"/>
        <v>0.39018503620273531</v>
      </c>
      <c r="I554" s="213">
        <f t="shared" si="92"/>
        <v>1309</v>
      </c>
      <c r="J554" s="213">
        <f t="shared" si="93"/>
        <v>768</v>
      </c>
      <c r="K554">
        <f>RANK(0.75,AI:AI,0)</f>
        <v>1296</v>
      </c>
      <c r="L554" s="357">
        <v>1</v>
      </c>
      <c r="M554" s="357">
        <v>1</v>
      </c>
      <c r="N554" s="357">
        <v>0</v>
      </c>
      <c r="O554" s="357">
        <v>0</v>
      </c>
      <c r="P554" s="357">
        <v>0</v>
      </c>
      <c r="Q554" s="358">
        <v>0.41400220507166485</v>
      </c>
      <c r="R554" s="359">
        <v>0.53412162162162169</v>
      </c>
      <c r="S554" s="196">
        <v>6535497000</v>
      </c>
      <c r="T554" s="196">
        <v>248600000</v>
      </c>
      <c r="U554" s="200">
        <f t="shared" si="94"/>
        <v>7843330000</v>
      </c>
      <c r="V554" s="196">
        <v>155000000</v>
      </c>
      <c r="W554" s="196">
        <v>2527000000</v>
      </c>
      <c r="X554" s="196">
        <v>559000000</v>
      </c>
      <c r="Y554" s="196">
        <v>4750000000</v>
      </c>
      <c r="Z554" s="196">
        <v>224000000</v>
      </c>
      <c r="AA554" s="198">
        <v>0.05</v>
      </c>
      <c r="AB554" s="198">
        <v>0.03</v>
      </c>
      <c r="AC554" s="213">
        <f t="shared" si="95"/>
        <v>247</v>
      </c>
      <c r="AD554" s="213">
        <f t="shared" si="96"/>
        <v>334</v>
      </c>
      <c r="AE554" s="213">
        <v>2.68</v>
      </c>
      <c r="AF554" s="196">
        <v>-97000000</v>
      </c>
      <c r="AG554" s="104">
        <f t="shared" si="97"/>
        <v>-0.39018503620273531</v>
      </c>
      <c r="AH554" s="104">
        <f t="shared" si="98"/>
        <v>0</v>
      </c>
      <c r="AI554" s="195">
        <v>0.75</v>
      </c>
      <c r="AO554" s="213"/>
      <c r="AP554" s="213"/>
      <c r="AQ554" s="213"/>
      <c r="AR554" s="213"/>
      <c r="AS554" s="213"/>
      <c r="AT554" s="213"/>
      <c r="AU554" s="213"/>
      <c r="AV554" s="213"/>
    </row>
    <row r="555" spans="1:48">
      <c r="A555">
        <v>3036</v>
      </c>
      <c r="C555" s="107">
        <f>VLOOKUP(3036,收盤價!$A:$C,3,0)</f>
        <v>44.7</v>
      </c>
      <c r="D555" s="107">
        <f t="shared" si="88"/>
        <v>10.198874950219036</v>
      </c>
      <c r="E555" s="167">
        <f t="shared" si="89"/>
        <v>0</v>
      </c>
      <c r="F555" s="104">
        <f t="shared" si="90"/>
        <v>0.17295612326667584</v>
      </c>
      <c r="G555" s="167">
        <f>RANK(2.36,AE:AE,0)</f>
        <v>355</v>
      </c>
      <c r="H555" s="365">
        <f t="shared" si="91"/>
        <v>1.726988382484361</v>
      </c>
      <c r="I555" s="213">
        <f t="shared" si="92"/>
        <v>1497</v>
      </c>
      <c r="J555" s="213">
        <f t="shared" si="93"/>
        <v>768</v>
      </c>
      <c r="K555">
        <f>RANK(0.69,AI:AI,0)</f>
        <v>1474</v>
      </c>
      <c r="L555" s="357">
        <v>0</v>
      </c>
      <c r="M555" s="357">
        <v>0</v>
      </c>
      <c r="N555" s="357">
        <v>0</v>
      </c>
      <c r="O555" s="357">
        <v>0</v>
      </c>
      <c r="P555" s="357">
        <v>0</v>
      </c>
      <c r="Q555" s="358">
        <v>5.3647855081118745E-2</v>
      </c>
      <c r="R555" s="359">
        <v>1.095709090909091</v>
      </c>
      <c r="S555" s="196">
        <v>115680900000</v>
      </c>
      <c r="T555" s="196">
        <v>447600000</v>
      </c>
      <c r="U555" s="200">
        <f t="shared" si="94"/>
        <v>20007720000</v>
      </c>
      <c r="V555" s="196">
        <v>737000000</v>
      </c>
      <c r="W555" s="196">
        <v>12347000000</v>
      </c>
      <c r="X555" s="196">
        <v>486000000</v>
      </c>
      <c r="Y555" s="196">
        <v>16088000000</v>
      </c>
      <c r="Z555" s="196">
        <v>16589000000</v>
      </c>
      <c r="AA555" s="198">
        <v>0.06</v>
      </c>
      <c r="AB555" s="198">
        <v>0.02</v>
      </c>
      <c r="AC555" s="213">
        <f t="shared" si="95"/>
        <v>174</v>
      </c>
      <c r="AD555" s="213">
        <f t="shared" si="96"/>
        <v>487</v>
      </c>
      <c r="AE555" s="213">
        <v>2.36</v>
      </c>
      <c r="AF555" s="196">
        <v>-773000000</v>
      </c>
      <c r="AG555" s="104">
        <f t="shared" si="97"/>
        <v>-1.726988382484361</v>
      </c>
      <c r="AH555" s="104">
        <f t="shared" si="98"/>
        <v>0</v>
      </c>
      <c r="AI555" s="195">
        <v>0.69</v>
      </c>
      <c r="AO555" s="213"/>
      <c r="AP555" s="213"/>
      <c r="AQ555" s="213"/>
      <c r="AR555" s="213"/>
      <c r="AS555" s="213"/>
      <c r="AT555" s="213"/>
      <c r="AU555" s="213"/>
      <c r="AV555" s="213"/>
    </row>
    <row r="556" spans="1:48">
      <c r="A556">
        <v>3037</v>
      </c>
      <c r="C556" s="107">
        <f>VLOOKUP(3037,收盤價!$A:$C,3,0)</f>
        <v>13.05</v>
      </c>
      <c r="D556" s="107">
        <f t="shared" si="88"/>
        <v>0</v>
      </c>
      <c r="E556" s="167">
        <f t="shared" si="89"/>
        <v>4</v>
      </c>
      <c r="F556" s="104">
        <f t="shared" si="90"/>
        <v>0.30860941944129922</v>
      </c>
      <c r="G556" s="167">
        <f>RANK(0.84,AE:AE,0)</f>
        <v>946</v>
      </c>
      <c r="H556" s="365">
        <f t="shared" si="91"/>
        <v>-1.0737033666969973</v>
      </c>
      <c r="I556" s="213">
        <f t="shared" si="92"/>
        <v>481</v>
      </c>
      <c r="J556" s="213">
        <f t="shared" si="93"/>
        <v>768</v>
      </c>
      <c r="K556">
        <f>RANK(1.25,AI:AI,0)</f>
        <v>709</v>
      </c>
      <c r="L556" s="357">
        <v>0</v>
      </c>
      <c r="M556" s="357">
        <v>1</v>
      </c>
      <c r="N556" s="357">
        <v>2</v>
      </c>
      <c r="O556" s="357">
        <v>1</v>
      </c>
      <c r="P556" s="357">
        <v>0</v>
      </c>
      <c r="Q556" s="358">
        <v>7.0037353255069365E-2</v>
      </c>
      <c r="R556" s="359">
        <v>0</v>
      </c>
      <c r="S556" s="196">
        <v>65061948000</v>
      </c>
      <c r="T556" s="196">
        <v>1538600000</v>
      </c>
      <c r="U556" s="200">
        <f t="shared" si="94"/>
        <v>20078730000</v>
      </c>
      <c r="V556" s="196">
        <v>-107000000</v>
      </c>
      <c r="W556" s="196">
        <v>13308000000</v>
      </c>
      <c r="X556" s="196">
        <v>46178000000</v>
      </c>
      <c r="Y556" s="196">
        <v>46260000000</v>
      </c>
      <c r="Z556" s="196">
        <v>13318000000</v>
      </c>
      <c r="AA556" s="198">
        <v>0</v>
      </c>
      <c r="AB556" s="198">
        <v>0</v>
      </c>
      <c r="AC556" s="213">
        <f t="shared" si="95"/>
        <v>945</v>
      </c>
      <c r="AD556" s="213">
        <f t="shared" si="96"/>
        <v>911</v>
      </c>
      <c r="AE556" s="213">
        <v>0.84</v>
      </c>
      <c r="AF556" s="196">
        <v>1652000000</v>
      </c>
      <c r="AG556" s="104">
        <f t="shared" si="97"/>
        <v>1.0737033666969973</v>
      </c>
      <c r="AH556" s="104">
        <f t="shared" si="98"/>
        <v>0</v>
      </c>
      <c r="AI556" s="195">
        <v>1.25</v>
      </c>
      <c r="AO556" s="213"/>
      <c r="AP556" s="213"/>
      <c r="AQ556" s="213"/>
      <c r="AR556" s="213"/>
      <c r="AS556" s="213"/>
      <c r="AT556" s="213"/>
      <c r="AU556" s="213"/>
      <c r="AV556" s="213"/>
    </row>
    <row r="557" spans="1:48">
      <c r="A557">
        <v>3038</v>
      </c>
      <c r="C557" s="107">
        <f>VLOOKUP(3038,收盤價!$A:$C,3,0)</f>
        <v>10.050000000000001</v>
      </c>
      <c r="D557" s="107">
        <f t="shared" si="88"/>
        <v>18.611111111111111</v>
      </c>
      <c r="E557" s="167">
        <f t="shared" si="89"/>
        <v>0</v>
      </c>
      <c r="F557" s="104">
        <f t="shared" si="90"/>
        <v>0.60388198632367895</v>
      </c>
      <c r="G557" s="167">
        <f>RANK(1.2,AE:AE,0)</f>
        <v>710</v>
      </c>
      <c r="H557" s="365">
        <f t="shared" si="91"/>
        <v>0.84071677451468396</v>
      </c>
      <c r="I557" s="213">
        <f t="shared" si="92"/>
        <v>959</v>
      </c>
      <c r="J557" s="213">
        <f t="shared" si="93"/>
        <v>528</v>
      </c>
      <c r="K557">
        <f>RANK(1.05,AI:AI,0)</f>
        <v>841</v>
      </c>
      <c r="L557" s="357">
        <v>0</v>
      </c>
      <c r="M557" s="357">
        <v>0</v>
      </c>
      <c r="N557" s="357">
        <v>0</v>
      </c>
      <c r="O557" s="357">
        <v>0</v>
      </c>
      <c r="P557" s="357">
        <v>0</v>
      </c>
      <c r="Q557" s="358">
        <v>0.17639902676399027</v>
      </c>
      <c r="R557" s="359">
        <v>0.13500000000000001</v>
      </c>
      <c r="S557" s="196">
        <v>3343443000</v>
      </c>
      <c r="T557" s="196">
        <v>200900000</v>
      </c>
      <c r="U557" s="200">
        <f t="shared" si="94"/>
        <v>2019045000.0000002</v>
      </c>
      <c r="V557" s="196">
        <v>32000000</v>
      </c>
      <c r="W557" s="196">
        <v>1327000000</v>
      </c>
      <c r="X557" s="196">
        <v>495000000</v>
      </c>
      <c r="Y557" s="196">
        <v>1989000000</v>
      </c>
      <c r="Z557" s="196">
        <v>902000000</v>
      </c>
      <c r="AA557" s="198">
        <v>0.02</v>
      </c>
      <c r="AB557" s="198">
        <v>0.01</v>
      </c>
      <c r="AC557" s="213">
        <f t="shared" si="95"/>
        <v>616</v>
      </c>
      <c r="AD557" s="213">
        <f t="shared" si="96"/>
        <v>680</v>
      </c>
      <c r="AE557" s="213">
        <v>1.2</v>
      </c>
      <c r="AF557" s="196">
        <v>32000000</v>
      </c>
      <c r="AG557" s="104">
        <f t="shared" si="97"/>
        <v>0.15928322548531607</v>
      </c>
      <c r="AH557" s="104">
        <f t="shared" si="98"/>
        <v>1</v>
      </c>
      <c r="AI557" s="195">
        <v>1.05</v>
      </c>
      <c r="AO557" s="213"/>
      <c r="AP557" s="213"/>
      <c r="AQ557" s="213"/>
      <c r="AR557" s="213"/>
      <c r="AS557" s="213"/>
      <c r="AT557" s="213"/>
      <c r="AU557" s="213"/>
      <c r="AV557" s="213"/>
    </row>
    <row r="558" spans="1:48">
      <c r="A558">
        <v>3040</v>
      </c>
      <c r="C558" s="107">
        <f>VLOOKUP(3040,收盤價!$A:$C,3,0)</f>
        <v>28.8</v>
      </c>
      <c r="D558" s="107">
        <f t="shared" si="88"/>
        <v>31.515151515151516</v>
      </c>
      <c r="E558" s="167">
        <f t="shared" si="89"/>
        <v>0</v>
      </c>
      <c r="F558" s="104">
        <f t="shared" si="90"/>
        <v>8.2082462473874216</v>
      </c>
      <c r="G558" s="167">
        <f>RANK(1.36,AE:AE,0)</f>
        <v>694</v>
      </c>
      <c r="H558" s="365">
        <f t="shared" si="91"/>
        <v>4.7619047619047616E-2</v>
      </c>
      <c r="I558" s="213">
        <f t="shared" si="92"/>
        <v>1101</v>
      </c>
      <c r="J558" s="213">
        <f t="shared" si="93"/>
        <v>768</v>
      </c>
      <c r="K558">
        <f>RANK(0.83,AI:AI,0)</f>
        <v>1098</v>
      </c>
      <c r="L558" s="357">
        <v>0</v>
      </c>
      <c r="M558" s="357">
        <v>0</v>
      </c>
      <c r="N558" s="357">
        <v>0</v>
      </c>
      <c r="O558" s="357">
        <v>0</v>
      </c>
      <c r="P558" s="357">
        <v>0</v>
      </c>
      <c r="Q558" s="358">
        <v>0.66</v>
      </c>
      <c r="R558" s="359">
        <v>0.22846153846153847</v>
      </c>
      <c r="S558" s="196">
        <v>221046000</v>
      </c>
      <c r="T558" s="196">
        <v>63000000</v>
      </c>
      <c r="U558" s="200">
        <f t="shared" si="94"/>
        <v>1814400000</v>
      </c>
      <c r="V558" s="196">
        <v>18000000</v>
      </c>
      <c r="W558" s="196">
        <v>588000000</v>
      </c>
      <c r="X558" s="196">
        <v>4000000</v>
      </c>
      <c r="Y558" s="196">
        <v>1483000000</v>
      </c>
      <c r="Z558" s="196">
        <v>50000000</v>
      </c>
      <c r="AA558" s="198">
        <v>0.03</v>
      </c>
      <c r="AB558" s="198">
        <v>0.01</v>
      </c>
      <c r="AC558" s="213">
        <f t="shared" si="95"/>
        <v>469</v>
      </c>
      <c r="AD558" s="213">
        <f t="shared" si="96"/>
        <v>680</v>
      </c>
      <c r="AE558" s="213">
        <v>1.36</v>
      </c>
      <c r="AF558" s="196">
        <v>-3000000</v>
      </c>
      <c r="AG558" s="104">
        <f t="shared" si="97"/>
        <v>-4.7619047619047616E-2</v>
      </c>
      <c r="AH558" s="104">
        <f t="shared" si="98"/>
        <v>0</v>
      </c>
      <c r="AI558" s="195">
        <v>0.83</v>
      </c>
      <c r="AO558" s="213"/>
      <c r="AP558" s="213"/>
      <c r="AQ558" s="213"/>
      <c r="AR558" s="213"/>
      <c r="AS558" s="213"/>
      <c r="AT558" s="213"/>
      <c r="AU558" s="213"/>
      <c r="AV558" s="213"/>
    </row>
    <row r="559" spans="1:48">
      <c r="A559">
        <v>3041</v>
      </c>
      <c r="C559" s="107">
        <f>VLOOKUP(3041,收盤價!$A:$C,3,0)</f>
        <v>15.1</v>
      </c>
      <c r="D559" s="107">
        <f t="shared" si="88"/>
        <v>0</v>
      </c>
      <c r="E559" s="167">
        <f t="shared" si="89"/>
        <v>1</v>
      </c>
      <c r="F559" s="104">
        <f t="shared" si="90"/>
        <v>1.1925581832076599</v>
      </c>
      <c r="G559" s="167">
        <f>RANK(0.56,AE:AE,0)</f>
        <v>1414</v>
      </c>
      <c r="H559" s="365">
        <f t="shared" si="91"/>
        <v>0.15521796565389695</v>
      </c>
      <c r="I559" s="213">
        <f t="shared" si="92"/>
        <v>1181</v>
      </c>
      <c r="J559" s="213">
        <f t="shared" si="93"/>
        <v>768</v>
      </c>
      <c r="K559">
        <f>RANK(0.8,AI:AI,0)</f>
        <v>1168</v>
      </c>
      <c r="L559" s="357">
        <v>0</v>
      </c>
      <c r="M559" s="357">
        <v>1</v>
      </c>
      <c r="N559" s="357">
        <v>0</v>
      </c>
      <c r="O559" s="357">
        <v>0</v>
      </c>
      <c r="P559" s="357">
        <v>0</v>
      </c>
      <c r="Q559" s="358">
        <v>0.3713927227101631</v>
      </c>
      <c r="R559" s="359">
        <v>0</v>
      </c>
      <c r="S559" s="196">
        <v>3834010000</v>
      </c>
      <c r="T559" s="196">
        <v>302800000</v>
      </c>
      <c r="U559" s="200">
        <f t="shared" si="94"/>
        <v>4572280000</v>
      </c>
      <c r="V559" s="196">
        <v>-130000000</v>
      </c>
      <c r="W559" s="196">
        <v>4090000000</v>
      </c>
      <c r="X559" s="196">
        <v>528000000</v>
      </c>
      <c r="Y559" s="196">
        <v>5408000000</v>
      </c>
      <c r="Z559" s="196">
        <v>0</v>
      </c>
      <c r="AA559" s="198">
        <v>-0.03</v>
      </c>
      <c r="AB559" s="198">
        <v>-0.02</v>
      </c>
      <c r="AC559" s="213">
        <f t="shared" si="95"/>
        <v>1405</v>
      </c>
      <c r="AD559" s="213">
        <f t="shared" si="96"/>
        <v>1388</v>
      </c>
      <c r="AE559" s="213">
        <v>0.56000000000000005</v>
      </c>
      <c r="AF559" s="196">
        <v>-47000000</v>
      </c>
      <c r="AG559" s="104">
        <f t="shared" si="97"/>
        <v>-0.15521796565389695</v>
      </c>
      <c r="AH559" s="104">
        <f t="shared" si="98"/>
        <v>0</v>
      </c>
      <c r="AI559" s="195">
        <v>0.8</v>
      </c>
    </row>
    <row r="560" spans="1:48">
      <c r="A560">
        <v>3042</v>
      </c>
      <c r="C560" s="107">
        <f>VLOOKUP(3042,收盤價!$A:$C,3,0)</f>
        <v>44.4</v>
      </c>
      <c r="D560" s="107">
        <f t="shared" si="88"/>
        <v>18.823529411764703</v>
      </c>
      <c r="E560" s="167">
        <f t="shared" si="89"/>
        <v>4</v>
      </c>
      <c r="F560" s="104">
        <f t="shared" si="90"/>
        <v>1.4690430317451502</v>
      </c>
      <c r="G560" s="167">
        <f>RANK(1.41,AE:AE,0)</f>
        <v>618</v>
      </c>
      <c r="H560" s="365">
        <f t="shared" si="91"/>
        <v>0.48290346497670011</v>
      </c>
      <c r="I560" s="213">
        <f t="shared" si="92"/>
        <v>381</v>
      </c>
      <c r="J560" s="213">
        <f t="shared" si="93"/>
        <v>289</v>
      </c>
      <c r="K560">
        <f>RANK(2.33,AI:AI,0)</f>
        <v>274</v>
      </c>
      <c r="L560" s="357">
        <v>0</v>
      </c>
      <c r="M560" s="357">
        <v>1</v>
      </c>
      <c r="N560" s="357">
        <v>2</v>
      </c>
      <c r="O560" s="357">
        <v>1</v>
      </c>
      <c r="P560" s="357">
        <v>0</v>
      </c>
      <c r="Q560" s="358">
        <v>0.24737302977232925</v>
      </c>
      <c r="R560" s="359">
        <v>0.58968750000000003</v>
      </c>
      <c r="S560" s="196">
        <v>9363320000</v>
      </c>
      <c r="T560" s="196">
        <v>309800000</v>
      </c>
      <c r="U560" s="200">
        <f t="shared" si="94"/>
        <v>13755120000</v>
      </c>
      <c r="V560" s="196">
        <v>229000000</v>
      </c>
      <c r="W560" s="196">
        <v>5359000000</v>
      </c>
      <c r="X560" s="196">
        <v>4221000000</v>
      </c>
      <c r="Y560" s="196">
        <v>9771000000</v>
      </c>
      <c r="Z560" s="196">
        <v>409000000</v>
      </c>
      <c r="AA560" s="198">
        <v>0.02</v>
      </c>
      <c r="AB560" s="198">
        <v>0.02</v>
      </c>
      <c r="AC560" s="213">
        <f t="shared" si="95"/>
        <v>616</v>
      </c>
      <c r="AD560" s="213">
        <f t="shared" si="96"/>
        <v>487</v>
      </c>
      <c r="AE560" s="213">
        <v>1.41</v>
      </c>
      <c r="AF560" s="196">
        <v>424000000</v>
      </c>
      <c r="AG560" s="104">
        <f t="shared" si="97"/>
        <v>1.368624919302776</v>
      </c>
      <c r="AH560" s="104">
        <f t="shared" si="98"/>
        <v>1.8515283842794761</v>
      </c>
      <c r="AI560" s="195">
        <v>2.33</v>
      </c>
      <c r="AO560" s="213"/>
      <c r="AP560" s="213"/>
      <c r="AQ560" s="213"/>
      <c r="AR560" s="213"/>
      <c r="AS560" s="213"/>
      <c r="AT560" s="213"/>
      <c r="AU560" s="213"/>
      <c r="AV560" s="213"/>
    </row>
    <row r="561" spans="1:48">
      <c r="A561">
        <v>3043</v>
      </c>
      <c r="C561" s="107">
        <f>VLOOKUP(3043,收盤價!$A:$C,3,0)</f>
        <v>2.21</v>
      </c>
      <c r="D561" s="107">
        <f t="shared" si="88"/>
        <v>0</v>
      </c>
      <c r="E561" s="167">
        <f t="shared" si="89"/>
        <v>2</v>
      </c>
      <c r="F561" s="104">
        <f t="shared" si="90"/>
        <v>0.3136016180666637</v>
      </c>
      <c r="G561" s="167">
        <f>RANK(0.51,AE:AE,0)</f>
        <v>1523</v>
      </c>
      <c r="H561" s="365">
        <f t="shared" si="91"/>
        <v>7.6962544894817853E-2</v>
      </c>
      <c r="I561" s="213">
        <f t="shared" si="92"/>
        <v>1121</v>
      </c>
      <c r="J561" s="213">
        <f t="shared" si="93"/>
        <v>768</v>
      </c>
      <c r="K561">
        <f>RANK(0.82,AI:AI,0)</f>
        <v>1121</v>
      </c>
      <c r="L561" s="357">
        <v>0</v>
      </c>
      <c r="M561" s="357">
        <v>1</v>
      </c>
      <c r="N561" s="357">
        <v>1</v>
      </c>
      <c r="O561" s="357">
        <v>0</v>
      </c>
      <c r="P561" s="357">
        <v>0</v>
      </c>
      <c r="Q561" s="358">
        <v>0.121875</v>
      </c>
      <c r="R561" s="359">
        <v>0</v>
      </c>
      <c r="S561" s="196">
        <v>1373491000</v>
      </c>
      <c r="T561" s="196">
        <v>194900000</v>
      </c>
      <c r="U561" s="200">
        <f t="shared" si="94"/>
        <v>430729000</v>
      </c>
      <c r="V561" s="196">
        <v>-39000000</v>
      </c>
      <c r="W561" s="196">
        <v>0</v>
      </c>
      <c r="X561" s="196">
        <v>380000000</v>
      </c>
      <c r="Y561" s="196">
        <v>8000000</v>
      </c>
      <c r="Z561" s="196">
        <v>547000000</v>
      </c>
      <c r="AA561" s="198">
        <v>-0.1</v>
      </c>
      <c r="AB561" s="198">
        <v>-7.0000000000000007E-2</v>
      </c>
      <c r="AC561" s="213">
        <f t="shared" si="95"/>
        <v>1519</v>
      </c>
      <c r="AD561" s="213">
        <f t="shared" si="96"/>
        <v>1526</v>
      </c>
      <c r="AE561" s="213">
        <v>0.51</v>
      </c>
      <c r="AF561" s="196">
        <v>-15000000</v>
      </c>
      <c r="AG561" s="104">
        <f t="shared" si="97"/>
        <v>-7.6962544894817853E-2</v>
      </c>
      <c r="AH561" s="104">
        <f t="shared" si="98"/>
        <v>0</v>
      </c>
      <c r="AI561" s="195">
        <v>0.82</v>
      </c>
      <c r="AO561" s="213"/>
      <c r="AP561" s="213"/>
      <c r="AQ561" s="213"/>
      <c r="AR561" s="213"/>
      <c r="AS561" s="213"/>
      <c r="AT561" s="213"/>
      <c r="AU561" s="213"/>
      <c r="AV561" s="213"/>
    </row>
    <row r="562" spans="1:48">
      <c r="A562">
        <v>3044</v>
      </c>
      <c r="C562" s="107">
        <f>VLOOKUP(3044,收盤價!$A:$C,3,0)</f>
        <v>74.8</v>
      </c>
      <c r="D562" s="107">
        <f t="shared" si="88"/>
        <v>17.042079207920789</v>
      </c>
      <c r="E562" s="167">
        <f t="shared" si="89"/>
        <v>4</v>
      </c>
      <c r="F562" s="104">
        <f t="shared" si="90"/>
        <v>0.89933522419627454</v>
      </c>
      <c r="G562" s="167">
        <f>RANK(1.63,AE:AE,0)</f>
        <v>551</v>
      </c>
      <c r="H562" s="365">
        <f t="shared" si="91"/>
        <v>-0.55961410621069962</v>
      </c>
      <c r="I562" s="213">
        <f t="shared" si="92"/>
        <v>347</v>
      </c>
      <c r="J562" s="213">
        <f t="shared" si="93"/>
        <v>549</v>
      </c>
      <c r="K562">
        <f>RANK(1.74,AI:AI,0)</f>
        <v>441</v>
      </c>
      <c r="L562" s="357">
        <v>0</v>
      </c>
      <c r="M562" s="357">
        <v>1</v>
      </c>
      <c r="N562" s="357">
        <v>2</v>
      </c>
      <c r="O562" s="357">
        <v>1</v>
      </c>
      <c r="P562" s="357">
        <v>0</v>
      </c>
      <c r="Q562" s="358">
        <v>0.16027384413392104</v>
      </c>
      <c r="R562" s="359">
        <v>1.097283950617284</v>
      </c>
      <c r="S562" s="196">
        <v>43715490000</v>
      </c>
      <c r="T562" s="196">
        <v>525600000</v>
      </c>
      <c r="U562" s="200">
        <f t="shared" si="94"/>
        <v>39314880000</v>
      </c>
      <c r="V562" s="196">
        <v>838000000</v>
      </c>
      <c r="W562" s="196">
        <v>13495000000</v>
      </c>
      <c r="X562" s="196">
        <v>12622000000</v>
      </c>
      <c r="Y562" s="196">
        <v>28372000000</v>
      </c>
      <c r="Z562" s="196">
        <v>14602000000</v>
      </c>
      <c r="AA562" s="198">
        <v>0.03</v>
      </c>
      <c r="AB562" s="198">
        <v>0.02</v>
      </c>
      <c r="AC562" s="213">
        <f t="shared" si="95"/>
        <v>469</v>
      </c>
      <c r="AD562" s="213">
        <f t="shared" si="96"/>
        <v>487</v>
      </c>
      <c r="AE562" s="213">
        <v>1.63</v>
      </c>
      <c r="AF562" s="196">
        <v>789000000</v>
      </c>
      <c r="AG562" s="104">
        <f t="shared" si="97"/>
        <v>1.5011415525114156</v>
      </c>
      <c r="AH562" s="104">
        <f t="shared" si="98"/>
        <v>0.94152744630071594</v>
      </c>
      <c r="AI562" s="195">
        <v>1.74</v>
      </c>
    </row>
    <row r="563" spans="1:48">
      <c r="A563">
        <v>3045</v>
      </c>
      <c r="C563" s="107">
        <f>VLOOKUP(3045,收盤價!$A:$C,3,0)</f>
        <v>111.5</v>
      </c>
      <c r="D563" s="107">
        <f t="shared" si="88"/>
        <v>18.026941888681058</v>
      </c>
      <c r="E563" s="167">
        <f t="shared" si="89"/>
        <v>3</v>
      </c>
      <c r="F563" s="104">
        <f t="shared" si="90"/>
        <v>3.293620947818571</v>
      </c>
      <c r="G563" s="167">
        <f>RANK(16.23,AE:AE,0)</f>
        <v>49</v>
      </c>
      <c r="H563" s="365">
        <f t="shared" si="91"/>
        <v>-0.6391427464726358</v>
      </c>
      <c r="I563" s="213">
        <f t="shared" si="92"/>
        <v>274</v>
      </c>
      <c r="J563" s="213">
        <f t="shared" si="93"/>
        <v>501</v>
      </c>
      <c r="K563">
        <f>RANK(2.01,AI:AI,0)</f>
        <v>332</v>
      </c>
      <c r="L563" s="357">
        <v>0</v>
      </c>
      <c r="M563" s="357">
        <v>1</v>
      </c>
      <c r="N563" s="357">
        <v>1</v>
      </c>
      <c r="O563" s="357">
        <v>1</v>
      </c>
      <c r="P563" s="357">
        <v>0</v>
      </c>
      <c r="Q563" s="358">
        <v>0.33875958090148373</v>
      </c>
      <c r="R563" s="359">
        <v>1.546296658198163</v>
      </c>
      <c r="S563" s="196">
        <v>115805433000</v>
      </c>
      <c r="T563" s="196">
        <v>3420800000</v>
      </c>
      <c r="U563" s="200">
        <f t="shared" si="94"/>
        <v>381419200000</v>
      </c>
      <c r="V563" s="196">
        <v>5397000000</v>
      </c>
      <c r="W563" s="196">
        <v>0</v>
      </c>
      <c r="X563" s="196">
        <v>46404000000</v>
      </c>
      <c r="Y563" s="196">
        <v>58020000000</v>
      </c>
      <c r="Z563" s="196">
        <v>17671000000</v>
      </c>
      <c r="AA563" s="198">
        <v>0.12</v>
      </c>
      <c r="AB563" s="198">
        <v>7.0000000000000007E-2</v>
      </c>
      <c r="AC563" s="213">
        <f t="shared" si="95"/>
        <v>32</v>
      </c>
      <c r="AD563" s="213">
        <f t="shared" si="96"/>
        <v>64</v>
      </c>
      <c r="AE563" s="213">
        <v>16.23</v>
      </c>
      <c r="AF563" s="196">
        <v>5971000000</v>
      </c>
      <c r="AG563" s="104">
        <f t="shared" si="97"/>
        <v>1.7454981290926099</v>
      </c>
      <c r="AH563" s="104">
        <f t="shared" si="98"/>
        <v>1.1063553826199741</v>
      </c>
      <c r="AI563" s="195">
        <v>2.0099999999999998</v>
      </c>
      <c r="AO563" s="213"/>
      <c r="AP563" s="213"/>
      <c r="AQ563" s="213"/>
      <c r="AR563" s="213"/>
      <c r="AS563" s="213"/>
      <c r="AT563" s="213"/>
      <c r="AU563" s="213"/>
      <c r="AV563" s="213"/>
    </row>
    <row r="564" spans="1:48">
      <c r="A564">
        <v>3046</v>
      </c>
      <c r="C564" s="107">
        <f>VLOOKUP(3046,收盤價!$A:$C,3,0)</f>
        <v>6.14</v>
      </c>
      <c r="D564" s="107">
        <f t="shared" si="88"/>
        <v>0</v>
      </c>
      <c r="E564" s="167">
        <f t="shared" si="89"/>
        <v>0</v>
      </c>
      <c r="F564" s="104">
        <f t="shared" si="90"/>
        <v>0.51186447826239767</v>
      </c>
      <c r="G564" s="167">
        <f>RANK(0.51,AE:AE,0)</f>
        <v>1523</v>
      </c>
      <c r="H564" s="365">
        <f t="shared" si="91"/>
        <v>0.62394603709949414</v>
      </c>
      <c r="I564" s="213">
        <f t="shared" si="92"/>
        <v>1377</v>
      </c>
      <c r="J564" s="213">
        <f t="shared" si="93"/>
        <v>768</v>
      </c>
      <c r="K564">
        <f>RANK(0.73,AI:AI,0)</f>
        <v>1352</v>
      </c>
      <c r="L564" s="357">
        <v>0</v>
      </c>
      <c r="M564" s="357">
        <v>0</v>
      </c>
      <c r="N564" s="357">
        <v>0</v>
      </c>
      <c r="O564" s="357">
        <v>0</v>
      </c>
      <c r="P564" s="357">
        <v>0</v>
      </c>
      <c r="Q564" s="358">
        <v>0.25570776255707761</v>
      </c>
      <c r="R564" s="359">
        <v>0</v>
      </c>
      <c r="S564" s="196">
        <v>1422650000</v>
      </c>
      <c r="T564" s="196">
        <v>118600000</v>
      </c>
      <c r="U564" s="200">
        <f t="shared" si="94"/>
        <v>728204000</v>
      </c>
      <c r="V564" s="196">
        <v>-81000000</v>
      </c>
      <c r="W564" s="196">
        <v>266000000</v>
      </c>
      <c r="X564" s="196">
        <v>40000000</v>
      </c>
      <c r="Y564" s="196">
        <v>761000000</v>
      </c>
      <c r="Z564" s="196">
        <v>444000000</v>
      </c>
      <c r="AA564" s="198">
        <v>-0.26</v>
      </c>
      <c r="AB564" s="198">
        <v>-7.0000000000000007E-2</v>
      </c>
      <c r="AC564" s="213">
        <f t="shared" si="95"/>
        <v>1545</v>
      </c>
      <c r="AD564" s="213">
        <f t="shared" si="96"/>
        <v>1526</v>
      </c>
      <c r="AE564" s="213">
        <v>0.51</v>
      </c>
      <c r="AF564" s="196">
        <v>-74000000</v>
      </c>
      <c r="AG564" s="104">
        <f t="shared" si="97"/>
        <v>-0.62394603709949414</v>
      </c>
      <c r="AH564" s="104">
        <f t="shared" si="98"/>
        <v>0</v>
      </c>
      <c r="AI564" s="195">
        <v>0.73</v>
      </c>
    </row>
    <row r="565" spans="1:48">
      <c r="A565">
        <v>3047</v>
      </c>
      <c r="C565" s="107">
        <f>VLOOKUP(3047,收盤價!$A:$C,3,0)</f>
        <v>10.4</v>
      </c>
      <c r="D565" s="107">
        <f t="shared" si="88"/>
        <v>0</v>
      </c>
      <c r="E565" s="167">
        <f t="shared" si="89"/>
        <v>1</v>
      </c>
      <c r="F565" s="104">
        <f t="shared" si="90"/>
        <v>0.40961936388179249</v>
      </c>
      <c r="G565" s="167">
        <f>RANK(1.08,AE:AE,0)</f>
        <v>769</v>
      </c>
      <c r="H565" s="365">
        <f t="shared" si="91"/>
        <v>0.31015507753876936</v>
      </c>
      <c r="I565" s="213">
        <f t="shared" si="92"/>
        <v>1271</v>
      </c>
      <c r="J565" s="213">
        <f t="shared" si="93"/>
        <v>768</v>
      </c>
      <c r="K565">
        <f>RANK(0.76,AI:AI,0)</f>
        <v>1269</v>
      </c>
      <c r="L565" s="357">
        <v>0</v>
      </c>
      <c r="M565" s="357">
        <v>1</v>
      </c>
      <c r="N565" s="357">
        <v>0</v>
      </c>
      <c r="O565" s="357">
        <v>0</v>
      </c>
      <c r="P565" s="357">
        <v>0</v>
      </c>
      <c r="Q565" s="358">
        <v>0.26875957120980093</v>
      </c>
      <c r="R565" s="359">
        <v>0</v>
      </c>
      <c r="S565" s="196">
        <v>5075346000</v>
      </c>
      <c r="T565" s="196">
        <v>199900000</v>
      </c>
      <c r="U565" s="200">
        <f t="shared" si="94"/>
        <v>2078960000</v>
      </c>
      <c r="V565" s="196">
        <v>30000000</v>
      </c>
      <c r="W565" s="196">
        <v>1632000000</v>
      </c>
      <c r="X565" s="196">
        <v>441000000</v>
      </c>
      <c r="Y565" s="196">
        <v>2498000000</v>
      </c>
      <c r="Z565" s="196">
        <v>239000000</v>
      </c>
      <c r="AA565" s="198">
        <v>0.01</v>
      </c>
      <c r="AB565" s="198">
        <v>0.01</v>
      </c>
      <c r="AC565" s="213">
        <f t="shared" si="95"/>
        <v>769</v>
      </c>
      <c r="AD565" s="213">
        <f t="shared" si="96"/>
        <v>680</v>
      </c>
      <c r="AE565" s="213">
        <v>1.08</v>
      </c>
      <c r="AF565" s="196">
        <v>-62000000</v>
      </c>
      <c r="AG565" s="104">
        <f t="shared" si="97"/>
        <v>-0.31015507753876936</v>
      </c>
      <c r="AH565" s="104">
        <f t="shared" si="98"/>
        <v>0</v>
      </c>
      <c r="AI565" s="195">
        <v>0.76</v>
      </c>
    </row>
    <row r="566" spans="1:48">
      <c r="A566">
        <v>3048</v>
      </c>
      <c r="C566" s="107">
        <f>VLOOKUP(3048,收盤價!$A:$C,3,0)</f>
        <v>17.399999999999999</v>
      </c>
      <c r="D566" s="107">
        <f t="shared" si="88"/>
        <v>8.6314960629921256</v>
      </c>
      <c r="E566" s="167">
        <f t="shared" si="89"/>
        <v>2</v>
      </c>
      <c r="F566" s="104">
        <f t="shared" si="90"/>
        <v>5.2532179172097251E-2</v>
      </c>
      <c r="G566" s="167">
        <f>RANK(3.28,AE:AE,0)</f>
        <v>256</v>
      </c>
      <c r="H566" s="365">
        <f t="shared" si="91"/>
        <v>0.23311702653527</v>
      </c>
      <c r="I566" s="213">
        <f t="shared" si="92"/>
        <v>111</v>
      </c>
      <c r="J566" s="213">
        <f t="shared" si="93"/>
        <v>141</v>
      </c>
      <c r="K566">
        <f>RANK(6.18,AI:AI,0)</f>
        <v>46</v>
      </c>
      <c r="L566" s="357">
        <v>0</v>
      </c>
      <c r="M566" s="357">
        <v>1</v>
      </c>
      <c r="N566" s="357">
        <v>0</v>
      </c>
      <c r="O566" s="357">
        <v>1</v>
      </c>
      <c r="P566" s="357">
        <v>0</v>
      </c>
      <c r="Q566" s="358">
        <v>3.0141371032275273E-2</v>
      </c>
      <c r="R566" s="359">
        <v>0.50396825396825395</v>
      </c>
      <c r="S566" s="196">
        <v>67006929000</v>
      </c>
      <c r="T566" s="196">
        <v>202300000</v>
      </c>
      <c r="U566" s="200">
        <f t="shared" si="94"/>
        <v>3520019999.9999995</v>
      </c>
      <c r="V566" s="196">
        <v>188000000</v>
      </c>
      <c r="W566" s="196">
        <v>3086000000</v>
      </c>
      <c r="X566" s="196">
        <v>470000000</v>
      </c>
      <c r="Y566" s="196">
        <v>3072000000</v>
      </c>
      <c r="Z566" s="196">
        <v>2200000000</v>
      </c>
      <c r="AA566" s="198">
        <v>0.05</v>
      </c>
      <c r="AB566" s="198">
        <v>0.04</v>
      </c>
      <c r="AC566" s="213">
        <f t="shared" si="95"/>
        <v>247</v>
      </c>
      <c r="AD566" s="213">
        <f t="shared" si="96"/>
        <v>228</v>
      </c>
      <c r="AE566" s="213">
        <v>3.28</v>
      </c>
      <c r="AF566" s="196">
        <v>620000000</v>
      </c>
      <c r="AG566" s="104">
        <f t="shared" si="97"/>
        <v>3.0647553138902621</v>
      </c>
      <c r="AH566" s="104">
        <f t="shared" si="98"/>
        <v>3.2978723404255321</v>
      </c>
      <c r="AI566" s="195">
        <v>6.18</v>
      </c>
    </row>
    <row r="567" spans="1:48">
      <c r="A567">
        <v>3049</v>
      </c>
      <c r="C567" s="107">
        <f>VLOOKUP(3049,收盤價!$A:$C,3,0)</f>
        <v>7.27</v>
      </c>
      <c r="D567" s="107">
        <f t="shared" si="88"/>
        <v>0</v>
      </c>
      <c r="E567" s="167">
        <f t="shared" si="89"/>
        <v>2</v>
      </c>
      <c r="F567" s="104">
        <f t="shared" si="90"/>
        <v>1.8016866483648235</v>
      </c>
      <c r="G567" s="167">
        <f>RANK(0.52,AE:AE,0)</f>
        <v>1493</v>
      </c>
      <c r="H567" s="365">
        <f t="shared" si="91"/>
        <v>2.9854797123083185E-2</v>
      </c>
      <c r="I567" s="213">
        <f t="shared" si="92"/>
        <v>1089</v>
      </c>
      <c r="J567" s="213">
        <f t="shared" si="93"/>
        <v>768</v>
      </c>
      <c r="K567">
        <f>RANK(0.84,AI:AI,0)</f>
        <v>1076</v>
      </c>
      <c r="L567" s="357">
        <v>0</v>
      </c>
      <c r="M567" s="357">
        <v>0</v>
      </c>
      <c r="N567" s="357">
        <v>2</v>
      </c>
      <c r="O567" s="357">
        <v>0</v>
      </c>
      <c r="P567" s="357">
        <v>0</v>
      </c>
      <c r="Q567" s="358">
        <v>-1.1872037914691944</v>
      </c>
      <c r="R567" s="359">
        <v>0</v>
      </c>
      <c r="S567" s="196">
        <v>2973471000</v>
      </c>
      <c r="T567" s="196">
        <v>736900000</v>
      </c>
      <c r="U567" s="200">
        <f t="shared" si="94"/>
        <v>5357263000</v>
      </c>
      <c r="V567" s="196">
        <v>-516000000</v>
      </c>
      <c r="W567" s="196">
        <v>0</v>
      </c>
      <c r="X567" s="196">
        <v>10290000000</v>
      </c>
      <c r="Y567" s="196">
        <v>6499000000</v>
      </c>
      <c r="Z567" s="196">
        <v>3702000000</v>
      </c>
      <c r="AA567" s="198">
        <v>-0.05</v>
      </c>
      <c r="AB567" s="198">
        <v>-0.05</v>
      </c>
      <c r="AC567" s="213">
        <f t="shared" si="95"/>
        <v>1468</v>
      </c>
      <c r="AD567" s="213">
        <f t="shared" si="96"/>
        <v>1500</v>
      </c>
      <c r="AE567" s="213">
        <v>0.52</v>
      </c>
      <c r="AF567" s="196">
        <v>-22000000</v>
      </c>
      <c r="AG567" s="104">
        <f t="shared" si="97"/>
        <v>-2.9854797123083185E-2</v>
      </c>
      <c r="AH567" s="104">
        <f t="shared" si="98"/>
        <v>0</v>
      </c>
      <c r="AI567" s="195">
        <v>0.84</v>
      </c>
      <c r="AO567" s="213"/>
      <c r="AP567" s="213"/>
      <c r="AQ567" s="213"/>
      <c r="AR567" s="213"/>
      <c r="AS567" s="213"/>
      <c r="AT567" s="213"/>
      <c r="AU567" s="213"/>
      <c r="AV567" s="213"/>
    </row>
    <row r="568" spans="1:48">
      <c r="A568">
        <v>3050</v>
      </c>
      <c r="C568" s="107">
        <f>VLOOKUP(3050,收盤價!$A:$C,3,0)</f>
        <v>13.1</v>
      </c>
      <c r="D568" s="107">
        <f t="shared" si="88"/>
        <v>21.18444055944056</v>
      </c>
      <c r="E568" s="167">
        <f t="shared" si="89"/>
        <v>2</v>
      </c>
      <c r="F568" s="104">
        <f t="shared" si="90"/>
        <v>2.1771187875940363</v>
      </c>
      <c r="G568" s="167">
        <f>RANK(1.2,AE:AE,0)</f>
        <v>710</v>
      </c>
      <c r="H568" s="365">
        <f t="shared" si="91"/>
        <v>2.6298487836949377E-2</v>
      </c>
      <c r="I568" s="213">
        <f t="shared" si="92"/>
        <v>1086</v>
      </c>
      <c r="J568" s="213">
        <f t="shared" si="93"/>
        <v>768</v>
      </c>
      <c r="K568">
        <f>RANK(0.84,AI:AI,0)</f>
        <v>1076</v>
      </c>
      <c r="L568" s="357">
        <v>0</v>
      </c>
      <c r="M568" s="357">
        <v>1</v>
      </c>
      <c r="N568" s="357">
        <v>1</v>
      </c>
      <c r="O568" s="357">
        <v>0</v>
      </c>
      <c r="P568" s="357">
        <v>0</v>
      </c>
      <c r="Q568" s="358">
        <v>0.35714285714285715</v>
      </c>
      <c r="R568" s="359">
        <v>0.1545945945945946</v>
      </c>
      <c r="S568" s="196">
        <v>915205000</v>
      </c>
      <c r="T568" s="196">
        <v>152100000</v>
      </c>
      <c r="U568" s="200">
        <f t="shared" si="94"/>
        <v>1992510000</v>
      </c>
      <c r="V568" s="196">
        <v>28000000</v>
      </c>
      <c r="W568" s="196">
        <v>493000000</v>
      </c>
      <c r="X568" s="196">
        <v>976000000</v>
      </c>
      <c r="Y568" s="196">
        <v>2177000000</v>
      </c>
      <c r="Z568" s="196">
        <v>197000000</v>
      </c>
      <c r="AA568" s="198">
        <v>0.02</v>
      </c>
      <c r="AB568" s="198">
        <v>0.01</v>
      </c>
      <c r="AC568" s="213">
        <f t="shared" si="95"/>
        <v>616</v>
      </c>
      <c r="AD568" s="213">
        <f t="shared" si="96"/>
        <v>680</v>
      </c>
      <c r="AE568" s="213">
        <v>1.2</v>
      </c>
      <c r="AF568" s="196">
        <v>-4000000</v>
      </c>
      <c r="AG568" s="104">
        <f t="shared" si="97"/>
        <v>-2.6298487836949377E-2</v>
      </c>
      <c r="AH568" s="104">
        <f t="shared" si="98"/>
        <v>0</v>
      </c>
      <c r="AI568" s="195">
        <v>0.84</v>
      </c>
      <c r="AO568" s="213"/>
      <c r="AP568" s="213"/>
      <c r="AQ568" s="213"/>
      <c r="AR568" s="213"/>
      <c r="AS568" s="213"/>
      <c r="AT568" s="213"/>
      <c r="AU568" s="213"/>
      <c r="AV568" s="213"/>
    </row>
    <row r="569" spans="1:48">
      <c r="A569">
        <v>3051</v>
      </c>
      <c r="C569" s="107">
        <f>VLOOKUP(3051,收盤價!$A:$C,3,0)</f>
        <v>3.91</v>
      </c>
      <c r="D569" s="107">
        <f t="shared" si="88"/>
        <v>0</v>
      </c>
      <c r="E569" s="167">
        <f t="shared" si="89"/>
        <v>2</v>
      </c>
      <c r="F569" s="104">
        <f t="shared" si="90"/>
        <v>0.42621394554586167</v>
      </c>
      <c r="G569" s="167">
        <f>RANK(0.84,AE:AE,0)</f>
        <v>946</v>
      </c>
      <c r="H569" s="365">
        <f t="shared" si="91"/>
        <v>17.056477781193429</v>
      </c>
      <c r="I569" s="213">
        <f t="shared" si="92"/>
        <v>514</v>
      </c>
      <c r="J569" s="213">
        <f t="shared" si="93"/>
        <v>16</v>
      </c>
      <c r="K569">
        <f>RANK(2.94,AI:AI,0)</f>
        <v>178</v>
      </c>
      <c r="L569" s="357">
        <v>0</v>
      </c>
      <c r="M569" s="357">
        <v>1</v>
      </c>
      <c r="N569" s="357">
        <v>0</v>
      </c>
      <c r="O569" s="357">
        <v>1</v>
      </c>
      <c r="P569" s="357">
        <v>0</v>
      </c>
      <c r="Q569" s="358">
        <v>0.14330708661417324</v>
      </c>
      <c r="R569" s="359">
        <v>0</v>
      </c>
      <c r="S569" s="196">
        <v>2984236000</v>
      </c>
      <c r="T569" s="196">
        <v>325300000</v>
      </c>
      <c r="U569" s="200">
        <f t="shared" si="94"/>
        <v>1271923000</v>
      </c>
      <c r="V569" s="196">
        <v>18000000</v>
      </c>
      <c r="W569" s="196">
        <v>822000000</v>
      </c>
      <c r="X569" s="196">
        <v>2781000000</v>
      </c>
      <c r="Y569" s="196">
        <v>1803000000</v>
      </c>
      <c r="Z569" s="196">
        <v>2106000000</v>
      </c>
      <c r="AA569" s="198">
        <v>0</v>
      </c>
      <c r="AB569" s="198">
        <v>0</v>
      </c>
      <c r="AC569" s="213">
        <f t="shared" si="95"/>
        <v>945</v>
      </c>
      <c r="AD569" s="213">
        <f t="shared" si="96"/>
        <v>911</v>
      </c>
      <c r="AE569" s="213">
        <v>0.84</v>
      </c>
      <c r="AF569" s="196">
        <v>325000000</v>
      </c>
      <c r="AG569" s="104">
        <f t="shared" si="97"/>
        <v>0.9990777743621273</v>
      </c>
      <c r="AH569" s="104">
        <f t="shared" si="98"/>
        <v>18.055555555555557</v>
      </c>
      <c r="AI569" s="195">
        <v>2.94</v>
      </c>
      <c r="AO569" s="213"/>
      <c r="AP569" s="213"/>
      <c r="AQ569" s="213"/>
      <c r="AR569" s="213"/>
      <c r="AS569" s="213"/>
      <c r="AT569" s="213"/>
      <c r="AU569" s="213"/>
      <c r="AV569" s="213"/>
    </row>
    <row r="570" spans="1:48">
      <c r="A570">
        <v>3052</v>
      </c>
      <c r="C570" s="107">
        <f>VLOOKUP(3052,收盤價!$A:$C,3,0)</f>
        <v>8.09</v>
      </c>
      <c r="D570" s="107">
        <f t="shared" si="88"/>
        <v>67.416666666666671</v>
      </c>
      <c r="E570" s="167">
        <f t="shared" si="89"/>
        <v>2</v>
      </c>
      <c r="F570" s="104">
        <f t="shared" si="90"/>
        <v>0.8550291939282435</v>
      </c>
      <c r="G570" s="167">
        <f>RANK(0.84,AE:AE,0)</f>
        <v>946</v>
      </c>
      <c r="H570" s="365">
        <f t="shared" si="91"/>
        <v>1.4763948497854078</v>
      </c>
      <c r="I570" s="213">
        <f t="shared" si="92"/>
        <v>1476</v>
      </c>
      <c r="J570" s="213">
        <f t="shared" si="93"/>
        <v>768</v>
      </c>
      <c r="K570">
        <f>RANK(0.69,AI:AI,0)</f>
        <v>1474</v>
      </c>
      <c r="L570" s="357">
        <v>0</v>
      </c>
      <c r="M570" s="357">
        <v>1</v>
      </c>
      <c r="N570" s="357">
        <v>1</v>
      </c>
      <c r="O570" s="357">
        <v>0</v>
      </c>
      <c r="P570" s="357">
        <v>0</v>
      </c>
      <c r="Q570" s="358">
        <v>0.10227272727272728</v>
      </c>
      <c r="R570" s="359">
        <v>0.03</v>
      </c>
      <c r="S570" s="196">
        <v>2204568000</v>
      </c>
      <c r="T570" s="196">
        <v>233000000</v>
      </c>
      <c r="U570" s="200">
        <f t="shared" si="94"/>
        <v>1884970000</v>
      </c>
      <c r="V570" s="196">
        <v>0</v>
      </c>
      <c r="W570" s="196">
        <v>2128000000</v>
      </c>
      <c r="X570" s="196">
        <v>196000000</v>
      </c>
      <c r="Y570" s="196">
        <v>2926000000</v>
      </c>
      <c r="Z570" s="196">
        <v>4541000000</v>
      </c>
      <c r="AA570" s="198">
        <v>0</v>
      </c>
      <c r="AB570" s="198">
        <v>0</v>
      </c>
      <c r="AC570" s="213">
        <f t="shared" si="95"/>
        <v>945</v>
      </c>
      <c r="AD570" s="213">
        <f t="shared" si="96"/>
        <v>911</v>
      </c>
      <c r="AE570" s="213">
        <v>0.84</v>
      </c>
      <c r="AF570" s="196">
        <v>-344000000</v>
      </c>
      <c r="AG570" s="104">
        <f t="shared" si="97"/>
        <v>-1.4763948497854078</v>
      </c>
      <c r="AH570" s="104">
        <f t="shared" si="98"/>
        <v>0</v>
      </c>
      <c r="AI570" s="195">
        <v>0.69</v>
      </c>
      <c r="AO570" s="213"/>
      <c r="AP570" s="213"/>
      <c r="AQ570" s="213"/>
      <c r="AR570" s="213"/>
      <c r="AS570" s="213"/>
      <c r="AT570" s="213"/>
      <c r="AU570" s="213"/>
      <c r="AV570" s="213"/>
    </row>
    <row r="571" spans="1:48">
      <c r="A571">
        <v>3054</v>
      </c>
      <c r="C571" s="107">
        <f>VLOOKUP(3054,收盤價!$A:$C,3,0)</f>
        <v>20.8</v>
      </c>
      <c r="D571" s="107">
        <f t="shared" si="88"/>
        <v>0</v>
      </c>
      <c r="E571" s="167">
        <f t="shared" si="89"/>
        <v>2</v>
      </c>
      <c r="F571" s="104">
        <f t="shared" si="90"/>
        <v>7.5371160595465954</v>
      </c>
      <c r="G571" s="167">
        <f>RANK(0.71,AE:AE,0)</f>
        <v>1276</v>
      </c>
      <c r="H571" s="365">
        <f t="shared" si="91"/>
        <v>-0.62904717853839043</v>
      </c>
      <c r="I571" s="213">
        <f t="shared" si="92"/>
        <v>682</v>
      </c>
      <c r="J571" s="213">
        <f t="shared" si="93"/>
        <v>768</v>
      </c>
      <c r="K571">
        <f>RANK(1.07,AI:AI,0)</f>
        <v>826</v>
      </c>
      <c r="L571" s="357">
        <v>0</v>
      </c>
      <c r="M571" s="357">
        <v>1</v>
      </c>
      <c r="N571" s="357">
        <v>0</v>
      </c>
      <c r="O571" s="357">
        <v>1</v>
      </c>
      <c r="P571" s="357">
        <v>0</v>
      </c>
      <c r="Q571" s="358">
        <v>0.15384615384615385</v>
      </c>
      <c r="R571" s="359">
        <v>0</v>
      </c>
      <c r="S571" s="196">
        <v>298321000</v>
      </c>
      <c r="T571" s="196">
        <v>108100000</v>
      </c>
      <c r="U571" s="200">
        <f t="shared" si="94"/>
        <v>2248480000</v>
      </c>
      <c r="V571" s="196">
        <v>-6000000</v>
      </c>
      <c r="W571" s="196">
        <v>382000000</v>
      </c>
      <c r="X571" s="196">
        <v>76000000</v>
      </c>
      <c r="Y571" s="196">
        <v>1109000000</v>
      </c>
      <c r="Z571" s="196">
        <v>333000000</v>
      </c>
      <c r="AA571" s="198">
        <v>-0.01</v>
      </c>
      <c r="AB571" s="198">
        <v>0</v>
      </c>
      <c r="AC571" s="213">
        <f t="shared" si="95"/>
        <v>1277</v>
      </c>
      <c r="AD571" s="213">
        <f t="shared" si="96"/>
        <v>911</v>
      </c>
      <c r="AE571" s="213">
        <v>0.71</v>
      </c>
      <c r="AF571" s="196">
        <v>68000000</v>
      </c>
      <c r="AG571" s="104">
        <f t="shared" si="97"/>
        <v>0.62904717853839043</v>
      </c>
      <c r="AH571" s="104">
        <f t="shared" si="98"/>
        <v>0</v>
      </c>
      <c r="AI571" s="195">
        <v>1.07</v>
      </c>
      <c r="AO571" s="213"/>
      <c r="AP571" s="213"/>
      <c r="AQ571" s="213"/>
      <c r="AR571" s="213"/>
      <c r="AS571" s="213"/>
      <c r="AT571" s="213"/>
      <c r="AU571" s="213"/>
      <c r="AV571" s="213"/>
    </row>
    <row r="572" spans="1:48">
      <c r="A572">
        <v>3055</v>
      </c>
      <c r="C572" s="107">
        <f>VLOOKUP(3055,收盤價!$A:$C,3,0)</f>
        <v>18</v>
      </c>
      <c r="D572" s="107">
        <f t="shared" si="88"/>
        <v>16.568483063328422</v>
      </c>
      <c r="E572" s="167">
        <f t="shared" si="89"/>
        <v>1</v>
      </c>
      <c r="F572" s="104">
        <f t="shared" si="90"/>
        <v>0.70720187925458444</v>
      </c>
      <c r="G572" s="167">
        <f>RANK(1.94,AE:AE,0)</f>
        <v>435</v>
      </c>
      <c r="H572" s="365">
        <f t="shared" si="91"/>
        <v>1.2445546856832799</v>
      </c>
      <c r="I572" s="213">
        <f t="shared" si="92"/>
        <v>96</v>
      </c>
      <c r="J572" s="213">
        <f t="shared" si="93"/>
        <v>90</v>
      </c>
      <c r="K572">
        <f>RANK(8.38,AI:AI,0)</f>
        <v>21</v>
      </c>
      <c r="L572" s="357">
        <v>0</v>
      </c>
      <c r="M572" s="357">
        <v>0</v>
      </c>
      <c r="N572" s="357">
        <v>0</v>
      </c>
      <c r="O572" s="357">
        <v>1</v>
      </c>
      <c r="P572" s="357">
        <v>0</v>
      </c>
      <c r="Q572" s="358">
        <v>0.23791102514506771</v>
      </c>
      <c r="R572" s="359">
        <v>0.27160000000000001</v>
      </c>
      <c r="S572" s="196">
        <v>3385172000</v>
      </c>
      <c r="T572" s="196">
        <v>133000000</v>
      </c>
      <c r="U572" s="200">
        <f t="shared" si="94"/>
        <v>2394000000</v>
      </c>
      <c r="V572" s="196">
        <v>97000000</v>
      </c>
      <c r="W572" s="196">
        <v>2104000000</v>
      </c>
      <c r="X572" s="196">
        <v>766000000</v>
      </c>
      <c r="Y572" s="196">
        <v>2960000000</v>
      </c>
      <c r="Z572" s="196">
        <v>174000000</v>
      </c>
      <c r="AA572" s="198">
        <v>0.03</v>
      </c>
      <c r="AB572" s="198">
        <v>0.03</v>
      </c>
      <c r="AC572" s="213">
        <f t="shared" si="95"/>
        <v>469</v>
      </c>
      <c r="AD572" s="213">
        <f t="shared" si="96"/>
        <v>334</v>
      </c>
      <c r="AE572" s="213">
        <v>1.94</v>
      </c>
      <c r="AF572" s="196">
        <v>446000000</v>
      </c>
      <c r="AG572" s="104">
        <f t="shared" si="97"/>
        <v>3.3533834586466167</v>
      </c>
      <c r="AH572" s="104">
        <f t="shared" si="98"/>
        <v>4.5979381443298966</v>
      </c>
      <c r="AI572" s="195">
        <v>8.3800000000000008</v>
      </c>
      <c r="AO572" s="213"/>
      <c r="AP572" s="213"/>
      <c r="AQ572" s="213"/>
      <c r="AR572" s="213"/>
      <c r="AS572" s="213"/>
      <c r="AT572" s="213"/>
      <c r="AU572" s="213"/>
      <c r="AV572" s="213"/>
    </row>
    <row r="573" spans="1:48">
      <c r="A573">
        <v>3056</v>
      </c>
      <c r="C573" s="107">
        <f>VLOOKUP(3056,收盤價!$A:$C,3,0)</f>
        <v>18.850000000000001</v>
      </c>
      <c r="D573" s="107">
        <f t="shared" si="88"/>
        <v>1.0295697116805356</v>
      </c>
      <c r="E573" s="167">
        <f t="shared" si="89"/>
        <v>4</v>
      </c>
      <c r="F573" s="104">
        <f t="shared" si="90"/>
        <v>0.55638303432108172</v>
      </c>
      <c r="G573" s="167">
        <f>RANK(141.64,AE:AE,0)</f>
        <v>2</v>
      </c>
      <c r="H573" s="365">
        <f t="shared" si="91"/>
        <v>-9.1179685430261141</v>
      </c>
      <c r="I573" s="213">
        <f t="shared" si="92"/>
        <v>2</v>
      </c>
      <c r="J573" s="213">
        <f t="shared" si="93"/>
        <v>192</v>
      </c>
      <c r="K573">
        <f>RANK(8.03,AI:AI,0)</f>
        <v>25</v>
      </c>
      <c r="L573" s="357">
        <v>1</v>
      </c>
      <c r="M573" s="357">
        <v>1</v>
      </c>
      <c r="N573" s="357">
        <v>0</v>
      </c>
      <c r="O573" s="357">
        <v>1</v>
      </c>
      <c r="P573" s="357">
        <v>1</v>
      </c>
      <c r="Q573" s="358">
        <v>0.30958400367731553</v>
      </c>
      <c r="R573" s="359">
        <v>4.5771548507462683</v>
      </c>
      <c r="S573" s="196">
        <v>7768578000</v>
      </c>
      <c r="T573" s="196">
        <v>229300000</v>
      </c>
      <c r="U573" s="200">
        <f t="shared" si="94"/>
        <v>4322305000</v>
      </c>
      <c r="V573" s="196">
        <v>1070000000</v>
      </c>
      <c r="W573" s="196">
        <v>4399000000</v>
      </c>
      <c r="X573" s="196">
        <v>154000000</v>
      </c>
      <c r="Y573" s="196">
        <v>4859000000</v>
      </c>
      <c r="Z573" s="196">
        <v>1966000000</v>
      </c>
      <c r="AA573" s="198">
        <v>0.24</v>
      </c>
      <c r="AB573" s="198">
        <v>0.16</v>
      </c>
      <c r="AC573" s="213">
        <f t="shared" si="95"/>
        <v>9</v>
      </c>
      <c r="AD573" s="213">
        <f t="shared" si="96"/>
        <v>2</v>
      </c>
      <c r="AE573" s="213">
        <v>141.63999999999999</v>
      </c>
      <c r="AF573" s="196">
        <v>2661000000</v>
      </c>
      <c r="AG573" s="104">
        <f t="shared" si="97"/>
        <v>11.604884430876581</v>
      </c>
      <c r="AH573" s="104">
        <f t="shared" si="98"/>
        <v>2.4869158878504671</v>
      </c>
      <c r="AI573" s="195">
        <v>8.0299999999999994</v>
      </c>
    </row>
    <row r="574" spans="1:48">
      <c r="A574">
        <v>3057</v>
      </c>
      <c r="C574" s="107">
        <f>VLOOKUP(3057,收盤價!$A:$C,3,0)</f>
        <v>14.65</v>
      </c>
      <c r="D574" s="107">
        <f t="shared" si="88"/>
        <v>0</v>
      </c>
      <c r="E574" s="167">
        <f t="shared" si="89"/>
        <v>2</v>
      </c>
      <c r="F574" s="104">
        <f t="shared" si="90"/>
        <v>0.8870852736445447</v>
      </c>
      <c r="G574" s="167">
        <f>RANK(0.84,AE:AE,0)</f>
        <v>946</v>
      </c>
      <c r="H574" s="365">
        <f t="shared" si="91"/>
        <v>0.12946979038224415</v>
      </c>
      <c r="I574" s="213">
        <f t="shared" si="92"/>
        <v>1159</v>
      </c>
      <c r="J574" s="213">
        <f t="shared" si="93"/>
        <v>768</v>
      </c>
      <c r="K574">
        <f>RANK(0.81,AI:AI,0)</f>
        <v>1144</v>
      </c>
      <c r="L574" s="357">
        <v>0</v>
      </c>
      <c r="M574" s="357">
        <v>0</v>
      </c>
      <c r="N574" s="357">
        <v>2</v>
      </c>
      <c r="O574" s="357">
        <v>0</v>
      </c>
      <c r="P574" s="357">
        <v>0</v>
      </c>
      <c r="Q574" s="358">
        <v>0.39776357827476039</v>
      </c>
      <c r="R574" s="359">
        <v>-0.39</v>
      </c>
      <c r="S574" s="196">
        <v>2678694000</v>
      </c>
      <c r="T574" s="196">
        <v>162200000</v>
      </c>
      <c r="U574" s="200">
        <f t="shared" si="94"/>
        <v>2376230000</v>
      </c>
      <c r="V574" s="196">
        <v>0</v>
      </c>
      <c r="W574" s="196">
        <v>1142000000</v>
      </c>
      <c r="X574" s="196">
        <v>451000000</v>
      </c>
      <c r="Y574" s="196">
        <v>2122000000</v>
      </c>
      <c r="Z574" s="196">
        <v>237000000</v>
      </c>
      <c r="AA574" s="198">
        <v>0</v>
      </c>
      <c r="AB574" s="198">
        <v>0</v>
      </c>
      <c r="AC574" s="213">
        <f t="shared" si="95"/>
        <v>945</v>
      </c>
      <c r="AD574" s="213">
        <f t="shared" si="96"/>
        <v>911</v>
      </c>
      <c r="AE574" s="213">
        <v>0.84</v>
      </c>
      <c r="AF574" s="196">
        <v>-21000000</v>
      </c>
      <c r="AG574" s="104">
        <f t="shared" si="97"/>
        <v>-0.12946979038224415</v>
      </c>
      <c r="AH574" s="104">
        <f t="shared" si="98"/>
        <v>0</v>
      </c>
      <c r="AI574" s="195">
        <v>0.81</v>
      </c>
      <c r="AO574" s="213"/>
      <c r="AP574" s="213"/>
      <c r="AQ574" s="213"/>
      <c r="AR574" s="213"/>
      <c r="AS574" s="213"/>
      <c r="AT574" s="213"/>
      <c r="AU574" s="213"/>
      <c r="AV574" s="213"/>
    </row>
    <row r="575" spans="1:48">
      <c r="A575">
        <v>3058</v>
      </c>
      <c r="C575" s="107">
        <f>VLOOKUP(3058,收盤價!$A:$C,3,0)</f>
        <v>10.65</v>
      </c>
      <c r="D575" s="107">
        <f t="shared" si="88"/>
        <v>0</v>
      </c>
      <c r="E575" s="167">
        <f t="shared" si="89"/>
        <v>1</v>
      </c>
      <c r="F575" s="104">
        <f t="shared" si="90"/>
        <v>0.35277058588917659</v>
      </c>
      <c r="G575" s="167">
        <f>RANK(1.08,AE:AE,0)</f>
        <v>769</v>
      </c>
      <c r="H575" s="365">
        <f t="shared" si="91"/>
        <v>0.12244897959183673</v>
      </c>
      <c r="I575" s="213">
        <f t="shared" si="92"/>
        <v>1153</v>
      </c>
      <c r="J575" s="213">
        <f t="shared" si="93"/>
        <v>768</v>
      </c>
      <c r="K575">
        <f>RANK(0.81,AI:AI,0)</f>
        <v>1144</v>
      </c>
      <c r="L575" s="357">
        <v>0</v>
      </c>
      <c r="M575" s="357">
        <v>1</v>
      </c>
      <c r="N575" s="357">
        <v>0</v>
      </c>
      <c r="O575" s="357">
        <v>0</v>
      </c>
      <c r="P575" s="357">
        <v>0</v>
      </c>
      <c r="Q575" s="358">
        <v>0.15146831530139104</v>
      </c>
      <c r="R575" s="359">
        <v>0</v>
      </c>
      <c r="S575" s="196">
        <v>5177515000</v>
      </c>
      <c r="T575" s="196">
        <v>171500000</v>
      </c>
      <c r="U575" s="200">
        <f t="shared" si="94"/>
        <v>1826475000</v>
      </c>
      <c r="V575" s="196">
        <v>23000000</v>
      </c>
      <c r="W575" s="196">
        <v>479000000</v>
      </c>
      <c r="X575" s="196">
        <v>1641000000</v>
      </c>
      <c r="Y575" s="196">
        <v>2701000000</v>
      </c>
      <c r="Z575" s="196">
        <v>765000000</v>
      </c>
      <c r="AA575" s="198">
        <v>0.01</v>
      </c>
      <c r="AB575" s="198">
        <v>0.01</v>
      </c>
      <c r="AC575" s="213">
        <f t="shared" si="95"/>
        <v>769</v>
      </c>
      <c r="AD575" s="213">
        <f t="shared" si="96"/>
        <v>680</v>
      </c>
      <c r="AE575" s="213">
        <v>1.08</v>
      </c>
      <c r="AF575" s="196">
        <v>-21000000</v>
      </c>
      <c r="AG575" s="104">
        <f t="shared" si="97"/>
        <v>-0.12244897959183673</v>
      </c>
      <c r="AH575" s="104">
        <f t="shared" si="98"/>
        <v>0</v>
      </c>
      <c r="AI575" s="195">
        <v>0.81</v>
      </c>
      <c r="AO575" s="213"/>
      <c r="AP575" s="213"/>
      <c r="AQ575" s="213"/>
      <c r="AR575" s="213"/>
      <c r="AS575" s="213"/>
      <c r="AT575" s="213"/>
      <c r="AU575" s="213"/>
      <c r="AV575" s="213"/>
    </row>
    <row r="576" spans="1:48">
      <c r="A576">
        <v>3059</v>
      </c>
      <c r="C576" s="107">
        <f>VLOOKUP(3059,收盤價!$A:$C,3,0)</f>
        <v>23.45</v>
      </c>
      <c r="D576" s="107">
        <f t="shared" si="88"/>
        <v>0</v>
      </c>
      <c r="E576" s="167">
        <f t="shared" si="89"/>
        <v>3</v>
      </c>
      <c r="F576" s="104">
        <f t="shared" si="90"/>
        <v>0.54332664994143409</v>
      </c>
      <c r="G576" s="167">
        <f>RANK(0.84,AE:AE,0)</f>
        <v>946</v>
      </c>
      <c r="H576" s="365">
        <f t="shared" si="91"/>
        <v>0.23332118118847978</v>
      </c>
      <c r="I576" s="213">
        <f t="shared" si="92"/>
        <v>1235</v>
      </c>
      <c r="J576" s="213">
        <f t="shared" si="93"/>
        <v>768</v>
      </c>
      <c r="K576">
        <f>RANK(0.78,AI:AI,0)</f>
        <v>1217</v>
      </c>
      <c r="L576" s="357">
        <v>0</v>
      </c>
      <c r="M576" s="357">
        <v>1</v>
      </c>
      <c r="N576" s="357">
        <v>2</v>
      </c>
      <c r="O576" s="357">
        <v>0</v>
      </c>
      <c r="P576" s="357">
        <v>0</v>
      </c>
      <c r="Q576" s="358">
        <v>0.1179634277518824</v>
      </c>
      <c r="R576" s="359">
        <v>0</v>
      </c>
      <c r="S576" s="196">
        <v>11838799000</v>
      </c>
      <c r="T576" s="196">
        <v>274300000</v>
      </c>
      <c r="U576" s="200">
        <f t="shared" si="94"/>
        <v>6432335000</v>
      </c>
      <c r="V576" s="196">
        <v>4000000</v>
      </c>
      <c r="W576" s="196">
        <v>4035000000</v>
      </c>
      <c r="X576" s="196">
        <v>4924000000</v>
      </c>
      <c r="Y576" s="196">
        <v>9112000000</v>
      </c>
      <c r="Z576" s="196">
        <v>2205000000</v>
      </c>
      <c r="AA576" s="198">
        <v>0</v>
      </c>
      <c r="AB576" s="198">
        <v>0</v>
      </c>
      <c r="AC576" s="213">
        <f t="shared" si="95"/>
        <v>945</v>
      </c>
      <c r="AD576" s="213">
        <f t="shared" si="96"/>
        <v>911</v>
      </c>
      <c r="AE576" s="213">
        <v>0.84</v>
      </c>
      <c r="AF576" s="196">
        <v>-64000000</v>
      </c>
      <c r="AG576" s="104">
        <f t="shared" si="97"/>
        <v>-0.23332118118847978</v>
      </c>
      <c r="AH576" s="104">
        <f t="shared" si="98"/>
        <v>0</v>
      </c>
      <c r="AI576" s="195">
        <v>0.78</v>
      </c>
      <c r="AO576" s="213"/>
      <c r="AP576" s="213"/>
      <c r="AQ576" s="213"/>
      <c r="AR576" s="213"/>
      <c r="AS576" s="213"/>
      <c r="AT576" s="213"/>
      <c r="AU576" s="213"/>
      <c r="AV576" s="213"/>
    </row>
    <row r="577" spans="1:48">
      <c r="A577">
        <v>3060</v>
      </c>
      <c r="C577" s="107">
        <f>VLOOKUP(3060,收盤價!$A:$C,3,0)</f>
        <v>38.700000000000003</v>
      </c>
      <c r="D577" s="107">
        <f t="shared" si="88"/>
        <v>0</v>
      </c>
      <c r="E577" s="167">
        <f t="shared" si="89"/>
        <v>1</v>
      </c>
      <c r="F577" s="104">
        <f t="shared" si="90"/>
        <v>0.77871619494830302</v>
      </c>
      <c r="G577" s="167">
        <f>RANK(0.84,AE:AE,0)</f>
        <v>946</v>
      </c>
      <c r="H577" s="365">
        <f t="shared" si="91"/>
        <v>0.55109070034443164</v>
      </c>
      <c r="I577" s="213">
        <f t="shared" si="92"/>
        <v>1366</v>
      </c>
      <c r="J577" s="213">
        <f t="shared" si="93"/>
        <v>768</v>
      </c>
      <c r="K577">
        <f>RANK(0.73,AI:AI,0)</f>
        <v>1352</v>
      </c>
      <c r="L577" s="357">
        <v>0</v>
      </c>
      <c r="M577" s="357">
        <v>1</v>
      </c>
      <c r="N577" s="357">
        <v>0</v>
      </c>
      <c r="O577" s="357">
        <v>0</v>
      </c>
      <c r="P577" s="357">
        <v>0</v>
      </c>
      <c r="Q577" s="358">
        <v>9.264305177111716E-2</v>
      </c>
      <c r="R577" s="359">
        <v>-1.3999999999999999E-2</v>
      </c>
      <c r="S577" s="196">
        <v>8657249000</v>
      </c>
      <c r="T577" s="196">
        <v>174200000</v>
      </c>
      <c r="U577" s="200">
        <f t="shared" si="94"/>
        <v>6741540000.000001</v>
      </c>
      <c r="V577" s="196">
        <v>-2000000</v>
      </c>
      <c r="W577" s="196">
        <v>2780000000</v>
      </c>
      <c r="X577" s="196">
        <v>1635000000</v>
      </c>
      <c r="Y577" s="196">
        <v>4961000000</v>
      </c>
      <c r="Z577" s="196">
        <v>30000000</v>
      </c>
      <c r="AA577" s="198">
        <v>0</v>
      </c>
      <c r="AB577" s="198">
        <v>0</v>
      </c>
      <c r="AC577" s="213">
        <f t="shared" si="95"/>
        <v>945</v>
      </c>
      <c r="AD577" s="213">
        <f t="shared" si="96"/>
        <v>911</v>
      </c>
      <c r="AE577" s="213">
        <v>0.84</v>
      </c>
      <c r="AF577" s="196">
        <v>-96000000</v>
      </c>
      <c r="AG577" s="104">
        <f t="shared" si="97"/>
        <v>-0.55109070034443164</v>
      </c>
      <c r="AH577" s="104">
        <f t="shared" si="98"/>
        <v>0</v>
      </c>
      <c r="AI577" s="195">
        <v>0.73</v>
      </c>
      <c r="AO577" s="213"/>
      <c r="AP577" s="213"/>
      <c r="AQ577" s="213"/>
      <c r="AR577" s="213"/>
      <c r="AS577" s="213"/>
      <c r="AT577" s="213"/>
      <c r="AU577" s="213"/>
      <c r="AV577" s="213"/>
    </row>
    <row r="578" spans="1:48">
      <c r="A578">
        <v>3062</v>
      </c>
      <c r="C578" s="107">
        <f>VLOOKUP(3062,收盤價!$A:$C,3,0)</f>
        <v>19.7</v>
      </c>
      <c r="D578" s="107">
        <f t="shared" ref="D578:D641" si="99">IF(AND(ISNUMBER(C578),R578&gt;0),C578/(R578*4),0)</f>
        <v>31.074404761904763</v>
      </c>
      <c r="E578" s="167">
        <f t="shared" ref="E578:E641" si="100">SUM(L578:P578)</f>
        <v>1</v>
      </c>
      <c r="F578" s="104">
        <f t="shared" ref="F578:F641" si="101">IF(AND(ISNUMBER(U578),ISNUMBER(S578)),U578/S578,0)</f>
        <v>0.60499607858218851</v>
      </c>
      <c r="G578" s="167">
        <f>RANK(1.2,AE:AE,0)</f>
        <v>710</v>
      </c>
      <c r="H578" s="365">
        <f t="shared" ref="H578:H641" si="102">AH578-AG578</f>
        <v>0.91094224924012168</v>
      </c>
      <c r="I578" s="213">
        <f t="shared" ref="I578:I641" si="103">RANK(AG578,AG:AG)</f>
        <v>893</v>
      </c>
      <c r="J578" s="213">
        <f t="shared" ref="J578:J641" si="104">RANK(AH578,AH:AH)</f>
        <v>484</v>
      </c>
      <c r="K578">
        <f>RANK(1.13,AI:AI,0)</f>
        <v>777</v>
      </c>
      <c r="L578" s="357">
        <v>0</v>
      </c>
      <c r="M578" s="357">
        <v>1</v>
      </c>
      <c r="N578" s="357">
        <v>0</v>
      </c>
      <c r="O578" s="357">
        <v>0</v>
      </c>
      <c r="P578" s="357">
        <v>0</v>
      </c>
      <c r="Q578" s="358">
        <v>8.8681446907817971E-2</v>
      </c>
      <c r="R578" s="359">
        <v>0.15849056603773584</v>
      </c>
      <c r="S578" s="196">
        <v>10712962000</v>
      </c>
      <c r="T578" s="196">
        <v>329000000</v>
      </c>
      <c r="U578" s="200">
        <f t="shared" ref="U578:U641" si="105">C578*T578</f>
        <v>6481300000</v>
      </c>
      <c r="V578" s="196">
        <v>70000000</v>
      </c>
      <c r="W578" s="196">
        <v>3269000000</v>
      </c>
      <c r="X578" s="196">
        <v>856000000</v>
      </c>
      <c r="Y578" s="196">
        <v>5586000000</v>
      </c>
      <c r="Z578" s="196">
        <v>0</v>
      </c>
      <c r="AA578" s="198">
        <v>0.02</v>
      </c>
      <c r="AB578" s="198">
        <v>0.01</v>
      </c>
      <c r="AC578" s="213">
        <f t="shared" ref="AC578:AC641" si="106">RANK(AA578,AA:AA)</f>
        <v>616</v>
      </c>
      <c r="AD578" s="213">
        <f t="shared" ref="AD578:AD641" si="107">RANK(AB578,AB:AB)</f>
        <v>680</v>
      </c>
      <c r="AE578" s="213">
        <v>1.2</v>
      </c>
      <c r="AF578" s="196">
        <v>81000000</v>
      </c>
      <c r="AG578" s="104">
        <f t="shared" ref="AG578:AG641" si="108">AF578/T578</f>
        <v>0.24620060790273557</v>
      </c>
      <c r="AH578" s="104">
        <f t="shared" ref="AH578:AH641" si="109">IF(AND(AF578&gt;0,V578&gt;0),AF578/V578,0)</f>
        <v>1.1571428571428573</v>
      </c>
      <c r="AI578" s="195">
        <v>1.1299999999999999</v>
      </c>
    </row>
    <row r="579" spans="1:48">
      <c r="A579">
        <v>3064</v>
      </c>
      <c r="C579" s="107">
        <f>VLOOKUP(3064,收盤價!$A:$C,3,0)</f>
        <v>28.8</v>
      </c>
      <c r="D579" s="107">
        <f t="shared" si="99"/>
        <v>0</v>
      </c>
      <c r="E579" s="167">
        <f t="shared" si="100"/>
        <v>2</v>
      </c>
      <c r="F579" s="104">
        <f t="shared" si="101"/>
        <v>8.9119313304721022</v>
      </c>
      <c r="G579" s="167">
        <f>RANK(0.51,AE:AE,0)</f>
        <v>1523</v>
      </c>
      <c r="H579" s="365">
        <f t="shared" si="102"/>
        <v>-6.9348127600554782E-2</v>
      </c>
      <c r="I579" s="213">
        <f t="shared" si="103"/>
        <v>1020</v>
      </c>
      <c r="J579" s="213">
        <f t="shared" si="104"/>
        <v>768</v>
      </c>
      <c r="K579">
        <f>RANK(0.87,AI:AI,0)</f>
        <v>1035</v>
      </c>
      <c r="L579" s="357">
        <v>0</v>
      </c>
      <c r="M579" s="357">
        <v>0</v>
      </c>
      <c r="N579" s="357">
        <v>0</v>
      </c>
      <c r="O579" s="357">
        <v>1</v>
      </c>
      <c r="P579" s="357">
        <v>1</v>
      </c>
      <c r="Q579" s="358">
        <v>0.31818181818181818</v>
      </c>
      <c r="R579" s="359">
        <v>0</v>
      </c>
      <c r="S579" s="196">
        <v>233000000</v>
      </c>
      <c r="T579" s="196">
        <v>72100000</v>
      </c>
      <c r="U579" s="200">
        <f t="shared" si="105"/>
        <v>2076480000</v>
      </c>
      <c r="V579" s="196">
        <v>-60000000</v>
      </c>
      <c r="W579" s="196">
        <v>0</v>
      </c>
      <c r="X579" s="196">
        <v>488000000</v>
      </c>
      <c r="Y579" s="196">
        <v>630000000</v>
      </c>
      <c r="Z579" s="196">
        <v>324000000</v>
      </c>
      <c r="AA579" s="198">
        <v>-0.12</v>
      </c>
      <c r="AB579" s="198">
        <v>-0.06</v>
      </c>
      <c r="AC579" s="213">
        <f t="shared" si="106"/>
        <v>1527</v>
      </c>
      <c r="AD579" s="213">
        <f t="shared" si="107"/>
        <v>1515</v>
      </c>
      <c r="AE579" s="213">
        <v>0.51</v>
      </c>
      <c r="AF579" s="196">
        <v>5000000</v>
      </c>
      <c r="AG579" s="104">
        <f t="shared" si="108"/>
        <v>6.9348127600554782E-2</v>
      </c>
      <c r="AH579" s="104">
        <f t="shared" si="109"/>
        <v>0</v>
      </c>
      <c r="AI579" s="195">
        <v>0.87</v>
      </c>
      <c r="AO579" s="213"/>
      <c r="AP579" s="213"/>
      <c r="AQ579" s="213"/>
      <c r="AR579" s="213"/>
      <c r="AS579" s="213"/>
      <c r="AT579" s="213"/>
      <c r="AU579" s="213"/>
      <c r="AV579" s="213"/>
    </row>
    <row r="580" spans="1:48">
      <c r="A580">
        <v>3066</v>
      </c>
      <c r="C580" s="107">
        <f>VLOOKUP(3066,收盤價!$A:$C,3,0)</f>
        <v>7.08</v>
      </c>
      <c r="D580" s="107">
        <f t="shared" si="99"/>
        <v>0</v>
      </c>
      <c r="E580" s="167">
        <f t="shared" si="100"/>
        <v>1</v>
      </c>
      <c r="F580" s="104">
        <f t="shared" si="101"/>
        <v>1.2923794712286159</v>
      </c>
      <c r="G580" s="167">
        <f>RANK(0.54,AE:AE,0)</f>
        <v>1453</v>
      </c>
      <c r="H580" s="365">
        <f t="shared" si="102"/>
        <v>-0.13237063778580024</v>
      </c>
      <c r="I580" s="213">
        <f t="shared" si="103"/>
        <v>973</v>
      </c>
      <c r="J580" s="213">
        <f t="shared" si="104"/>
        <v>768</v>
      </c>
      <c r="K580">
        <f>RANK(0.89,AI:AI,0)</f>
        <v>1004</v>
      </c>
      <c r="L580" s="357">
        <v>0</v>
      </c>
      <c r="M580" s="357">
        <v>0</v>
      </c>
      <c r="N580" s="357">
        <v>0</v>
      </c>
      <c r="O580" s="357">
        <v>1</v>
      </c>
      <c r="P580" s="357">
        <v>0</v>
      </c>
      <c r="Q580" s="358">
        <v>0.12389380530973451</v>
      </c>
      <c r="R580" s="359">
        <v>0</v>
      </c>
      <c r="S580" s="196">
        <v>455244000</v>
      </c>
      <c r="T580" s="196">
        <v>83100000</v>
      </c>
      <c r="U580" s="200">
        <f t="shared" si="105"/>
        <v>588348000</v>
      </c>
      <c r="V580" s="196">
        <v>-30000000</v>
      </c>
      <c r="W580" s="196">
        <v>16000000</v>
      </c>
      <c r="X580" s="196">
        <v>552000000</v>
      </c>
      <c r="Y580" s="196">
        <v>789000000</v>
      </c>
      <c r="Z580" s="196">
        <v>344000000</v>
      </c>
      <c r="AA580" s="198">
        <v>-0.05</v>
      </c>
      <c r="AB580" s="198">
        <v>-0.03</v>
      </c>
      <c r="AC580" s="213">
        <f t="shared" si="106"/>
        <v>1468</v>
      </c>
      <c r="AD580" s="213">
        <f t="shared" si="107"/>
        <v>1444</v>
      </c>
      <c r="AE580" s="213">
        <v>0.54</v>
      </c>
      <c r="AF580" s="196">
        <v>11000000</v>
      </c>
      <c r="AG580" s="104">
        <f t="shared" si="108"/>
        <v>0.13237063778580024</v>
      </c>
      <c r="AH580" s="104">
        <f t="shared" si="109"/>
        <v>0</v>
      </c>
      <c r="AI580" s="195">
        <v>0.89</v>
      </c>
    </row>
    <row r="581" spans="1:48">
      <c r="A581" s="213">
        <v>3067</v>
      </c>
      <c r="C581" s="107">
        <f>VLOOKUP(3067,收盤價!$A:$C,3,0)</f>
        <v>12.4</v>
      </c>
      <c r="D581" s="107">
        <f t="shared" si="99"/>
        <v>0</v>
      </c>
      <c r="E581" s="167">
        <f t="shared" si="100"/>
        <v>2</v>
      </c>
      <c r="F581" s="104">
        <f t="shared" si="101"/>
        <v>1.5224257203579987</v>
      </c>
      <c r="G581" s="167">
        <f>RANK(0.52,AE:AE,0)</f>
        <v>1493</v>
      </c>
      <c r="H581" s="365">
        <f t="shared" si="102"/>
        <v>-0.34482758620689657</v>
      </c>
      <c r="I581" s="213">
        <f t="shared" si="103"/>
        <v>831</v>
      </c>
      <c r="J581" s="213">
        <f t="shared" si="104"/>
        <v>768</v>
      </c>
      <c r="K581" s="213">
        <f>RANK(0.97,AI:AI,0)</f>
        <v>912</v>
      </c>
      <c r="L581" s="357">
        <v>0</v>
      </c>
      <c r="M581" s="357">
        <v>1</v>
      </c>
      <c r="N581" s="357">
        <v>0</v>
      </c>
      <c r="O581" s="357">
        <v>1</v>
      </c>
      <c r="P581" s="357">
        <v>0</v>
      </c>
      <c r="Q581" s="358">
        <v>0.17543859649122806</v>
      </c>
      <c r="R581" s="359">
        <v>0</v>
      </c>
      <c r="S581" s="196">
        <v>236202000</v>
      </c>
      <c r="T581" s="196">
        <v>29000000</v>
      </c>
      <c r="U581" s="200">
        <f t="shared" si="105"/>
        <v>359600000</v>
      </c>
      <c r="V581" s="196">
        <v>-14000000</v>
      </c>
      <c r="W581" s="196">
        <v>124000000</v>
      </c>
      <c r="X581" s="196">
        <v>101000000</v>
      </c>
      <c r="Y581" s="196">
        <v>227000000</v>
      </c>
      <c r="Z581" s="196">
        <v>0</v>
      </c>
      <c r="AA581" s="198">
        <v>-0.06</v>
      </c>
      <c r="AB581" s="198">
        <v>-0.06</v>
      </c>
      <c r="AC581" s="213">
        <f t="shared" si="106"/>
        <v>1484</v>
      </c>
      <c r="AD581" s="213">
        <f t="shared" si="107"/>
        <v>1515</v>
      </c>
      <c r="AE581" s="213">
        <v>0.52</v>
      </c>
      <c r="AF581" s="196">
        <v>10000000</v>
      </c>
      <c r="AG581" s="104">
        <f t="shared" si="108"/>
        <v>0.34482758620689657</v>
      </c>
      <c r="AH581" s="104">
        <f t="shared" si="109"/>
        <v>0</v>
      </c>
      <c r="AI581" s="195">
        <v>0.97</v>
      </c>
    </row>
    <row r="582" spans="1:48">
      <c r="A582" s="213">
        <v>3068</v>
      </c>
      <c r="C582" s="107">
        <f>VLOOKUP(3068,收盤價!$A:$C,3,0)</f>
        <v>52.8</v>
      </c>
      <c r="D582" s="107">
        <f t="shared" si="99"/>
        <v>13.992470774717653</v>
      </c>
      <c r="E582" s="167">
        <f t="shared" si="100"/>
        <v>5</v>
      </c>
      <c r="F582" s="104">
        <f t="shared" si="101"/>
        <v>1.5433781776749902</v>
      </c>
      <c r="G582" s="167">
        <f>RANK(3.88,AE:AE,0)</f>
        <v>240</v>
      </c>
      <c r="H582" s="365">
        <f t="shared" si="102"/>
        <v>-0.36586810583124918</v>
      </c>
      <c r="I582" s="213">
        <f t="shared" si="103"/>
        <v>267</v>
      </c>
      <c r="J582" s="213">
        <f t="shared" si="104"/>
        <v>398</v>
      </c>
      <c r="K582" s="213">
        <f>RANK(2.34,AI:AI,0)</f>
        <v>269</v>
      </c>
      <c r="L582" s="357">
        <v>1</v>
      </c>
      <c r="M582" s="357">
        <v>1</v>
      </c>
      <c r="N582" s="357">
        <v>2</v>
      </c>
      <c r="O582" s="357">
        <v>1</v>
      </c>
      <c r="P582" s="357">
        <v>0</v>
      </c>
      <c r="Q582" s="358">
        <v>0.23369565217391305</v>
      </c>
      <c r="R582" s="359">
        <v>0.9433644859813084</v>
      </c>
      <c r="S582" s="196">
        <v>2914749000</v>
      </c>
      <c r="T582" s="196">
        <v>85200000</v>
      </c>
      <c r="U582" s="200">
        <f t="shared" si="105"/>
        <v>4498560000</v>
      </c>
      <c r="V582" s="196">
        <v>107000000</v>
      </c>
      <c r="W582" s="196">
        <v>597000000</v>
      </c>
      <c r="X582" s="196">
        <v>1154000000</v>
      </c>
      <c r="Y582" s="196">
        <v>1624000000</v>
      </c>
      <c r="Z582" s="196">
        <v>1189000000</v>
      </c>
      <c r="AA582" s="198">
        <v>0.06</v>
      </c>
      <c r="AB582" s="198">
        <v>0.04</v>
      </c>
      <c r="AC582" s="213">
        <f t="shared" si="106"/>
        <v>174</v>
      </c>
      <c r="AD582" s="213">
        <f t="shared" si="107"/>
        <v>228</v>
      </c>
      <c r="AE582" s="213">
        <v>3.88</v>
      </c>
      <c r="AF582" s="196">
        <v>153000000</v>
      </c>
      <c r="AG582" s="104">
        <f t="shared" si="108"/>
        <v>1.795774647887324</v>
      </c>
      <c r="AH582" s="104">
        <f t="shared" si="109"/>
        <v>1.4299065420560748</v>
      </c>
      <c r="AI582" s="195">
        <v>2.34</v>
      </c>
    </row>
    <row r="583" spans="1:48">
      <c r="A583">
        <v>3071</v>
      </c>
      <c r="C583" s="107">
        <f>VLOOKUP(3071,收盤價!$A:$C,3,0)</f>
        <v>7.36</v>
      </c>
      <c r="D583" s="107">
        <f t="shared" si="99"/>
        <v>10.35208711433757</v>
      </c>
      <c r="E583" s="167">
        <f t="shared" si="100"/>
        <v>4</v>
      </c>
      <c r="F583" s="104">
        <f t="shared" si="101"/>
        <v>0.46267677993318634</v>
      </c>
      <c r="G583" s="167">
        <f>RANK(1.41,AE:AE,0)</f>
        <v>618</v>
      </c>
      <c r="H583" s="365">
        <f t="shared" si="102"/>
        <v>1.1655030800821353</v>
      </c>
      <c r="I583" s="213">
        <f t="shared" si="103"/>
        <v>861</v>
      </c>
      <c r="J583" s="213">
        <f t="shared" si="104"/>
        <v>390</v>
      </c>
      <c r="K583">
        <f>RANK(1.25,AI:AI,0)</f>
        <v>709</v>
      </c>
      <c r="L583" s="357">
        <v>1</v>
      </c>
      <c r="M583" s="357">
        <v>1</v>
      </c>
      <c r="N583" s="357">
        <v>1</v>
      </c>
      <c r="O583" s="357">
        <v>1</v>
      </c>
      <c r="P583" s="357">
        <v>0</v>
      </c>
      <c r="Q583" s="358">
        <v>0.23344947735191637</v>
      </c>
      <c r="R583" s="359">
        <v>0.17774193548387096</v>
      </c>
      <c r="S583" s="196">
        <v>2324076000</v>
      </c>
      <c r="T583" s="196">
        <v>146100000</v>
      </c>
      <c r="U583" s="200">
        <f t="shared" si="105"/>
        <v>1075296000</v>
      </c>
      <c r="V583" s="196">
        <v>30000000</v>
      </c>
      <c r="W583" s="196">
        <v>819000000</v>
      </c>
      <c r="X583" s="196">
        <v>523000000</v>
      </c>
      <c r="Y583" s="196">
        <v>1480000000</v>
      </c>
      <c r="Z583" s="196">
        <v>345000000</v>
      </c>
      <c r="AA583" s="198">
        <v>0.02</v>
      </c>
      <c r="AB583" s="198">
        <v>0.02</v>
      </c>
      <c r="AC583" s="213">
        <f t="shared" si="106"/>
        <v>616</v>
      </c>
      <c r="AD583" s="213">
        <f t="shared" si="107"/>
        <v>487</v>
      </c>
      <c r="AE583" s="213">
        <v>1.41</v>
      </c>
      <c r="AF583" s="196">
        <v>44000000</v>
      </c>
      <c r="AG583" s="104">
        <f t="shared" si="108"/>
        <v>0.30116358658453113</v>
      </c>
      <c r="AH583" s="104">
        <f t="shared" si="109"/>
        <v>1.4666666666666666</v>
      </c>
      <c r="AI583" s="195">
        <v>1.25</v>
      </c>
    </row>
    <row r="584" spans="1:48">
      <c r="A584">
        <v>3073</v>
      </c>
      <c r="C584" s="107">
        <f>VLOOKUP(3073,收盤價!$A:$C,3,0)</f>
        <v>12.45</v>
      </c>
      <c r="D584" s="107">
        <f t="shared" si="99"/>
        <v>13.16826923076923</v>
      </c>
      <c r="E584" s="167">
        <f t="shared" si="100"/>
        <v>5</v>
      </c>
      <c r="F584" s="104">
        <f t="shared" si="101"/>
        <v>3.5939323582727023</v>
      </c>
      <c r="G584" s="167">
        <f>RANK(1.94,AE:AE,0)</f>
        <v>435</v>
      </c>
      <c r="H584" s="365">
        <f t="shared" si="102"/>
        <v>7.2873900293255129</v>
      </c>
      <c r="I584" s="213">
        <f t="shared" si="103"/>
        <v>193</v>
      </c>
      <c r="J584" s="213">
        <f t="shared" si="104"/>
        <v>42</v>
      </c>
      <c r="K584">
        <f>RANK(6.63,AI:AI,0)</f>
        <v>36</v>
      </c>
      <c r="L584" s="357">
        <v>1</v>
      </c>
      <c r="M584" s="357">
        <v>1</v>
      </c>
      <c r="N584" s="357">
        <v>2</v>
      </c>
      <c r="O584" s="357">
        <v>1</v>
      </c>
      <c r="P584" s="357">
        <v>0</v>
      </c>
      <c r="Q584" s="358">
        <v>0.1875</v>
      </c>
      <c r="R584" s="359">
        <v>0.23636363636363636</v>
      </c>
      <c r="S584" s="196">
        <v>161084000</v>
      </c>
      <c r="T584" s="196">
        <v>46500000</v>
      </c>
      <c r="U584" s="200">
        <f t="shared" si="105"/>
        <v>578925000</v>
      </c>
      <c r="V584" s="196">
        <v>11000000</v>
      </c>
      <c r="W584" s="196">
        <v>191000000</v>
      </c>
      <c r="X584" s="196">
        <v>246000000</v>
      </c>
      <c r="Y584" s="196">
        <v>320000000</v>
      </c>
      <c r="Z584" s="196">
        <v>10000000</v>
      </c>
      <c r="AA584" s="198">
        <v>0.03</v>
      </c>
      <c r="AB584" s="198">
        <v>0.03</v>
      </c>
      <c r="AC584" s="213">
        <f t="shared" si="106"/>
        <v>469</v>
      </c>
      <c r="AD584" s="213">
        <f t="shared" si="107"/>
        <v>334</v>
      </c>
      <c r="AE584" s="213">
        <v>1.94</v>
      </c>
      <c r="AF584" s="196">
        <v>105000000</v>
      </c>
      <c r="AG584" s="104">
        <f t="shared" si="108"/>
        <v>2.2580645161290325</v>
      </c>
      <c r="AH584" s="104">
        <f t="shared" si="109"/>
        <v>9.545454545454545</v>
      </c>
      <c r="AI584" s="195">
        <v>6.63</v>
      </c>
      <c r="AO584" s="213"/>
      <c r="AP584" s="213"/>
      <c r="AQ584" s="213"/>
      <c r="AR584" s="213"/>
      <c r="AS584" s="213"/>
      <c r="AT584" s="213"/>
      <c r="AU584" s="213"/>
      <c r="AV584" s="213"/>
    </row>
    <row r="585" spans="1:48">
      <c r="A585">
        <v>3078</v>
      </c>
      <c r="C585" s="107">
        <f>VLOOKUP(3078,收盤價!$A:$C,3,0)</f>
        <v>31.1</v>
      </c>
      <c r="D585" s="107">
        <f t="shared" si="99"/>
        <v>11.669889231172577</v>
      </c>
      <c r="E585" s="167">
        <f t="shared" si="100"/>
        <v>4</v>
      </c>
      <c r="F585" s="104">
        <f t="shared" si="101"/>
        <v>1.1047053078852092</v>
      </c>
      <c r="G585" s="167">
        <f>RANK(4.81,AE:AE,0)</f>
        <v>170</v>
      </c>
      <c r="H585" s="365">
        <f t="shared" si="102"/>
        <v>3.6436738283703973E-2</v>
      </c>
      <c r="I585" s="213">
        <f t="shared" si="103"/>
        <v>781</v>
      </c>
      <c r="J585" s="213">
        <f t="shared" si="104"/>
        <v>686</v>
      </c>
      <c r="K585">
        <f>RANK(1.06,AI:AI,0)</f>
        <v>836</v>
      </c>
      <c r="L585" s="357">
        <v>0</v>
      </c>
      <c r="M585" s="357">
        <v>1</v>
      </c>
      <c r="N585" s="357">
        <v>2</v>
      </c>
      <c r="O585" s="357">
        <v>1</v>
      </c>
      <c r="P585" s="357">
        <v>0</v>
      </c>
      <c r="Q585" s="358">
        <v>0.25122121423586879</v>
      </c>
      <c r="R585" s="359">
        <v>0.66624454148471612</v>
      </c>
      <c r="S585" s="196">
        <v>6401834000</v>
      </c>
      <c r="T585" s="196">
        <v>227400000</v>
      </c>
      <c r="U585" s="200">
        <f t="shared" si="105"/>
        <v>7072140000</v>
      </c>
      <c r="V585" s="196">
        <v>210000000</v>
      </c>
      <c r="W585" s="196">
        <v>2369000000</v>
      </c>
      <c r="X585" s="196">
        <v>1342000000</v>
      </c>
      <c r="Y585" s="196">
        <v>3803000000</v>
      </c>
      <c r="Z585" s="196">
        <v>171000000</v>
      </c>
      <c r="AA585" s="198">
        <v>0.06</v>
      </c>
      <c r="AB585" s="198">
        <v>0.05</v>
      </c>
      <c r="AC585" s="213">
        <f t="shared" si="106"/>
        <v>174</v>
      </c>
      <c r="AD585" s="213">
        <f t="shared" si="107"/>
        <v>150</v>
      </c>
      <c r="AE585" s="213">
        <v>4.8099999999999996</v>
      </c>
      <c r="AF585" s="196">
        <v>100000000</v>
      </c>
      <c r="AG585" s="104">
        <f t="shared" si="108"/>
        <v>0.43975373790677219</v>
      </c>
      <c r="AH585" s="104">
        <f t="shared" si="109"/>
        <v>0.47619047619047616</v>
      </c>
      <c r="AI585" s="195">
        <v>1.06</v>
      </c>
    </row>
    <row r="586" spans="1:48">
      <c r="A586">
        <v>3081</v>
      </c>
      <c r="C586" s="107">
        <f>VLOOKUP(3081,收盤價!$A:$C,3,0)</f>
        <v>273</v>
      </c>
      <c r="D586" s="107">
        <f t="shared" si="99"/>
        <v>16.26305220883534</v>
      </c>
      <c r="E586" s="167">
        <f t="shared" si="100"/>
        <v>3</v>
      </c>
      <c r="F586" s="104">
        <f t="shared" si="101"/>
        <v>7.7448002931893143</v>
      </c>
      <c r="G586" s="167">
        <f>RANK(22.58,AE:AE,0)</f>
        <v>29</v>
      </c>
      <c r="H586" s="365">
        <f t="shared" si="102"/>
        <v>-3.7146140707540258</v>
      </c>
      <c r="I586" s="213">
        <f t="shared" si="103"/>
        <v>49</v>
      </c>
      <c r="J586" s="213">
        <f t="shared" si="104"/>
        <v>561</v>
      </c>
      <c r="K586">
        <f>RANK(2.55,AI:AI,0)</f>
        <v>224</v>
      </c>
      <c r="L586" s="357">
        <v>0</v>
      </c>
      <c r="M586" s="357">
        <v>0</v>
      </c>
      <c r="N586" s="357">
        <v>2</v>
      </c>
      <c r="O586" s="357">
        <v>1</v>
      </c>
      <c r="P586" s="357">
        <v>0</v>
      </c>
      <c r="Q586" s="358">
        <v>0.63354037267080743</v>
      </c>
      <c r="R586" s="359">
        <v>4.1966292134831464</v>
      </c>
      <c r="S586" s="196">
        <v>2463937000</v>
      </c>
      <c r="T586" s="196">
        <v>69900000</v>
      </c>
      <c r="U586" s="200">
        <f t="shared" si="105"/>
        <v>19082700000</v>
      </c>
      <c r="V586" s="196">
        <v>361000000</v>
      </c>
      <c r="W586" s="196">
        <v>2490000000</v>
      </c>
      <c r="X586" s="196">
        <v>1023000000</v>
      </c>
      <c r="Y586" s="196">
        <v>3561000000</v>
      </c>
      <c r="Z586" s="196">
        <v>0</v>
      </c>
      <c r="AA586" s="198">
        <v>0.1</v>
      </c>
      <c r="AB586" s="198">
        <v>0.1</v>
      </c>
      <c r="AC586" s="213">
        <f t="shared" si="106"/>
        <v>52</v>
      </c>
      <c r="AD586" s="213">
        <f t="shared" si="107"/>
        <v>17</v>
      </c>
      <c r="AE586" s="213">
        <v>22.58</v>
      </c>
      <c r="AF586" s="196">
        <v>322000000</v>
      </c>
      <c r="AG586" s="104">
        <f t="shared" si="108"/>
        <v>4.6065808297567958</v>
      </c>
      <c r="AH586" s="104">
        <f t="shared" si="109"/>
        <v>0.89196675900277012</v>
      </c>
      <c r="AI586" s="195">
        <v>2.5499999999999998</v>
      </c>
    </row>
    <row r="587" spans="1:48">
      <c r="A587">
        <v>3083</v>
      </c>
      <c r="C587" s="107">
        <f>VLOOKUP(3083,收盤價!$A:$C,3,0)</f>
        <v>36.950000000000003</v>
      </c>
      <c r="D587" s="107">
        <f t="shared" si="99"/>
        <v>0</v>
      </c>
      <c r="E587" s="167">
        <f t="shared" si="100"/>
        <v>3</v>
      </c>
      <c r="F587" s="104">
        <f t="shared" si="101"/>
        <v>9.2064269661614695</v>
      </c>
      <c r="G587" s="167">
        <f>RANK(0.54,AE:AE,0)</f>
        <v>1453</v>
      </c>
      <c r="H587" s="365">
        <f t="shared" si="102"/>
        <v>0.26837806301050177</v>
      </c>
      <c r="I587" s="213">
        <f t="shared" si="103"/>
        <v>1255</v>
      </c>
      <c r="J587" s="213">
        <f t="shared" si="104"/>
        <v>768</v>
      </c>
      <c r="K587">
        <f>RANK(0.77,AI:AI,0)</f>
        <v>1243</v>
      </c>
      <c r="L587" s="357">
        <v>1</v>
      </c>
      <c r="M587" s="357">
        <v>1</v>
      </c>
      <c r="N587" s="357">
        <v>1</v>
      </c>
      <c r="O587" s="357">
        <v>0</v>
      </c>
      <c r="P587" s="357">
        <v>0</v>
      </c>
      <c r="Q587" s="358">
        <v>0.85542168674698793</v>
      </c>
      <c r="R587" s="359">
        <v>0</v>
      </c>
      <c r="S587" s="196">
        <v>343957000</v>
      </c>
      <c r="T587" s="196">
        <v>85700000</v>
      </c>
      <c r="U587" s="200">
        <f t="shared" si="105"/>
        <v>3166615000.0000005</v>
      </c>
      <c r="V587" s="196">
        <v>-29000000</v>
      </c>
      <c r="W587" s="196">
        <v>816000000</v>
      </c>
      <c r="X587" s="196">
        <v>10000000</v>
      </c>
      <c r="Y587" s="196">
        <v>1121000000</v>
      </c>
      <c r="Z587" s="196">
        <v>0</v>
      </c>
      <c r="AA587" s="198">
        <v>-0.04</v>
      </c>
      <c r="AB587" s="198">
        <v>-0.03</v>
      </c>
      <c r="AC587" s="213">
        <f t="shared" si="106"/>
        <v>1444</v>
      </c>
      <c r="AD587" s="213">
        <f t="shared" si="107"/>
        <v>1444</v>
      </c>
      <c r="AE587" s="213">
        <v>0.54</v>
      </c>
      <c r="AF587" s="196">
        <v>-23000000</v>
      </c>
      <c r="AG587" s="104">
        <f t="shared" si="108"/>
        <v>-0.26837806301050177</v>
      </c>
      <c r="AH587" s="104">
        <f t="shared" si="109"/>
        <v>0</v>
      </c>
      <c r="AI587" s="195">
        <v>0.77</v>
      </c>
    </row>
    <row r="588" spans="1:48">
      <c r="A588">
        <v>3085</v>
      </c>
      <c r="C588" s="107">
        <f>VLOOKUP(3085,收盤價!$A:$C,3,0)</f>
        <v>14.15</v>
      </c>
      <c r="D588" s="107">
        <f t="shared" si="99"/>
        <v>0</v>
      </c>
      <c r="E588" s="167">
        <f t="shared" si="100"/>
        <v>2</v>
      </c>
      <c r="F588" s="104">
        <f t="shared" si="101"/>
        <v>3.729915441230915</v>
      </c>
      <c r="G588" s="167">
        <f>RANK(0.61,AE:AE,0)</f>
        <v>1295</v>
      </c>
      <c r="H588" s="365">
        <f t="shared" si="102"/>
        <v>2.8089887640449437E-2</v>
      </c>
      <c r="I588" s="213">
        <f t="shared" si="103"/>
        <v>1087</v>
      </c>
      <c r="J588" s="213">
        <f t="shared" si="104"/>
        <v>768</v>
      </c>
      <c r="K588">
        <f>RANK(0.84,AI:AI,0)</f>
        <v>1076</v>
      </c>
      <c r="L588" s="357">
        <v>0</v>
      </c>
      <c r="M588" s="357">
        <v>0</v>
      </c>
      <c r="N588" s="357">
        <v>2</v>
      </c>
      <c r="O588" s="357">
        <v>0</v>
      </c>
      <c r="P588" s="357">
        <v>0</v>
      </c>
      <c r="Q588" s="358">
        <v>0.23529411764705882</v>
      </c>
      <c r="R588" s="359">
        <v>0</v>
      </c>
      <c r="S588" s="196">
        <v>270108000</v>
      </c>
      <c r="T588" s="196">
        <v>71200000</v>
      </c>
      <c r="U588" s="200">
        <f t="shared" si="105"/>
        <v>1007480000</v>
      </c>
      <c r="V588" s="196">
        <v>-4000000</v>
      </c>
      <c r="W588" s="196">
        <v>278000000</v>
      </c>
      <c r="X588" s="196">
        <v>5000000</v>
      </c>
      <c r="Y588" s="196">
        <v>314000000</v>
      </c>
      <c r="Z588" s="196">
        <v>0</v>
      </c>
      <c r="AA588" s="198">
        <v>-0.01</v>
      </c>
      <c r="AB588" s="198">
        <v>-0.01</v>
      </c>
      <c r="AC588" s="213">
        <f t="shared" si="106"/>
        <v>1277</v>
      </c>
      <c r="AD588" s="213">
        <f t="shared" si="107"/>
        <v>1294</v>
      </c>
      <c r="AE588" s="213">
        <v>0.61</v>
      </c>
      <c r="AF588" s="196">
        <v>-2000000</v>
      </c>
      <c r="AG588" s="104">
        <f t="shared" si="108"/>
        <v>-2.8089887640449437E-2</v>
      </c>
      <c r="AH588" s="104">
        <f t="shared" si="109"/>
        <v>0</v>
      </c>
      <c r="AI588" s="195">
        <v>0.84</v>
      </c>
    </row>
    <row r="589" spans="1:48">
      <c r="A589">
        <v>3086</v>
      </c>
      <c r="C589" s="107">
        <f>VLOOKUP(3086,收盤價!$A:$C,3,0)</f>
        <v>6.4</v>
      </c>
      <c r="D589" s="107">
        <f t="shared" si="99"/>
        <v>0</v>
      </c>
      <c r="E589" s="167">
        <f t="shared" si="100"/>
        <v>1</v>
      </c>
      <c r="F589" s="104">
        <f t="shared" si="101"/>
        <v>1.269213763686962</v>
      </c>
      <c r="G589" s="167">
        <f>RANK(0.5,AE:AE,0)</f>
        <v>1545</v>
      </c>
      <c r="H589" s="365">
        <f t="shared" si="102"/>
        <v>0.4098360655737705</v>
      </c>
      <c r="I589" s="213">
        <f t="shared" si="103"/>
        <v>1318</v>
      </c>
      <c r="J589" s="213">
        <f t="shared" si="104"/>
        <v>768</v>
      </c>
      <c r="K589">
        <f>RANK(0.75,AI:AI,0)</f>
        <v>1296</v>
      </c>
      <c r="L589" s="357">
        <v>0</v>
      </c>
      <c r="M589" s="357">
        <v>0</v>
      </c>
      <c r="N589" s="357">
        <v>1</v>
      </c>
      <c r="O589" s="357">
        <v>0</v>
      </c>
      <c r="P589" s="357">
        <v>0</v>
      </c>
      <c r="Q589" s="358">
        <v>-0.6216216216216216</v>
      </c>
      <c r="R589" s="359">
        <v>0</v>
      </c>
      <c r="S589" s="196">
        <v>307592000</v>
      </c>
      <c r="T589" s="196">
        <v>61000000</v>
      </c>
      <c r="U589" s="200">
        <f t="shared" si="105"/>
        <v>390400000</v>
      </c>
      <c r="V589" s="196">
        <v>-80000000</v>
      </c>
      <c r="W589" s="196">
        <v>59000000</v>
      </c>
      <c r="X589" s="196">
        <v>109000000</v>
      </c>
      <c r="Y589" s="196">
        <v>257000000</v>
      </c>
      <c r="Z589" s="196">
        <v>144000000</v>
      </c>
      <c r="AA589" s="198">
        <v>-0.48</v>
      </c>
      <c r="AB589" s="198">
        <v>-0.2</v>
      </c>
      <c r="AC589" s="213">
        <f t="shared" si="106"/>
        <v>1552</v>
      </c>
      <c r="AD589" s="213">
        <f t="shared" si="107"/>
        <v>1552</v>
      </c>
      <c r="AE589" s="213">
        <v>0.5</v>
      </c>
      <c r="AF589" s="196">
        <v>-25000000</v>
      </c>
      <c r="AG589" s="104">
        <f t="shared" si="108"/>
        <v>-0.4098360655737705</v>
      </c>
      <c r="AH589" s="104">
        <f t="shared" si="109"/>
        <v>0</v>
      </c>
      <c r="AI589" s="195">
        <v>0.75</v>
      </c>
    </row>
    <row r="590" spans="1:48">
      <c r="A590">
        <v>3088</v>
      </c>
      <c r="C590" s="107">
        <f>VLOOKUP(3088,收盤價!$A:$C,3,0)</f>
        <v>56.4</v>
      </c>
      <c r="D590" s="107">
        <f t="shared" si="99"/>
        <v>16.39175257731959</v>
      </c>
      <c r="E590" s="167">
        <f t="shared" si="100"/>
        <v>1</v>
      </c>
      <c r="F590" s="104">
        <f t="shared" si="101"/>
        <v>0.88549938122759597</v>
      </c>
      <c r="G590" s="167">
        <f>RANK(5.79,AE:AE,0)</f>
        <v>129</v>
      </c>
      <c r="H590" s="365">
        <f t="shared" si="102"/>
        <v>-0.2473017988007995</v>
      </c>
      <c r="I590" s="213">
        <f t="shared" si="103"/>
        <v>354</v>
      </c>
      <c r="J590" s="213">
        <f t="shared" si="104"/>
        <v>452</v>
      </c>
      <c r="K590">
        <f>RANK(1.93,AI:AI,0)</f>
        <v>367</v>
      </c>
      <c r="L590" s="357">
        <v>0</v>
      </c>
      <c r="M590" s="357">
        <v>0</v>
      </c>
      <c r="N590" s="357">
        <v>0</v>
      </c>
      <c r="O590" s="357">
        <v>1</v>
      </c>
      <c r="P590" s="357">
        <v>0</v>
      </c>
      <c r="Q590" s="358">
        <v>0.38005644402634053</v>
      </c>
      <c r="R590" s="359">
        <v>0.86018867924528297</v>
      </c>
      <c r="S590" s="196">
        <v>5031737000</v>
      </c>
      <c r="T590" s="196">
        <v>79000000</v>
      </c>
      <c r="U590" s="200">
        <f t="shared" si="105"/>
        <v>4455600000</v>
      </c>
      <c r="V590" s="196">
        <v>95000000</v>
      </c>
      <c r="W590" s="196">
        <v>1121000000</v>
      </c>
      <c r="X590" s="196">
        <v>499000000</v>
      </c>
      <c r="Y590" s="196">
        <v>1589000000</v>
      </c>
      <c r="Z590" s="196">
        <v>7000000</v>
      </c>
      <c r="AA590" s="198">
        <v>0.06</v>
      </c>
      <c r="AB590" s="198">
        <v>0.06</v>
      </c>
      <c r="AC590" s="213">
        <f t="shared" si="106"/>
        <v>174</v>
      </c>
      <c r="AD590" s="213">
        <f t="shared" si="107"/>
        <v>95</v>
      </c>
      <c r="AE590" s="213">
        <v>5.79</v>
      </c>
      <c r="AF590" s="196">
        <v>116000000</v>
      </c>
      <c r="AG590" s="104">
        <f t="shared" si="108"/>
        <v>1.4683544303797469</v>
      </c>
      <c r="AH590" s="104">
        <f t="shared" si="109"/>
        <v>1.2210526315789474</v>
      </c>
      <c r="AI590" s="195">
        <v>1.93</v>
      </c>
    </row>
    <row r="591" spans="1:48">
      <c r="A591">
        <v>3089</v>
      </c>
      <c r="C591" s="107">
        <f>VLOOKUP(3089,收盤價!$A:$C,3,0)</f>
        <v>9.5</v>
      </c>
      <c r="D591" s="107">
        <f t="shared" si="99"/>
        <v>0</v>
      </c>
      <c r="E591" s="167">
        <f t="shared" si="100"/>
        <v>0</v>
      </c>
      <c r="F591" s="104">
        <f t="shared" si="101"/>
        <v>2.9589402522085102</v>
      </c>
      <c r="G591" s="167">
        <f>RANK(0.5,AE:AE,0)</f>
        <v>1545</v>
      </c>
      <c r="H591" s="365">
        <f t="shared" si="102"/>
        <v>3.3964817320703653</v>
      </c>
      <c r="I591" s="213">
        <f t="shared" si="103"/>
        <v>1538</v>
      </c>
      <c r="J591" s="213">
        <f t="shared" si="104"/>
        <v>768</v>
      </c>
      <c r="K591">
        <f>RANK(0.68,AI:AI,0)</f>
        <v>1507</v>
      </c>
      <c r="L591" s="357">
        <v>0</v>
      </c>
      <c r="M591" s="357">
        <v>0</v>
      </c>
      <c r="N591" s="357">
        <v>0</v>
      </c>
      <c r="O591" s="357">
        <v>0</v>
      </c>
      <c r="P591" s="357">
        <v>0</v>
      </c>
      <c r="Q591" s="358">
        <v>-8.3333333333333329E-2</v>
      </c>
      <c r="R591" s="359">
        <v>0</v>
      </c>
      <c r="S591" s="196">
        <v>237264000</v>
      </c>
      <c r="T591" s="196">
        <v>73900000</v>
      </c>
      <c r="U591" s="200">
        <f t="shared" si="105"/>
        <v>702050000</v>
      </c>
      <c r="V591" s="196">
        <v>-187000000</v>
      </c>
      <c r="W591" s="196">
        <v>309000000</v>
      </c>
      <c r="X591" s="196">
        <v>192000000</v>
      </c>
      <c r="Y591" s="196">
        <v>560000000</v>
      </c>
      <c r="Z591" s="196">
        <v>62000000</v>
      </c>
      <c r="AA591" s="198">
        <v>-0.37</v>
      </c>
      <c r="AB591" s="198">
        <v>-0.3</v>
      </c>
      <c r="AC591" s="213">
        <f t="shared" si="106"/>
        <v>1551</v>
      </c>
      <c r="AD591" s="213">
        <f t="shared" si="107"/>
        <v>1555</v>
      </c>
      <c r="AE591" s="213">
        <v>0.5</v>
      </c>
      <c r="AF591" s="196">
        <v>-251000000</v>
      </c>
      <c r="AG591" s="104">
        <f t="shared" si="108"/>
        <v>-3.3964817320703653</v>
      </c>
      <c r="AH591" s="104">
        <f t="shared" si="109"/>
        <v>0</v>
      </c>
      <c r="AI591" s="195">
        <v>0.68</v>
      </c>
    </row>
    <row r="592" spans="1:48">
      <c r="A592">
        <v>3090</v>
      </c>
      <c r="C592" s="107">
        <f>VLOOKUP(3090,收盤價!$A:$C,3,0)</f>
        <v>24.7</v>
      </c>
      <c r="D592" s="107">
        <f t="shared" si="99"/>
        <v>9.9596774193548381</v>
      </c>
      <c r="E592" s="167">
        <f t="shared" si="100"/>
        <v>4</v>
      </c>
      <c r="F592" s="104">
        <f t="shared" si="101"/>
        <v>0.50571192479237725</v>
      </c>
      <c r="G592" s="167">
        <f>RANK(0.84,AE:AE,0)</f>
        <v>946</v>
      </c>
      <c r="H592" s="365">
        <f t="shared" si="102"/>
        <v>-0.3532934131736527</v>
      </c>
      <c r="I592" s="213">
        <f t="shared" si="103"/>
        <v>829</v>
      </c>
      <c r="J592" s="213">
        <f t="shared" si="104"/>
        <v>768</v>
      </c>
      <c r="K592">
        <f>RANK(0.98,AI:AI,0)</f>
        <v>903</v>
      </c>
      <c r="L592" s="357">
        <v>0</v>
      </c>
      <c r="M592" s="357">
        <v>1</v>
      </c>
      <c r="N592" s="357">
        <v>2</v>
      </c>
      <c r="O592" s="357">
        <v>1</v>
      </c>
      <c r="P592" s="357">
        <v>0</v>
      </c>
      <c r="Q592" s="358">
        <v>0.14736323311976343</v>
      </c>
      <c r="R592" s="359">
        <v>0.62</v>
      </c>
      <c r="S592" s="196">
        <v>8156620000</v>
      </c>
      <c r="T592" s="196">
        <v>167000000</v>
      </c>
      <c r="U592" s="200">
        <f t="shared" si="105"/>
        <v>4124900000</v>
      </c>
      <c r="V592" s="196">
        <v>0</v>
      </c>
      <c r="W592" s="196">
        <v>2447000000</v>
      </c>
      <c r="X592" s="196">
        <v>667000000</v>
      </c>
      <c r="Y592" s="196">
        <v>2778000000</v>
      </c>
      <c r="Z592" s="196">
        <v>853000000</v>
      </c>
      <c r="AA592" s="198">
        <v>0</v>
      </c>
      <c r="AB592" s="198">
        <v>0</v>
      </c>
      <c r="AC592" s="213">
        <f t="shared" si="106"/>
        <v>945</v>
      </c>
      <c r="AD592" s="213">
        <f t="shared" si="107"/>
        <v>911</v>
      </c>
      <c r="AE592" s="213">
        <v>0.84</v>
      </c>
      <c r="AF592" s="196">
        <v>59000000</v>
      </c>
      <c r="AG592" s="104">
        <f t="shared" si="108"/>
        <v>0.3532934131736527</v>
      </c>
      <c r="AH592" s="104">
        <f t="shared" si="109"/>
        <v>0</v>
      </c>
      <c r="AI592" s="195">
        <v>0.98</v>
      </c>
      <c r="AO592" s="213"/>
      <c r="AP592" s="213"/>
      <c r="AQ592" s="213"/>
      <c r="AR592" s="213"/>
      <c r="AS592" s="213"/>
      <c r="AT592" s="213"/>
      <c r="AU592" s="213"/>
      <c r="AV592" s="213"/>
    </row>
    <row r="593" spans="1:48">
      <c r="A593">
        <v>3092</v>
      </c>
      <c r="C593" s="107">
        <f>VLOOKUP(3092,收盤價!$A:$C,3,0)</f>
        <v>34.1</v>
      </c>
      <c r="D593" s="107">
        <f t="shared" si="99"/>
        <v>7.6220235379983583</v>
      </c>
      <c r="E593" s="167">
        <f t="shared" si="100"/>
        <v>5</v>
      </c>
      <c r="F593" s="104">
        <f t="shared" si="101"/>
        <v>0.83222931840866576</v>
      </c>
      <c r="G593" s="167">
        <f>RANK(8.11,AE:AE,0)</f>
        <v>90</v>
      </c>
      <c r="H593" s="365">
        <f t="shared" si="102"/>
        <v>-0.48858267716535442</v>
      </c>
      <c r="I593" s="213">
        <f t="shared" si="103"/>
        <v>392</v>
      </c>
      <c r="J593" s="213">
        <f t="shared" si="104"/>
        <v>577</v>
      </c>
      <c r="K593">
        <f>RANK(1.61,AI:AI,0)</f>
        <v>498</v>
      </c>
      <c r="L593" s="357">
        <v>1</v>
      </c>
      <c r="M593" s="357">
        <v>1</v>
      </c>
      <c r="N593" s="357">
        <v>2</v>
      </c>
      <c r="O593" s="357">
        <v>0</v>
      </c>
      <c r="P593" s="357">
        <v>1</v>
      </c>
      <c r="Q593" s="358">
        <v>0.28260869565217389</v>
      </c>
      <c r="R593" s="359">
        <v>1.118469387755102</v>
      </c>
      <c r="S593" s="196">
        <v>2601867000</v>
      </c>
      <c r="T593" s="196">
        <v>63500000</v>
      </c>
      <c r="U593" s="200">
        <f t="shared" si="105"/>
        <v>2165350000</v>
      </c>
      <c r="V593" s="196">
        <v>100000000</v>
      </c>
      <c r="W593" s="196">
        <v>632000000</v>
      </c>
      <c r="X593" s="196">
        <v>557000000</v>
      </c>
      <c r="Y593" s="196">
        <v>1258000000</v>
      </c>
      <c r="Z593" s="196">
        <v>353000000</v>
      </c>
      <c r="AA593" s="198">
        <v>0.08</v>
      </c>
      <c r="AB593" s="198">
        <v>0.06</v>
      </c>
      <c r="AC593" s="213">
        <f t="shared" si="106"/>
        <v>97</v>
      </c>
      <c r="AD593" s="213">
        <f t="shared" si="107"/>
        <v>95</v>
      </c>
      <c r="AE593" s="213">
        <v>8.11</v>
      </c>
      <c r="AF593" s="196">
        <v>85000000</v>
      </c>
      <c r="AG593" s="104">
        <f t="shared" si="108"/>
        <v>1.3385826771653544</v>
      </c>
      <c r="AH593" s="104">
        <f t="shared" si="109"/>
        <v>0.85</v>
      </c>
      <c r="AI593" s="195">
        <v>1.61</v>
      </c>
    </row>
    <row r="594" spans="1:48">
      <c r="A594">
        <v>3093</v>
      </c>
      <c r="C594" s="107">
        <f>VLOOKUP(3093,收盤價!$A:$C,3,0)</f>
        <v>32.5</v>
      </c>
      <c r="D594" s="107">
        <f t="shared" si="99"/>
        <v>10.4754230459307</v>
      </c>
      <c r="E594" s="167">
        <f t="shared" si="100"/>
        <v>4</v>
      </c>
      <c r="F594" s="104">
        <f t="shared" si="101"/>
        <v>1.1784101476621083</v>
      </c>
      <c r="G594" s="167">
        <f>RANK(2.76,AE:AE,0)</f>
        <v>305</v>
      </c>
      <c r="H594" s="365">
        <f t="shared" si="102"/>
        <v>0.38567493112947659</v>
      </c>
      <c r="I594" s="213">
        <f t="shared" si="103"/>
        <v>1308</v>
      </c>
      <c r="J594" s="213">
        <f t="shared" si="104"/>
        <v>768</v>
      </c>
      <c r="K594">
        <f>RANK(0.75,AI:AI,0)</f>
        <v>1296</v>
      </c>
      <c r="L594" s="357">
        <v>0</v>
      </c>
      <c r="M594" s="357">
        <v>1</v>
      </c>
      <c r="N594" s="357">
        <v>2</v>
      </c>
      <c r="O594" s="357">
        <v>0</v>
      </c>
      <c r="P594" s="357">
        <v>1</v>
      </c>
      <c r="Q594" s="358">
        <v>0.33660130718954251</v>
      </c>
      <c r="R594" s="359">
        <v>0.77562500000000001</v>
      </c>
      <c r="S594" s="196">
        <v>1001137000</v>
      </c>
      <c r="T594" s="196">
        <v>36300000</v>
      </c>
      <c r="U594" s="200">
        <f t="shared" si="105"/>
        <v>1179750000</v>
      </c>
      <c r="V594" s="196">
        <v>33000000</v>
      </c>
      <c r="W594" s="196">
        <v>603000000</v>
      </c>
      <c r="X594" s="196">
        <v>270000000</v>
      </c>
      <c r="Y594" s="196">
        <v>926000000</v>
      </c>
      <c r="Z594" s="196">
        <v>0</v>
      </c>
      <c r="AA594" s="198">
        <v>0.04</v>
      </c>
      <c r="AB594" s="198">
        <v>0.04</v>
      </c>
      <c r="AC594" s="213">
        <f t="shared" si="106"/>
        <v>337</v>
      </c>
      <c r="AD594" s="213">
        <f t="shared" si="107"/>
        <v>228</v>
      </c>
      <c r="AE594" s="213">
        <v>2.76</v>
      </c>
      <c r="AF594" s="196">
        <v>-14000000</v>
      </c>
      <c r="AG594" s="104">
        <f t="shared" si="108"/>
        <v>-0.38567493112947659</v>
      </c>
      <c r="AH594" s="104">
        <f t="shared" si="109"/>
        <v>0</v>
      </c>
      <c r="AI594" s="195">
        <v>0.75</v>
      </c>
    </row>
    <row r="595" spans="1:48">
      <c r="A595">
        <v>3094</v>
      </c>
      <c r="C595" s="107">
        <f>VLOOKUP(3094,收盤價!$A:$C,3,0)</f>
        <v>21.65</v>
      </c>
      <c r="D595" s="107">
        <f t="shared" si="99"/>
        <v>38.660714285714285</v>
      </c>
      <c r="E595" s="167">
        <f t="shared" si="100"/>
        <v>1</v>
      </c>
      <c r="F595" s="104">
        <f t="shared" si="101"/>
        <v>5.5581940788865394</v>
      </c>
      <c r="G595" s="167">
        <f>RANK(1.08,AE:AE,0)</f>
        <v>769</v>
      </c>
      <c r="H595" s="365">
        <f t="shared" si="102"/>
        <v>1.9609843937575031</v>
      </c>
      <c r="I595" s="213">
        <f t="shared" si="103"/>
        <v>807</v>
      </c>
      <c r="J595" s="213">
        <f t="shared" si="104"/>
        <v>204</v>
      </c>
      <c r="K595">
        <f>RANK(1.54,AI:AI,0)</f>
        <v>535</v>
      </c>
      <c r="L595" s="357">
        <v>0</v>
      </c>
      <c r="M595" s="357">
        <v>0</v>
      </c>
      <c r="N595" s="357">
        <v>0</v>
      </c>
      <c r="O595" s="357">
        <v>1</v>
      </c>
      <c r="P595" s="357">
        <v>0</v>
      </c>
      <c r="Q595" s="358">
        <v>0.69230769230769229</v>
      </c>
      <c r="R595" s="359">
        <v>0.13999999999999999</v>
      </c>
      <c r="S595" s="196">
        <v>324466000</v>
      </c>
      <c r="T595" s="196">
        <v>83300000</v>
      </c>
      <c r="U595" s="200">
        <f t="shared" si="105"/>
        <v>1803445000</v>
      </c>
      <c r="V595" s="196">
        <v>14000000</v>
      </c>
      <c r="W595" s="196">
        <v>893000000</v>
      </c>
      <c r="X595" s="196">
        <v>132000000</v>
      </c>
      <c r="Y595" s="196">
        <v>1188000000</v>
      </c>
      <c r="Z595" s="196">
        <v>0</v>
      </c>
      <c r="AA595" s="198">
        <v>0.01</v>
      </c>
      <c r="AB595" s="198">
        <v>0.01</v>
      </c>
      <c r="AC595" s="213">
        <f t="shared" si="106"/>
        <v>769</v>
      </c>
      <c r="AD595" s="213">
        <f t="shared" si="107"/>
        <v>680</v>
      </c>
      <c r="AE595" s="213">
        <v>1.08</v>
      </c>
      <c r="AF595" s="196">
        <v>33000000</v>
      </c>
      <c r="AG595" s="104">
        <f t="shared" si="108"/>
        <v>0.39615846338535415</v>
      </c>
      <c r="AH595" s="104">
        <f t="shared" si="109"/>
        <v>2.3571428571428572</v>
      </c>
      <c r="AI595" s="195">
        <v>1.54</v>
      </c>
    </row>
    <row r="596" spans="1:48">
      <c r="A596">
        <v>3095</v>
      </c>
      <c r="C596" s="107">
        <f>VLOOKUP(3095,收盤價!$A:$C,3,0)</f>
        <v>1.83</v>
      </c>
      <c r="D596" s="107">
        <f t="shared" si="99"/>
        <v>0</v>
      </c>
      <c r="E596" s="167">
        <f t="shared" si="100"/>
        <v>2</v>
      </c>
      <c r="F596" s="104">
        <f t="shared" si="101"/>
        <v>7.944194159903821E-2</v>
      </c>
      <c r="G596" s="167">
        <f>RANK(0.5,AE:AE,0)</f>
        <v>1545</v>
      </c>
      <c r="H596" s="365">
        <f t="shared" si="102"/>
        <v>0.27447392497712719</v>
      </c>
      <c r="I596" s="213">
        <f t="shared" si="103"/>
        <v>1259</v>
      </c>
      <c r="J596" s="213">
        <f t="shared" si="104"/>
        <v>768</v>
      </c>
      <c r="K596">
        <f>RANK(0.77,AI:AI,0)</f>
        <v>1243</v>
      </c>
      <c r="L596" s="357">
        <v>0</v>
      </c>
      <c r="M596" s="357">
        <v>0</v>
      </c>
      <c r="N596" s="357">
        <v>2</v>
      </c>
      <c r="O596" s="357">
        <v>0</v>
      </c>
      <c r="P596" s="357">
        <v>0</v>
      </c>
      <c r="Q596" s="358">
        <v>-0.12365591397849462</v>
      </c>
      <c r="R596" s="359">
        <v>0</v>
      </c>
      <c r="S596" s="196">
        <v>2517801000</v>
      </c>
      <c r="T596" s="196">
        <v>109300000</v>
      </c>
      <c r="U596" s="200">
        <f t="shared" si="105"/>
        <v>200019000</v>
      </c>
      <c r="V596" s="196">
        <v>-405000000</v>
      </c>
      <c r="W596" s="196">
        <v>0</v>
      </c>
      <c r="X596" s="196">
        <v>1729000000</v>
      </c>
      <c r="Y596" s="196">
        <v>254000000</v>
      </c>
      <c r="Z596" s="196">
        <v>1154000000</v>
      </c>
      <c r="AA596" s="198">
        <v>-0.23</v>
      </c>
      <c r="AB596" s="198">
        <v>-0.28999999999999998</v>
      </c>
      <c r="AC596" s="213">
        <f t="shared" si="106"/>
        <v>1541</v>
      </c>
      <c r="AD596" s="213">
        <f t="shared" si="107"/>
        <v>1554</v>
      </c>
      <c r="AE596" s="213">
        <v>0.5</v>
      </c>
      <c r="AF596" s="196">
        <v>-30000000</v>
      </c>
      <c r="AG596" s="104">
        <f t="shared" si="108"/>
        <v>-0.27447392497712719</v>
      </c>
      <c r="AH596" s="104">
        <f t="shared" si="109"/>
        <v>0</v>
      </c>
      <c r="AI596" s="195">
        <v>0.77</v>
      </c>
      <c r="AO596" s="213"/>
      <c r="AP596" s="213"/>
      <c r="AQ596" s="213"/>
      <c r="AR596" s="213"/>
      <c r="AS596" s="213"/>
      <c r="AT596" s="213"/>
      <c r="AU596" s="213"/>
      <c r="AV596" s="213"/>
    </row>
    <row r="597" spans="1:48">
      <c r="A597" s="213">
        <v>3105</v>
      </c>
      <c r="C597" s="107">
        <f>VLOOKUP(3105,收盤價!$A:$C,3,0)</f>
        <v>92.4</v>
      </c>
      <c r="D597" s="107">
        <f t="shared" si="99"/>
        <v>19.411764705882355</v>
      </c>
      <c r="E597" s="167">
        <f t="shared" si="100"/>
        <v>2</v>
      </c>
      <c r="F597" s="104">
        <f t="shared" si="101"/>
        <v>4.0826908802591184</v>
      </c>
      <c r="G597" s="167">
        <f>RANK(0.84,AE:AE,0)</f>
        <v>946</v>
      </c>
      <c r="H597" s="365">
        <f t="shared" si="102"/>
        <v>-1.3414010567581387</v>
      </c>
      <c r="I597" s="213">
        <f t="shared" si="103"/>
        <v>390</v>
      </c>
      <c r="J597" s="213">
        <f t="shared" si="104"/>
        <v>768</v>
      </c>
      <c r="K597" s="213">
        <f>RANK(1.35,AI:AI,0)</f>
        <v>650</v>
      </c>
      <c r="L597" s="357">
        <v>0</v>
      </c>
      <c r="M597" s="357">
        <v>1</v>
      </c>
      <c r="N597" s="357">
        <v>0</v>
      </c>
      <c r="O597" s="357">
        <v>1</v>
      </c>
      <c r="P597" s="357">
        <v>0</v>
      </c>
      <c r="Q597" s="358">
        <v>0.39193729003359462</v>
      </c>
      <c r="R597" s="359">
        <v>1.19</v>
      </c>
      <c r="S597" s="196">
        <v>13278272000</v>
      </c>
      <c r="T597" s="196">
        <v>586700000</v>
      </c>
      <c r="U597" s="200">
        <f t="shared" si="105"/>
        <v>54211080000</v>
      </c>
      <c r="V597" s="196">
        <v>0</v>
      </c>
      <c r="W597" s="196">
        <v>1957000000</v>
      </c>
      <c r="X597" s="196">
        <v>13060000000</v>
      </c>
      <c r="Y597" s="196">
        <v>18046000000</v>
      </c>
      <c r="Z597" s="196">
        <v>987000000</v>
      </c>
      <c r="AA597" s="198">
        <v>0</v>
      </c>
      <c r="AB597" s="198">
        <v>0</v>
      </c>
      <c r="AC597" s="213">
        <f t="shared" si="106"/>
        <v>945</v>
      </c>
      <c r="AD597" s="213">
        <f t="shared" si="107"/>
        <v>911</v>
      </c>
      <c r="AE597" s="213">
        <v>0.84</v>
      </c>
      <c r="AF597" s="196">
        <v>787000000</v>
      </c>
      <c r="AG597" s="104">
        <f t="shared" si="108"/>
        <v>1.3414010567581387</v>
      </c>
      <c r="AH597" s="104">
        <f t="shared" si="109"/>
        <v>0</v>
      </c>
      <c r="AI597" s="195">
        <v>1.35</v>
      </c>
    </row>
    <row r="598" spans="1:48">
      <c r="A598">
        <v>3114</v>
      </c>
      <c r="C598" s="107">
        <f>VLOOKUP(3114,收盤價!$A:$C,3,0)</f>
        <v>11.05</v>
      </c>
      <c r="D598" s="107">
        <f t="shared" si="99"/>
        <v>0</v>
      </c>
      <c r="E598" s="167">
        <f t="shared" si="100"/>
        <v>3</v>
      </c>
      <c r="F598" s="104">
        <f t="shared" si="101"/>
        <v>0.31138338762582141</v>
      </c>
      <c r="G598" s="167">
        <f>RANK(0.84,AE:AE,0)</f>
        <v>946</v>
      </c>
      <c r="H598" s="365">
        <f t="shared" si="102"/>
        <v>40.18</v>
      </c>
      <c r="I598" s="213">
        <f t="shared" si="103"/>
        <v>597</v>
      </c>
      <c r="J598" s="213">
        <f t="shared" si="104"/>
        <v>4</v>
      </c>
      <c r="K598">
        <f>RANK(2.59,AI:AI,0)</f>
        <v>219</v>
      </c>
      <c r="L598" s="357">
        <v>0</v>
      </c>
      <c r="M598" s="357">
        <v>1</v>
      </c>
      <c r="N598" s="357">
        <v>1</v>
      </c>
      <c r="O598" s="357">
        <v>1</v>
      </c>
      <c r="P598" s="357">
        <v>0</v>
      </c>
      <c r="Q598" s="358">
        <v>9.8280098280098274E-2</v>
      </c>
      <c r="R598" s="359">
        <v>0</v>
      </c>
      <c r="S598" s="196">
        <v>1774340000</v>
      </c>
      <c r="T598" s="196">
        <v>50000000</v>
      </c>
      <c r="U598" s="200">
        <f t="shared" si="105"/>
        <v>552500000</v>
      </c>
      <c r="V598" s="196">
        <v>1000000</v>
      </c>
      <c r="W598" s="196">
        <v>472000000</v>
      </c>
      <c r="X598" s="196">
        <v>121000000</v>
      </c>
      <c r="Y598" s="196">
        <v>775000000</v>
      </c>
      <c r="Z598" s="196">
        <v>420000000</v>
      </c>
      <c r="AA598" s="198">
        <v>0</v>
      </c>
      <c r="AB598" s="198">
        <v>0</v>
      </c>
      <c r="AC598" s="213">
        <f t="shared" si="106"/>
        <v>945</v>
      </c>
      <c r="AD598" s="213">
        <f t="shared" si="107"/>
        <v>911</v>
      </c>
      <c r="AE598" s="213">
        <v>0.84</v>
      </c>
      <c r="AF598" s="196">
        <v>41000000</v>
      </c>
      <c r="AG598" s="104">
        <f t="shared" si="108"/>
        <v>0.82</v>
      </c>
      <c r="AH598" s="104">
        <f t="shared" si="109"/>
        <v>41</v>
      </c>
      <c r="AI598" s="195">
        <v>2.59</v>
      </c>
    </row>
    <row r="599" spans="1:48">
      <c r="A599">
        <v>3115</v>
      </c>
      <c r="C599" s="107">
        <f>VLOOKUP(3115,收盤價!$A:$C,3,0)</f>
        <v>12.8</v>
      </c>
      <c r="D599" s="107">
        <f t="shared" si="99"/>
        <v>0</v>
      </c>
      <c r="E599" s="167">
        <f t="shared" si="100"/>
        <v>1</v>
      </c>
      <c r="F599" s="104">
        <f t="shared" si="101"/>
        <v>0.76895477084361497</v>
      </c>
      <c r="G599" s="167">
        <f>RANK(0.84,AE:AE,0)</f>
        <v>946</v>
      </c>
      <c r="H599" s="365">
        <f t="shared" si="102"/>
        <v>0.34324942791762014</v>
      </c>
      <c r="I599" s="213">
        <f t="shared" si="103"/>
        <v>1286</v>
      </c>
      <c r="J599" s="213">
        <f t="shared" si="104"/>
        <v>768</v>
      </c>
      <c r="K599">
        <f>RANK(0.76,AI:AI,0)</f>
        <v>1269</v>
      </c>
      <c r="L599" s="357">
        <v>0</v>
      </c>
      <c r="M599" s="357">
        <v>1</v>
      </c>
      <c r="N599" s="357">
        <v>0</v>
      </c>
      <c r="O599" s="357">
        <v>0</v>
      </c>
      <c r="P599" s="357">
        <v>0</v>
      </c>
      <c r="Q599" s="358">
        <v>8.6956521739130432E-2</v>
      </c>
      <c r="R599" s="359">
        <v>0</v>
      </c>
      <c r="S599" s="196">
        <v>727429000</v>
      </c>
      <c r="T599" s="196">
        <v>43700000</v>
      </c>
      <c r="U599" s="200">
        <f t="shared" si="105"/>
        <v>559360000</v>
      </c>
      <c r="V599" s="196">
        <v>-1000000</v>
      </c>
      <c r="W599" s="196">
        <v>236000000</v>
      </c>
      <c r="X599" s="196">
        <v>123000000</v>
      </c>
      <c r="Y599" s="196">
        <v>404000000</v>
      </c>
      <c r="Z599" s="196">
        <v>133000000</v>
      </c>
      <c r="AA599" s="198">
        <v>0</v>
      </c>
      <c r="AB599" s="198">
        <v>0</v>
      </c>
      <c r="AC599" s="213">
        <f t="shared" si="106"/>
        <v>945</v>
      </c>
      <c r="AD599" s="213">
        <f t="shared" si="107"/>
        <v>911</v>
      </c>
      <c r="AE599" s="213">
        <v>0.84</v>
      </c>
      <c r="AF599" s="196">
        <v>-15000000</v>
      </c>
      <c r="AG599" s="104">
        <f t="shared" si="108"/>
        <v>-0.34324942791762014</v>
      </c>
      <c r="AH599" s="104">
        <f t="shared" si="109"/>
        <v>0</v>
      </c>
      <c r="AI599" s="195">
        <v>0.76</v>
      </c>
    </row>
    <row r="600" spans="1:48">
      <c r="A600">
        <v>3118</v>
      </c>
      <c r="C600" s="107">
        <f>VLOOKUP(3118,收盤價!$A:$C,3,0)</f>
        <v>30.4</v>
      </c>
      <c r="D600" s="107">
        <f t="shared" si="99"/>
        <v>17.647058823529413</v>
      </c>
      <c r="E600" s="167">
        <f t="shared" si="100"/>
        <v>2</v>
      </c>
      <c r="F600" s="104">
        <f t="shared" si="101"/>
        <v>1.9058200813252779</v>
      </c>
      <c r="G600" s="167">
        <f>RANK(2.32,AE:AE,0)</f>
        <v>360</v>
      </c>
      <c r="H600" s="365">
        <f t="shared" si="102"/>
        <v>0.2221153846153846</v>
      </c>
      <c r="I600" s="213">
        <f t="shared" si="103"/>
        <v>920</v>
      </c>
      <c r="J600" s="213">
        <f t="shared" si="104"/>
        <v>695</v>
      </c>
      <c r="K600">
        <f>RANK(0.96,AI:AI,0)</f>
        <v>922</v>
      </c>
      <c r="L600" s="357">
        <v>0</v>
      </c>
      <c r="M600" s="357">
        <v>0</v>
      </c>
      <c r="N600" s="357">
        <v>1</v>
      </c>
      <c r="O600" s="357">
        <v>1</v>
      </c>
      <c r="P600" s="357">
        <v>0</v>
      </c>
      <c r="Q600" s="358">
        <v>0.35338345864661652</v>
      </c>
      <c r="R600" s="359">
        <v>0.43066666666666664</v>
      </c>
      <c r="S600" s="196">
        <v>518412000</v>
      </c>
      <c r="T600" s="196">
        <v>32500000</v>
      </c>
      <c r="U600" s="200">
        <f t="shared" si="105"/>
        <v>988000000</v>
      </c>
      <c r="V600" s="196">
        <v>16000000</v>
      </c>
      <c r="W600" s="196">
        <v>305000000</v>
      </c>
      <c r="X600" s="196">
        <v>150000000</v>
      </c>
      <c r="Y600" s="196">
        <v>481000000</v>
      </c>
      <c r="Z600" s="196">
        <v>0</v>
      </c>
      <c r="AA600" s="198">
        <v>0.04</v>
      </c>
      <c r="AB600" s="198">
        <v>0.03</v>
      </c>
      <c r="AC600" s="213">
        <f t="shared" si="106"/>
        <v>337</v>
      </c>
      <c r="AD600" s="213">
        <f t="shared" si="107"/>
        <v>334</v>
      </c>
      <c r="AE600" s="213">
        <v>2.3199999999999998</v>
      </c>
      <c r="AF600" s="196">
        <v>7000000</v>
      </c>
      <c r="AG600" s="104">
        <f t="shared" si="108"/>
        <v>0.2153846153846154</v>
      </c>
      <c r="AH600" s="104">
        <f t="shared" si="109"/>
        <v>0.4375</v>
      </c>
      <c r="AI600" s="195">
        <v>0.96</v>
      </c>
    </row>
    <row r="601" spans="1:48">
      <c r="A601">
        <v>3122</v>
      </c>
      <c r="C601" s="107">
        <f>VLOOKUP(3122,收盤價!$A:$C,3,0)</f>
        <v>17.149999999999999</v>
      </c>
      <c r="D601" s="107">
        <f t="shared" si="99"/>
        <v>19.488636363636363</v>
      </c>
      <c r="E601" s="167">
        <f t="shared" si="100"/>
        <v>1</v>
      </c>
      <c r="F601" s="104">
        <f t="shared" si="101"/>
        <v>1.0915853370173263</v>
      </c>
      <c r="G601" s="167">
        <f>RANK(1.41,AE:AE,0)</f>
        <v>618</v>
      </c>
      <c r="H601" s="365">
        <f t="shared" si="102"/>
        <v>0.22900763358778625</v>
      </c>
      <c r="I601" s="213">
        <f t="shared" si="103"/>
        <v>1227</v>
      </c>
      <c r="J601" s="213">
        <f t="shared" si="104"/>
        <v>768</v>
      </c>
      <c r="K601">
        <f>RANK(0.78,AI:AI,0)</f>
        <v>1217</v>
      </c>
      <c r="L601" s="357">
        <v>0</v>
      </c>
      <c r="M601" s="357">
        <v>1</v>
      </c>
      <c r="N601" s="357">
        <v>0</v>
      </c>
      <c r="O601" s="357">
        <v>0</v>
      </c>
      <c r="P601" s="357">
        <v>0</v>
      </c>
      <c r="Q601" s="358">
        <v>0.35374149659863946</v>
      </c>
      <c r="R601" s="359">
        <v>0.21999999999999997</v>
      </c>
      <c r="S601" s="196">
        <v>617446000</v>
      </c>
      <c r="T601" s="196">
        <v>39300000</v>
      </c>
      <c r="U601" s="200">
        <f t="shared" si="105"/>
        <v>673995000</v>
      </c>
      <c r="V601" s="196">
        <v>11000000</v>
      </c>
      <c r="W601" s="196">
        <v>325000000</v>
      </c>
      <c r="X601" s="196">
        <v>179000000</v>
      </c>
      <c r="Y601" s="196">
        <v>528000000</v>
      </c>
      <c r="Z601" s="196">
        <v>0</v>
      </c>
      <c r="AA601" s="198">
        <v>0.02</v>
      </c>
      <c r="AB601" s="198">
        <v>0.02</v>
      </c>
      <c r="AC601" s="213">
        <f t="shared" si="106"/>
        <v>616</v>
      </c>
      <c r="AD601" s="213">
        <f t="shared" si="107"/>
        <v>487</v>
      </c>
      <c r="AE601" s="213">
        <v>1.41</v>
      </c>
      <c r="AF601" s="196">
        <v>-9000000</v>
      </c>
      <c r="AG601" s="104">
        <f t="shared" si="108"/>
        <v>-0.22900763358778625</v>
      </c>
      <c r="AH601" s="104">
        <f t="shared" si="109"/>
        <v>0</v>
      </c>
      <c r="AI601" s="195">
        <v>0.78</v>
      </c>
    </row>
    <row r="602" spans="1:48">
      <c r="A602">
        <v>3128</v>
      </c>
      <c r="C602" s="107">
        <f>VLOOKUP(3128,收盤價!$A:$C,3,0)</f>
        <v>11.75</v>
      </c>
      <c r="D602" s="107">
        <f t="shared" si="99"/>
        <v>65.277777777777786</v>
      </c>
      <c r="E602" s="167">
        <f t="shared" si="100"/>
        <v>1</v>
      </c>
      <c r="F602" s="104">
        <f t="shared" si="101"/>
        <v>0.64707987994603078</v>
      </c>
      <c r="G602" s="167">
        <f>RANK(0.84,AE:AE,0)</f>
        <v>946</v>
      </c>
      <c r="H602" s="365">
        <f t="shared" si="102"/>
        <v>0.5</v>
      </c>
      <c r="I602" s="213">
        <f t="shared" si="103"/>
        <v>1345</v>
      </c>
      <c r="J602" s="213">
        <f t="shared" si="104"/>
        <v>768</v>
      </c>
      <c r="K602">
        <f>RANK(0.74,AI:AI,0)</f>
        <v>1324</v>
      </c>
      <c r="L602" s="357">
        <v>0</v>
      </c>
      <c r="M602" s="357">
        <v>1</v>
      </c>
      <c r="N602" s="357">
        <v>0</v>
      </c>
      <c r="O602" s="357">
        <v>0</v>
      </c>
      <c r="P602" s="357">
        <v>0</v>
      </c>
      <c r="Q602" s="358">
        <v>0.22564102564102564</v>
      </c>
      <c r="R602" s="359">
        <v>4.4999999999999998E-2</v>
      </c>
      <c r="S602" s="196">
        <v>762657000</v>
      </c>
      <c r="T602" s="196">
        <v>42000000</v>
      </c>
      <c r="U602" s="200">
        <f t="shared" si="105"/>
        <v>493500000</v>
      </c>
      <c r="V602" s="196">
        <v>2000000</v>
      </c>
      <c r="W602" s="196">
        <v>256000000</v>
      </c>
      <c r="X602" s="196">
        <v>250000000</v>
      </c>
      <c r="Y602" s="196">
        <v>591000000</v>
      </c>
      <c r="Z602" s="196">
        <v>183000000</v>
      </c>
      <c r="AA602" s="198">
        <v>0</v>
      </c>
      <c r="AB602" s="198">
        <v>0</v>
      </c>
      <c r="AC602" s="213">
        <f t="shared" si="106"/>
        <v>945</v>
      </c>
      <c r="AD602" s="213">
        <f t="shared" si="107"/>
        <v>911</v>
      </c>
      <c r="AE602" s="213">
        <v>0.84</v>
      </c>
      <c r="AF602" s="196">
        <v>-21000000</v>
      </c>
      <c r="AG602" s="104">
        <f t="shared" si="108"/>
        <v>-0.5</v>
      </c>
      <c r="AH602" s="104">
        <f t="shared" si="109"/>
        <v>0</v>
      </c>
      <c r="AI602" s="195">
        <v>0.74</v>
      </c>
    </row>
    <row r="603" spans="1:48">
      <c r="A603">
        <v>3130</v>
      </c>
      <c r="C603" s="107">
        <f>VLOOKUP(3130,收盤價!$A:$C,3,0)</f>
        <v>137.5</v>
      </c>
      <c r="D603" s="107">
        <f t="shared" si="99"/>
        <v>12.396754304327596</v>
      </c>
      <c r="E603" s="167">
        <f t="shared" si="100"/>
        <v>1</v>
      </c>
      <c r="F603" s="104">
        <f t="shared" si="101"/>
        <v>2.4035325921924073</v>
      </c>
      <c r="G603" s="167">
        <f>RANK(11.21,AE:AE,0)</f>
        <v>64</v>
      </c>
      <c r="H603" s="365">
        <f t="shared" si="102"/>
        <v>-2.873192706085455</v>
      </c>
      <c r="I603" s="213">
        <f t="shared" si="103"/>
        <v>65</v>
      </c>
      <c r="J603" s="213">
        <f t="shared" si="104"/>
        <v>459</v>
      </c>
      <c r="K603">
        <f>RANK(2.97,AI:AI,0)</f>
        <v>171</v>
      </c>
      <c r="L603" s="357">
        <v>0</v>
      </c>
      <c r="M603" s="357">
        <v>0</v>
      </c>
      <c r="N603" s="357">
        <v>1</v>
      </c>
      <c r="O603" s="357">
        <v>0</v>
      </c>
      <c r="P603" s="357">
        <v>0</v>
      </c>
      <c r="Q603" s="358">
        <v>0.91489361702127658</v>
      </c>
      <c r="R603" s="359">
        <v>2.7729032258064512</v>
      </c>
      <c r="S603" s="196">
        <v>1893567000</v>
      </c>
      <c r="T603" s="196">
        <v>33100000</v>
      </c>
      <c r="U603" s="200">
        <f t="shared" si="105"/>
        <v>4551250000</v>
      </c>
      <c r="V603" s="196">
        <v>112000000</v>
      </c>
      <c r="W603" s="196">
        <v>1248000000</v>
      </c>
      <c r="X603" s="196">
        <v>157000000</v>
      </c>
      <c r="Y603" s="196">
        <v>1436000000</v>
      </c>
      <c r="Z603" s="196">
        <v>0</v>
      </c>
      <c r="AA603" s="198">
        <v>0.08</v>
      </c>
      <c r="AB603" s="198">
        <v>0.08</v>
      </c>
      <c r="AC603" s="213">
        <f t="shared" si="106"/>
        <v>97</v>
      </c>
      <c r="AD603" s="213">
        <f t="shared" si="107"/>
        <v>42</v>
      </c>
      <c r="AE603" s="213">
        <v>11.21</v>
      </c>
      <c r="AF603" s="196">
        <v>135000000</v>
      </c>
      <c r="AG603" s="104">
        <f t="shared" si="108"/>
        <v>4.0785498489425978</v>
      </c>
      <c r="AH603" s="104">
        <f t="shared" si="109"/>
        <v>1.2053571428571428</v>
      </c>
      <c r="AI603" s="195">
        <v>2.97</v>
      </c>
      <c r="AO603" s="213"/>
      <c r="AP603" s="213"/>
      <c r="AQ603" s="213"/>
      <c r="AR603" s="213"/>
      <c r="AS603" s="213"/>
      <c r="AT603" s="213"/>
      <c r="AU603" s="213"/>
      <c r="AV603" s="213"/>
    </row>
    <row r="604" spans="1:48">
      <c r="A604">
        <v>3131</v>
      </c>
      <c r="C604" s="107">
        <f>VLOOKUP(3131,收盤價!$A:$C,3,0)</f>
        <v>203.5</v>
      </c>
      <c r="D604" s="107">
        <f t="shared" si="99"/>
        <v>16.077653613083992</v>
      </c>
      <c r="E604" s="167">
        <f t="shared" si="100"/>
        <v>1</v>
      </c>
      <c r="F604" s="104">
        <f t="shared" si="101"/>
        <v>2.3026278116595256</v>
      </c>
      <c r="G604" s="167">
        <f>RANK(5.49,AE:AE,0)</f>
        <v>154</v>
      </c>
      <c r="H604" s="365">
        <f t="shared" si="102"/>
        <v>-4.0625761565976175</v>
      </c>
      <c r="I604" s="213">
        <f t="shared" si="103"/>
        <v>34</v>
      </c>
      <c r="J604" s="213">
        <f t="shared" si="104"/>
        <v>432</v>
      </c>
      <c r="K604">
        <f>RANK(3.34,AI:AI,0)</f>
        <v>140</v>
      </c>
      <c r="L604" s="357">
        <v>0</v>
      </c>
      <c r="M604" s="357">
        <v>0</v>
      </c>
      <c r="N604" s="357">
        <v>0</v>
      </c>
      <c r="O604" s="357">
        <v>1</v>
      </c>
      <c r="P604" s="357">
        <v>0</v>
      </c>
      <c r="Q604" s="358">
        <v>0.42031872509960161</v>
      </c>
      <c r="R604" s="359">
        <v>3.1643298969072164</v>
      </c>
      <c r="S604" s="196">
        <v>2182919000</v>
      </c>
      <c r="T604" s="196">
        <v>24700000</v>
      </c>
      <c r="U604" s="200">
        <f t="shared" si="105"/>
        <v>5026450000</v>
      </c>
      <c r="V604" s="196">
        <v>103000000</v>
      </c>
      <c r="W604" s="196">
        <v>684000000</v>
      </c>
      <c r="X604" s="196">
        <v>813000000</v>
      </c>
      <c r="Y604" s="196">
        <v>1591000000</v>
      </c>
      <c r="Z604" s="196">
        <v>285000000</v>
      </c>
      <c r="AA604" s="198">
        <v>7.0000000000000007E-2</v>
      </c>
      <c r="AB604" s="198">
        <v>0.05</v>
      </c>
      <c r="AC604" s="213">
        <f t="shared" si="106"/>
        <v>134</v>
      </c>
      <c r="AD604" s="213">
        <f t="shared" si="107"/>
        <v>150</v>
      </c>
      <c r="AE604" s="213">
        <v>5.49</v>
      </c>
      <c r="AF604" s="196">
        <v>132000000</v>
      </c>
      <c r="AG604" s="104">
        <f t="shared" si="108"/>
        <v>5.3441295546558703</v>
      </c>
      <c r="AH604" s="104">
        <f t="shared" si="109"/>
        <v>1.2815533980582525</v>
      </c>
      <c r="AI604" s="195">
        <v>3.34</v>
      </c>
    </row>
    <row r="605" spans="1:48">
      <c r="A605">
        <v>3141</v>
      </c>
      <c r="C605" s="107">
        <f>VLOOKUP(3141,收盤價!$A:$C,3,0)</f>
        <v>39.299999999999997</v>
      </c>
      <c r="D605" s="107">
        <f t="shared" si="99"/>
        <v>11.237745098039214</v>
      </c>
      <c r="E605" s="167">
        <f t="shared" si="100"/>
        <v>3</v>
      </c>
      <c r="F605" s="104">
        <f t="shared" si="101"/>
        <v>1.9879503468961961</v>
      </c>
      <c r="G605" s="167">
        <f>RANK(11.71,AE:AE,0)</f>
        <v>60</v>
      </c>
      <c r="H605" s="365">
        <f t="shared" si="102"/>
        <v>-9.1336214997181031E-2</v>
      </c>
      <c r="I605" s="213">
        <f t="shared" si="103"/>
        <v>453</v>
      </c>
      <c r="J605" s="213">
        <f t="shared" si="104"/>
        <v>515</v>
      </c>
      <c r="K605">
        <f>RANK(1.61,AI:AI,0)</f>
        <v>498</v>
      </c>
      <c r="L605" s="357">
        <v>1</v>
      </c>
      <c r="M605" s="357">
        <v>1</v>
      </c>
      <c r="N605" s="357">
        <v>1</v>
      </c>
      <c r="O605" s="357">
        <v>0</v>
      </c>
      <c r="P605" s="357">
        <v>0</v>
      </c>
      <c r="Q605" s="358">
        <v>0.46590909090909088</v>
      </c>
      <c r="R605" s="359">
        <v>0.87428571428571433</v>
      </c>
      <c r="S605" s="196">
        <v>1237546000</v>
      </c>
      <c r="T605" s="196">
        <v>62600000</v>
      </c>
      <c r="U605" s="200">
        <f t="shared" si="105"/>
        <v>2460180000</v>
      </c>
      <c r="V605" s="196">
        <v>68000000</v>
      </c>
      <c r="W605" s="196">
        <v>660000000</v>
      </c>
      <c r="X605" s="196">
        <v>87000000</v>
      </c>
      <c r="Y605" s="196">
        <v>911000000</v>
      </c>
      <c r="Z605" s="196">
        <v>0</v>
      </c>
      <c r="AA605" s="198">
        <v>0.09</v>
      </c>
      <c r="AB605" s="198">
        <v>7.0000000000000007E-2</v>
      </c>
      <c r="AC605" s="213">
        <f t="shared" si="106"/>
        <v>69</v>
      </c>
      <c r="AD605" s="213">
        <f t="shared" si="107"/>
        <v>64</v>
      </c>
      <c r="AE605" s="213">
        <v>11.71</v>
      </c>
      <c r="AF605" s="196">
        <v>72000000</v>
      </c>
      <c r="AG605" s="104">
        <f t="shared" si="108"/>
        <v>1.1501597444089458</v>
      </c>
      <c r="AH605" s="104">
        <f t="shared" si="109"/>
        <v>1.0588235294117647</v>
      </c>
      <c r="AI605" s="195">
        <v>1.61</v>
      </c>
      <c r="AO605" s="213"/>
      <c r="AP605" s="213"/>
      <c r="AQ605" s="213"/>
      <c r="AR605" s="213"/>
      <c r="AS605" s="213"/>
      <c r="AT605" s="213"/>
      <c r="AU605" s="213"/>
      <c r="AV605" s="213"/>
    </row>
    <row r="606" spans="1:48">
      <c r="A606">
        <v>3144</v>
      </c>
      <c r="C606" s="107">
        <f>VLOOKUP(3144,收盤價!$A:$C,3,0)</f>
        <v>16.5</v>
      </c>
      <c r="D606" s="107">
        <f t="shared" si="99"/>
        <v>14.732142857142859</v>
      </c>
      <c r="E606" s="167">
        <f t="shared" si="100"/>
        <v>4</v>
      </c>
      <c r="F606" s="104">
        <f t="shared" si="101"/>
        <v>0.80028696355244677</v>
      </c>
      <c r="G606" s="167">
        <f>RANK(2.32,AE:AE,0)</f>
        <v>360</v>
      </c>
      <c r="H606" s="365">
        <f t="shared" si="102"/>
        <v>0.61377191397072106</v>
      </c>
      <c r="I606" s="213">
        <f t="shared" si="103"/>
        <v>753</v>
      </c>
      <c r="J606" s="213">
        <f t="shared" si="104"/>
        <v>508</v>
      </c>
      <c r="K606">
        <f>RANK(1.24,AI:AI,0)</f>
        <v>716</v>
      </c>
      <c r="L606" s="357">
        <v>0</v>
      </c>
      <c r="M606" s="357">
        <v>1</v>
      </c>
      <c r="N606" s="357">
        <v>2</v>
      </c>
      <c r="O606" s="357">
        <v>1</v>
      </c>
      <c r="P606" s="357">
        <v>0</v>
      </c>
      <c r="Q606" s="358">
        <v>0.18055555555555555</v>
      </c>
      <c r="R606" s="359">
        <v>0.27999999999999997</v>
      </c>
      <c r="S606" s="196">
        <v>2074131000</v>
      </c>
      <c r="T606" s="196">
        <v>100600000</v>
      </c>
      <c r="U606" s="200">
        <f t="shared" si="105"/>
        <v>1659900000</v>
      </c>
      <c r="V606" s="196">
        <v>44000000</v>
      </c>
      <c r="W606" s="196">
        <v>615000000</v>
      </c>
      <c r="X606" s="196">
        <v>586000000</v>
      </c>
      <c r="Y606" s="196">
        <v>1268000000</v>
      </c>
      <c r="Z606" s="196">
        <v>420000000</v>
      </c>
      <c r="AA606" s="198">
        <v>0.04</v>
      </c>
      <c r="AB606" s="198">
        <v>0.03</v>
      </c>
      <c r="AC606" s="213">
        <f t="shared" si="106"/>
        <v>337</v>
      </c>
      <c r="AD606" s="213">
        <f t="shared" si="107"/>
        <v>334</v>
      </c>
      <c r="AE606" s="213">
        <v>2.3199999999999998</v>
      </c>
      <c r="AF606" s="196">
        <v>48000000</v>
      </c>
      <c r="AG606" s="104">
        <f t="shared" si="108"/>
        <v>0.47713717693836977</v>
      </c>
      <c r="AH606" s="104">
        <f t="shared" si="109"/>
        <v>1.0909090909090908</v>
      </c>
      <c r="AI606" s="195">
        <v>1.24</v>
      </c>
      <c r="AO606" s="213"/>
      <c r="AP606" s="213"/>
      <c r="AQ606" s="213"/>
      <c r="AR606" s="213"/>
      <c r="AS606" s="213"/>
      <c r="AT606" s="213"/>
      <c r="AU606" s="213"/>
      <c r="AV606" s="213"/>
    </row>
    <row r="607" spans="1:48">
      <c r="A607">
        <v>3149</v>
      </c>
      <c r="C607" s="107">
        <f>VLOOKUP(3149,收盤價!$A:$C,3,0)</f>
        <v>16.55</v>
      </c>
      <c r="D607" s="107">
        <f t="shared" si="99"/>
        <v>0</v>
      </c>
      <c r="E607" s="167">
        <f t="shared" si="100"/>
        <v>1</v>
      </c>
      <c r="F607" s="104">
        <f t="shared" si="101"/>
        <v>1.0950867568458733</v>
      </c>
      <c r="G607" s="167">
        <f>RANK(0.52,AE:AE,0)</f>
        <v>1493</v>
      </c>
      <c r="H607" s="365">
        <f t="shared" si="102"/>
        <v>0.22006713912719134</v>
      </c>
      <c r="I607" s="213">
        <f t="shared" si="103"/>
        <v>1222</v>
      </c>
      <c r="J607" s="213">
        <f t="shared" si="104"/>
        <v>768</v>
      </c>
      <c r="K607">
        <f>RANK(0.78,AI:AI,0)</f>
        <v>1217</v>
      </c>
      <c r="L607" s="357">
        <v>0</v>
      </c>
      <c r="M607" s="357">
        <v>1</v>
      </c>
      <c r="N607" s="357">
        <v>0</v>
      </c>
      <c r="O607" s="357">
        <v>0</v>
      </c>
      <c r="P607" s="357">
        <v>0</v>
      </c>
      <c r="Q607" s="358">
        <v>-0.4859437751004016</v>
      </c>
      <c r="R607" s="359">
        <v>0</v>
      </c>
      <c r="S607" s="196">
        <v>4051784000</v>
      </c>
      <c r="T607" s="196">
        <v>268100000</v>
      </c>
      <c r="U607" s="200">
        <f t="shared" si="105"/>
        <v>4437055000</v>
      </c>
      <c r="V607" s="196">
        <v>-278000000</v>
      </c>
      <c r="W607" s="196">
        <v>0</v>
      </c>
      <c r="X607" s="196">
        <v>6053000000</v>
      </c>
      <c r="Y607" s="196">
        <v>1732000000</v>
      </c>
      <c r="Z607" s="196">
        <v>2744000000</v>
      </c>
      <c r="AA607" s="198">
        <v>-0.05</v>
      </c>
      <c r="AB607" s="198">
        <v>-0.06</v>
      </c>
      <c r="AC607" s="213">
        <f t="shared" si="106"/>
        <v>1468</v>
      </c>
      <c r="AD607" s="213">
        <f t="shared" si="107"/>
        <v>1515</v>
      </c>
      <c r="AE607" s="213">
        <v>0.52</v>
      </c>
      <c r="AF607" s="196">
        <v>-59000000</v>
      </c>
      <c r="AG607" s="104">
        <f t="shared" si="108"/>
        <v>-0.22006713912719134</v>
      </c>
      <c r="AH607" s="104">
        <f t="shared" si="109"/>
        <v>0</v>
      </c>
      <c r="AI607" s="195">
        <v>0.78</v>
      </c>
    </row>
    <row r="608" spans="1:48">
      <c r="A608">
        <v>3152</v>
      </c>
      <c r="C608" s="107">
        <f>VLOOKUP(3152,收盤價!$A:$C,3,0)</f>
        <v>227.5</v>
      </c>
      <c r="D608" s="107">
        <f t="shared" si="99"/>
        <v>21.192575087911738</v>
      </c>
      <c r="E608" s="167">
        <f t="shared" si="100"/>
        <v>4</v>
      </c>
      <c r="F608" s="104">
        <f t="shared" si="101"/>
        <v>8.33802089723957</v>
      </c>
      <c r="G608" s="167">
        <f>RANK(11.21,AE:AE,0)</f>
        <v>64</v>
      </c>
      <c r="H608" s="365">
        <f t="shared" si="102"/>
        <v>-1.5681551116333723</v>
      </c>
      <c r="I608" s="213">
        <f t="shared" si="103"/>
        <v>190</v>
      </c>
      <c r="J608" s="213">
        <f t="shared" si="104"/>
        <v>626</v>
      </c>
      <c r="K608">
        <f>RANK(1.91,AI:AI,0)</f>
        <v>376</v>
      </c>
      <c r="L608" s="357">
        <v>0</v>
      </c>
      <c r="M608" s="357">
        <v>1</v>
      </c>
      <c r="N608" s="357">
        <v>2</v>
      </c>
      <c r="O608" s="357">
        <v>1</v>
      </c>
      <c r="P608" s="357">
        <v>0</v>
      </c>
      <c r="Q608" s="358">
        <v>0.6071428571428571</v>
      </c>
      <c r="R608" s="359">
        <v>2.6837229437229433</v>
      </c>
      <c r="S608" s="196">
        <v>1882641000</v>
      </c>
      <c r="T608" s="196">
        <v>69000000</v>
      </c>
      <c r="U608" s="200">
        <f t="shared" si="105"/>
        <v>15697500000</v>
      </c>
      <c r="V608" s="196">
        <v>222000000</v>
      </c>
      <c r="W608" s="196">
        <v>1926000000</v>
      </c>
      <c r="X608" s="196">
        <v>843000000</v>
      </c>
      <c r="Y608" s="196">
        <v>2770000000</v>
      </c>
      <c r="Z608" s="196">
        <v>0</v>
      </c>
      <c r="AA608" s="198">
        <v>0.08</v>
      </c>
      <c r="AB608" s="198">
        <v>0.08</v>
      </c>
      <c r="AC608" s="213">
        <f t="shared" si="106"/>
        <v>97</v>
      </c>
      <c r="AD608" s="213">
        <f t="shared" si="107"/>
        <v>42</v>
      </c>
      <c r="AE608" s="213">
        <v>11.21</v>
      </c>
      <c r="AF608" s="196">
        <v>157000000</v>
      </c>
      <c r="AG608" s="104">
        <f t="shared" si="108"/>
        <v>2.2753623188405796</v>
      </c>
      <c r="AH608" s="104">
        <f t="shared" si="109"/>
        <v>0.7072072072072072</v>
      </c>
      <c r="AI608" s="195">
        <v>1.91</v>
      </c>
      <c r="AO608" s="213"/>
      <c r="AP608" s="213"/>
      <c r="AQ608" s="213"/>
      <c r="AR608" s="213"/>
      <c r="AS608" s="213"/>
      <c r="AT608" s="213"/>
      <c r="AU608" s="213"/>
      <c r="AV608" s="213"/>
    </row>
    <row r="609" spans="1:48">
      <c r="A609">
        <v>3162</v>
      </c>
      <c r="C609" s="107">
        <f>VLOOKUP(3162,收盤價!$A:$C,3,0)</f>
        <v>7.47</v>
      </c>
      <c r="D609" s="107">
        <f t="shared" si="99"/>
        <v>0</v>
      </c>
      <c r="E609" s="167">
        <f t="shared" si="100"/>
        <v>2</v>
      </c>
      <c r="F609" s="104">
        <f t="shared" si="101"/>
        <v>0.62054865820164318</v>
      </c>
      <c r="G609" s="167">
        <f>RANK(0.84,AE:AE,0)</f>
        <v>946</v>
      </c>
      <c r="H609" s="365">
        <f t="shared" si="102"/>
        <v>-0.17699115044247787</v>
      </c>
      <c r="I609" s="213">
        <f t="shared" si="103"/>
        <v>946</v>
      </c>
      <c r="J609" s="213">
        <f t="shared" si="104"/>
        <v>768</v>
      </c>
      <c r="K609">
        <f>RANK(0.91,AI:AI,0)</f>
        <v>974</v>
      </c>
      <c r="L609" s="357">
        <v>0</v>
      </c>
      <c r="M609" s="357">
        <v>1</v>
      </c>
      <c r="N609" s="357">
        <v>0</v>
      </c>
      <c r="O609" s="357">
        <v>1</v>
      </c>
      <c r="P609" s="357">
        <v>0</v>
      </c>
      <c r="Q609" s="358">
        <v>0.15294117647058825</v>
      </c>
      <c r="R609" s="359">
        <v>0</v>
      </c>
      <c r="S609" s="196">
        <v>680132000</v>
      </c>
      <c r="T609" s="196">
        <v>56500000</v>
      </c>
      <c r="U609" s="200">
        <f t="shared" si="105"/>
        <v>422055000</v>
      </c>
      <c r="V609" s="196">
        <v>-1000000</v>
      </c>
      <c r="W609" s="196">
        <v>0</v>
      </c>
      <c r="X609" s="196">
        <v>455000000</v>
      </c>
      <c r="Y609" s="196">
        <v>494000000</v>
      </c>
      <c r="Z609" s="196">
        <v>426000000</v>
      </c>
      <c r="AA609" s="198">
        <v>0</v>
      </c>
      <c r="AB609" s="198">
        <v>0</v>
      </c>
      <c r="AC609" s="213">
        <f t="shared" si="106"/>
        <v>945</v>
      </c>
      <c r="AD609" s="213">
        <f t="shared" si="107"/>
        <v>911</v>
      </c>
      <c r="AE609" s="213">
        <v>0.84</v>
      </c>
      <c r="AF609" s="196">
        <v>10000000</v>
      </c>
      <c r="AG609" s="104">
        <f t="shared" si="108"/>
        <v>0.17699115044247787</v>
      </c>
      <c r="AH609" s="104">
        <f t="shared" si="109"/>
        <v>0</v>
      </c>
      <c r="AI609" s="195">
        <v>0.91</v>
      </c>
    </row>
    <row r="610" spans="1:48">
      <c r="A610">
        <v>3163</v>
      </c>
      <c r="C610" s="107">
        <f>VLOOKUP(3163,收盤價!$A:$C,3,0)</f>
        <v>47.9</v>
      </c>
      <c r="D610" s="107">
        <f t="shared" si="99"/>
        <v>13.384392674387289</v>
      </c>
      <c r="E610" s="167">
        <f t="shared" si="100"/>
        <v>6</v>
      </c>
      <c r="F610" s="104">
        <f t="shared" si="101"/>
        <v>1.1996483414399861</v>
      </c>
      <c r="G610" s="167">
        <f>RANK(4.81,AE:AE,0)</f>
        <v>170</v>
      </c>
      <c r="H610" s="365">
        <f t="shared" si="102"/>
        <v>-0.28010304794405938</v>
      </c>
      <c r="I610" s="213">
        <f t="shared" si="103"/>
        <v>164</v>
      </c>
      <c r="J610" s="213">
        <f t="shared" si="104"/>
        <v>222</v>
      </c>
      <c r="K610">
        <f>RANK(4.04,AI:AI,0)</f>
        <v>98</v>
      </c>
      <c r="L610" s="357">
        <v>1</v>
      </c>
      <c r="M610" s="357">
        <v>1</v>
      </c>
      <c r="N610" s="357">
        <v>2</v>
      </c>
      <c r="O610" s="357">
        <v>1</v>
      </c>
      <c r="P610" s="357">
        <v>1</v>
      </c>
      <c r="Q610" s="358">
        <v>0.18722943722943722</v>
      </c>
      <c r="R610" s="359">
        <v>0.89469879518072282</v>
      </c>
      <c r="S610" s="196">
        <v>2910778000</v>
      </c>
      <c r="T610" s="196">
        <v>72900000</v>
      </c>
      <c r="U610" s="200">
        <f t="shared" si="105"/>
        <v>3491910000</v>
      </c>
      <c r="V610" s="196">
        <v>82000000</v>
      </c>
      <c r="W610" s="196">
        <v>723000000</v>
      </c>
      <c r="X610" s="196">
        <v>690000000</v>
      </c>
      <c r="Y610" s="196">
        <v>1484000000</v>
      </c>
      <c r="Z610" s="196">
        <v>138000000</v>
      </c>
      <c r="AA610" s="198">
        <v>0.06</v>
      </c>
      <c r="AB610" s="198">
        <v>0.05</v>
      </c>
      <c r="AC610" s="213">
        <f t="shared" si="106"/>
        <v>174</v>
      </c>
      <c r="AD610" s="213">
        <f t="shared" si="107"/>
        <v>150</v>
      </c>
      <c r="AE610" s="213">
        <v>4.8099999999999996</v>
      </c>
      <c r="AF610" s="196">
        <v>184000000</v>
      </c>
      <c r="AG610" s="104">
        <f t="shared" si="108"/>
        <v>2.5240054869684498</v>
      </c>
      <c r="AH610" s="104">
        <f t="shared" si="109"/>
        <v>2.2439024390243905</v>
      </c>
      <c r="AI610" s="195">
        <v>4.04</v>
      </c>
    </row>
    <row r="611" spans="1:48">
      <c r="A611">
        <v>3164</v>
      </c>
      <c r="C611" s="107">
        <f>VLOOKUP(3164,收盤價!$A:$C,3,0)</f>
        <v>20.5</v>
      </c>
      <c r="D611" s="107">
        <f t="shared" si="99"/>
        <v>0</v>
      </c>
      <c r="E611" s="167">
        <f t="shared" si="100"/>
        <v>1</v>
      </c>
      <c r="F611" s="104">
        <f t="shared" si="101"/>
        <v>3.2632615604995747</v>
      </c>
      <c r="G611" s="167">
        <f>RANK(0.84,AE:AE,0)</f>
        <v>946</v>
      </c>
      <c r="H611" s="365">
        <f t="shared" si="102"/>
        <v>0.62167229096362953</v>
      </c>
      <c r="I611" s="213">
        <f t="shared" si="103"/>
        <v>1036</v>
      </c>
      <c r="J611" s="213">
        <f t="shared" si="104"/>
        <v>632</v>
      </c>
      <c r="K611">
        <f>RANK(0.93,AI:AI,0)</f>
        <v>950</v>
      </c>
      <c r="L611" s="357">
        <v>0</v>
      </c>
      <c r="M611" s="357">
        <v>1</v>
      </c>
      <c r="N611" s="357">
        <v>0</v>
      </c>
      <c r="O611" s="357">
        <v>0</v>
      </c>
      <c r="P611" s="357">
        <v>0</v>
      </c>
      <c r="Q611" s="358">
        <v>0.61805555555555558</v>
      </c>
      <c r="R611" s="359">
        <v>-0.01</v>
      </c>
      <c r="S611" s="196">
        <v>558475000</v>
      </c>
      <c r="T611" s="196">
        <v>88900000</v>
      </c>
      <c r="U611" s="200">
        <f t="shared" si="105"/>
        <v>1822450000</v>
      </c>
      <c r="V611" s="196">
        <v>6000000</v>
      </c>
      <c r="W611" s="196">
        <v>331000000</v>
      </c>
      <c r="X611" s="196">
        <v>875000000</v>
      </c>
      <c r="Y611" s="196">
        <v>1496000000</v>
      </c>
      <c r="Z611" s="196">
        <v>0</v>
      </c>
      <c r="AA611" s="198">
        <v>0</v>
      </c>
      <c r="AB611" s="198">
        <v>0</v>
      </c>
      <c r="AC611" s="213">
        <f t="shared" si="106"/>
        <v>945</v>
      </c>
      <c r="AD611" s="213">
        <f t="shared" si="107"/>
        <v>911</v>
      </c>
      <c r="AE611" s="213">
        <v>0.84</v>
      </c>
      <c r="AF611" s="196">
        <v>4000000</v>
      </c>
      <c r="AG611" s="104">
        <f t="shared" si="108"/>
        <v>4.4994375703037118E-2</v>
      </c>
      <c r="AH611" s="104">
        <f t="shared" si="109"/>
        <v>0.66666666666666663</v>
      </c>
      <c r="AI611" s="195">
        <v>0.93</v>
      </c>
    </row>
    <row r="612" spans="1:48">
      <c r="A612">
        <v>3167</v>
      </c>
      <c r="C612" s="107">
        <f>VLOOKUP(3167,收盤價!$A:$C,3,0)</f>
        <v>23.85</v>
      </c>
      <c r="D612" s="107">
        <f t="shared" si="99"/>
        <v>13.6772772606383</v>
      </c>
      <c r="E612" s="167">
        <f t="shared" si="100"/>
        <v>2</v>
      </c>
      <c r="F612" s="104">
        <f t="shared" si="101"/>
        <v>1.0435028004486844</v>
      </c>
      <c r="G612" s="167">
        <f>RANK(2.32,AE:AE,0)</f>
        <v>360</v>
      </c>
      <c r="H612" s="365">
        <f t="shared" si="102"/>
        <v>0.11691176470588238</v>
      </c>
      <c r="I612" s="213">
        <f t="shared" si="103"/>
        <v>664</v>
      </c>
      <c r="J612" s="213">
        <f t="shared" si="104"/>
        <v>606</v>
      </c>
      <c r="K612">
        <f>RANK(1.23,AI:AI,0)</f>
        <v>720</v>
      </c>
      <c r="L612" s="357">
        <v>0</v>
      </c>
      <c r="M612" s="357">
        <v>0</v>
      </c>
      <c r="N612" s="357">
        <v>2</v>
      </c>
      <c r="O612" s="357">
        <v>0</v>
      </c>
      <c r="P612" s="357">
        <v>0</v>
      </c>
      <c r="Q612" s="358">
        <v>0.26499032882011603</v>
      </c>
      <c r="R612" s="359">
        <v>0.43594202898550721</v>
      </c>
      <c r="S612" s="196">
        <v>1828457000</v>
      </c>
      <c r="T612" s="196">
        <v>80000000</v>
      </c>
      <c r="U612" s="200">
        <f t="shared" si="105"/>
        <v>1908000000</v>
      </c>
      <c r="V612" s="196">
        <v>68000000</v>
      </c>
      <c r="W612" s="196">
        <v>1396000000</v>
      </c>
      <c r="X612" s="196">
        <v>427000000</v>
      </c>
      <c r="Y612" s="196">
        <v>1503000000</v>
      </c>
      <c r="Z612" s="196">
        <v>654000000</v>
      </c>
      <c r="AA612" s="198">
        <v>0.04</v>
      </c>
      <c r="AB612" s="198">
        <v>0.03</v>
      </c>
      <c r="AC612" s="213">
        <f t="shared" si="106"/>
        <v>337</v>
      </c>
      <c r="AD612" s="213">
        <f t="shared" si="107"/>
        <v>334</v>
      </c>
      <c r="AE612" s="213">
        <v>2.3199999999999998</v>
      </c>
      <c r="AF612" s="196">
        <v>53000000</v>
      </c>
      <c r="AG612" s="104">
        <f t="shared" si="108"/>
        <v>0.66249999999999998</v>
      </c>
      <c r="AH612" s="104">
        <f t="shared" si="109"/>
        <v>0.77941176470588236</v>
      </c>
      <c r="AI612" s="195">
        <v>1.23</v>
      </c>
    </row>
    <row r="613" spans="1:48">
      <c r="A613" s="191">
        <v>3169</v>
      </c>
      <c r="B613" s="151"/>
      <c r="C613" s="192">
        <f>VLOOKUP(3169,收盤價!$A:$C,3,0)</f>
        <v>23.7</v>
      </c>
      <c r="D613" s="107">
        <f t="shared" si="99"/>
        <v>22.483258928571427</v>
      </c>
      <c r="E613" s="193">
        <f t="shared" si="100"/>
        <v>2</v>
      </c>
      <c r="F613" s="104">
        <f t="shared" si="101"/>
        <v>1.8498949264485141</v>
      </c>
      <c r="G613" s="193">
        <f>RANK(1.63,AE:AE,0)</f>
        <v>551</v>
      </c>
      <c r="H613" s="365">
        <f t="shared" si="102"/>
        <v>1.4705128205128206</v>
      </c>
      <c r="I613" s="213">
        <f t="shared" si="103"/>
        <v>696</v>
      </c>
      <c r="J613" s="213">
        <f t="shared" si="104"/>
        <v>254</v>
      </c>
      <c r="K613" s="191">
        <f>RANK(1.64,AI:AI,0)</f>
        <v>484</v>
      </c>
      <c r="L613" s="360">
        <v>0</v>
      </c>
      <c r="M613" s="360">
        <v>1</v>
      </c>
      <c r="N613" s="360">
        <v>0</v>
      </c>
      <c r="O613" s="360">
        <v>1</v>
      </c>
      <c r="P613" s="360">
        <v>0</v>
      </c>
      <c r="Q613" s="361">
        <v>0.37086092715231789</v>
      </c>
      <c r="R613" s="362">
        <v>0.2635294117647059</v>
      </c>
      <c r="S613" s="197">
        <v>666200000</v>
      </c>
      <c r="T613" s="197">
        <v>52000000</v>
      </c>
      <c r="U613" s="200">
        <f t="shared" si="105"/>
        <v>1232400000</v>
      </c>
      <c r="V613" s="197">
        <v>15000000</v>
      </c>
      <c r="W613" s="197">
        <v>462000000</v>
      </c>
      <c r="X613" s="197">
        <v>64000000</v>
      </c>
      <c r="Y613" s="197">
        <v>729000000</v>
      </c>
      <c r="Z613" s="197">
        <v>0</v>
      </c>
      <c r="AA613" s="199">
        <v>0.03</v>
      </c>
      <c r="AB613" s="199">
        <v>0.02</v>
      </c>
      <c r="AC613" s="213">
        <f t="shared" si="106"/>
        <v>469</v>
      </c>
      <c r="AD613" s="213">
        <f t="shared" si="107"/>
        <v>487</v>
      </c>
      <c r="AE613" s="213">
        <v>1.63</v>
      </c>
      <c r="AF613" s="197">
        <v>31000000</v>
      </c>
      <c r="AG613" s="104">
        <f t="shared" si="108"/>
        <v>0.59615384615384615</v>
      </c>
      <c r="AH613" s="104">
        <f t="shared" si="109"/>
        <v>2.0666666666666669</v>
      </c>
      <c r="AI613" s="94">
        <v>1.64</v>
      </c>
    </row>
    <row r="614" spans="1:48">
      <c r="A614">
        <v>3171</v>
      </c>
      <c r="C614" s="107">
        <f>VLOOKUP(3171,收盤價!$A:$C,3,0)</f>
        <v>18.8</v>
      </c>
      <c r="D614" s="107">
        <f t="shared" si="99"/>
        <v>0</v>
      </c>
      <c r="E614" s="167">
        <f t="shared" si="100"/>
        <v>3</v>
      </c>
      <c r="F614" s="104">
        <f t="shared" si="101"/>
        <v>0.64456831772047429</v>
      </c>
      <c r="G614" s="167">
        <f>RANK(1.08,AE:AE,0)</f>
        <v>769</v>
      </c>
      <c r="H614" s="365">
        <f t="shared" si="102"/>
        <v>4.9425675675675675</v>
      </c>
      <c r="I614" s="213">
        <f t="shared" si="103"/>
        <v>716</v>
      </c>
      <c r="J614" s="213">
        <f t="shared" si="104"/>
        <v>74</v>
      </c>
      <c r="K614">
        <f>RANK(1.97,AI:AI,0)</f>
        <v>350</v>
      </c>
      <c r="L614" s="357">
        <v>0</v>
      </c>
      <c r="M614" s="357">
        <v>1</v>
      </c>
      <c r="N614" s="357">
        <v>1</v>
      </c>
      <c r="O614" s="357">
        <v>1</v>
      </c>
      <c r="P614" s="357">
        <v>0</v>
      </c>
      <c r="Q614" s="358">
        <v>0.20881670533642691</v>
      </c>
      <c r="R614" s="359">
        <v>0</v>
      </c>
      <c r="S614" s="196">
        <v>1726675000</v>
      </c>
      <c r="T614" s="196">
        <v>59200000</v>
      </c>
      <c r="U614" s="200">
        <f t="shared" si="105"/>
        <v>1112960000</v>
      </c>
      <c r="V614" s="196">
        <v>6000000</v>
      </c>
      <c r="W614" s="196">
        <v>342000000</v>
      </c>
      <c r="X614" s="196">
        <v>727000000</v>
      </c>
      <c r="Y614" s="196">
        <v>657000000</v>
      </c>
      <c r="Z614" s="196">
        <v>90000000</v>
      </c>
      <c r="AA614" s="198">
        <v>0.01</v>
      </c>
      <c r="AB614" s="198">
        <v>0.01</v>
      </c>
      <c r="AC614" s="213">
        <f t="shared" si="106"/>
        <v>769</v>
      </c>
      <c r="AD614" s="213">
        <f t="shared" si="107"/>
        <v>680</v>
      </c>
      <c r="AE614" s="213">
        <v>1.08</v>
      </c>
      <c r="AF614" s="196">
        <v>33000000</v>
      </c>
      <c r="AG614" s="104">
        <f t="shared" si="108"/>
        <v>0.55743243243243246</v>
      </c>
      <c r="AH614" s="104">
        <f t="shared" si="109"/>
        <v>5.5</v>
      </c>
      <c r="AI614" s="195">
        <v>1.97</v>
      </c>
    </row>
    <row r="615" spans="1:48">
      <c r="A615">
        <v>3176</v>
      </c>
      <c r="C615" s="107">
        <f>VLOOKUP(3176,收盤價!$A:$C,3,0)</f>
        <v>67.2</v>
      </c>
      <c r="D615" s="107">
        <f t="shared" si="99"/>
        <v>0</v>
      </c>
      <c r="E615" s="167">
        <f t="shared" si="100"/>
        <v>1</v>
      </c>
      <c r="F615" s="104">
        <f t="shared" si="101"/>
        <v>23.2659449393804</v>
      </c>
      <c r="G615" s="167">
        <f>RANK(0.52,AE:AE,0)</f>
        <v>1493</v>
      </c>
      <c r="H615" s="365">
        <f t="shared" si="102"/>
        <v>1.0670511896178803</v>
      </c>
      <c r="I615" s="213">
        <f t="shared" si="103"/>
        <v>1445</v>
      </c>
      <c r="J615" s="213">
        <f t="shared" si="104"/>
        <v>768</v>
      </c>
      <c r="K615">
        <f>RANK(0.7,AI:AI,0)</f>
        <v>1442</v>
      </c>
      <c r="L615" s="357">
        <v>0</v>
      </c>
      <c r="M615" s="357">
        <v>0</v>
      </c>
      <c r="N615" s="357">
        <v>1</v>
      </c>
      <c r="O615" s="357">
        <v>0</v>
      </c>
      <c r="P615" s="357">
        <v>0</v>
      </c>
      <c r="Q615" s="358">
        <v>0.29807692307692307</v>
      </c>
      <c r="R615" s="359">
        <v>0</v>
      </c>
      <c r="S615" s="196">
        <v>400613000</v>
      </c>
      <c r="T615" s="196">
        <v>138700000</v>
      </c>
      <c r="U615" s="200">
        <f t="shared" si="105"/>
        <v>9320640000</v>
      </c>
      <c r="V615" s="196">
        <v>-179000000</v>
      </c>
      <c r="W615" s="196">
        <v>915000000</v>
      </c>
      <c r="X615" s="196">
        <v>2229000000</v>
      </c>
      <c r="Y615" s="196">
        <v>3646000000</v>
      </c>
      <c r="Z615" s="196">
        <v>164000000</v>
      </c>
      <c r="AA615" s="198">
        <v>-0.06</v>
      </c>
      <c r="AB615" s="198">
        <v>-0.05</v>
      </c>
      <c r="AC615" s="213">
        <f t="shared" si="106"/>
        <v>1484</v>
      </c>
      <c r="AD615" s="213">
        <f t="shared" si="107"/>
        <v>1500</v>
      </c>
      <c r="AE615" s="213">
        <v>0.52</v>
      </c>
      <c r="AF615" s="196">
        <v>-148000000</v>
      </c>
      <c r="AG615" s="104">
        <f t="shared" si="108"/>
        <v>-1.0670511896178803</v>
      </c>
      <c r="AH615" s="104">
        <f t="shared" si="109"/>
        <v>0</v>
      </c>
      <c r="AI615" s="195">
        <v>0.7</v>
      </c>
    </row>
    <row r="616" spans="1:48">
      <c r="A616">
        <v>3188</v>
      </c>
      <c r="C616" s="107">
        <f>VLOOKUP(3188,收盤價!$A:$C,3,0)</f>
        <v>16.7</v>
      </c>
      <c r="D616" s="107">
        <f t="shared" si="99"/>
        <v>0</v>
      </c>
      <c r="E616" s="167">
        <f t="shared" si="100"/>
        <v>2</v>
      </c>
      <c r="F616" s="104">
        <f t="shared" si="101"/>
        <v>10.541627078384797</v>
      </c>
      <c r="G616" s="167">
        <f>RANK(0.61,AE:AE,0)</f>
        <v>1295</v>
      </c>
      <c r="H616" s="365">
        <f t="shared" si="102"/>
        <v>-2.8222013170272814E-2</v>
      </c>
      <c r="I616" s="213">
        <f t="shared" si="103"/>
        <v>1050</v>
      </c>
      <c r="J616" s="213">
        <f t="shared" si="104"/>
        <v>768</v>
      </c>
      <c r="K616">
        <f>RANK(0.86,AI:AI,0)</f>
        <v>1045</v>
      </c>
      <c r="L616" s="357">
        <v>0</v>
      </c>
      <c r="M616" s="357">
        <v>0</v>
      </c>
      <c r="N616" s="357">
        <v>1</v>
      </c>
      <c r="O616" s="357">
        <v>1</v>
      </c>
      <c r="P616" s="357">
        <v>0</v>
      </c>
      <c r="Q616" s="358">
        <v>0.13953488372093023</v>
      </c>
      <c r="R616" s="359">
        <v>0</v>
      </c>
      <c r="S616" s="196">
        <v>168400000</v>
      </c>
      <c r="T616" s="196">
        <v>106300000</v>
      </c>
      <c r="U616" s="200">
        <f t="shared" si="105"/>
        <v>1775210000</v>
      </c>
      <c r="V616" s="196">
        <v>-8000000</v>
      </c>
      <c r="W616" s="196">
        <v>790000000</v>
      </c>
      <c r="X616" s="196">
        <v>5000000</v>
      </c>
      <c r="Y616" s="196">
        <v>825000000</v>
      </c>
      <c r="Z616" s="196">
        <v>0</v>
      </c>
      <c r="AA616" s="198">
        <v>-0.01</v>
      </c>
      <c r="AB616" s="198">
        <v>-0.01</v>
      </c>
      <c r="AC616" s="213">
        <f t="shared" si="106"/>
        <v>1277</v>
      </c>
      <c r="AD616" s="213">
        <f t="shared" si="107"/>
        <v>1294</v>
      </c>
      <c r="AE616" s="213">
        <v>0.61</v>
      </c>
      <c r="AF616" s="196">
        <v>3000000</v>
      </c>
      <c r="AG616" s="104">
        <f t="shared" si="108"/>
        <v>2.8222013170272814E-2</v>
      </c>
      <c r="AH616" s="104">
        <f t="shared" si="109"/>
        <v>0</v>
      </c>
      <c r="AI616" s="195">
        <v>0.86</v>
      </c>
    </row>
    <row r="617" spans="1:48">
      <c r="A617">
        <v>3189</v>
      </c>
      <c r="C617" s="107">
        <f>VLOOKUP(3189,收盤價!$A:$C,3,0)</f>
        <v>71</v>
      </c>
      <c r="D617" s="107">
        <f t="shared" si="99"/>
        <v>12.451439210950081</v>
      </c>
      <c r="E617" s="167">
        <f t="shared" si="100"/>
        <v>3</v>
      </c>
      <c r="F617" s="104">
        <f t="shared" si="101"/>
        <v>1.3428418716974937</v>
      </c>
      <c r="G617" s="167">
        <f>RANK(1.63,AE:AE,0)</f>
        <v>551</v>
      </c>
      <c r="H617" s="365">
        <f t="shared" si="102"/>
        <v>-1.6022154248210732</v>
      </c>
      <c r="I617" s="213">
        <f t="shared" si="103"/>
        <v>74</v>
      </c>
      <c r="J617" s="213">
        <f t="shared" si="104"/>
        <v>209</v>
      </c>
      <c r="K617">
        <f>RANK(5.51,AI:AI,0)</f>
        <v>57</v>
      </c>
      <c r="L617" s="357">
        <v>0</v>
      </c>
      <c r="M617" s="357">
        <v>1</v>
      </c>
      <c r="N617" s="357">
        <v>1</v>
      </c>
      <c r="O617" s="357">
        <v>1</v>
      </c>
      <c r="P617" s="357">
        <v>0</v>
      </c>
      <c r="Q617" s="358">
        <v>0.26731301939058172</v>
      </c>
      <c r="R617" s="359">
        <v>1.4255380200860832</v>
      </c>
      <c r="S617" s="196">
        <v>23581332000</v>
      </c>
      <c r="T617" s="196">
        <v>446000000</v>
      </c>
      <c r="U617" s="200">
        <f t="shared" si="105"/>
        <v>31666000000</v>
      </c>
      <c r="V617" s="196">
        <v>755000000</v>
      </c>
      <c r="W617" s="196">
        <v>10833000000</v>
      </c>
      <c r="X617" s="196">
        <v>16313000000</v>
      </c>
      <c r="Y617" s="196">
        <v>30135000000</v>
      </c>
      <c r="Z617" s="196">
        <v>3270000000</v>
      </c>
      <c r="AA617" s="198">
        <v>0.03</v>
      </c>
      <c r="AB617" s="198">
        <v>0.02</v>
      </c>
      <c r="AC617" s="213">
        <f t="shared" si="106"/>
        <v>469</v>
      </c>
      <c r="AD617" s="213">
        <f t="shared" si="107"/>
        <v>487</v>
      </c>
      <c r="AE617" s="213">
        <v>1.63</v>
      </c>
      <c r="AF617" s="196">
        <v>1746000000</v>
      </c>
      <c r="AG617" s="104">
        <f t="shared" si="108"/>
        <v>3.9147982062780269</v>
      </c>
      <c r="AH617" s="104">
        <f t="shared" si="109"/>
        <v>2.3125827814569537</v>
      </c>
      <c r="AI617" s="195">
        <v>5.51</v>
      </c>
    </row>
    <row r="618" spans="1:48">
      <c r="A618">
        <v>3191</v>
      </c>
      <c r="C618" s="107">
        <f>VLOOKUP(3191,收盤價!$A:$C,3,0)</f>
        <v>12.8</v>
      </c>
      <c r="D618" s="107">
        <f t="shared" si="99"/>
        <v>0</v>
      </c>
      <c r="E618" s="167">
        <f t="shared" si="100"/>
        <v>0</v>
      </c>
      <c r="F618" s="104">
        <f t="shared" si="101"/>
        <v>1.0404911184655372</v>
      </c>
      <c r="G618" s="167">
        <f>RANK(0.52,AE:AE,0)</f>
        <v>1493</v>
      </c>
      <c r="H618" s="365">
        <f t="shared" si="102"/>
        <v>0.31078610603290674</v>
      </c>
      <c r="I618" s="213">
        <f t="shared" si="103"/>
        <v>1272</v>
      </c>
      <c r="J618" s="213">
        <f t="shared" si="104"/>
        <v>768</v>
      </c>
      <c r="K618">
        <f>RANK(0.76,AI:AI,0)</f>
        <v>1269</v>
      </c>
      <c r="L618" s="357">
        <v>0</v>
      </c>
      <c r="M618" s="357">
        <v>0</v>
      </c>
      <c r="N618" s="357">
        <v>0</v>
      </c>
      <c r="O618" s="357">
        <v>0</v>
      </c>
      <c r="P618" s="357">
        <v>0</v>
      </c>
      <c r="Q618" s="358">
        <v>8.1081081081081086E-2</v>
      </c>
      <c r="R618" s="359">
        <v>0</v>
      </c>
      <c r="S618" s="196">
        <v>672913000</v>
      </c>
      <c r="T618" s="196">
        <v>54700000</v>
      </c>
      <c r="U618" s="200">
        <f t="shared" si="105"/>
        <v>700160000</v>
      </c>
      <c r="V618" s="196">
        <v>-25000000</v>
      </c>
      <c r="W618" s="196">
        <v>187000000</v>
      </c>
      <c r="X618" s="196">
        <v>199000000</v>
      </c>
      <c r="Y618" s="196">
        <v>447000000</v>
      </c>
      <c r="Z618" s="196">
        <v>88000000</v>
      </c>
      <c r="AA618" s="198">
        <v>-0.06</v>
      </c>
      <c r="AB618" s="198">
        <v>-0.05</v>
      </c>
      <c r="AC618" s="213">
        <f t="shared" si="106"/>
        <v>1484</v>
      </c>
      <c r="AD618" s="213">
        <f t="shared" si="107"/>
        <v>1500</v>
      </c>
      <c r="AE618" s="213">
        <v>0.52</v>
      </c>
      <c r="AF618" s="196">
        <v>-17000000</v>
      </c>
      <c r="AG618" s="104">
        <f t="shared" si="108"/>
        <v>-0.31078610603290674</v>
      </c>
      <c r="AH618" s="104">
        <f t="shared" si="109"/>
        <v>0</v>
      </c>
      <c r="AI618" s="195">
        <v>0.76</v>
      </c>
      <c r="AO618" s="213"/>
      <c r="AP618" s="213"/>
      <c r="AQ618" s="213"/>
      <c r="AR618" s="213"/>
      <c r="AS618" s="213"/>
      <c r="AT618" s="213"/>
      <c r="AU618" s="213"/>
      <c r="AV618" s="213"/>
    </row>
    <row r="619" spans="1:48">
      <c r="A619">
        <v>3202</v>
      </c>
      <c r="C619" s="107">
        <f>VLOOKUP(3202,收盤價!$A:$C,3,0)</f>
        <v>11.8</v>
      </c>
      <c r="D619" s="107">
        <f t="shared" si="99"/>
        <v>84.285714285714278</v>
      </c>
      <c r="E619" s="167">
        <f t="shared" si="100"/>
        <v>3</v>
      </c>
      <c r="F619" s="104">
        <f t="shared" si="101"/>
        <v>0.45857324106622921</v>
      </c>
      <c r="G619" s="167">
        <f>RANK(1.08,AE:AE,0)</f>
        <v>769</v>
      </c>
      <c r="H619" s="365">
        <f t="shared" si="102"/>
        <v>0.74457083764219234</v>
      </c>
      <c r="I619" s="213">
        <f t="shared" si="103"/>
        <v>1397</v>
      </c>
      <c r="J619" s="213">
        <f t="shared" si="104"/>
        <v>768</v>
      </c>
      <c r="K619">
        <f>RANK(0.72,AI:AI,0)</f>
        <v>1381</v>
      </c>
      <c r="L619" s="357">
        <v>1</v>
      </c>
      <c r="M619" s="357">
        <v>1</v>
      </c>
      <c r="N619" s="357">
        <v>1</v>
      </c>
      <c r="O619" s="357">
        <v>0</v>
      </c>
      <c r="P619" s="357">
        <v>0</v>
      </c>
      <c r="Q619" s="358">
        <v>0.10631741140215717</v>
      </c>
      <c r="R619" s="359">
        <v>3.5000000000000003E-2</v>
      </c>
      <c r="S619" s="196">
        <v>2488283000</v>
      </c>
      <c r="T619" s="196">
        <v>96700000</v>
      </c>
      <c r="U619" s="200">
        <f t="shared" si="105"/>
        <v>1141060000</v>
      </c>
      <c r="V619" s="196">
        <v>14000000</v>
      </c>
      <c r="W619" s="196">
        <v>558000000</v>
      </c>
      <c r="X619" s="196">
        <v>439000000</v>
      </c>
      <c r="Y619" s="196">
        <v>1090000000</v>
      </c>
      <c r="Z619" s="196">
        <v>566000000</v>
      </c>
      <c r="AA619" s="198">
        <v>0.01</v>
      </c>
      <c r="AB619" s="198">
        <v>0.01</v>
      </c>
      <c r="AC619" s="213">
        <f t="shared" si="106"/>
        <v>769</v>
      </c>
      <c r="AD619" s="213">
        <f t="shared" si="107"/>
        <v>680</v>
      </c>
      <c r="AE619" s="213">
        <v>1.08</v>
      </c>
      <c r="AF619" s="196">
        <v>-72000000</v>
      </c>
      <c r="AG619" s="104">
        <f t="shared" si="108"/>
        <v>-0.74457083764219234</v>
      </c>
      <c r="AH619" s="104">
        <f t="shared" si="109"/>
        <v>0</v>
      </c>
      <c r="AI619" s="195">
        <v>0.72</v>
      </c>
      <c r="AO619" s="213"/>
      <c r="AP619" s="213"/>
      <c r="AQ619" s="213"/>
      <c r="AR619" s="213"/>
      <c r="AS619" s="213"/>
      <c r="AT619" s="213"/>
      <c r="AU619" s="213"/>
      <c r="AV619" s="213"/>
    </row>
    <row r="620" spans="1:48">
      <c r="A620">
        <v>3205</v>
      </c>
      <c r="C620" s="107">
        <f>VLOOKUP(3205,收盤價!$A:$C,3,0)</f>
        <v>136.5</v>
      </c>
      <c r="D620" s="107">
        <f t="shared" si="99"/>
        <v>10.169932639314146</v>
      </c>
      <c r="E620" s="167">
        <f t="shared" si="100"/>
        <v>3</v>
      </c>
      <c r="F620" s="104">
        <f t="shared" si="101"/>
        <v>2.1280519569408374</v>
      </c>
      <c r="G620" s="167">
        <f>RANK(82,AE:AE,0)</f>
        <v>3</v>
      </c>
      <c r="H620" s="365">
        <f t="shared" si="102"/>
        <v>-8.3342422865222439</v>
      </c>
      <c r="I620" s="213">
        <f t="shared" si="103"/>
        <v>4</v>
      </c>
      <c r="J620" s="213">
        <f t="shared" si="104"/>
        <v>234</v>
      </c>
      <c r="K620">
        <f>RANK(6.55,AI:AI,0)</f>
        <v>39</v>
      </c>
      <c r="L620" s="357">
        <v>0</v>
      </c>
      <c r="M620" s="357">
        <v>1</v>
      </c>
      <c r="N620" s="357">
        <v>0</v>
      </c>
      <c r="O620" s="357">
        <v>1</v>
      </c>
      <c r="P620" s="357">
        <v>1</v>
      </c>
      <c r="Q620" s="358">
        <v>0.4370860927152318</v>
      </c>
      <c r="R620" s="359">
        <v>3.3554794520547944</v>
      </c>
      <c r="S620" s="196">
        <v>1840909000</v>
      </c>
      <c r="T620" s="196">
        <v>28700000</v>
      </c>
      <c r="U620" s="200">
        <f t="shared" si="105"/>
        <v>3917550000</v>
      </c>
      <c r="V620" s="196">
        <v>138000000</v>
      </c>
      <c r="W620" s="196">
        <v>746000000</v>
      </c>
      <c r="X620" s="196">
        <v>125000000</v>
      </c>
      <c r="Y620" s="196">
        <v>904000000</v>
      </c>
      <c r="Z620" s="196">
        <v>18000000</v>
      </c>
      <c r="AA620" s="198">
        <v>0.16</v>
      </c>
      <c r="AB620" s="198">
        <v>0.15</v>
      </c>
      <c r="AC620" s="213">
        <f t="shared" si="106"/>
        <v>16</v>
      </c>
      <c r="AD620" s="213">
        <f t="shared" si="107"/>
        <v>3</v>
      </c>
      <c r="AE620" s="213">
        <v>82</v>
      </c>
      <c r="AF620" s="196">
        <v>302000000</v>
      </c>
      <c r="AG620" s="104">
        <f t="shared" si="108"/>
        <v>10.522648083623693</v>
      </c>
      <c r="AH620" s="104">
        <f t="shared" si="109"/>
        <v>2.1884057971014492</v>
      </c>
      <c r="AI620" s="195">
        <v>6.55</v>
      </c>
      <c r="AO620" s="213"/>
      <c r="AP620" s="213"/>
      <c r="AQ620" s="213"/>
      <c r="AR620" s="213"/>
      <c r="AS620" s="213"/>
      <c r="AT620" s="213"/>
      <c r="AU620" s="213"/>
      <c r="AV620" s="213"/>
    </row>
    <row r="621" spans="1:48">
      <c r="A621">
        <v>3206</v>
      </c>
      <c r="C621" s="107">
        <f>VLOOKUP(3206,收盤價!$A:$C,3,0)</f>
        <v>21.8</v>
      </c>
      <c r="D621" s="107">
        <f t="shared" si="99"/>
        <v>12.111111111111111</v>
      </c>
      <c r="E621" s="167">
        <f t="shared" si="100"/>
        <v>1</v>
      </c>
      <c r="F621" s="104">
        <f t="shared" si="101"/>
        <v>0.56276251455042592</v>
      </c>
      <c r="G621" s="167">
        <f>RANK(0.84,AE:AE,0)</f>
        <v>946</v>
      </c>
      <c r="H621" s="365">
        <f t="shared" si="102"/>
        <v>-0.82568807339449546</v>
      </c>
      <c r="I621" s="213">
        <f t="shared" si="103"/>
        <v>594</v>
      </c>
      <c r="J621" s="213">
        <f t="shared" si="104"/>
        <v>768</v>
      </c>
      <c r="K621">
        <f>RANK(1.14,AI:AI,0)</f>
        <v>767</v>
      </c>
      <c r="L621" s="357">
        <v>0</v>
      </c>
      <c r="M621" s="357">
        <v>0</v>
      </c>
      <c r="N621" s="357">
        <v>0</v>
      </c>
      <c r="O621" s="357">
        <v>1</v>
      </c>
      <c r="P621" s="357">
        <v>0</v>
      </c>
      <c r="Q621" s="358">
        <v>0.21848739495798319</v>
      </c>
      <c r="R621" s="359">
        <v>0.45</v>
      </c>
      <c r="S621" s="196">
        <v>1688954000</v>
      </c>
      <c r="T621" s="196">
        <v>43600000</v>
      </c>
      <c r="U621" s="200">
        <f t="shared" si="105"/>
        <v>950480000</v>
      </c>
      <c r="V621" s="196">
        <v>0</v>
      </c>
      <c r="W621" s="196">
        <v>397000000</v>
      </c>
      <c r="X621" s="196">
        <v>248000000</v>
      </c>
      <c r="Y621" s="196">
        <v>734000000</v>
      </c>
      <c r="Z621" s="196">
        <v>1000000</v>
      </c>
      <c r="AA621" s="198">
        <v>0</v>
      </c>
      <c r="AB621" s="198">
        <v>0</v>
      </c>
      <c r="AC621" s="213">
        <f t="shared" si="106"/>
        <v>945</v>
      </c>
      <c r="AD621" s="213">
        <f t="shared" si="107"/>
        <v>911</v>
      </c>
      <c r="AE621" s="213">
        <v>0.84</v>
      </c>
      <c r="AF621" s="196">
        <v>36000000</v>
      </c>
      <c r="AG621" s="104">
        <f t="shared" si="108"/>
        <v>0.82568807339449546</v>
      </c>
      <c r="AH621" s="104">
        <f t="shared" si="109"/>
        <v>0</v>
      </c>
      <c r="AI621" s="195">
        <v>1.1399999999999999</v>
      </c>
      <c r="AO621" s="213"/>
      <c r="AP621" s="213"/>
      <c r="AQ621" s="213"/>
      <c r="AR621" s="213"/>
      <c r="AS621" s="213"/>
      <c r="AT621" s="213"/>
      <c r="AU621" s="213"/>
      <c r="AV621" s="213"/>
    </row>
    <row r="622" spans="1:48">
      <c r="A622">
        <v>3207</v>
      </c>
      <c r="C622" s="107">
        <f>VLOOKUP(3207,收盤價!$A:$C,3,0)</f>
        <v>11.6</v>
      </c>
      <c r="D622" s="107">
        <f t="shared" si="99"/>
        <v>0</v>
      </c>
      <c r="E622" s="167">
        <f t="shared" si="100"/>
        <v>4</v>
      </c>
      <c r="F622" s="104">
        <f t="shared" si="101"/>
        <v>0.40652296047683273</v>
      </c>
      <c r="G622" s="167">
        <f>RANK(1.08,AE:AE,0)</f>
        <v>769</v>
      </c>
      <c r="H622" s="365">
        <f t="shared" si="102"/>
        <v>0.7310704960835509</v>
      </c>
      <c r="I622" s="213">
        <f t="shared" si="103"/>
        <v>1394</v>
      </c>
      <c r="J622" s="213">
        <f t="shared" si="104"/>
        <v>768</v>
      </c>
      <c r="K622">
        <f>RANK(0.72,AI:AI,0)</f>
        <v>1381</v>
      </c>
      <c r="L622" s="357">
        <v>1</v>
      </c>
      <c r="M622" s="357">
        <v>1</v>
      </c>
      <c r="N622" s="357">
        <v>2</v>
      </c>
      <c r="O622" s="357">
        <v>0</v>
      </c>
      <c r="P622" s="357">
        <v>0</v>
      </c>
      <c r="Q622" s="358">
        <v>0.15306122448979592</v>
      </c>
      <c r="R622" s="359">
        <v>0</v>
      </c>
      <c r="S622" s="196">
        <v>1092878000</v>
      </c>
      <c r="T622" s="196">
        <v>38300000</v>
      </c>
      <c r="U622" s="200">
        <f t="shared" si="105"/>
        <v>444280000</v>
      </c>
      <c r="V622" s="196">
        <v>2000000</v>
      </c>
      <c r="W622" s="196">
        <v>139000000</v>
      </c>
      <c r="X622" s="196">
        <v>184000000</v>
      </c>
      <c r="Y622" s="196">
        <v>327000000</v>
      </c>
      <c r="Z622" s="196">
        <v>65000000</v>
      </c>
      <c r="AA622" s="198">
        <v>0.01</v>
      </c>
      <c r="AB622" s="198">
        <v>0.01</v>
      </c>
      <c r="AC622" s="213">
        <f t="shared" si="106"/>
        <v>769</v>
      </c>
      <c r="AD622" s="213">
        <f t="shared" si="107"/>
        <v>680</v>
      </c>
      <c r="AE622" s="213">
        <v>1.08</v>
      </c>
      <c r="AF622" s="196">
        <v>-28000000</v>
      </c>
      <c r="AG622" s="104">
        <f t="shared" si="108"/>
        <v>-0.7310704960835509</v>
      </c>
      <c r="AH622" s="104">
        <f t="shared" si="109"/>
        <v>0</v>
      </c>
      <c r="AI622" s="195">
        <v>0.72</v>
      </c>
      <c r="AO622" s="213"/>
      <c r="AP622" s="213"/>
      <c r="AQ622" s="213"/>
      <c r="AR622" s="213"/>
      <c r="AS622" s="213"/>
      <c r="AT622" s="213"/>
      <c r="AU622" s="213"/>
      <c r="AV622" s="213"/>
    </row>
    <row r="623" spans="1:48">
      <c r="A623">
        <v>3209</v>
      </c>
      <c r="C623" s="107">
        <f>VLOOKUP(3209,收盤價!$A:$C,3,0)</f>
        <v>25.75</v>
      </c>
      <c r="D623" s="107">
        <f t="shared" si="99"/>
        <v>0</v>
      </c>
      <c r="E623" s="167">
        <f t="shared" si="100"/>
        <v>2</v>
      </c>
      <c r="F623" s="104">
        <f t="shared" si="101"/>
        <v>0.11605705210746667</v>
      </c>
      <c r="G623" s="167">
        <f>RANK(2.12,AE:AE,0)</f>
        <v>430</v>
      </c>
      <c r="H623" s="365">
        <f t="shared" si="102"/>
        <v>0.36199345350606205</v>
      </c>
      <c r="I623" s="213">
        <f t="shared" si="103"/>
        <v>79</v>
      </c>
      <c r="J623" s="213">
        <f t="shared" si="104"/>
        <v>104</v>
      </c>
      <c r="K623">
        <f>RANK(8.51,AI:AI,0)</f>
        <v>20</v>
      </c>
      <c r="L623" s="357">
        <v>0</v>
      </c>
      <c r="M623" s="357">
        <v>1</v>
      </c>
      <c r="N623" s="357">
        <v>0</v>
      </c>
      <c r="O623" s="357">
        <v>1</v>
      </c>
      <c r="P623" s="357">
        <v>0</v>
      </c>
      <c r="Q623" s="358">
        <v>4.4881416991894324E-2</v>
      </c>
      <c r="R623" s="359">
        <v>0</v>
      </c>
      <c r="S623" s="196">
        <v>26491712000</v>
      </c>
      <c r="T623" s="196">
        <v>119400000</v>
      </c>
      <c r="U623" s="200">
        <f t="shared" si="105"/>
        <v>3074550000</v>
      </c>
      <c r="V623" s="196">
        <v>109000000</v>
      </c>
      <c r="W623" s="196">
        <v>1812000000</v>
      </c>
      <c r="X623" s="196">
        <v>319000000</v>
      </c>
      <c r="Y623" s="196">
        <v>2072000000</v>
      </c>
      <c r="Z623" s="196">
        <v>3602000000</v>
      </c>
      <c r="AA623" s="198">
        <v>0.05</v>
      </c>
      <c r="AB623" s="198">
        <v>0.02</v>
      </c>
      <c r="AC623" s="213">
        <f t="shared" si="106"/>
        <v>247</v>
      </c>
      <c r="AD623" s="213">
        <f t="shared" si="107"/>
        <v>487</v>
      </c>
      <c r="AE623" s="213">
        <v>2.12</v>
      </c>
      <c r="AF623" s="196">
        <v>453000000</v>
      </c>
      <c r="AG623" s="104">
        <f t="shared" si="108"/>
        <v>3.7939698492462313</v>
      </c>
      <c r="AH623" s="104">
        <f t="shared" si="109"/>
        <v>4.1559633027522933</v>
      </c>
      <c r="AI623" s="195">
        <v>8.51</v>
      </c>
      <c r="AO623" s="213"/>
      <c r="AP623" s="213"/>
      <c r="AQ623" s="213"/>
      <c r="AR623" s="213"/>
      <c r="AS623" s="213"/>
      <c r="AT623" s="213"/>
      <c r="AU623" s="213"/>
      <c r="AV623" s="213"/>
    </row>
    <row r="624" spans="1:48">
      <c r="A624">
        <v>3211</v>
      </c>
      <c r="C624" s="107">
        <f>VLOOKUP(3211,收盤價!$A:$C,3,0)</f>
        <v>42</v>
      </c>
      <c r="D624" s="107">
        <f t="shared" si="99"/>
        <v>0</v>
      </c>
      <c r="E624" s="167">
        <f t="shared" si="100"/>
        <v>2</v>
      </c>
      <c r="F624" s="104">
        <f t="shared" si="101"/>
        <v>0.31287901477221219</v>
      </c>
      <c r="G624" s="167">
        <f>RANK(0.84,AE:AE,0)</f>
        <v>946</v>
      </c>
      <c r="H624" s="365">
        <f t="shared" si="102"/>
        <v>10.878588516746412</v>
      </c>
      <c r="I624" s="213">
        <f t="shared" si="103"/>
        <v>582</v>
      </c>
      <c r="J624" s="213">
        <f t="shared" si="104"/>
        <v>28</v>
      </c>
      <c r="K624">
        <f>RANK(2.55,AI:AI,0)</f>
        <v>224</v>
      </c>
      <c r="L624" s="357">
        <v>0</v>
      </c>
      <c r="M624" s="357">
        <v>1</v>
      </c>
      <c r="N624" s="357">
        <v>0</v>
      </c>
      <c r="O624" s="357">
        <v>1</v>
      </c>
      <c r="P624" s="357">
        <v>0</v>
      </c>
      <c r="Q624" s="358">
        <v>3.8499264345267285E-2</v>
      </c>
      <c r="R624" s="359">
        <v>0</v>
      </c>
      <c r="S624" s="196">
        <v>20404053000</v>
      </c>
      <c r="T624" s="196">
        <v>152000000</v>
      </c>
      <c r="U624" s="200">
        <f t="shared" si="105"/>
        <v>6384000000</v>
      </c>
      <c r="V624" s="196">
        <v>11000000</v>
      </c>
      <c r="W624" s="196">
        <v>5326000000</v>
      </c>
      <c r="X624" s="196">
        <v>1343000000</v>
      </c>
      <c r="Y624" s="196">
        <v>6999000000</v>
      </c>
      <c r="Z624" s="196">
        <v>2111000000</v>
      </c>
      <c r="AA624" s="198">
        <v>0</v>
      </c>
      <c r="AB624" s="198">
        <v>0</v>
      </c>
      <c r="AC624" s="213">
        <f t="shared" si="106"/>
        <v>945</v>
      </c>
      <c r="AD624" s="213">
        <f t="shared" si="107"/>
        <v>911</v>
      </c>
      <c r="AE624" s="213">
        <v>0.84</v>
      </c>
      <c r="AF624" s="196">
        <v>129000000</v>
      </c>
      <c r="AG624" s="104">
        <f t="shared" si="108"/>
        <v>0.84868421052631582</v>
      </c>
      <c r="AH624" s="104">
        <f t="shared" si="109"/>
        <v>11.727272727272727</v>
      </c>
      <c r="AI624" s="195">
        <v>2.5499999999999998</v>
      </c>
      <c r="AO624" s="213"/>
      <c r="AP624" s="213"/>
      <c r="AQ624" s="213"/>
      <c r="AR624" s="213"/>
      <c r="AS624" s="213"/>
      <c r="AT624" s="213"/>
      <c r="AU624" s="213"/>
      <c r="AV624" s="213"/>
    </row>
    <row r="625" spans="1:48">
      <c r="A625">
        <v>3213</v>
      </c>
      <c r="C625" s="107">
        <f>VLOOKUP(3213,收盤價!$A:$C,3,0)</f>
        <v>35.299999999999997</v>
      </c>
      <c r="D625" s="107">
        <f t="shared" si="99"/>
        <v>17.271668219944083</v>
      </c>
      <c r="E625" s="167">
        <f t="shared" si="100"/>
        <v>3</v>
      </c>
      <c r="F625" s="104">
        <f t="shared" si="101"/>
        <v>1.0450112690816642</v>
      </c>
      <c r="G625" s="167">
        <f>RANK(1.94,AE:AE,0)</f>
        <v>435</v>
      </c>
      <c r="H625" s="365">
        <f t="shared" si="102"/>
        <v>1.0527162597009276</v>
      </c>
      <c r="I625" s="213">
        <f t="shared" si="103"/>
        <v>295</v>
      </c>
      <c r="J625" s="213">
        <f t="shared" si="104"/>
        <v>168</v>
      </c>
      <c r="K625">
        <f>RANK(3.37,AI:AI,0)</f>
        <v>137</v>
      </c>
      <c r="L625" s="357">
        <v>0</v>
      </c>
      <c r="M625" s="357">
        <v>1</v>
      </c>
      <c r="N625" s="357">
        <v>1</v>
      </c>
      <c r="O625" s="357">
        <v>1</v>
      </c>
      <c r="P625" s="357">
        <v>0</v>
      </c>
      <c r="Q625" s="358">
        <v>0.22380952380952382</v>
      </c>
      <c r="R625" s="359">
        <v>0.51095238095238094</v>
      </c>
      <c r="S625" s="196">
        <v>1982859000</v>
      </c>
      <c r="T625" s="196">
        <v>58700000</v>
      </c>
      <c r="U625" s="200">
        <f t="shared" si="105"/>
        <v>2072109999.9999998</v>
      </c>
      <c r="V625" s="196">
        <v>36000000</v>
      </c>
      <c r="W625" s="196">
        <v>933000000</v>
      </c>
      <c r="X625" s="196">
        <v>165000000</v>
      </c>
      <c r="Y625" s="196">
        <v>1164000000</v>
      </c>
      <c r="Z625" s="196">
        <v>0</v>
      </c>
      <c r="AA625" s="198">
        <v>0.03</v>
      </c>
      <c r="AB625" s="198">
        <v>0.03</v>
      </c>
      <c r="AC625" s="213">
        <f t="shared" si="106"/>
        <v>469</v>
      </c>
      <c r="AD625" s="213">
        <f t="shared" si="107"/>
        <v>334</v>
      </c>
      <c r="AE625" s="213">
        <v>1.94</v>
      </c>
      <c r="AF625" s="196">
        <v>98000000</v>
      </c>
      <c r="AG625" s="104">
        <f t="shared" si="108"/>
        <v>1.6695059625212947</v>
      </c>
      <c r="AH625" s="104">
        <f t="shared" si="109"/>
        <v>2.7222222222222223</v>
      </c>
      <c r="AI625" s="195">
        <v>3.37</v>
      </c>
    </row>
    <row r="626" spans="1:48">
      <c r="A626">
        <v>3217</v>
      </c>
      <c r="C626" s="107">
        <f>VLOOKUP(3217,收盤價!$A:$C,3,0)</f>
        <v>17.75</v>
      </c>
      <c r="D626" s="107">
        <f t="shared" si="99"/>
        <v>16.244419642857146</v>
      </c>
      <c r="E626" s="167">
        <f t="shared" si="100"/>
        <v>4</v>
      </c>
      <c r="F626" s="104">
        <f t="shared" si="101"/>
        <v>1.0769787320211011</v>
      </c>
      <c r="G626" s="167">
        <f>RANK(1.63,AE:AE,0)</f>
        <v>551</v>
      </c>
      <c r="H626" s="365">
        <f t="shared" si="102"/>
        <v>1.0329974532166981</v>
      </c>
      <c r="I626" s="213">
        <f t="shared" si="103"/>
        <v>653</v>
      </c>
      <c r="J626" s="213">
        <f t="shared" si="104"/>
        <v>320</v>
      </c>
      <c r="K626">
        <f>RANK(1.6,AI:AI,0)</f>
        <v>503</v>
      </c>
      <c r="L626" s="357">
        <v>0</v>
      </c>
      <c r="M626" s="357">
        <v>1</v>
      </c>
      <c r="N626" s="357">
        <v>2</v>
      </c>
      <c r="O626" s="357">
        <v>1</v>
      </c>
      <c r="P626" s="357">
        <v>0</v>
      </c>
      <c r="Q626" s="358">
        <v>0.32326283987915405</v>
      </c>
      <c r="R626" s="359">
        <v>0.27317073170731704</v>
      </c>
      <c r="S626" s="196">
        <v>1353114000</v>
      </c>
      <c r="T626" s="196">
        <v>82100000</v>
      </c>
      <c r="U626" s="200">
        <f t="shared" si="105"/>
        <v>1457275000</v>
      </c>
      <c r="V626" s="196">
        <v>33000000</v>
      </c>
      <c r="W626" s="196">
        <v>433000000</v>
      </c>
      <c r="X626" s="196">
        <v>570000000</v>
      </c>
      <c r="Y626" s="196">
        <v>1413000000</v>
      </c>
      <c r="Z626" s="196">
        <v>52000000</v>
      </c>
      <c r="AA626" s="198">
        <v>0.03</v>
      </c>
      <c r="AB626" s="198">
        <v>0.02</v>
      </c>
      <c r="AC626" s="213">
        <f t="shared" si="106"/>
        <v>469</v>
      </c>
      <c r="AD626" s="213">
        <f t="shared" si="107"/>
        <v>487</v>
      </c>
      <c r="AE626" s="213">
        <v>1.63</v>
      </c>
      <c r="AF626" s="196">
        <v>57000000</v>
      </c>
      <c r="AG626" s="104">
        <f t="shared" si="108"/>
        <v>0.69427527405602918</v>
      </c>
      <c r="AH626" s="104">
        <f t="shared" si="109"/>
        <v>1.7272727272727273</v>
      </c>
      <c r="AI626" s="195">
        <v>1.6</v>
      </c>
      <c r="AO626" s="213"/>
      <c r="AP626" s="213"/>
      <c r="AQ626" s="213"/>
      <c r="AR626" s="213"/>
      <c r="AS626" s="213"/>
      <c r="AT626" s="213"/>
      <c r="AU626" s="213"/>
      <c r="AV626" s="213"/>
    </row>
    <row r="627" spans="1:48">
      <c r="A627">
        <v>3218</v>
      </c>
      <c r="C627" s="107">
        <f>VLOOKUP(3218,收盤價!$A:$C,3,0)</f>
        <v>22.95</v>
      </c>
      <c r="D627" s="107">
        <f t="shared" si="99"/>
        <v>14.343749999999998</v>
      </c>
      <c r="E627" s="167">
        <f t="shared" si="100"/>
        <v>5</v>
      </c>
      <c r="F627" s="104">
        <f t="shared" si="101"/>
        <v>1.463573117633268</v>
      </c>
      <c r="G627" s="167">
        <f>RANK(0.84,AE:AE,0)</f>
        <v>946</v>
      </c>
      <c r="H627" s="365">
        <f t="shared" si="102"/>
        <v>-0.71104387291981841</v>
      </c>
      <c r="I627" s="213">
        <f t="shared" si="103"/>
        <v>644</v>
      </c>
      <c r="J627" s="213">
        <f t="shared" si="104"/>
        <v>768</v>
      </c>
      <c r="K627">
        <f>RANK(1.1,AI:AI,0)</f>
        <v>795</v>
      </c>
      <c r="L627" s="357">
        <v>1</v>
      </c>
      <c r="M627" s="357">
        <v>1</v>
      </c>
      <c r="N627" s="357">
        <v>2</v>
      </c>
      <c r="O627" s="357">
        <v>1</v>
      </c>
      <c r="P627" s="357">
        <v>0</v>
      </c>
      <c r="Q627" s="358">
        <v>0.5494505494505495</v>
      </c>
      <c r="R627" s="359">
        <v>0.4</v>
      </c>
      <c r="S627" s="196">
        <v>1036501000</v>
      </c>
      <c r="T627" s="196">
        <v>66100000</v>
      </c>
      <c r="U627" s="200">
        <f t="shared" si="105"/>
        <v>1516995000</v>
      </c>
      <c r="V627" s="196">
        <v>0</v>
      </c>
      <c r="W627" s="196">
        <v>364000000</v>
      </c>
      <c r="X627" s="196">
        <v>789000000</v>
      </c>
      <c r="Y627" s="196">
        <v>1106000000</v>
      </c>
      <c r="Z627" s="196">
        <v>323000000</v>
      </c>
      <c r="AA627" s="198">
        <v>0</v>
      </c>
      <c r="AB627" s="198">
        <v>0</v>
      </c>
      <c r="AC627" s="213">
        <f t="shared" si="106"/>
        <v>945</v>
      </c>
      <c r="AD627" s="213">
        <f t="shared" si="107"/>
        <v>911</v>
      </c>
      <c r="AE627" s="213">
        <v>0.84</v>
      </c>
      <c r="AF627" s="196">
        <v>47000000</v>
      </c>
      <c r="AG627" s="104">
        <f t="shared" si="108"/>
        <v>0.71104387291981841</v>
      </c>
      <c r="AH627" s="104">
        <f t="shared" si="109"/>
        <v>0</v>
      </c>
      <c r="AI627" s="195">
        <v>1.1000000000000001</v>
      </c>
    </row>
    <row r="628" spans="1:48">
      <c r="A628">
        <v>3219</v>
      </c>
      <c r="C628" s="107">
        <f>VLOOKUP(3219,收盤價!$A:$C,3,0)</f>
        <v>24.4</v>
      </c>
      <c r="D628" s="107">
        <f t="shared" si="99"/>
        <v>101.66666666666667</v>
      </c>
      <c r="E628" s="167">
        <f t="shared" si="100"/>
        <v>2</v>
      </c>
      <c r="F628" s="104">
        <f t="shared" si="101"/>
        <v>3.720412797508033</v>
      </c>
      <c r="G628" s="167">
        <f>RANK(1.08,AE:AE,0)</f>
        <v>769</v>
      </c>
      <c r="H628" s="365">
        <f t="shared" si="102"/>
        <v>1.9141630901287554</v>
      </c>
      <c r="I628" s="213">
        <f t="shared" si="103"/>
        <v>1005</v>
      </c>
      <c r="J628" s="213">
        <f t="shared" si="104"/>
        <v>261</v>
      </c>
      <c r="K628">
        <f>RANK(1.23,AI:AI,0)</f>
        <v>720</v>
      </c>
      <c r="L628" s="357">
        <v>0</v>
      </c>
      <c r="M628" s="357">
        <v>1</v>
      </c>
      <c r="N628" s="357">
        <v>0</v>
      </c>
      <c r="O628" s="357">
        <v>1</v>
      </c>
      <c r="P628" s="357">
        <v>0</v>
      </c>
      <c r="Q628" s="358">
        <v>0.32500000000000001</v>
      </c>
      <c r="R628" s="359">
        <v>0.06</v>
      </c>
      <c r="S628" s="196">
        <v>152811000</v>
      </c>
      <c r="T628" s="196">
        <v>23300000</v>
      </c>
      <c r="U628" s="200">
        <f t="shared" si="105"/>
        <v>568520000</v>
      </c>
      <c r="V628" s="196">
        <v>1000000</v>
      </c>
      <c r="W628" s="196">
        <v>163000000</v>
      </c>
      <c r="X628" s="196">
        <v>1000000</v>
      </c>
      <c r="Y628" s="196">
        <v>169000000</v>
      </c>
      <c r="Z628" s="196">
        <v>0</v>
      </c>
      <c r="AA628" s="198">
        <v>0.01</v>
      </c>
      <c r="AB628" s="198">
        <v>0.01</v>
      </c>
      <c r="AC628" s="213">
        <f t="shared" si="106"/>
        <v>769</v>
      </c>
      <c r="AD628" s="213">
        <f t="shared" si="107"/>
        <v>680</v>
      </c>
      <c r="AE628" s="213">
        <v>1.08</v>
      </c>
      <c r="AF628" s="196">
        <v>2000000</v>
      </c>
      <c r="AG628" s="104">
        <f t="shared" si="108"/>
        <v>8.5836909871244635E-2</v>
      </c>
      <c r="AH628" s="104">
        <f t="shared" si="109"/>
        <v>2</v>
      </c>
      <c r="AI628" s="195">
        <v>1.23</v>
      </c>
      <c r="AO628" s="213"/>
      <c r="AP628" s="213"/>
      <c r="AQ628" s="213"/>
      <c r="AR628" s="213"/>
      <c r="AS628" s="213"/>
      <c r="AT628" s="213"/>
      <c r="AU628" s="213"/>
      <c r="AV628" s="213"/>
    </row>
    <row r="629" spans="1:48">
      <c r="A629">
        <v>3221</v>
      </c>
      <c r="C629" s="107">
        <f>VLOOKUP(3221,收盤價!$A:$C,3,0)</f>
        <v>27.1</v>
      </c>
      <c r="D629" s="107">
        <f t="shared" si="99"/>
        <v>20.379344919786099</v>
      </c>
      <c r="E629" s="167">
        <f t="shared" si="100"/>
        <v>4</v>
      </c>
      <c r="F629" s="104">
        <f t="shared" si="101"/>
        <v>1.2508945183912981</v>
      </c>
      <c r="G629" s="167">
        <f>RANK(1.63,AE:AE,0)</f>
        <v>551</v>
      </c>
      <c r="H629" s="365">
        <f t="shared" si="102"/>
        <v>1.3189931350114419</v>
      </c>
      <c r="I629" s="213">
        <f t="shared" si="103"/>
        <v>572</v>
      </c>
      <c r="J629" s="213">
        <f t="shared" si="104"/>
        <v>229</v>
      </c>
      <c r="K629">
        <f>RANK(1.95,AI:AI,0)</f>
        <v>358</v>
      </c>
      <c r="L629" s="357">
        <v>0</v>
      </c>
      <c r="M629" s="357">
        <v>1</v>
      </c>
      <c r="N629" s="357">
        <v>2</v>
      </c>
      <c r="O629" s="357">
        <v>1</v>
      </c>
      <c r="P629" s="357">
        <v>0</v>
      </c>
      <c r="Q629" s="358">
        <v>0.21413721413721415</v>
      </c>
      <c r="R629" s="359">
        <v>0.33244444444444443</v>
      </c>
      <c r="S629" s="196">
        <v>1893477000</v>
      </c>
      <c r="T629" s="196">
        <v>87400000</v>
      </c>
      <c r="U629" s="200">
        <f t="shared" si="105"/>
        <v>2368540000</v>
      </c>
      <c r="V629" s="196">
        <v>35000000</v>
      </c>
      <c r="W629" s="196">
        <v>559000000</v>
      </c>
      <c r="X629" s="196">
        <v>722000000</v>
      </c>
      <c r="Y629" s="196">
        <v>1556000000</v>
      </c>
      <c r="Z629" s="196">
        <v>217000000</v>
      </c>
      <c r="AA629" s="198">
        <v>0.03</v>
      </c>
      <c r="AB629" s="198">
        <v>0.02</v>
      </c>
      <c r="AC629" s="213">
        <f t="shared" si="106"/>
        <v>469</v>
      </c>
      <c r="AD629" s="213">
        <f t="shared" si="107"/>
        <v>487</v>
      </c>
      <c r="AE629" s="213">
        <v>1.63</v>
      </c>
      <c r="AF629" s="196">
        <v>77000000</v>
      </c>
      <c r="AG629" s="104">
        <f t="shared" si="108"/>
        <v>0.8810068649885584</v>
      </c>
      <c r="AH629" s="104">
        <f t="shared" si="109"/>
        <v>2.2000000000000002</v>
      </c>
      <c r="AI629" s="195">
        <v>1.95</v>
      </c>
    </row>
    <row r="630" spans="1:48">
      <c r="A630">
        <v>3224</v>
      </c>
      <c r="C630" s="107">
        <f>VLOOKUP(3224,收盤價!$A:$C,3,0)</f>
        <v>29.15</v>
      </c>
      <c r="D630" s="107">
        <f t="shared" si="99"/>
        <v>0</v>
      </c>
      <c r="E630" s="167">
        <f t="shared" si="100"/>
        <v>2</v>
      </c>
      <c r="F630" s="104">
        <f t="shared" si="101"/>
        <v>0.56966110050121388</v>
      </c>
      <c r="G630" s="167">
        <f>RANK(0.54,AE:AE,0)</f>
        <v>1453</v>
      </c>
      <c r="H630" s="365">
        <f t="shared" si="102"/>
        <v>0.1</v>
      </c>
      <c r="I630" s="213">
        <f t="shared" si="103"/>
        <v>1138</v>
      </c>
      <c r="J630" s="213">
        <f t="shared" si="104"/>
        <v>768</v>
      </c>
      <c r="K630">
        <f>RANK(0.82,AI:AI,0)</f>
        <v>1121</v>
      </c>
      <c r="L630" s="357">
        <v>0</v>
      </c>
      <c r="M630" s="357">
        <v>0</v>
      </c>
      <c r="N630" s="357">
        <v>2</v>
      </c>
      <c r="O630" s="357">
        <v>0</v>
      </c>
      <c r="P630" s="357">
        <v>0</v>
      </c>
      <c r="Q630" s="358">
        <v>5.894308943089431E-2</v>
      </c>
      <c r="R630" s="359">
        <v>0</v>
      </c>
      <c r="S630" s="196">
        <v>2046831000</v>
      </c>
      <c r="T630" s="196">
        <v>40000000</v>
      </c>
      <c r="U630" s="200">
        <f t="shared" si="105"/>
        <v>1166000000</v>
      </c>
      <c r="V630" s="196">
        <v>-18000000</v>
      </c>
      <c r="W630" s="196">
        <v>375000000</v>
      </c>
      <c r="X630" s="196">
        <v>60000000</v>
      </c>
      <c r="Y630" s="196">
        <v>489000000</v>
      </c>
      <c r="Z630" s="196">
        <v>147000000</v>
      </c>
      <c r="AA630" s="198">
        <v>-0.04</v>
      </c>
      <c r="AB630" s="198">
        <v>-0.03</v>
      </c>
      <c r="AC630" s="213">
        <f t="shared" si="106"/>
        <v>1444</v>
      </c>
      <c r="AD630" s="213">
        <f t="shared" si="107"/>
        <v>1444</v>
      </c>
      <c r="AE630" s="213">
        <v>0.54</v>
      </c>
      <c r="AF630" s="196">
        <v>-4000000</v>
      </c>
      <c r="AG630" s="104">
        <f t="shared" si="108"/>
        <v>-0.1</v>
      </c>
      <c r="AH630" s="104">
        <f t="shared" si="109"/>
        <v>0</v>
      </c>
      <c r="AI630" s="195">
        <v>0.82</v>
      </c>
      <c r="AO630" s="213"/>
      <c r="AP630" s="213"/>
      <c r="AQ630" s="213"/>
      <c r="AR630" s="213"/>
      <c r="AS630" s="213"/>
      <c r="AT630" s="213"/>
      <c r="AU630" s="213"/>
      <c r="AV630" s="213"/>
    </row>
    <row r="631" spans="1:48">
      <c r="A631">
        <v>3226</v>
      </c>
      <c r="C631" s="107">
        <f>VLOOKUP(3226,收盤價!$A:$C,3,0)</f>
        <v>66.3</v>
      </c>
      <c r="D631" s="107">
        <f t="shared" si="99"/>
        <v>32.663522012578611</v>
      </c>
      <c r="E631" s="167">
        <f t="shared" si="100"/>
        <v>2</v>
      </c>
      <c r="F631" s="104">
        <f t="shared" si="101"/>
        <v>3.5631805015317672</v>
      </c>
      <c r="G631" s="167">
        <f>RANK(4.81,AE:AE,0)</f>
        <v>170</v>
      </c>
      <c r="H631" s="365">
        <f t="shared" si="102"/>
        <v>0.71628709454796402</v>
      </c>
      <c r="I631" s="213">
        <f t="shared" si="103"/>
        <v>296</v>
      </c>
      <c r="J631" s="213">
        <f t="shared" si="104"/>
        <v>199</v>
      </c>
      <c r="K631">
        <f>RANK(3.15,AI:AI,0)</f>
        <v>156</v>
      </c>
      <c r="L631" s="357">
        <v>0</v>
      </c>
      <c r="M631" s="357">
        <v>0</v>
      </c>
      <c r="N631" s="357">
        <v>0</v>
      </c>
      <c r="O631" s="357">
        <v>1</v>
      </c>
      <c r="P631" s="357">
        <v>1</v>
      </c>
      <c r="Q631" s="358">
        <v>0.25524475524475526</v>
      </c>
      <c r="R631" s="359">
        <v>0.50744680851063839</v>
      </c>
      <c r="S631" s="196">
        <v>1198289000</v>
      </c>
      <c r="T631" s="196">
        <v>64400000</v>
      </c>
      <c r="U631" s="200">
        <f t="shared" si="105"/>
        <v>4269720000</v>
      </c>
      <c r="V631" s="196">
        <v>45000000</v>
      </c>
      <c r="W631" s="196">
        <v>644000000</v>
      </c>
      <c r="X631" s="196">
        <v>137000000</v>
      </c>
      <c r="Y631" s="196">
        <v>834000000</v>
      </c>
      <c r="Z631" s="196">
        <v>0</v>
      </c>
      <c r="AA631" s="198">
        <v>0.06</v>
      </c>
      <c r="AB631" s="198">
        <v>0.05</v>
      </c>
      <c r="AC631" s="213">
        <f t="shared" si="106"/>
        <v>174</v>
      </c>
      <c r="AD631" s="213">
        <f t="shared" si="107"/>
        <v>150</v>
      </c>
      <c r="AE631" s="213">
        <v>4.8099999999999996</v>
      </c>
      <c r="AF631" s="196">
        <v>107000000</v>
      </c>
      <c r="AG631" s="104">
        <f t="shared" si="108"/>
        <v>1.6614906832298137</v>
      </c>
      <c r="AH631" s="104">
        <f t="shared" si="109"/>
        <v>2.3777777777777778</v>
      </c>
      <c r="AI631" s="195">
        <v>3.15</v>
      </c>
      <c r="AO631" s="213"/>
      <c r="AP631" s="213"/>
      <c r="AQ631" s="213"/>
      <c r="AR631" s="213"/>
      <c r="AS631" s="213"/>
      <c r="AT631" s="213"/>
      <c r="AU631" s="213"/>
      <c r="AV631" s="213"/>
    </row>
    <row r="632" spans="1:48">
      <c r="A632">
        <v>3227</v>
      </c>
      <c r="C632" s="107">
        <f>VLOOKUP(3227,收盤價!$A:$C,3,0)</f>
        <v>69.599999999999994</v>
      </c>
      <c r="D632" s="107">
        <f t="shared" si="99"/>
        <v>173.01136363636363</v>
      </c>
      <c r="E632" s="167">
        <f t="shared" si="100"/>
        <v>3</v>
      </c>
      <c r="F632" s="104">
        <f t="shared" si="101"/>
        <v>2.1944222235540281</v>
      </c>
      <c r="G632" s="167">
        <f>RANK(0.84,AE:AE,0)</f>
        <v>946</v>
      </c>
      <c r="H632" s="365">
        <f t="shared" si="102"/>
        <v>1.8984841119017102</v>
      </c>
      <c r="I632" s="213">
        <f t="shared" si="103"/>
        <v>875</v>
      </c>
      <c r="J632" s="213">
        <f t="shared" si="104"/>
        <v>236</v>
      </c>
      <c r="K632">
        <f>RANK(1.4,AI:AI,0)</f>
        <v>622</v>
      </c>
      <c r="L632" s="357">
        <v>0</v>
      </c>
      <c r="M632" s="357">
        <v>1</v>
      </c>
      <c r="N632" s="357">
        <v>1</v>
      </c>
      <c r="O632" s="357">
        <v>1</v>
      </c>
      <c r="P632" s="357">
        <v>0</v>
      </c>
      <c r="Q632" s="358">
        <v>0.4990494296577947</v>
      </c>
      <c r="R632" s="359">
        <v>0.10057142857142858</v>
      </c>
      <c r="S632" s="196">
        <v>4221503000</v>
      </c>
      <c r="T632" s="196">
        <v>133100000</v>
      </c>
      <c r="U632" s="200">
        <f t="shared" si="105"/>
        <v>9263760000</v>
      </c>
      <c r="V632" s="196">
        <v>17000000</v>
      </c>
      <c r="W632" s="196">
        <v>3840000000</v>
      </c>
      <c r="X632" s="196">
        <v>258000000</v>
      </c>
      <c r="Y632" s="196">
        <v>5175000000</v>
      </c>
      <c r="Z632" s="196">
        <v>204000000</v>
      </c>
      <c r="AA632" s="198">
        <v>0</v>
      </c>
      <c r="AB632" s="198">
        <v>0</v>
      </c>
      <c r="AC632" s="213">
        <f t="shared" si="106"/>
        <v>945</v>
      </c>
      <c r="AD632" s="213">
        <f t="shared" si="107"/>
        <v>911</v>
      </c>
      <c r="AE632" s="213">
        <v>0.84</v>
      </c>
      <c r="AF632" s="196">
        <v>37000000</v>
      </c>
      <c r="AG632" s="104">
        <f t="shared" si="108"/>
        <v>0.27798647633358375</v>
      </c>
      <c r="AH632" s="104">
        <f t="shared" si="109"/>
        <v>2.1764705882352939</v>
      </c>
      <c r="AI632" s="195">
        <v>1.4</v>
      </c>
    </row>
    <row r="633" spans="1:48">
      <c r="A633">
        <v>3228</v>
      </c>
      <c r="C633" s="107">
        <f>VLOOKUP(3228,收盤價!$A:$C,3,0)</f>
        <v>17</v>
      </c>
      <c r="D633" s="107">
        <f t="shared" si="99"/>
        <v>0</v>
      </c>
      <c r="E633" s="167">
        <f t="shared" si="100"/>
        <v>1</v>
      </c>
      <c r="F633" s="104">
        <f t="shared" si="101"/>
        <v>4.3068705800720499</v>
      </c>
      <c r="G633" s="167">
        <f>RANK(0.56,AE:AE,0)</f>
        <v>1414</v>
      </c>
      <c r="H633" s="365">
        <f t="shared" si="102"/>
        <v>-0.11146496815286625</v>
      </c>
      <c r="I633" s="213">
        <f t="shared" si="103"/>
        <v>985</v>
      </c>
      <c r="J633" s="213">
        <f t="shared" si="104"/>
        <v>768</v>
      </c>
      <c r="K633">
        <f>RANK(0.89,AI:AI,0)</f>
        <v>1004</v>
      </c>
      <c r="L633" s="357">
        <v>0</v>
      </c>
      <c r="M633" s="357">
        <v>0</v>
      </c>
      <c r="N633" s="357">
        <v>0</v>
      </c>
      <c r="O633" s="357">
        <v>1</v>
      </c>
      <c r="P633" s="357">
        <v>0</v>
      </c>
      <c r="Q633" s="358">
        <v>0.67741935483870963</v>
      </c>
      <c r="R633" s="359">
        <v>0</v>
      </c>
      <c r="S633" s="196">
        <v>247883000</v>
      </c>
      <c r="T633" s="196">
        <v>62800000</v>
      </c>
      <c r="U633" s="200">
        <f t="shared" si="105"/>
        <v>1067600000</v>
      </c>
      <c r="V633" s="196">
        <v>-9000000</v>
      </c>
      <c r="W633" s="196">
        <v>172000000</v>
      </c>
      <c r="X633" s="196">
        <v>145000000</v>
      </c>
      <c r="Y633" s="196">
        <v>384000000</v>
      </c>
      <c r="Z633" s="196">
        <v>59000000</v>
      </c>
      <c r="AA633" s="198">
        <v>-0.03</v>
      </c>
      <c r="AB633" s="198">
        <v>-0.02</v>
      </c>
      <c r="AC633" s="213">
        <f t="shared" si="106"/>
        <v>1405</v>
      </c>
      <c r="AD633" s="213">
        <f t="shared" si="107"/>
        <v>1388</v>
      </c>
      <c r="AE633" s="213">
        <v>0.56000000000000005</v>
      </c>
      <c r="AF633" s="196">
        <v>7000000</v>
      </c>
      <c r="AG633" s="104">
        <f t="shared" si="108"/>
        <v>0.11146496815286625</v>
      </c>
      <c r="AH633" s="104">
        <f t="shared" si="109"/>
        <v>0</v>
      </c>
      <c r="AI633" s="195">
        <v>0.89</v>
      </c>
      <c r="AO633" s="213"/>
      <c r="AP633" s="213"/>
      <c r="AQ633" s="213"/>
      <c r="AR633" s="213"/>
      <c r="AS633" s="213"/>
      <c r="AT633" s="213"/>
      <c r="AU633" s="213"/>
      <c r="AV633" s="213"/>
    </row>
    <row r="634" spans="1:48">
      <c r="A634">
        <v>3229</v>
      </c>
      <c r="C634" s="107">
        <f>VLOOKUP(3229,收盤價!$A:$C,3,0)</f>
        <v>12.35</v>
      </c>
      <c r="D634" s="107">
        <f t="shared" si="99"/>
        <v>0</v>
      </c>
      <c r="E634" s="167">
        <f t="shared" si="100"/>
        <v>0</v>
      </c>
      <c r="F634" s="104">
        <f t="shared" si="101"/>
        <v>1.875951398850767</v>
      </c>
      <c r="G634" s="167">
        <f>RANK(0.59,AE:AE,0)</f>
        <v>1348</v>
      </c>
      <c r="H634" s="365">
        <f t="shared" si="102"/>
        <v>0.24598930481283424</v>
      </c>
      <c r="I634" s="213">
        <f t="shared" si="103"/>
        <v>1241</v>
      </c>
      <c r="J634" s="213">
        <f t="shared" si="104"/>
        <v>768</v>
      </c>
      <c r="K634">
        <f>RANK(0.78,AI:AI,0)</f>
        <v>1217</v>
      </c>
      <c r="L634" s="357">
        <v>0</v>
      </c>
      <c r="M634" s="357">
        <v>0</v>
      </c>
      <c r="N634" s="357">
        <v>0</v>
      </c>
      <c r="O634" s="357">
        <v>0</v>
      </c>
      <c r="P634" s="357">
        <v>0</v>
      </c>
      <c r="Q634" s="358">
        <v>0.11564625850340136</v>
      </c>
      <c r="R634" s="359">
        <v>0</v>
      </c>
      <c r="S634" s="196">
        <v>615541000</v>
      </c>
      <c r="T634" s="196">
        <v>93500000</v>
      </c>
      <c r="U634" s="200">
        <f t="shared" si="105"/>
        <v>1154725000</v>
      </c>
      <c r="V634" s="196">
        <v>-15000000</v>
      </c>
      <c r="W634" s="196">
        <v>532000000</v>
      </c>
      <c r="X634" s="196">
        <v>416000000</v>
      </c>
      <c r="Y634" s="196">
        <v>1068000000</v>
      </c>
      <c r="Z634" s="196">
        <v>156000000</v>
      </c>
      <c r="AA634" s="198">
        <v>-0.02</v>
      </c>
      <c r="AB634" s="198">
        <v>-0.01</v>
      </c>
      <c r="AC634" s="213">
        <f t="shared" si="106"/>
        <v>1353</v>
      </c>
      <c r="AD634" s="213">
        <f t="shared" si="107"/>
        <v>1294</v>
      </c>
      <c r="AE634" s="213">
        <v>0.59</v>
      </c>
      <c r="AF634" s="196">
        <v>-23000000</v>
      </c>
      <c r="AG634" s="104">
        <f t="shared" si="108"/>
        <v>-0.24598930481283424</v>
      </c>
      <c r="AH634" s="104">
        <f t="shared" si="109"/>
        <v>0</v>
      </c>
      <c r="AI634" s="195">
        <v>0.78</v>
      </c>
      <c r="AO634" s="213"/>
      <c r="AP634" s="213"/>
      <c r="AQ634" s="213"/>
      <c r="AR634" s="213"/>
      <c r="AS634" s="213"/>
      <c r="AT634" s="213"/>
      <c r="AU634" s="213"/>
      <c r="AV634" s="213"/>
    </row>
    <row r="635" spans="1:48">
      <c r="A635">
        <v>3230</v>
      </c>
      <c r="C635" s="107">
        <f>VLOOKUP(3230,收盤價!$A:$C,3,0)</f>
        <v>6.05</v>
      </c>
      <c r="D635" s="107">
        <f t="shared" si="99"/>
        <v>0</v>
      </c>
      <c r="E635" s="167">
        <f t="shared" si="100"/>
        <v>2</v>
      </c>
      <c r="F635" s="104">
        <f t="shared" si="101"/>
        <v>0.54697219242179274</v>
      </c>
      <c r="G635" s="167">
        <f>RANK(0.54,AE:AE,0)</f>
        <v>1453</v>
      </c>
      <c r="H635" s="365">
        <f t="shared" si="102"/>
        <v>-1.5598885793871866</v>
      </c>
      <c r="I635" s="213">
        <f t="shared" si="103"/>
        <v>329</v>
      </c>
      <c r="J635" s="213">
        <f t="shared" si="104"/>
        <v>768</v>
      </c>
      <c r="K635">
        <f>RANK(1.42,AI:AI,0)</f>
        <v>606</v>
      </c>
      <c r="L635" s="357">
        <v>0</v>
      </c>
      <c r="M635" s="357">
        <v>0</v>
      </c>
      <c r="N635" s="357">
        <v>1</v>
      </c>
      <c r="O635" s="357">
        <v>1</v>
      </c>
      <c r="P635" s="357">
        <v>0</v>
      </c>
      <c r="Q635" s="358">
        <v>4.2857142857142858E-2</v>
      </c>
      <c r="R635" s="359">
        <v>0</v>
      </c>
      <c r="S635" s="196">
        <v>1191258000</v>
      </c>
      <c r="T635" s="196">
        <v>107700000</v>
      </c>
      <c r="U635" s="200">
        <f t="shared" si="105"/>
        <v>651585000</v>
      </c>
      <c r="V635" s="196">
        <v>-39000000</v>
      </c>
      <c r="W635" s="196">
        <v>281000000</v>
      </c>
      <c r="X635" s="196">
        <v>825000000</v>
      </c>
      <c r="Y635" s="196">
        <v>1309000000</v>
      </c>
      <c r="Z635" s="196">
        <v>228000000</v>
      </c>
      <c r="AA635" s="198">
        <v>-0.04</v>
      </c>
      <c r="AB635" s="198">
        <v>-0.03</v>
      </c>
      <c r="AC635" s="213">
        <f t="shared" si="106"/>
        <v>1444</v>
      </c>
      <c r="AD635" s="213">
        <f t="shared" si="107"/>
        <v>1444</v>
      </c>
      <c r="AE635" s="213">
        <v>0.54</v>
      </c>
      <c r="AF635" s="196">
        <v>168000000</v>
      </c>
      <c r="AG635" s="104">
        <f t="shared" si="108"/>
        <v>1.5598885793871866</v>
      </c>
      <c r="AH635" s="104">
        <f t="shared" si="109"/>
        <v>0</v>
      </c>
      <c r="AI635" s="195">
        <v>1.42</v>
      </c>
    </row>
    <row r="636" spans="1:48">
      <c r="A636">
        <v>3231</v>
      </c>
      <c r="C636" s="107">
        <f>VLOOKUP(3231,收盤價!$A:$C,3,0)</f>
        <v>23.5</v>
      </c>
      <c r="D636" s="107">
        <f t="shared" si="99"/>
        <v>22.681098204857445</v>
      </c>
      <c r="E636" s="167">
        <f t="shared" si="100"/>
        <v>3</v>
      </c>
      <c r="F636" s="104">
        <f t="shared" si="101"/>
        <v>9.8327306778993331E-2</v>
      </c>
      <c r="G636" s="167">
        <f>RANK(1.2,AE:AE,0)</f>
        <v>710</v>
      </c>
      <c r="H636" s="365">
        <f t="shared" si="102"/>
        <v>1.1524271546934002</v>
      </c>
      <c r="I636" s="213">
        <f t="shared" si="103"/>
        <v>400</v>
      </c>
      <c r="J636" s="213">
        <f t="shared" si="104"/>
        <v>194</v>
      </c>
      <c r="K636">
        <f>RANK(2.62,AI:AI,0)</f>
        <v>211</v>
      </c>
      <c r="L636" s="357">
        <v>0</v>
      </c>
      <c r="M636" s="357">
        <v>1</v>
      </c>
      <c r="N636" s="357">
        <v>2</v>
      </c>
      <c r="O636" s="357">
        <v>0</v>
      </c>
      <c r="P636" s="357">
        <v>0</v>
      </c>
      <c r="Q636" s="358">
        <v>4.9779372148376494E-2</v>
      </c>
      <c r="R636" s="359">
        <v>0.25902625820568925</v>
      </c>
      <c r="S636" s="196">
        <v>610758618000</v>
      </c>
      <c r="T636" s="196">
        <v>2555500000</v>
      </c>
      <c r="U636" s="200">
        <f t="shared" si="105"/>
        <v>60054250000</v>
      </c>
      <c r="V636" s="196">
        <v>1359000000</v>
      </c>
      <c r="W636" s="196">
        <v>23973000000</v>
      </c>
      <c r="X636" s="196">
        <v>36314000000</v>
      </c>
      <c r="Y636" s="196">
        <v>65535000000</v>
      </c>
      <c r="Z636" s="196">
        <v>66103000000</v>
      </c>
      <c r="AA636" s="198">
        <v>0.02</v>
      </c>
      <c r="AB636" s="198">
        <v>0.01</v>
      </c>
      <c r="AC636" s="213">
        <f t="shared" si="106"/>
        <v>616</v>
      </c>
      <c r="AD636" s="213">
        <f t="shared" si="107"/>
        <v>680</v>
      </c>
      <c r="AE636" s="213">
        <v>1.2</v>
      </c>
      <c r="AF636" s="196">
        <v>3345000000</v>
      </c>
      <c r="AG636" s="104">
        <f t="shared" si="108"/>
        <v>1.3089414987282333</v>
      </c>
      <c r="AH636" s="104">
        <f t="shared" si="109"/>
        <v>2.4613686534216335</v>
      </c>
      <c r="AI636" s="195">
        <v>2.62</v>
      </c>
      <c r="AO636" s="213"/>
      <c r="AP636" s="213"/>
      <c r="AQ636" s="213"/>
      <c r="AR636" s="213"/>
      <c r="AS636" s="213"/>
      <c r="AT636" s="213"/>
      <c r="AU636" s="213"/>
      <c r="AV636" s="213"/>
    </row>
    <row r="637" spans="1:48">
      <c r="A637">
        <v>3232</v>
      </c>
      <c r="C637" s="107">
        <f>VLOOKUP(3232,收盤價!$A:$C,3,0)</f>
        <v>20</v>
      </c>
      <c r="D637" s="107">
        <f t="shared" si="99"/>
        <v>0</v>
      </c>
      <c r="E637" s="167">
        <f t="shared" si="100"/>
        <v>0</v>
      </c>
      <c r="F637" s="104">
        <f t="shared" si="101"/>
        <v>1.1680882719871362</v>
      </c>
      <c r="G637" s="167">
        <f>RANK(0.52,AE:AE,0)</f>
        <v>1493</v>
      </c>
      <c r="H637" s="365">
        <f t="shared" si="102"/>
        <v>0.44303797468354428</v>
      </c>
      <c r="I637" s="213">
        <f t="shared" si="103"/>
        <v>1334</v>
      </c>
      <c r="J637" s="213">
        <f t="shared" si="104"/>
        <v>768</v>
      </c>
      <c r="K637">
        <f>RANK(0.74,AI:AI,0)</f>
        <v>1324</v>
      </c>
      <c r="L637" s="357">
        <v>0</v>
      </c>
      <c r="M637" s="357">
        <v>0</v>
      </c>
      <c r="N637" s="357">
        <v>0</v>
      </c>
      <c r="O637" s="357">
        <v>0</v>
      </c>
      <c r="P637" s="357">
        <v>0</v>
      </c>
      <c r="Q637" s="358">
        <v>3.125E-2</v>
      </c>
      <c r="R637" s="359">
        <v>0</v>
      </c>
      <c r="S637" s="196">
        <v>541055000</v>
      </c>
      <c r="T637" s="196">
        <v>31600000</v>
      </c>
      <c r="U637" s="200">
        <f t="shared" si="105"/>
        <v>632000000</v>
      </c>
      <c r="V637" s="196">
        <v>-21000000</v>
      </c>
      <c r="W637" s="196">
        <v>327000000</v>
      </c>
      <c r="X637" s="196">
        <v>17000000</v>
      </c>
      <c r="Y637" s="196">
        <v>376000000</v>
      </c>
      <c r="Z637" s="196">
        <v>81000000</v>
      </c>
      <c r="AA637" s="198">
        <v>-0.06</v>
      </c>
      <c r="AB637" s="198">
        <v>-0.05</v>
      </c>
      <c r="AC637" s="213">
        <f t="shared" si="106"/>
        <v>1484</v>
      </c>
      <c r="AD637" s="213">
        <f t="shared" si="107"/>
        <v>1500</v>
      </c>
      <c r="AE637" s="213">
        <v>0.52</v>
      </c>
      <c r="AF637" s="196">
        <v>-14000000</v>
      </c>
      <c r="AG637" s="104">
        <f t="shared" si="108"/>
        <v>-0.44303797468354428</v>
      </c>
      <c r="AH637" s="104">
        <f t="shared" si="109"/>
        <v>0</v>
      </c>
      <c r="AI637" s="195">
        <v>0.74</v>
      </c>
      <c r="AO637" s="213"/>
      <c r="AP637" s="213"/>
      <c r="AQ637" s="213"/>
      <c r="AR637" s="213"/>
      <c r="AS637" s="213"/>
      <c r="AT637" s="213"/>
      <c r="AU637" s="213"/>
      <c r="AV637" s="213"/>
    </row>
    <row r="638" spans="1:48">
      <c r="A638">
        <v>3234</v>
      </c>
      <c r="C638" s="107">
        <f>VLOOKUP(3234,收盤價!$A:$C,3,0)</f>
        <v>58.4</v>
      </c>
      <c r="D638" s="107">
        <f t="shared" si="99"/>
        <v>12.807017543859651</v>
      </c>
      <c r="E638" s="167">
        <f t="shared" si="100"/>
        <v>2</v>
      </c>
      <c r="F638" s="104">
        <f t="shared" si="101"/>
        <v>0.84622835935724849</v>
      </c>
      <c r="G638" s="167">
        <f>RANK(0.84,AE:AE,0)</f>
        <v>946</v>
      </c>
      <c r="H638" s="365">
        <f t="shared" si="102"/>
        <v>-0.82530949105914719</v>
      </c>
      <c r="I638" s="213">
        <f t="shared" si="103"/>
        <v>595</v>
      </c>
      <c r="J638" s="213">
        <f t="shared" si="104"/>
        <v>768</v>
      </c>
      <c r="K638">
        <f>RANK(1.14,AI:AI,0)</f>
        <v>767</v>
      </c>
      <c r="L638" s="357">
        <v>0</v>
      </c>
      <c r="M638" s="357">
        <v>1</v>
      </c>
      <c r="N638" s="357">
        <v>0</v>
      </c>
      <c r="O638" s="357">
        <v>1</v>
      </c>
      <c r="P638" s="357">
        <v>0</v>
      </c>
      <c r="Q638" s="358">
        <v>0.2722772277227723</v>
      </c>
      <c r="R638" s="359">
        <v>1.1399999999999999</v>
      </c>
      <c r="S638" s="196">
        <v>5017180000</v>
      </c>
      <c r="T638" s="196">
        <v>72700000</v>
      </c>
      <c r="U638" s="200">
        <f t="shared" si="105"/>
        <v>4245680000</v>
      </c>
      <c r="V638" s="196">
        <v>0</v>
      </c>
      <c r="W638" s="196">
        <v>1089000000</v>
      </c>
      <c r="X638" s="196">
        <v>1719000000</v>
      </c>
      <c r="Y638" s="196">
        <v>1983000000</v>
      </c>
      <c r="Z638" s="196">
        <v>493000000</v>
      </c>
      <c r="AA638" s="198">
        <v>0</v>
      </c>
      <c r="AB638" s="198">
        <v>0</v>
      </c>
      <c r="AC638" s="213">
        <f t="shared" si="106"/>
        <v>945</v>
      </c>
      <c r="AD638" s="213">
        <f t="shared" si="107"/>
        <v>911</v>
      </c>
      <c r="AE638" s="213">
        <v>0.84</v>
      </c>
      <c r="AF638" s="196">
        <v>60000000</v>
      </c>
      <c r="AG638" s="104">
        <f t="shared" si="108"/>
        <v>0.82530949105914719</v>
      </c>
      <c r="AH638" s="104">
        <f t="shared" si="109"/>
        <v>0</v>
      </c>
      <c r="AI638" s="195">
        <v>1.1399999999999999</v>
      </c>
    </row>
    <row r="639" spans="1:48">
      <c r="A639">
        <v>3236</v>
      </c>
      <c r="C639" s="107">
        <f>VLOOKUP(3236,收盤價!$A:$C,3,0)</f>
        <v>24.4</v>
      </c>
      <c r="D639" s="107">
        <f t="shared" si="99"/>
        <v>9.549902152641879</v>
      </c>
      <c r="E639" s="167">
        <f t="shared" si="100"/>
        <v>5</v>
      </c>
      <c r="F639" s="104">
        <f t="shared" si="101"/>
        <v>0.73820877579643362</v>
      </c>
      <c r="G639" s="167">
        <f>RANK(5.49,AE:AE,0)</f>
        <v>154</v>
      </c>
      <c r="H639" s="365">
        <f t="shared" si="102"/>
        <v>2.7651911235041238E-2</v>
      </c>
      <c r="I639" s="213">
        <f t="shared" si="103"/>
        <v>765</v>
      </c>
      <c r="J639" s="213">
        <f t="shared" si="104"/>
        <v>681</v>
      </c>
      <c r="K639">
        <f>RANK(1.08,AI:AI,0)</f>
        <v>817</v>
      </c>
      <c r="L639" s="357">
        <v>1</v>
      </c>
      <c r="M639" s="357">
        <v>1</v>
      </c>
      <c r="N639" s="357">
        <v>2</v>
      </c>
      <c r="O639" s="357">
        <v>1</v>
      </c>
      <c r="P639" s="357">
        <v>0</v>
      </c>
      <c r="Q639" s="358">
        <v>0.23709369024856597</v>
      </c>
      <c r="R639" s="359">
        <v>0.63874999999999993</v>
      </c>
      <c r="S639" s="196">
        <v>1996400000</v>
      </c>
      <c r="T639" s="196">
        <v>60400000</v>
      </c>
      <c r="U639" s="200">
        <f t="shared" si="105"/>
        <v>1473760000</v>
      </c>
      <c r="V639" s="196">
        <v>57000000</v>
      </c>
      <c r="W639" s="196">
        <v>561000000</v>
      </c>
      <c r="X639" s="196">
        <v>296000000</v>
      </c>
      <c r="Y639" s="196">
        <v>882000000</v>
      </c>
      <c r="Z639" s="196">
        <v>187000000</v>
      </c>
      <c r="AA639" s="198">
        <v>7.0000000000000007E-2</v>
      </c>
      <c r="AB639" s="198">
        <v>0.05</v>
      </c>
      <c r="AC639" s="213">
        <f t="shared" si="106"/>
        <v>134</v>
      </c>
      <c r="AD639" s="213">
        <f t="shared" si="107"/>
        <v>150</v>
      </c>
      <c r="AE639" s="213">
        <v>5.49</v>
      </c>
      <c r="AF639" s="196">
        <v>28000000</v>
      </c>
      <c r="AG639" s="104">
        <f t="shared" si="108"/>
        <v>0.46357615894039733</v>
      </c>
      <c r="AH639" s="104">
        <f t="shared" si="109"/>
        <v>0.49122807017543857</v>
      </c>
      <c r="AI639" s="195">
        <v>1.08</v>
      </c>
    </row>
    <row r="640" spans="1:48">
      <c r="A640">
        <v>3252</v>
      </c>
      <c r="C640" s="107">
        <f>VLOOKUP(3252,收盤價!$A:$C,3,0)</f>
        <v>27.8</v>
      </c>
      <c r="D640" s="107">
        <f t="shared" si="99"/>
        <v>0</v>
      </c>
      <c r="E640" s="167">
        <f t="shared" si="100"/>
        <v>3</v>
      </c>
      <c r="F640" s="104">
        <f t="shared" si="101"/>
        <v>4.7685521864229932</v>
      </c>
      <c r="G640" s="167">
        <f>RANK(0.84,AE:AE,0)</f>
        <v>946</v>
      </c>
      <c r="H640" s="365">
        <f t="shared" si="102"/>
        <v>-1.6129032258064515</v>
      </c>
      <c r="I640" s="213">
        <f t="shared" si="103"/>
        <v>310</v>
      </c>
      <c r="J640" s="213">
        <f t="shared" si="104"/>
        <v>768</v>
      </c>
      <c r="K640">
        <f>RANK(1.45,AI:AI,0)</f>
        <v>582</v>
      </c>
      <c r="L640" s="357">
        <v>0</v>
      </c>
      <c r="M640" s="357">
        <v>0</v>
      </c>
      <c r="N640" s="357">
        <v>2</v>
      </c>
      <c r="O640" s="357">
        <v>1</v>
      </c>
      <c r="P640" s="357">
        <v>0</v>
      </c>
      <c r="Q640" s="358">
        <v>0.44897959183673469</v>
      </c>
      <c r="R640" s="359">
        <v>0</v>
      </c>
      <c r="S640" s="196">
        <v>126508000</v>
      </c>
      <c r="T640" s="196">
        <v>21700000</v>
      </c>
      <c r="U640" s="200">
        <f t="shared" si="105"/>
        <v>603260000</v>
      </c>
      <c r="V640" s="196">
        <v>-8000000</v>
      </c>
      <c r="W640" s="196">
        <v>0</v>
      </c>
      <c r="X640" s="196">
        <v>2815000000</v>
      </c>
      <c r="Y640" s="196">
        <v>1381000000</v>
      </c>
      <c r="Z640" s="196">
        <v>2550000000</v>
      </c>
      <c r="AA640" s="198">
        <v>0</v>
      </c>
      <c r="AB640" s="198">
        <v>0</v>
      </c>
      <c r="AC640" s="213">
        <f t="shared" si="106"/>
        <v>945</v>
      </c>
      <c r="AD640" s="213">
        <f t="shared" si="107"/>
        <v>911</v>
      </c>
      <c r="AE640" s="213">
        <v>0.84</v>
      </c>
      <c r="AF640" s="196">
        <v>35000000</v>
      </c>
      <c r="AG640" s="104">
        <f t="shared" si="108"/>
        <v>1.6129032258064515</v>
      </c>
      <c r="AH640" s="104">
        <f t="shared" si="109"/>
        <v>0</v>
      </c>
      <c r="AI640" s="195">
        <v>1.45</v>
      </c>
      <c r="AO640" s="213"/>
      <c r="AP640" s="213"/>
      <c r="AQ640" s="213"/>
      <c r="AR640" s="213"/>
      <c r="AS640" s="213"/>
      <c r="AT640" s="213"/>
      <c r="AU640" s="213"/>
      <c r="AV640" s="213"/>
    </row>
    <row r="641" spans="1:48" ht="16.5" customHeight="1">
      <c r="A641">
        <v>3257</v>
      </c>
      <c r="C641" s="107">
        <f>VLOOKUP(3257,收盤價!$A:$C,3,0)</f>
        <v>37.25</v>
      </c>
      <c r="D641" s="107">
        <f t="shared" si="99"/>
        <v>12.732511923688396</v>
      </c>
      <c r="E641" s="167">
        <f t="shared" si="100"/>
        <v>1</v>
      </c>
      <c r="F641" s="104">
        <f t="shared" si="101"/>
        <v>2.6066480605255515</v>
      </c>
      <c r="G641" s="167">
        <f>RANK(1.63,AE:AE,0)</f>
        <v>551</v>
      </c>
      <c r="H641" s="365">
        <f t="shared" si="102"/>
        <v>0.21111111111111114</v>
      </c>
      <c r="I641" s="213">
        <f t="shared" si="103"/>
        <v>852</v>
      </c>
      <c r="J641" s="213">
        <f t="shared" si="104"/>
        <v>667</v>
      </c>
      <c r="K641">
        <f>RANK(1.03,AI:AI,0)</f>
        <v>851</v>
      </c>
      <c r="L641" s="357">
        <v>0</v>
      </c>
      <c r="M641" s="357">
        <v>1</v>
      </c>
      <c r="N641" s="357">
        <v>0</v>
      </c>
      <c r="O641" s="357">
        <v>0</v>
      </c>
      <c r="P641" s="357">
        <v>0</v>
      </c>
      <c r="Q641" s="358">
        <v>0.52941176470588236</v>
      </c>
      <c r="R641" s="359">
        <v>0.73139534883720925</v>
      </c>
      <c r="S641" s="196">
        <v>857423000</v>
      </c>
      <c r="T641" s="196">
        <v>60000000</v>
      </c>
      <c r="U641" s="200">
        <f t="shared" si="105"/>
        <v>2235000000</v>
      </c>
      <c r="V641" s="196">
        <v>36000000</v>
      </c>
      <c r="W641" s="196">
        <v>1044000000</v>
      </c>
      <c r="X641" s="196">
        <v>316000000</v>
      </c>
      <c r="Y641" s="196">
        <v>1559000000</v>
      </c>
      <c r="Z641" s="196">
        <v>0</v>
      </c>
      <c r="AA641" s="198">
        <v>0.03</v>
      </c>
      <c r="AB641" s="198">
        <v>0.02</v>
      </c>
      <c r="AC641" s="213">
        <f t="shared" si="106"/>
        <v>469</v>
      </c>
      <c r="AD641" s="213">
        <f t="shared" si="107"/>
        <v>487</v>
      </c>
      <c r="AE641" s="213">
        <v>1.63</v>
      </c>
      <c r="AF641" s="196">
        <v>19000000</v>
      </c>
      <c r="AG641" s="104">
        <f t="shared" si="108"/>
        <v>0.31666666666666665</v>
      </c>
      <c r="AH641" s="104">
        <f t="shared" si="109"/>
        <v>0.52777777777777779</v>
      </c>
      <c r="AI641" s="195">
        <v>1.03</v>
      </c>
    </row>
    <row r="642" spans="1:48">
      <c r="A642">
        <v>3259</v>
      </c>
      <c r="C642" s="107">
        <f>VLOOKUP(3259,收盤價!$A:$C,3,0)</f>
        <v>28.25</v>
      </c>
      <c r="D642" s="107">
        <f t="shared" ref="D642:D705" si="110">IF(AND(ISNUMBER(C642),R642&gt;0),C642/(R642*4),0)</f>
        <v>0</v>
      </c>
      <c r="E642" s="167">
        <f t="shared" ref="E642:E705" si="111">SUM(L642:P642)</f>
        <v>1</v>
      </c>
      <c r="F642" s="104">
        <f t="shared" ref="F642:F705" si="112">IF(AND(ISNUMBER(U642),ISNUMBER(S642)),U642/S642,0)</f>
        <v>4.1474455760338556</v>
      </c>
      <c r="G642" s="167">
        <f>RANK(0.52,AE:AE,0)</f>
        <v>1493</v>
      </c>
      <c r="H642" s="365">
        <f t="shared" ref="H642:H705" si="113">AH642-AG642</f>
        <v>0.75401730531520395</v>
      </c>
      <c r="I642" s="213">
        <f t="shared" ref="I642:I705" si="114">RANK(AG642,AG:AG)</f>
        <v>1400</v>
      </c>
      <c r="J642" s="213">
        <f t="shared" ref="J642:J705" si="115">RANK(AH642,AH:AH)</f>
        <v>768</v>
      </c>
      <c r="K642">
        <f>RANK(0.72,AI:AI,0)</f>
        <v>1381</v>
      </c>
      <c r="L642" s="357">
        <v>0</v>
      </c>
      <c r="M642" s="357">
        <v>1</v>
      </c>
      <c r="N642" s="357">
        <v>0</v>
      </c>
      <c r="O642" s="357">
        <v>0</v>
      </c>
      <c r="P642" s="357">
        <v>0</v>
      </c>
      <c r="Q642" s="358">
        <v>0.29166666666666669</v>
      </c>
      <c r="R642" s="359">
        <v>0</v>
      </c>
      <c r="S642" s="196">
        <v>551044000</v>
      </c>
      <c r="T642" s="196">
        <v>80900000</v>
      </c>
      <c r="U642" s="200">
        <f t="shared" ref="U642:U705" si="116">C642*T642</f>
        <v>2285425000</v>
      </c>
      <c r="V642" s="196">
        <v>-36000000</v>
      </c>
      <c r="W642" s="196">
        <v>422000000</v>
      </c>
      <c r="X642" s="196">
        <v>187000000</v>
      </c>
      <c r="Y642" s="196">
        <v>681000000</v>
      </c>
      <c r="Z642" s="196">
        <v>0</v>
      </c>
      <c r="AA642" s="198">
        <v>-0.06</v>
      </c>
      <c r="AB642" s="198">
        <v>-0.05</v>
      </c>
      <c r="AC642" s="213">
        <f t="shared" ref="AC642:AC705" si="117">RANK(AA642,AA:AA)</f>
        <v>1484</v>
      </c>
      <c r="AD642" s="213">
        <f t="shared" ref="AD642:AD705" si="118">RANK(AB642,AB:AB)</f>
        <v>1500</v>
      </c>
      <c r="AE642" s="213">
        <v>0.52</v>
      </c>
      <c r="AF642" s="196">
        <v>-61000000</v>
      </c>
      <c r="AG642" s="104">
        <f t="shared" ref="AG642:AG705" si="119">AF642/T642</f>
        <v>-0.75401730531520395</v>
      </c>
      <c r="AH642" s="104">
        <f t="shared" ref="AH642:AH705" si="120">IF(AND(AF642&gt;0,V642&gt;0),AF642/V642,0)</f>
        <v>0</v>
      </c>
      <c r="AI642" s="195">
        <v>0.72</v>
      </c>
    </row>
    <row r="643" spans="1:48">
      <c r="A643">
        <v>3260</v>
      </c>
      <c r="C643" s="107">
        <f>VLOOKUP(3260,收盤價!$A:$C,3,0)</f>
        <v>50.2</v>
      </c>
      <c r="D643" s="107">
        <f t="shared" si="110"/>
        <v>0</v>
      </c>
      <c r="E643" s="167">
        <f t="shared" si="111"/>
        <v>1</v>
      </c>
      <c r="F643" s="104">
        <f t="shared" si="112"/>
        <v>0.56983816862521186</v>
      </c>
      <c r="G643" s="167">
        <f>RANK(0.71,AE:AE,0)</f>
        <v>1276</v>
      </c>
      <c r="H643" s="365">
        <f t="shared" si="113"/>
        <v>2.6869565217391305</v>
      </c>
      <c r="I643" s="213">
        <f t="shared" si="114"/>
        <v>1531</v>
      </c>
      <c r="J643" s="213">
        <f t="shared" si="115"/>
        <v>768</v>
      </c>
      <c r="K643">
        <f>RANK(0.68,AI:AI,0)</f>
        <v>1507</v>
      </c>
      <c r="L643" s="357">
        <v>0</v>
      </c>
      <c r="M643" s="357">
        <v>1</v>
      </c>
      <c r="N643" s="357">
        <v>0</v>
      </c>
      <c r="O643" s="357">
        <v>0</v>
      </c>
      <c r="P643" s="357">
        <v>0</v>
      </c>
      <c r="Q643" s="358">
        <v>7.2727272727272724E-2</v>
      </c>
      <c r="R643" s="359">
        <v>0</v>
      </c>
      <c r="S643" s="196">
        <v>20261893000</v>
      </c>
      <c r="T643" s="196">
        <v>230000000</v>
      </c>
      <c r="U643" s="200">
        <f t="shared" si="116"/>
        <v>11546000000</v>
      </c>
      <c r="V643" s="196">
        <v>-35000000</v>
      </c>
      <c r="W643" s="196">
        <v>1437000000</v>
      </c>
      <c r="X643" s="196">
        <v>5319000000</v>
      </c>
      <c r="Y643" s="196">
        <v>7565000000</v>
      </c>
      <c r="Z643" s="196">
        <v>7525000000</v>
      </c>
      <c r="AA643" s="198">
        <v>-0.01</v>
      </c>
      <c r="AB643" s="198">
        <v>0</v>
      </c>
      <c r="AC643" s="213">
        <f t="shared" si="117"/>
        <v>1277</v>
      </c>
      <c r="AD643" s="213">
        <f t="shared" si="118"/>
        <v>911</v>
      </c>
      <c r="AE643" s="213">
        <v>0.71</v>
      </c>
      <c r="AF643" s="196">
        <v>-618000000</v>
      </c>
      <c r="AG643" s="104">
        <f t="shared" si="119"/>
        <v>-2.6869565217391305</v>
      </c>
      <c r="AH643" s="104">
        <f t="shared" si="120"/>
        <v>0</v>
      </c>
      <c r="AI643" s="195">
        <v>0.68</v>
      </c>
    </row>
    <row r="644" spans="1:48">
      <c r="A644">
        <v>3264</v>
      </c>
      <c r="C644" s="107">
        <f>VLOOKUP(3264,收盤價!$A:$C,3,0)</f>
        <v>23.6</v>
      </c>
      <c r="D644" s="107">
        <f t="shared" si="110"/>
        <v>12.564330079858031</v>
      </c>
      <c r="E644" s="167">
        <f t="shared" si="111"/>
        <v>4</v>
      </c>
      <c r="F644" s="104">
        <f t="shared" si="112"/>
        <v>2.0169965106289505</v>
      </c>
      <c r="G644" s="167">
        <f>RANK(1.94,AE:AE,0)</f>
        <v>435</v>
      </c>
      <c r="H644" s="365">
        <f t="shared" si="113"/>
        <v>0.90992955106522455</v>
      </c>
      <c r="I644" s="213">
        <f t="shared" si="114"/>
        <v>380</v>
      </c>
      <c r="J644" s="213">
        <f t="shared" si="115"/>
        <v>219</v>
      </c>
      <c r="K644">
        <f>RANK(2.6,AI:AI,0)</f>
        <v>216</v>
      </c>
      <c r="L644" s="357">
        <v>0</v>
      </c>
      <c r="M644" s="357">
        <v>1</v>
      </c>
      <c r="N644" s="357">
        <v>2</v>
      </c>
      <c r="O644" s="357">
        <v>1</v>
      </c>
      <c r="P644" s="357">
        <v>0</v>
      </c>
      <c r="Q644" s="358">
        <v>0.28482328482328484</v>
      </c>
      <c r="R644" s="359">
        <v>0.46958333333333335</v>
      </c>
      <c r="S644" s="196">
        <v>5626802000</v>
      </c>
      <c r="T644" s="196">
        <v>480900000</v>
      </c>
      <c r="U644" s="200">
        <f t="shared" si="116"/>
        <v>11349240000</v>
      </c>
      <c r="V644" s="196">
        <v>289000000</v>
      </c>
      <c r="W644" s="196">
        <v>2189000000</v>
      </c>
      <c r="X644" s="196">
        <v>8243000000</v>
      </c>
      <c r="Y644" s="196">
        <v>9258000000</v>
      </c>
      <c r="Z644" s="196">
        <v>1146000000</v>
      </c>
      <c r="AA644" s="198">
        <v>0.03</v>
      </c>
      <c r="AB644" s="198">
        <v>0.03</v>
      </c>
      <c r="AC644" s="213">
        <f t="shared" si="117"/>
        <v>469</v>
      </c>
      <c r="AD644" s="213">
        <f t="shared" si="118"/>
        <v>334</v>
      </c>
      <c r="AE644" s="213">
        <v>1.94</v>
      </c>
      <c r="AF644" s="196">
        <v>659000000</v>
      </c>
      <c r="AG644" s="104">
        <f t="shared" si="119"/>
        <v>1.3703472655437721</v>
      </c>
      <c r="AH644" s="104">
        <f t="shared" si="120"/>
        <v>2.2802768166089966</v>
      </c>
      <c r="AI644" s="195">
        <v>2.6</v>
      </c>
    </row>
    <row r="645" spans="1:48">
      <c r="A645">
        <v>3265</v>
      </c>
      <c r="C645" s="107">
        <f>VLOOKUP(3265,收盤價!$A:$C,3,0)</f>
        <v>25.85</v>
      </c>
      <c r="D645" s="107">
        <f t="shared" si="110"/>
        <v>5.9799107142857144</v>
      </c>
      <c r="E645" s="167">
        <f t="shared" si="111"/>
        <v>2</v>
      </c>
      <c r="F645" s="104">
        <f t="shared" si="112"/>
        <v>1.2663853319694316</v>
      </c>
      <c r="G645" s="167">
        <f>RANK(2.52,AE:AE,0)</f>
        <v>351</v>
      </c>
      <c r="H645" s="365">
        <f t="shared" si="113"/>
        <v>0.17608217168011739</v>
      </c>
      <c r="I645" s="213">
        <f t="shared" si="114"/>
        <v>1196</v>
      </c>
      <c r="J645" s="213">
        <f t="shared" si="115"/>
        <v>768</v>
      </c>
      <c r="K645">
        <f>RANK(0.79,AI:AI,0)</f>
        <v>1192</v>
      </c>
      <c r="L645" s="357">
        <v>1</v>
      </c>
      <c r="M645" s="357">
        <v>1</v>
      </c>
      <c r="N645" s="357">
        <v>0</v>
      </c>
      <c r="O645" s="357">
        <v>0</v>
      </c>
      <c r="P645" s="357">
        <v>0</v>
      </c>
      <c r="Q645" s="358">
        <v>0.23009814612868049</v>
      </c>
      <c r="R645" s="359">
        <v>1.0807017543859649</v>
      </c>
      <c r="S645" s="196">
        <v>2782214000</v>
      </c>
      <c r="T645" s="196">
        <v>136300000</v>
      </c>
      <c r="U645" s="200">
        <f t="shared" si="116"/>
        <v>3523355000</v>
      </c>
      <c r="V645" s="196">
        <v>195000000</v>
      </c>
      <c r="W645" s="196">
        <v>2952000000</v>
      </c>
      <c r="X645" s="196">
        <v>3492000000</v>
      </c>
      <c r="Y645" s="196">
        <v>3195000000</v>
      </c>
      <c r="Z645" s="196">
        <v>818000000</v>
      </c>
      <c r="AA645" s="198">
        <v>0.03</v>
      </c>
      <c r="AB645" s="198">
        <v>0.05</v>
      </c>
      <c r="AC645" s="213">
        <f t="shared" si="117"/>
        <v>469</v>
      </c>
      <c r="AD645" s="213">
        <f t="shared" si="118"/>
        <v>150</v>
      </c>
      <c r="AE645" s="213">
        <v>2.52</v>
      </c>
      <c r="AF645" s="196">
        <v>-24000000</v>
      </c>
      <c r="AG645" s="104">
        <f t="shared" si="119"/>
        <v>-0.17608217168011739</v>
      </c>
      <c r="AH645" s="104">
        <f t="shared" si="120"/>
        <v>0</v>
      </c>
      <c r="AI645" s="195">
        <v>0.79</v>
      </c>
      <c r="AO645" s="213"/>
      <c r="AP645" s="213"/>
      <c r="AQ645" s="213"/>
      <c r="AR645" s="213"/>
      <c r="AS645" s="213"/>
      <c r="AT645" s="213"/>
      <c r="AU645" s="213"/>
      <c r="AV645" s="213"/>
    </row>
    <row r="646" spans="1:48">
      <c r="A646">
        <v>3266</v>
      </c>
      <c r="C646" s="107">
        <f>VLOOKUP(3266,收盤價!$A:$C,3,0)</f>
        <v>11.6</v>
      </c>
      <c r="D646" s="107">
        <f t="shared" si="110"/>
        <v>0</v>
      </c>
      <c r="E646" s="167">
        <f t="shared" si="111"/>
        <v>2</v>
      </c>
      <c r="F646" s="104">
        <f t="shared" si="112"/>
        <v>1.9396483394227968</v>
      </c>
      <c r="G646" s="167">
        <f>RANK(0.71,AE:AE,0)</f>
        <v>1276</v>
      </c>
      <c r="H646" s="365">
        <f t="shared" si="113"/>
        <v>0.2327561737155833</v>
      </c>
      <c r="I646" s="213">
        <f t="shared" si="114"/>
        <v>1233</v>
      </c>
      <c r="J646" s="213">
        <f t="shared" si="115"/>
        <v>768</v>
      </c>
      <c r="K646">
        <f>RANK(0.78,AI:AI,0)</f>
        <v>1217</v>
      </c>
      <c r="L646" s="357">
        <v>0</v>
      </c>
      <c r="M646" s="357">
        <v>1</v>
      </c>
      <c r="N646" s="357">
        <v>1</v>
      </c>
      <c r="O646" s="357">
        <v>0</v>
      </c>
      <c r="P646" s="357">
        <v>0</v>
      </c>
      <c r="Q646" s="358">
        <v>4.0760869565217392E-2</v>
      </c>
      <c r="R646" s="359">
        <v>0</v>
      </c>
      <c r="S646" s="196">
        <v>2106918000</v>
      </c>
      <c r="T646" s="196">
        <v>352300000</v>
      </c>
      <c r="U646" s="200">
        <f t="shared" si="116"/>
        <v>4086680000</v>
      </c>
      <c r="V646" s="196">
        <v>-24000000</v>
      </c>
      <c r="W646" s="196">
        <v>3733000000</v>
      </c>
      <c r="X646" s="196">
        <v>313000000</v>
      </c>
      <c r="Y646" s="196">
        <v>5742000000</v>
      </c>
      <c r="Z646" s="196">
        <v>3007000000</v>
      </c>
      <c r="AA646" s="198">
        <v>-0.01</v>
      </c>
      <c r="AB646" s="198">
        <v>0</v>
      </c>
      <c r="AC646" s="213">
        <f t="shared" si="117"/>
        <v>1277</v>
      </c>
      <c r="AD646" s="213">
        <f t="shared" si="118"/>
        <v>911</v>
      </c>
      <c r="AE646" s="213">
        <v>0.71</v>
      </c>
      <c r="AF646" s="196">
        <v>-82000000</v>
      </c>
      <c r="AG646" s="104">
        <f t="shared" si="119"/>
        <v>-0.2327561737155833</v>
      </c>
      <c r="AH646" s="104">
        <f t="shared" si="120"/>
        <v>0</v>
      </c>
      <c r="AI646" s="195">
        <v>0.78</v>
      </c>
    </row>
    <row r="647" spans="1:48">
      <c r="A647">
        <v>3268</v>
      </c>
      <c r="C647" s="107">
        <f>VLOOKUP(3268,收盤價!$A:$C,3,0)</f>
        <v>12.8</v>
      </c>
      <c r="D647" s="107">
        <f t="shared" si="110"/>
        <v>0</v>
      </c>
      <c r="E647" s="167">
        <f t="shared" si="111"/>
        <v>3</v>
      </c>
      <c r="F647" s="104">
        <f t="shared" si="112"/>
        <v>0.5466105974845582</v>
      </c>
      <c r="G647" s="167">
        <f>RANK(0.84,AE:AE,0)</f>
        <v>946</v>
      </c>
      <c r="H647" s="365">
        <f t="shared" si="113"/>
        <v>-0.23952095808383234</v>
      </c>
      <c r="I647" s="213">
        <f t="shared" si="114"/>
        <v>898</v>
      </c>
      <c r="J647" s="213">
        <f t="shared" si="115"/>
        <v>768</v>
      </c>
      <c r="K647">
        <f>RANK(0.94,AI:AI,0)</f>
        <v>936</v>
      </c>
      <c r="L647" s="357">
        <v>0</v>
      </c>
      <c r="M647" s="357">
        <v>1</v>
      </c>
      <c r="N647" s="357">
        <v>1</v>
      </c>
      <c r="O647" s="357">
        <v>1</v>
      </c>
      <c r="P647" s="357">
        <v>0</v>
      </c>
      <c r="Q647" s="358">
        <v>8.9743589743589744E-2</v>
      </c>
      <c r="R647" s="359">
        <v>0</v>
      </c>
      <c r="S647" s="196">
        <v>782129000</v>
      </c>
      <c r="T647" s="196">
        <v>33400000</v>
      </c>
      <c r="U647" s="200">
        <f t="shared" si="116"/>
        <v>427520000</v>
      </c>
      <c r="V647" s="196">
        <v>0</v>
      </c>
      <c r="W647" s="196">
        <v>350000000</v>
      </c>
      <c r="X647" s="196">
        <v>314000000</v>
      </c>
      <c r="Y647" s="196">
        <v>565000000</v>
      </c>
      <c r="Z647" s="196">
        <v>76000000</v>
      </c>
      <c r="AA647" s="198">
        <v>0</v>
      </c>
      <c r="AB647" s="198">
        <v>0</v>
      </c>
      <c r="AC647" s="213">
        <f t="shared" si="117"/>
        <v>945</v>
      </c>
      <c r="AD647" s="213">
        <f t="shared" si="118"/>
        <v>911</v>
      </c>
      <c r="AE647" s="213">
        <v>0.84</v>
      </c>
      <c r="AF647" s="196">
        <v>8000000</v>
      </c>
      <c r="AG647" s="104">
        <f t="shared" si="119"/>
        <v>0.23952095808383234</v>
      </c>
      <c r="AH647" s="104">
        <f t="shared" si="120"/>
        <v>0</v>
      </c>
      <c r="AI647" s="195">
        <v>0.94</v>
      </c>
    </row>
    <row r="648" spans="1:48">
      <c r="A648">
        <v>3272</v>
      </c>
      <c r="C648" s="107">
        <f>VLOOKUP(3272,收盤價!$A:$C,3,0)</f>
        <v>49.85</v>
      </c>
      <c r="D648" s="107">
        <f t="shared" si="110"/>
        <v>17.07191780821918</v>
      </c>
      <c r="E648" s="167">
        <f t="shared" si="111"/>
        <v>4</v>
      </c>
      <c r="F648" s="104">
        <f t="shared" si="112"/>
        <v>0.89595787908071323</v>
      </c>
      <c r="G648" s="167">
        <f>RANK(0.84,AE:AE,0)</f>
        <v>946</v>
      </c>
      <c r="H648" s="365">
        <f t="shared" si="113"/>
        <v>-3.2887189292543022</v>
      </c>
      <c r="I648" s="213">
        <f t="shared" si="114"/>
        <v>99</v>
      </c>
      <c r="J648" s="213">
        <f t="shared" si="115"/>
        <v>768</v>
      </c>
      <c r="K648">
        <f>RANK(1.8,AI:AI,0)</f>
        <v>414</v>
      </c>
      <c r="L648" s="357">
        <v>0</v>
      </c>
      <c r="M648" s="357">
        <v>1</v>
      </c>
      <c r="N648" s="357">
        <v>2</v>
      </c>
      <c r="O648" s="357">
        <v>1</v>
      </c>
      <c r="P648" s="357">
        <v>0</v>
      </c>
      <c r="Q648" s="358">
        <v>0.22457067371202113</v>
      </c>
      <c r="R648" s="359">
        <v>0.73</v>
      </c>
      <c r="S648" s="196">
        <v>2909908000</v>
      </c>
      <c r="T648" s="196">
        <v>52300000</v>
      </c>
      <c r="U648" s="200">
        <f t="shared" si="116"/>
        <v>2607155000</v>
      </c>
      <c r="V648" s="196">
        <v>0</v>
      </c>
      <c r="W648" s="196">
        <v>1090000000</v>
      </c>
      <c r="X648" s="196">
        <v>196000000</v>
      </c>
      <c r="Y648" s="196">
        <v>1414000000</v>
      </c>
      <c r="Z648" s="196">
        <v>253000000</v>
      </c>
      <c r="AA648" s="198">
        <v>0</v>
      </c>
      <c r="AB648" s="198">
        <v>0</v>
      </c>
      <c r="AC648" s="213">
        <f t="shared" si="117"/>
        <v>945</v>
      </c>
      <c r="AD648" s="213">
        <f t="shared" si="118"/>
        <v>911</v>
      </c>
      <c r="AE648" s="213">
        <v>0.84</v>
      </c>
      <c r="AF648" s="196">
        <v>172000000</v>
      </c>
      <c r="AG648" s="104">
        <f t="shared" si="119"/>
        <v>3.2887189292543022</v>
      </c>
      <c r="AH648" s="104">
        <f t="shared" si="120"/>
        <v>0</v>
      </c>
      <c r="AI648" s="195">
        <v>1.8</v>
      </c>
    </row>
    <row r="649" spans="1:48">
      <c r="A649">
        <v>3276</v>
      </c>
      <c r="C649" s="107">
        <f>VLOOKUP(3276,收盤價!$A:$C,3,0)</f>
        <v>14.6</v>
      </c>
      <c r="D649" s="107">
        <f t="shared" si="110"/>
        <v>0</v>
      </c>
      <c r="E649" s="167">
        <f t="shared" si="111"/>
        <v>5</v>
      </c>
      <c r="F649" s="104">
        <f t="shared" si="112"/>
        <v>1.1502079172445285</v>
      </c>
      <c r="G649" s="167">
        <f>RANK(0.55,AE:AE,0)</f>
        <v>1436</v>
      </c>
      <c r="H649" s="365">
        <f t="shared" si="113"/>
        <v>-1.449067431850789</v>
      </c>
      <c r="I649" s="213">
        <f t="shared" si="114"/>
        <v>361</v>
      </c>
      <c r="J649" s="213">
        <f t="shared" si="115"/>
        <v>768</v>
      </c>
      <c r="K649">
        <f>RANK(1.38,AI:AI,0)</f>
        <v>637</v>
      </c>
      <c r="L649" s="357">
        <v>0</v>
      </c>
      <c r="M649" s="357">
        <v>1</v>
      </c>
      <c r="N649" s="357">
        <v>2</v>
      </c>
      <c r="O649" s="357">
        <v>1</v>
      </c>
      <c r="P649" s="357">
        <v>1</v>
      </c>
      <c r="Q649" s="358">
        <v>5.3221288515406161E-2</v>
      </c>
      <c r="R649" s="359">
        <v>0</v>
      </c>
      <c r="S649" s="196">
        <v>884727000</v>
      </c>
      <c r="T649" s="196">
        <v>69700000</v>
      </c>
      <c r="U649" s="200">
        <f t="shared" si="116"/>
        <v>1017620000</v>
      </c>
      <c r="V649" s="196">
        <v>-20000000</v>
      </c>
      <c r="W649" s="196">
        <v>42000000</v>
      </c>
      <c r="X649" s="196">
        <v>510000000</v>
      </c>
      <c r="Y649" s="196">
        <v>821000000</v>
      </c>
      <c r="Z649" s="196">
        <v>215000000</v>
      </c>
      <c r="AA649" s="198">
        <v>-0.04</v>
      </c>
      <c r="AB649" s="198">
        <v>-0.02</v>
      </c>
      <c r="AC649" s="213">
        <f t="shared" si="117"/>
        <v>1444</v>
      </c>
      <c r="AD649" s="213">
        <f t="shared" si="118"/>
        <v>1388</v>
      </c>
      <c r="AE649" s="213">
        <v>0.55000000000000004</v>
      </c>
      <c r="AF649" s="196">
        <v>101000000</v>
      </c>
      <c r="AG649" s="104">
        <f t="shared" si="119"/>
        <v>1.449067431850789</v>
      </c>
      <c r="AH649" s="104">
        <f t="shared" si="120"/>
        <v>0</v>
      </c>
      <c r="AI649" s="195">
        <v>1.38</v>
      </c>
    </row>
    <row r="650" spans="1:48">
      <c r="A650">
        <v>3284</v>
      </c>
      <c r="C650" s="107">
        <f>VLOOKUP(3284,收盤價!$A:$C,3,0)</f>
        <v>17.8</v>
      </c>
      <c r="D650" s="107">
        <f t="shared" si="110"/>
        <v>32.748917748917748</v>
      </c>
      <c r="E650" s="167">
        <f t="shared" si="111"/>
        <v>3</v>
      </c>
      <c r="F650" s="104">
        <f t="shared" si="112"/>
        <v>1.136831732183806</v>
      </c>
      <c r="G650" s="167">
        <f>RANK(1.2,AE:AE,0)</f>
        <v>710</v>
      </c>
      <c r="H650" s="365">
        <f t="shared" si="113"/>
        <v>2.7598470998836628</v>
      </c>
      <c r="I650" s="213">
        <f t="shared" si="114"/>
        <v>652</v>
      </c>
      <c r="J650" s="213">
        <f t="shared" si="115"/>
        <v>133</v>
      </c>
      <c r="K650">
        <f>RANK(1.98,AI:AI,0)</f>
        <v>348</v>
      </c>
      <c r="L650" s="357">
        <v>0</v>
      </c>
      <c r="M650" s="357">
        <v>1</v>
      </c>
      <c r="N650" s="357">
        <v>2</v>
      </c>
      <c r="O650" s="357">
        <v>0</v>
      </c>
      <c r="P650" s="357">
        <v>0</v>
      </c>
      <c r="Q650" s="358">
        <v>0.18421052631578946</v>
      </c>
      <c r="R650" s="359">
        <v>0.13588235294117648</v>
      </c>
      <c r="S650" s="196">
        <v>856468000</v>
      </c>
      <c r="T650" s="196">
        <v>54700000</v>
      </c>
      <c r="U650" s="200">
        <f t="shared" si="116"/>
        <v>973660000</v>
      </c>
      <c r="V650" s="196">
        <v>11000000</v>
      </c>
      <c r="W650" s="196">
        <v>437000000</v>
      </c>
      <c r="X650" s="196">
        <v>259000000</v>
      </c>
      <c r="Y650" s="196">
        <v>790000000</v>
      </c>
      <c r="Z650" s="196">
        <v>25000000</v>
      </c>
      <c r="AA650" s="198">
        <v>0.02</v>
      </c>
      <c r="AB650" s="198">
        <v>0.01</v>
      </c>
      <c r="AC650" s="213">
        <f t="shared" si="117"/>
        <v>616</v>
      </c>
      <c r="AD650" s="213">
        <f t="shared" si="118"/>
        <v>680</v>
      </c>
      <c r="AE650" s="213">
        <v>1.2</v>
      </c>
      <c r="AF650" s="196">
        <v>38000000</v>
      </c>
      <c r="AG650" s="104">
        <f t="shared" si="119"/>
        <v>0.69469835466179164</v>
      </c>
      <c r="AH650" s="104">
        <f t="shared" si="120"/>
        <v>3.4545454545454546</v>
      </c>
      <c r="AI650" s="195">
        <v>1.98</v>
      </c>
    </row>
    <row r="651" spans="1:48">
      <c r="A651">
        <v>3285</v>
      </c>
      <c r="C651" s="107">
        <f>VLOOKUP(3285,收盤價!$A:$C,3,0)</f>
        <v>22.7</v>
      </c>
      <c r="D651" s="107">
        <f t="shared" si="110"/>
        <v>18.916666666666668</v>
      </c>
      <c r="E651" s="167">
        <f t="shared" si="111"/>
        <v>3</v>
      </c>
      <c r="F651" s="104">
        <f t="shared" si="112"/>
        <v>0.66833616627521775</v>
      </c>
      <c r="G651" s="167">
        <f>RANK(0.84,AE:AE,0)</f>
        <v>946</v>
      </c>
      <c r="H651" s="365">
        <f t="shared" si="113"/>
        <v>-1.4058956916099774</v>
      </c>
      <c r="I651" s="213">
        <f t="shared" si="114"/>
        <v>372</v>
      </c>
      <c r="J651" s="213">
        <f t="shared" si="115"/>
        <v>768</v>
      </c>
      <c r="K651">
        <f>RANK(1.37,AI:AI,0)</f>
        <v>643</v>
      </c>
      <c r="L651" s="357">
        <v>0</v>
      </c>
      <c r="M651" s="357">
        <v>1</v>
      </c>
      <c r="N651" s="357">
        <v>1</v>
      </c>
      <c r="O651" s="357">
        <v>1</v>
      </c>
      <c r="P651" s="357">
        <v>0</v>
      </c>
      <c r="Q651" s="358">
        <v>0.17827298050139276</v>
      </c>
      <c r="R651" s="359">
        <v>0.3</v>
      </c>
      <c r="S651" s="196">
        <v>1497854000</v>
      </c>
      <c r="T651" s="196">
        <v>44100000</v>
      </c>
      <c r="U651" s="200">
        <f t="shared" si="116"/>
        <v>1001070000</v>
      </c>
      <c r="V651" s="196">
        <v>0</v>
      </c>
      <c r="W651" s="196">
        <v>513000000</v>
      </c>
      <c r="X651" s="196">
        <v>100000000</v>
      </c>
      <c r="Y651" s="196">
        <v>617000000</v>
      </c>
      <c r="Z651" s="196">
        <v>30000000</v>
      </c>
      <c r="AA651" s="198">
        <v>0</v>
      </c>
      <c r="AB651" s="198">
        <v>0</v>
      </c>
      <c r="AC651" s="213">
        <f t="shared" si="117"/>
        <v>945</v>
      </c>
      <c r="AD651" s="213">
        <f t="shared" si="118"/>
        <v>911</v>
      </c>
      <c r="AE651" s="213">
        <v>0.84</v>
      </c>
      <c r="AF651" s="196">
        <v>62000000</v>
      </c>
      <c r="AG651" s="104">
        <f t="shared" si="119"/>
        <v>1.4058956916099774</v>
      </c>
      <c r="AH651" s="104">
        <f t="shared" si="120"/>
        <v>0</v>
      </c>
      <c r="AI651" s="195">
        <v>1.37</v>
      </c>
    </row>
    <row r="652" spans="1:48">
      <c r="A652">
        <v>3287</v>
      </c>
      <c r="C652" s="107">
        <f>VLOOKUP(3287,收盤價!$A:$C,3,0)</f>
        <v>6.45</v>
      </c>
      <c r="D652" s="107">
        <f t="shared" si="110"/>
        <v>0</v>
      </c>
      <c r="E652" s="167">
        <f t="shared" si="111"/>
        <v>4</v>
      </c>
      <c r="F652" s="104">
        <f t="shared" si="112"/>
        <v>0.70701836553696529</v>
      </c>
      <c r="G652" s="167">
        <f>RANK(0.84,AE:AE,0)</f>
        <v>946</v>
      </c>
      <c r="H652" s="365">
        <f t="shared" si="113"/>
        <v>-0.15909090909090909</v>
      </c>
      <c r="I652" s="213">
        <f t="shared" si="114"/>
        <v>960</v>
      </c>
      <c r="J652" s="213">
        <f t="shared" si="115"/>
        <v>768</v>
      </c>
      <c r="K652">
        <f>RANK(0.9,AI:AI,0)</f>
        <v>988</v>
      </c>
      <c r="L652" s="357">
        <v>0</v>
      </c>
      <c r="M652" s="357">
        <v>1</v>
      </c>
      <c r="N652" s="357">
        <v>2</v>
      </c>
      <c r="O652" s="357">
        <v>1</v>
      </c>
      <c r="P652" s="357">
        <v>0</v>
      </c>
      <c r="Q652" s="358">
        <v>0.19801980198019803</v>
      </c>
      <c r="R652" s="359">
        <v>-0.35</v>
      </c>
      <c r="S652" s="196">
        <v>401404000</v>
      </c>
      <c r="T652" s="196">
        <v>44000000</v>
      </c>
      <c r="U652" s="200">
        <f t="shared" si="116"/>
        <v>283800000</v>
      </c>
      <c r="V652" s="196">
        <v>0</v>
      </c>
      <c r="W652" s="196">
        <v>350000000</v>
      </c>
      <c r="X652" s="196">
        <v>115000000</v>
      </c>
      <c r="Y652" s="196">
        <v>478000000</v>
      </c>
      <c r="Z652" s="196">
        <v>0</v>
      </c>
      <c r="AA652" s="198">
        <v>0</v>
      </c>
      <c r="AB652" s="198">
        <v>0</v>
      </c>
      <c r="AC652" s="213">
        <f t="shared" si="117"/>
        <v>945</v>
      </c>
      <c r="AD652" s="213">
        <f t="shared" si="118"/>
        <v>911</v>
      </c>
      <c r="AE652" s="213">
        <v>0.84</v>
      </c>
      <c r="AF652" s="196">
        <v>7000000</v>
      </c>
      <c r="AG652" s="104">
        <f t="shared" si="119"/>
        <v>0.15909090909090909</v>
      </c>
      <c r="AH652" s="104">
        <f t="shared" si="120"/>
        <v>0</v>
      </c>
      <c r="AI652" s="195">
        <v>0.9</v>
      </c>
    </row>
    <row r="653" spans="1:48">
      <c r="A653">
        <v>3288</v>
      </c>
      <c r="C653" s="107">
        <f>VLOOKUP(3288,收盤價!$A:$C,3,0)</f>
        <v>6.4</v>
      </c>
      <c r="D653" s="107">
        <f t="shared" si="110"/>
        <v>0</v>
      </c>
      <c r="E653" s="167">
        <f t="shared" si="111"/>
        <v>3</v>
      </c>
      <c r="F653" s="104">
        <f t="shared" si="112"/>
        <v>1.3577886941344752</v>
      </c>
      <c r="G653" s="167">
        <f>RANK(0.5,AE:AE,0)</f>
        <v>1545</v>
      </c>
      <c r="H653" s="365">
        <f t="shared" si="113"/>
        <v>-0.16494845360824742</v>
      </c>
      <c r="I653" s="213">
        <f t="shared" si="114"/>
        <v>956</v>
      </c>
      <c r="J653" s="213">
        <f t="shared" si="115"/>
        <v>768</v>
      </c>
      <c r="K653">
        <f>RANK(0.9,AI:AI,0)</f>
        <v>988</v>
      </c>
      <c r="L653" s="357">
        <v>0</v>
      </c>
      <c r="M653" s="357">
        <v>0</v>
      </c>
      <c r="N653" s="357">
        <v>2</v>
      </c>
      <c r="O653" s="357">
        <v>1</v>
      </c>
      <c r="P653" s="357">
        <v>0</v>
      </c>
      <c r="Q653" s="358">
        <v>-0.30188679245283018</v>
      </c>
      <c r="R653" s="359">
        <v>0</v>
      </c>
      <c r="S653" s="196">
        <v>228607000</v>
      </c>
      <c r="T653" s="196">
        <v>48500000</v>
      </c>
      <c r="U653" s="200">
        <f t="shared" si="116"/>
        <v>310400000</v>
      </c>
      <c r="V653" s="196">
        <v>-43000000</v>
      </c>
      <c r="W653" s="196">
        <v>108000000</v>
      </c>
      <c r="X653" s="196">
        <v>27000000</v>
      </c>
      <c r="Y653" s="196">
        <v>145000000</v>
      </c>
      <c r="Z653" s="196">
        <v>106000000</v>
      </c>
      <c r="AA653" s="198">
        <v>-0.32</v>
      </c>
      <c r="AB653" s="198">
        <v>-0.17</v>
      </c>
      <c r="AC653" s="213">
        <f t="shared" si="117"/>
        <v>1548</v>
      </c>
      <c r="AD653" s="213">
        <f t="shared" si="118"/>
        <v>1550</v>
      </c>
      <c r="AE653" s="213">
        <v>0.5</v>
      </c>
      <c r="AF653" s="196">
        <v>8000000</v>
      </c>
      <c r="AG653" s="104">
        <f t="shared" si="119"/>
        <v>0.16494845360824742</v>
      </c>
      <c r="AH653" s="104">
        <f t="shared" si="120"/>
        <v>0</v>
      </c>
      <c r="AI653" s="195">
        <v>0.9</v>
      </c>
    </row>
    <row r="654" spans="1:48">
      <c r="A654">
        <v>3289</v>
      </c>
      <c r="C654" s="107">
        <f>VLOOKUP(3289,收盤價!$A:$C,3,0)</f>
        <v>96.7</v>
      </c>
      <c r="D654" s="107">
        <f t="shared" si="110"/>
        <v>18.349146110056928</v>
      </c>
      <c r="E654" s="167">
        <f t="shared" si="111"/>
        <v>2</v>
      </c>
      <c r="F654" s="104">
        <f t="shared" si="112"/>
        <v>2.2143924508511472</v>
      </c>
      <c r="G654" s="167">
        <f>RANK(2.32,AE:AE,0)</f>
        <v>360</v>
      </c>
      <c r="H654" s="365">
        <f t="shared" si="113"/>
        <v>-0.26960784313725483</v>
      </c>
      <c r="I654" s="213">
        <f t="shared" si="114"/>
        <v>478</v>
      </c>
      <c r="J654" s="213">
        <f t="shared" si="115"/>
        <v>592</v>
      </c>
      <c r="K654">
        <f>RANK(1.46,AI:AI,0)</f>
        <v>578</v>
      </c>
      <c r="L654" s="357">
        <v>0</v>
      </c>
      <c r="M654" s="357">
        <v>0</v>
      </c>
      <c r="N654" s="357">
        <v>1</v>
      </c>
      <c r="O654" s="357">
        <v>1</v>
      </c>
      <c r="P654" s="357">
        <v>0</v>
      </c>
      <c r="Q654" s="358">
        <v>0.32019704433497537</v>
      </c>
      <c r="R654" s="359">
        <v>1.3174999999999999</v>
      </c>
      <c r="S654" s="196">
        <v>2227112000</v>
      </c>
      <c r="T654" s="196">
        <v>51000000</v>
      </c>
      <c r="U654" s="200">
        <f t="shared" si="116"/>
        <v>4931700000</v>
      </c>
      <c r="V654" s="196">
        <v>68000000</v>
      </c>
      <c r="W654" s="196">
        <v>271000000</v>
      </c>
      <c r="X654" s="196">
        <v>1621000000</v>
      </c>
      <c r="Y654" s="196">
        <v>2122000000</v>
      </c>
      <c r="Z654" s="196">
        <v>330000000</v>
      </c>
      <c r="AA654" s="198">
        <v>0.04</v>
      </c>
      <c r="AB654" s="198">
        <v>0.03</v>
      </c>
      <c r="AC654" s="213">
        <f t="shared" si="117"/>
        <v>337</v>
      </c>
      <c r="AD654" s="213">
        <f t="shared" si="118"/>
        <v>334</v>
      </c>
      <c r="AE654" s="213">
        <v>2.3199999999999998</v>
      </c>
      <c r="AF654" s="196">
        <v>55000000</v>
      </c>
      <c r="AG654" s="104">
        <f t="shared" si="119"/>
        <v>1.0784313725490196</v>
      </c>
      <c r="AH654" s="104">
        <f t="shared" si="120"/>
        <v>0.80882352941176472</v>
      </c>
      <c r="AI654" s="195">
        <v>1.46</v>
      </c>
    </row>
    <row r="655" spans="1:48">
      <c r="A655">
        <v>3290</v>
      </c>
      <c r="C655" s="107">
        <f>VLOOKUP(3290,收盤價!$A:$C,3,0)</f>
        <v>13.05</v>
      </c>
      <c r="D655" s="107">
        <f t="shared" si="110"/>
        <v>0</v>
      </c>
      <c r="E655" s="167">
        <f t="shared" si="111"/>
        <v>2</v>
      </c>
      <c r="F655" s="104">
        <f t="shared" si="112"/>
        <v>0.53854072354556992</v>
      </c>
      <c r="G655" s="167">
        <f>RANK(0.84,AE:AE,0)</f>
        <v>946</v>
      </c>
      <c r="H655" s="365">
        <f t="shared" si="113"/>
        <v>0.52261306532663321</v>
      </c>
      <c r="I655" s="213">
        <f t="shared" si="114"/>
        <v>1351</v>
      </c>
      <c r="J655" s="213">
        <f t="shared" si="115"/>
        <v>768</v>
      </c>
      <c r="K655">
        <f>RANK(0.74,AI:AI,0)</f>
        <v>1324</v>
      </c>
      <c r="L655" s="357">
        <v>0</v>
      </c>
      <c r="M655" s="357">
        <v>1</v>
      </c>
      <c r="N655" s="357">
        <v>1</v>
      </c>
      <c r="O655" s="357">
        <v>0</v>
      </c>
      <c r="P655" s="357">
        <v>0</v>
      </c>
      <c r="Q655" s="358">
        <v>0.14659685863874344</v>
      </c>
      <c r="R655" s="359">
        <v>0</v>
      </c>
      <c r="S655" s="196">
        <v>2411099000</v>
      </c>
      <c r="T655" s="196">
        <v>99500000</v>
      </c>
      <c r="U655" s="200">
        <f t="shared" si="116"/>
        <v>1298475000</v>
      </c>
      <c r="V655" s="196">
        <v>-3000000</v>
      </c>
      <c r="W655" s="196">
        <v>725000000</v>
      </c>
      <c r="X655" s="196">
        <v>896000000</v>
      </c>
      <c r="Y655" s="196">
        <v>1503000000</v>
      </c>
      <c r="Z655" s="196">
        <v>323000000</v>
      </c>
      <c r="AA655" s="198">
        <v>0</v>
      </c>
      <c r="AB655" s="198">
        <v>0</v>
      </c>
      <c r="AC655" s="213">
        <f t="shared" si="117"/>
        <v>945</v>
      </c>
      <c r="AD655" s="213">
        <f t="shared" si="118"/>
        <v>911</v>
      </c>
      <c r="AE655" s="213">
        <v>0.84</v>
      </c>
      <c r="AF655" s="196">
        <v>-52000000</v>
      </c>
      <c r="AG655" s="104">
        <f t="shared" si="119"/>
        <v>-0.52261306532663321</v>
      </c>
      <c r="AH655" s="104">
        <f t="shared" si="120"/>
        <v>0</v>
      </c>
      <c r="AI655" s="195">
        <v>0.74</v>
      </c>
      <c r="AO655" s="213"/>
      <c r="AP655" s="213"/>
      <c r="AQ655" s="213"/>
      <c r="AR655" s="213"/>
      <c r="AS655" s="213"/>
      <c r="AT655" s="213"/>
      <c r="AU655" s="213"/>
      <c r="AV655" s="213"/>
    </row>
    <row r="656" spans="1:48">
      <c r="A656">
        <v>3291</v>
      </c>
      <c r="C656" s="107" t="e">
        <f>VLOOKUP(3291,收盤價!$A:$C,3,0)</f>
        <v>#N/A</v>
      </c>
      <c r="D656" s="107">
        <f t="shared" si="110"/>
        <v>0</v>
      </c>
      <c r="E656" s="167">
        <f t="shared" si="111"/>
        <v>5</v>
      </c>
      <c r="F656" s="104">
        <f t="shared" si="112"/>
        <v>0</v>
      </c>
      <c r="G656" s="167">
        <f>RANK(1.41,AE:AE,0)</f>
        <v>618</v>
      </c>
      <c r="H656" s="365">
        <f t="shared" si="113"/>
        <v>0.21573033707865169</v>
      </c>
      <c r="I656" s="213">
        <f t="shared" si="114"/>
        <v>1008</v>
      </c>
      <c r="J656" s="213">
        <f t="shared" si="115"/>
        <v>721</v>
      </c>
      <c r="K656">
        <f>RANK(0.9,AI:AI,0)</f>
        <v>988</v>
      </c>
      <c r="L656" s="357">
        <v>1</v>
      </c>
      <c r="M656" s="357">
        <v>1</v>
      </c>
      <c r="N656" s="357">
        <v>2</v>
      </c>
      <c r="O656" s="357">
        <v>1</v>
      </c>
      <c r="P656" s="357">
        <v>0</v>
      </c>
      <c r="Q656" s="358">
        <v>0.30270270270270272</v>
      </c>
      <c r="R656" s="359">
        <v>0.26250000000000001</v>
      </c>
      <c r="S656" s="196">
        <v>693467000</v>
      </c>
      <c r="T656" s="196">
        <v>35600000</v>
      </c>
      <c r="U656" s="200" t="e">
        <f t="shared" si="116"/>
        <v>#N/A</v>
      </c>
      <c r="V656" s="196">
        <v>10000000</v>
      </c>
      <c r="W656" s="196">
        <v>497000000</v>
      </c>
      <c r="X656" s="196">
        <v>32000000</v>
      </c>
      <c r="Y656" s="196">
        <v>561000000</v>
      </c>
      <c r="Z656" s="196">
        <v>0</v>
      </c>
      <c r="AA656" s="198">
        <v>0.02</v>
      </c>
      <c r="AB656" s="198">
        <v>0.02</v>
      </c>
      <c r="AC656" s="213">
        <f t="shared" si="117"/>
        <v>616</v>
      </c>
      <c r="AD656" s="213">
        <f t="shared" si="118"/>
        <v>487</v>
      </c>
      <c r="AE656" s="213">
        <v>1.41</v>
      </c>
      <c r="AF656" s="196">
        <v>3000000</v>
      </c>
      <c r="AG656" s="104">
        <f t="shared" si="119"/>
        <v>8.4269662921348312E-2</v>
      </c>
      <c r="AH656" s="104">
        <f t="shared" si="120"/>
        <v>0.3</v>
      </c>
      <c r="AI656" s="195">
        <v>0.9</v>
      </c>
    </row>
    <row r="657" spans="1:48">
      <c r="A657">
        <v>3293</v>
      </c>
      <c r="C657" s="107">
        <f>VLOOKUP(3293,收盤價!$A:$C,3,0)</f>
        <v>193</v>
      </c>
      <c r="D657" s="107">
        <f t="shared" si="110"/>
        <v>12.798408488063661</v>
      </c>
      <c r="E657" s="167">
        <f t="shared" si="111"/>
        <v>5</v>
      </c>
      <c r="F657" s="104">
        <f t="shared" si="112"/>
        <v>4.6057510516249769</v>
      </c>
      <c r="G657" s="167">
        <f>RANK(0.84,AE:AE,0)</f>
        <v>946</v>
      </c>
      <c r="H657" s="365">
        <f t="shared" si="113"/>
        <v>-4.4045911047345765</v>
      </c>
      <c r="I657" s="213">
        <f t="shared" si="114"/>
        <v>57</v>
      </c>
      <c r="J657" s="213">
        <f t="shared" si="115"/>
        <v>768</v>
      </c>
      <c r="K657">
        <f>RANK(1.89,AI:AI,0)</f>
        <v>384</v>
      </c>
      <c r="L657" s="357">
        <v>1</v>
      </c>
      <c r="M657" s="357">
        <v>1</v>
      </c>
      <c r="N657" s="357">
        <v>2</v>
      </c>
      <c r="O657" s="357">
        <v>1</v>
      </c>
      <c r="P657" s="357">
        <v>0</v>
      </c>
      <c r="Q657" s="358">
        <v>0.76888888888888884</v>
      </c>
      <c r="R657" s="359">
        <v>3.77</v>
      </c>
      <c r="S657" s="196">
        <v>2920718000</v>
      </c>
      <c r="T657" s="196">
        <v>69700000</v>
      </c>
      <c r="U657" s="200">
        <f t="shared" si="116"/>
        <v>13452100000</v>
      </c>
      <c r="V657" s="196">
        <v>0</v>
      </c>
      <c r="W657" s="196">
        <v>1583000000</v>
      </c>
      <c r="X657" s="196">
        <v>1295000000</v>
      </c>
      <c r="Y657" s="196">
        <v>2992000000</v>
      </c>
      <c r="Z657" s="196">
        <v>0</v>
      </c>
      <c r="AA657" s="198">
        <v>0</v>
      </c>
      <c r="AB657" s="198">
        <v>0</v>
      </c>
      <c r="AC657" s="213">
        <f t="shared" si="117"/>
        <v>945</v>
      </c>
      <c r="AD657" s="213">
        <f t="shared" si="118"/>
        <v>911</v>
      </c>
      <c r="AE657" s="213">
        <v>0.84</v>
      </c>
      <c r="AF657" s="196">
        <v>307000000</v>
      </c>
      <c r="AG657" s="104">
        <f t="shared" si="119"/>
        <v>4.4045911047345765</v>
      </c>
      <c r="AH657" s="104">
        <f t="shared" si="120"/>
        <v>0</v>
      </c>
      <c r="AI657" s="195">
        <v>1.89</v>
      </c>
      <c r="AO657" s="213"/>
      <c r="AP657" s="213"/>
      <c r="AQ657" s="213"/>
      <c r="AR657" s="213"/>
      <c r="AS657" s="213"/>
      <c r="AT657" s="213"/>
      <c r="AU657" s="213"/>
      <c r="AV657" s="213"/>
    </row>
    <row r="658" spans="1:48">
      <c r="A658">
        <v>3294</v>
      </c>
      <c r="C658" s="107">
        <f>VLOOKUP(3294,收盤價!$A:$C,3,0)</f>
        <v>16</v>
      </c>
      <c r="D658" s="107">
        <f t="shared" si="110"/>
        <v>18.495514147688059</v>
      </c>
      <c r="E658" s="167">
        <f t="shared" si="111"/>
        <v>3</v>
      </c>
      <c r="F658" s="104">
        <f t="shared" si="112"/>
        <v>0.3790922059173833</v>
      </c>
      <c r="G658" s="167">
        <f>RANK(1.63,AE:AE,0)</f>
        <v>551</v>
      </c>
      <c r="H658" s="365">
        <f t="shared" si="113"/>
        <v>0.85709767778078982</v>
      </c>
      <c r="I658" s="213">
        <f t="shared" si="114"/>
        <v>544</v>
      </c>
      <c r="J658" s="213">
        <f t="shared" si="115"/>
        <v>304</v>
      </c>
      <c r="K658">
        <f>RANK(1.84,AI:AI,0)</f>
        <v>398</v>
      </c>
      <c r="L658" s="357">
        <v>0</v>
      </c>
      <c r="M658" s="357">
        <v>1</v>
      </c>
      <c r="N658" s="357">
        <v>2</v>
      </c>
      <c r="O658" s="357">
        <v>0</v>
      </c>
      <c r="P658" s="357">
        <v>0</v>
      </c>
      <c r="Q658" s="358">
        <v>0.17287866772402855</v>
      </c>
      <c r="R658" s="359">
        <v>0.21626865671641793</v>
      </c>
      <c r="S658" s="196">
        <v>5495233000</v>
      </c>
      <c r="T658" s="196">
        <v>130200000</v>
      </c>
      <c r="U658" s="200">
        <f t="shared" si="116"/>
        <v>2083200000</v>
      </c>
      <c r="V658" s="196">
        <v>68000000</v>
      </c>
      <c r="W658" s="196">
        <v>968000000</v>
      </c>
      <c r="X658" s="196">
        <v>1291000000</v>
      </c>
      <c r="Y658" s="196">
        <v>2436000000</v>
      </c>
      <c r="Z658" s="196">
        <v>840000000</v>
      </c>
      <c r="AA658" s="198">
        <v>0.03</v>
      </c>
      <c r="AB658" s="198">
        <v>0.02</v>
      </c>
      <c r="AC658" s="213">
        <f t="shared" si="117"/>
        <v>469</v>
      </c>
      <c r="AD658" s="213">
        <f t="shared" si="118"/>
        <v>487</v>
      </c>
      <c r="AE658" s="213">
        <v>1.63</v>
      </c>
      <c r="AF658" s="196">
        <v>122000000</v>
      </c>
      <c r="AG658" s="104">
        <f t="shared" si="119"/>
        <v>0.93701996927803377</v>
      </c>
      <c r="AH658" s="104">
        <f t="shared" si="120"/>
        <v>1.7941176470588236</v>
      </c>
      <c r="AI658" s="195">
        <v>1.84</v>
      </c>
    </row>
    <row r="659" spans="1:48">
      <c r="A659">
        <v>3296</v>
      </c>
      <c r="C659" s="107">
        <f>VLOOKUP(3296,收盤價!$A:$C,3,0)</f>
        <v>11.85</v>
      </c>
      <c r="D659" s="107">
        <f t="shared" si="110"/>
        <v>15.719387755102042</v>
      </c>
      <c r="E659" s="167">
        <f t="shared" si="111"/>
        <v>2</v>
      </c>
      <c r="F659" s="104">
        <f t="shared" si="112"/>
        <v>0.45194969994448314</v>
      </c>
      <c r="G659" s="167">
        <f>RANK(1.08,AE:AE,0)</f>
        <v>769</v>
      </c>
      <c r="H659" s="365">
        <f t="shared" si="113"/>
        <v>0.79482439926062842</v>
      </c>
      <c r="I659" s="213">
        <f t="shared" si="114"/>
        <v>1407</v>
      </c>
      <c r="J659" s="213">
        <f t="shared" si="115"/>
        <v>768</v>
      </c>
      <c r="K659">
        <f>RANK(0.72,AI:AI,0)</f>
        <v>1381</v>
      </c>
      <c r="L659" s="357">
        <v>0</v>
      </c>
      <c r="M659" s="357">
        <v>1</v>
      </c>
      <c r="N659" s="357">
        <v>1</v>
      </c>
      <c r="O659" s="357">
        <v>0</v>
      </c>
      <c r="P659" s="357">
        <v>0</v>
      </c>
      <c r="Q659" s="358">
        <v>0.1796657381615599</v>
      </c>
      <c r="R659" s="359">
        <v>0.18846153846153843</v>
      </c>
      <c r="S659" s="196">
        <v>2836975000</v>
      </c>
      <c r="T659" s="196">
        <v>108200000</v>
      </c>
      <c r="U659" s="200">
        <f t="shared" si="116"/>
        <v>1282170000</v>
      </c>
      <c r="V659" s="196">
        <v>22000000</v>
      </c>
      <c r="W659" s="196">
        <v>1365000000</v>
      </c>
      <c r="X659" s="196">
        <v>303000000</v>
      </c>
      <c r="Y659" s="196">
        <v>1787000000</v>
      </c>
      <c r="Z659" s="196">
        <v>0</v>
      </c>
      <c r="AA659" s="198">
        <v>0.01</v>
      </c>
      <c r="AB659" s="198">
        <v>0.01</v>
      </c>
      <c r="AC659" s="213">
        <f t="shared" si="117"/>
        <v>769</v>
      </c>
      <c r="AD659" s="213">
        <f t="shared" si="118"/>
        <v>680</v>
      </c>
      <c r="AE659" s="213">
        <v>1.08</v>
      </c>
      <c r="AF659" s="196">
        <v>-86000000</v>
      </c>
      <c r="AG659" s="104">
        <f t="shared" si="119"/>
        <v>-0.79482439926062842</v>
      </c>
      <c r="AH659" s="104">
        <f t="shared" si="120"/>
        <v>0</v>
      </c>
      <c r="AI659" s="195">
        <v>0.72</v>
      </c>
    </row>
    <row r="660" spans="1:48">
      <c r="A660">
        <v>3297</v>
      </c>
      <c r="C660" s="107">
        <f>VLOOKUP(3297,收盤價!$A:$C,3,0)</f>
        <v>17.149999999999999</v>
      </c>
      <c r="D660" s="107">
        <f t="shared" si="110"/>
        <v>0</v>
      </c>
      <c r="E660" s="167">
        <f t="shared" si="111"/>
        <v>3</v>
      </c>
      <c r="F660" s="104">
        <f t="shared" si="112"/>
        <v>1.1968835150837946</v>
      </c>
      <c r="G660" s="167">
        <f>RANK(0.84,AE:AE,0)</f>
        <v>946</v>
      </c>
      <c r="H660" s="365">
        <f t="shared" si="113"/>
        <v>0.19125683060109289</v>
      </c>
      <c r="I660" s="213">
        <f t="shared" si="114"/>
        <v>1202</v>
      </c>
      <c r="J660" s="213">
        <f t="shared" si="115"/>
        <v>768</v>
      </c>
      <c r="K660">
        <f>RANK(0.79,AI:AI,0)</f>
        <v>1192</v>
      </c>
      <c r="L660" s="357">
        <v>0</v>
      </c>
      <c r="M660" s="357">
        <v>1</v>
      </c>
      <c r="N660" s="357">
        <v>2</v>
      </c>
      <c r="O660" s="357">
        <v>0</v>
      </c>
      <c r="P660" s="357">
        <v>0</v>
      </c>
      <c r="Q660" s="358">
        <v>0.33858267716535434</v>
      </c>
      <c r="R660" s="359">
        <v>0</v>
      </c>
      <c r="S660" s="196">
        <v>524437000</v>
      </c>
      <c r="T660" s="196">
        <v>36600000</v>
      </c>
      <c r="U660" s="200">
        <f t="shared" si="116"/>
        <v>627690000</v>
      </c>
      <c r="V660" s="196">
        <v>3000000</v>
      </c>
      <c r="W660" s="196">
        <v>386000000</v>
      </c>
      <c r="X660" s="196">
        <v>438000000</v>
      </c>
      <c r="Y660" s="196">
        <v>850000000</v>
      </c>
      <c r="Z660" s="196">
        <v>2000000</v>
      </c>
      <c r="AA660" s="198">
        <v>0</v>
      </c>
      <c r="AB660" s="198">
        <v>0</v>
      </c>
      <c r="AC660" s="213">
        <f t="shared" si="117"/>
        <v>945</v>
      </c>
      <c r="AD660" s="213">
        <f t="shared" si="118"/>
        <v>911</v>
      </c>
      <c r="AE660" s="213">
        <v>0.84</v>
      </c>
      <c r="AF660" s="196">
        <v>-7000000</v>
      </c>
      <c r="AG660" s="104">
        <f t="shared" si="119"/>
        <v>-0.19125683060109289</v>
      </c>
      <c r="AH660" s="104">
        <f t="shared" si="120"/>
        <v>0</v>
      </c>
      <c r="AI660" s="195">
        <v>0.79</v>
      </c>
    </row>
    <row r="661" spans="1:48">
      <c r="A661">
        <v>3299</v>
      </c>
      <c r="C661" s="107">
        <f>VLOOKUP(3299,收盤價!$A:$C,3,0)</f>
        <v>48</v>
      </c>
      <c r="D661" s="107">
        <f t="shared" si="110"/>
        <v>9.0909090909090899</v>
      </c>
      <c r="E661" s="167">
        <f t="shared" si="111"/>
        <v>4</v>
      </c>
      <c r="F661" s="104">
        <f t="shared" si="112"/>
        <v>1.1240406468411461</v>
      </c>
      <c r="G661" s="167">
        <f>RANK(4.81,AE:AE,0)</f>
        <v>170</v>
      </c>
      <c r="H661" s="365">
        <f t="shared" si="113"/>
        <v>-1.0173595248972136</v>
      </c>
      <c r="I661" s="213">
        <f t="shared" si="114"/>
        <v>156</v>
      </c>
      <c r="J661" s="213">
        <f t="shared" si="115"/>
        <v>362</v>
      </c>
      <c r="K661">
        <f>RANK(3.01,AI:AI,0)</f>
        <v>164</v>
      </c>
      <c r="L661" s="357">
        <v>0</v>
      </c>
      <c r="M661" s="357">
        <v>1</v>
      </c>
      <c r="N661" s="357">
        <v>2</v>
      </c>
      <c r="O661" s="357">
        <v>1</v>
      </c>
      <c r="P661" s="357">
        <v>0</v>
      </c>
      <c r="Q661" s="358">
        <v>0.35204081632653061</v>
      </c>
      <c r="R661" s="359">
        <v>1.32</v>
      </c>
      <c r="S661" s="196">
        <v>2549374000</v>
      </c>
      <c r="T661" s="196">
        <v>59700000</v>
      </c>
      <c r="U661" s="200">
        <f t="shared" si="116"/>
        <v>2865600000</v>
      </c>
      <c r="V661" s="196">
        <v>99000000</v>
      </c>
      <c r="W661" s="196">
        <v>1205000000</v>
      </c>
      <c r="X661" s="196">
        <v>481000000</v>
      </c>
      <c r="Y661" s="196">
        <v>1599000000</v>
      </c>
      <c r="Z661" s="196">
        <v>234000000</v>
      </c>
      <c r="AA661" s="198">
        <v>0.06</v>
      </c>
      <c r="AB661" s="198">
        <v>0.05</v>
      </c>
      <c r="AC661" s="213">
        <f t="shared" si="117"/>
        <v>174</v>
      </c>
      <c r="AD661" s="213">
        <f t="shared" si="118"/>
        <v>150</v>
      </c>
      <c r="AE661" s="213">
        <v>4.8099999999999996</v>
      </c>
      <c r="AF661" s="196">
        <v>153000000</v>
      </c>
      <c r="AG661" s="104">
        <f t="shared" si="119"/>
        <v>2.562814070351759</v>
      </c>
      <c r="AH661" s="104">
        <f t="shared" si="120"/>
        <v>1.5454545454545454</v>
      </c>
      <c r="AI661" s="195">
        <v>3.01</v>
      </c>
    </row>
    <row r="662" spans="1:48">
      <c r="A662">
        <v>3303</v>
      </c>
      <c r="C662" s="107">
        <f>VLOOKUP(3303,收盤價!$A:$C,3,0)</f>
        <v>19.7</v>
      </c>
      <c r="D662" s="107">
        <f t="shared" si="110"/>
        <v>8.1017316017316006</v>
      </c>
      <c r="E662" s="167">
        <f t="shared" si="111"/>
        <v>4</v>
      </c>
      <c r="F662" s="104">
        <f t="shared" si="112"/>
        <v>0.76528746240428325</v>
      </c>
      <c r="G662" s="167">
        <f>RANK(1.94,AE:AE,0)</f>
        <v>435</v>
      </c>
      <c r="H662" s="365">
        <f t="shared" si="113"/>
        <v>0.68478960433969771</v>
      </c>
      <c r="I662" s="213">
        <f t="shared" si="114"/>
        <v>343</v>
      </c>
      <c r="J662" s="213">
        <f t="shared" si="115"/>
        <v>231</v>
      </c>
      <c r="K662">
        <f>RANK(2.71,AI:AI,0)</f>
        <v>200</v>
      </c>
      <c r="L662" s="357">
        <v>0</v>
      </c>
      <c r="M662" s="357">
        <v>1</v>
      </c>
      <c r="N662" s="357">
        <v>2</v>
      </c>
      <c r="O662" s="357">
        <v>1</v>
      </c>
      <c r="P662" s="357">
        <v>0</v>
      </c>
      <c r="Q662" s="358">
        <v>0.27597402597402598</v>
      </c>
      <c r="R662" s="359">
        <v>0.60789473684210538</v>
      </c>
      <c r="S662" s="196">
        <v>2507267000</v>
      </c>
      <c r="T662" s="196">
        <v>97400000</v>
      </c>
      <c r="U662" s="200">
        <f t="shared" si="116"/>
        <v>1918780000</v>
      </c>
      <c r="V662" s="196">
        <v>67000000</v>
      </c>
      <c r="W662" s="196">
        <v>692000000</v>
      </c>
      <c r="X662" s="196">
        <v>1263000000</v>
      </c>
      <c r="Y662" s="196">
        <v>1749000000</v>
      </c>
      <c r="Z662" s="196">
        <v>289000000</v>
      </c>
      <c r="AA662" s="198">
        <v>0.03</v>
      </c>
      <c r="AB662" s="198">
        <v>0.03</v>
      </c>
      <c r="AC662" s="213">
        <f t="shared" si="117"/>
        <v>469</v>
      </c>
      <c r="AD662" s="213">
        <f t="shared" si="118"/>
        <v>334</v>
      </c>
      <c r="AE662" s="213">
        <v>1.94</v>
      </c>
      <c r="AF662" s="196">
        <v>147000000</v>
      </c>
      <c r="AG662" s="104">
        <f t="shared" si="119"/>
        <v>1.5092402464065708</v>
      </c>
      <c r="AH662" s="104">
        <f t="shared" si="120"/>
        <v>2.1940298507462686</v>
      </c>
      <c r="AI662" s="195">
        <v>2.71</v>
      </c>
    </row>
    <row r="663" spans="1:48">
      <c r="A663">
        <v>3305</v>
      </c>
      <c r="C663" s="107">
        <f>VLOOKUP(3305,收盤價!$A:$C,3,0)</f>
        <v>29.4</v>
      </c>
      <c r="D663" s="107">
        <f t="shared" si="110"/>
        <v>10.970149253731343</v>
      </c>
      <c r="E663" s="167">
        <f t="shared" si="111"/>
        <v>3</v>
      </c>
      <c r="F663" s="104">
        <f t="shared" si="112"/>
        <v>0.80584650993857054</v>
      </c>
      <c r="G663" s="167">
        <f>RANK(0.84,AE:AE,0)</f>
        <v>946</v>
      </c>
      <c r="H663" s="365">
        <f t="shared" si="113"/>
        <v>-0.20576131687242799</v>
      </c>
      <c r="I663" s="213">
        <f t="shared" si="114"/>
        <v>930</v>
      </c>
      <c r="J663" s="213">
        <f t="shared" si="115"/>
        <v>768</v>
      </c>
      <c r="K663">
        <f>RANK(0.92,AI:AI,0)</f>
        <v>958</v>
      </c>
      <c r="L663" s="357">
        <v>1</v>
      </c>
      <c r="M663" s="357">
        <v>1</v>
      </c>
      <c r="N663" s="357">
        <v>1</v>
      </c>
      <c r="O663" s="357">
        <v>0</v>
      </c>
      <c r="P663" s="357">
        <v>0</v>
      </c>
      <c r="Q663" s="358">
        <v>0.18198037466547726</v>
      </c>
      <c r="R663" s="359">
        <v>0.67</v>
      </c>
      <c r="S663" s="196">
        <v>4432730000</v>
      </c>
      <c r="T663" s="196">
        <v>121500000</v>
      </c>
      <c r="U663" s="200">
        <f t="shared" si="116"/>
        <v>3572100000</v>
      </c>
      <c r="V663" s="196">
        <v>0</v>
      </c>
      <c r="W663" s="196">
        <v>2866000000</v>
      </c>
      <c r="X663" s="196">
        <v>1441000000</v>
      </c>
      <c r="Y663" s="196">
        <v>3915000000</v>
      </c>
      <c r="Z663" s="196">
        <v>1267000000</v>
      </c>
      <c r="AA663" s="198">
        <v>0</v>
      </c>
      <c r="AB663" s="198">
        <v>0</v>
      </c>
      <c r="AC663" s="213">
        <f t="shared" si="117"/>
        <v>945</v>
      </c>
      <c r="AD663" s="213">
        <f t="shared" si="118"/>
        <v>911</v>
      </c>
      <c r="AE663" s="213">
        <v>0.84</v>
      </c>
      <c r="AF663" s="196">
        <v>25000000</v>
      </c>
      <c r="AG663" s="104">
        <f t="shared" si="119"/>
        <v>0.20576131687242799</v>
      </c>
      <c r="AH663" s="104">
        <f t="shared" si="120"/>
        <v>0</v>
      </c>
      <c r="AI663" s="195">
        <v>0.92</v>
      </c>
    </row>
    <row r="664" spans="1:48">
      <c r="A664">
        <v>3306</v>
      </c>
      <c r="C664" s="107">
        <f>VLOOKUP(3306,收盤價!$A:$C,3,0)</f>
        <v>24.1</v>
      </c>
      <c r="D664" s="107">
        <f t="shared" si="110"/>
        <v>167.90983606557378</v>
      </c>
      <c r="E664" s="167">
        <f t="shared" si="111"/>
        <v>3</v>
      </c>
      <c r="F664" s="104">
        <f t="shared" si="112"/>
        <v>0.87801745148425459</v>
      </c>
      <c r="G664" s="167">
        <f>RANK(0.84,AE:AE,0)</f>
        <v>946</v>
      </c>
      <c r="H664" s="365">
        <f t="shared" si="113"/>
        <v>41.300395256917</v>
      </c>
      <c r="I664" s="213">
        <f t="shared" si="114"/>
        <v>284</v>
      </c>
      <c r="J664" s="213">
        <f t="shared" si="115"/>
        <v>3</v>
      </c>
      <c r="K664">
        <f>RANK(5.43,AI:AI,0)</f>
        <v>59</v>
      </c>
      <c r="L664" s="357">
        <v>1</v>
      </c>
      <c r="M664" s="357">
        <v>1</v>
      </c>
      <c r="N664" s="357">
        <v>0</v>
      </c>
      <c r="O664" s="357">
        <v>1</v>
      </c>
      <c r="P664" s="357">
        <v>0</v>
      </c>
      <c r="Q664" s="358">
        <v>0.24362606232294617</v>
      </c>
      <c r="R664" s="359">
        <v>3.5882352941176469E-2</v>
      </c>
      <c r="S664" s="196">
        <v>1388879000</v>
      </c>
      <c r="T664" s="196">
        <v>50600000</v>
      </c>
      <c r="U664" s="200">
        <f t="shared" si="116"/>
        <v>1219460000</v>
      </c>
      <c r="V664" s="196">
        <v>2000000</v>
      </c>
      <c r="W664" s="196">
        <v>838000000</v>
      </c>
      <c r="X664" s="196">
        <v>8000000</v>
      </c>
      <c r="Y664" s="196">
        <v>1433000000</v>
      </c>
      <c r="Z664" s="196">
        <v>0</v>
      </c>
      <c r="AA664" s="198">
        <v>0</v>
      </c>
      <c r="AB664" s="198">
        <v>0</v>
      </c>
      <c r="AC664" s="213">
        <f t="shared" si="117"/>
        <v>945</v>
      </c>
      <c r="AD664" s="213">
        <f t="shared" si="118"/>
        <v>911</v>
      </c>
      <c r="AE664" s="213">
        <v>0.84</v>
      </c>
      <c r="AF664" s="196">
        <v>86000000</v>
      </c>
      <c r="AG664" s="104">
        <f t="shared" si="119"/>
        <v>1.6996047430830039</v>
      </c>
      <c r="AH664" s="104">
        <f t="shared" si="120"/>
        <v>43</v>
      </c>
      <c r="AI664" s="195">
        <v>5.43</v>
      </c>
      <c r="AO664" s="213"/>
      <c r="AP664" s="213"/>
      <c r="AQ664" s="213"/>
      <c r="AR664" s="213"/>
      <c r="AS664" s="213"/>
      <c r="AT664" s="213"/>
      <c r="AU664" s="213"/>
      <c r="AV664" s="213"/>
    </row>
    <row r="665" spans="1:48">
      <c r="A665">
        <v>3308</v>
      </c>
      <c r="C665" s="107">
        <f>VLOOKUP(3308,收盤價!$A:$C,3,0)</f>
        <v>7.23</v>
      </c>
      <c r="D665" s="107">
        <f t="shared" si="110"/>
        <v>0</v>
      </c>
      <c r="E665" s="167">
        <f t="shared" si="111"/>
        <v>2</v>
      </c>
      <c r="F665" s="104">
        <f t="shared" si="112"/>
        <v>0.61346593384752979</v>
      </c>
      <c r="G665" s="167">
        <f>RANK(0.84,AE:AE,0)</f>
        <v>946</v>
      </c>
      <c r="H665" s="365">
        <f t="shared" si="113"/>
        <v>0.80080080080080085</v>
      </c>
      <c r="I665" s="213">
        <f t="shared" si="114"/>
        <v>1409</v>
      </c>
      <c r="J665" s="213">
        <f t="shared" si="115"/>
        <v>768</v>
      </c>
      <c r="K665">
        <f>RANK(0.72,AI:AI,0)</f>
        <v>1381</v>
      </c>
      <c r="L665" s="357">
        <v>0</v>
      </c>
      <c r="M665" s="357">
        <v>0</v>
      </c>
      <c r="N665" s="357">
        <v>2</v>
      </c>
      <c r="O665" s="357">
        <v>0</v>
      </c>
      <c r="P665" s="357">
        <v>0</v>
      </c>
      <c r="Q665" s="358">
        <v>0.15501519756838905</v>
      </c>
      <c r="R665" s="359">
        <v>0</v>
      </c>
      <c r="S665" s="196">
        <v>1177371000</v>
      </c>
      <c r="T665" s="196">
        <v>99900000</v>
      </c>
      <c r="U665" s="200">
        <f t="shared" si="116"/>
        <v>722277000</v>
      </c>
      <c r="V665" s="196">
        <v>3000000</v>
      </c>
      <c r="W665" s="196">
        <v>964000000</v>
      </c>
      <c r="X665" s="196">
        <v>550000000</v>
      </c>
      <c r="Y665" s="196">
        <v>1169000000</v>
      </c>
      <c r="Z665" s="196">
        <v>596000000</v>
      </c>
      <c r="AA665" s="198">
        <v>0</v>
      </c>
      <c r="AB665" s="198">
        <v>0</v>
      </c>
      <c r="AC665" s="213">
        <f t="shared" si="117"/>
        <v>945</v>
      </c>
      <c r="AD665" s="213">
        <f t="shared" si="118"/>
        <v>911</v>
      </c>
      <c r="AE665" s="213">
        <v>0.84</v>
      </c>
      <c r="AF665" s="196">
        <v>-80000000</v>
      </c>
      <c r="AG665" s="104">
        <f t="shared" si="119"/>
        <v>-0.80080080080080085</v>
      </c>
      <c r="AH665" s="104">
        <f t="shared" si="120"/>
        <v>0</v>
      </c>
      <c r="AI665" s="195">
        <v>0.72</v>
      </c>
    </row>
    <row r="666" spans="1:48">
      <c r="A666">
        <v>3310</v>
      </c>
      <c r="C666" s="107">
        <f>VLOOKUP(3310,收盤價!$A:$C,3,0)</f>
        <v>15.8</v>
      </c>
      <c r="D666" s="107">
        <f t="shared" si="110"/>
        <v>44.548872180451127</v>
      </c>
      <c r="E666" s="167">
        <f t="shared" si="111"/>
        <v>0</v>
      </c>
      <c r="F666" s="104">
        <f t="shared" si="112"/>
        <v>1.7204315750070187</v>
      </c>
      <c r="G666" s="167">
        <f>RANK(1.08,AE:AE,0)</f>
        <v>769</v>
      </c>
      <c r="H666" s="365">
        <f t="shared" si="113"/>
        <v>0.93219415359464408</v>
      </c>
      <c r="I666" s="213">
        <f t="shared" si="114"/>
        <v>895</v>
      </c>
      <c r="J666" s="213">
        <f t="shared" si="115"/>
        <v>472</v>
      </c>
      <c r="K666">
        <f>RANK(1.14,AI:AI,0)</f>
        <v>767</v>
      </c>
      <c r="L666" s="357">
        <v>0</v>
      </c>
      <c r="M666" s="357">
        <v>0</v>
      </c>
      <c r="N666" s="357">
        <v>0</v>
      </c>
      <c r="O666" s="357">
        <v>0</v>
      </c>
      <c r="P666" s="357">
        <v>0</v>
      </c>
      <c r="Q666" s="358">
        <v>0.25157232704402516</v>
      </c>
      <c r="R666" s="359">
        <v>8.8666666666666671E-2</v>
      </c>
      <c r="S666" s="196">
        <v>1025824000</v>
      </c>
      <c r="T666" s="196">
        <v>111700000</v>
      </c>
      <c r="U666" s="200">
        <f t="shared" si="116"/>
        <v>1764860000</v>
      </c>
      <c r="V666" s="196">
        <v>23000000</v>
      </c>
      <c r="W666" s="196">
        <v>1726000000</v>
      </c>
      <c r="X666" s="196">
        <v>37000000</v>
      </c>
      <c r="Y666" s="196">
        <v>1485000000</v>
      </c>
      <c r="Z666" s="196">
        <v>1281000000</v>
      </c>
      <c r="AA666" s="198">
        <v>0.01</v>
      </c>
      <c r="AB666" s="198">
        <v>0.01</v>
      </c>
      <c r="AC666" s="213">
        <f t="shared" si="117"/>
        <v>769</v>
      </c>
      <c r="AD666" s="213">
        <f t="shared" si="118"/>
        <v>680</v>
      </c>
      <c r="AE666" s="213">
        <v>1.08</v>
      </c>
      <c r="AF666" s="196">
        <v>27000000</v>
      </c>
      <c r="AG666" s="104">
        <f t="shared" si="119"/>
        <v>0.24171888988361684</v>
      </c>
      <c r="AH666" s="104">
        <f t="shared" si="120"/>
        <v>1.173913043478261</v>
      </c>
      <c r="AI666" s="195">
        <v>1.1399999999999999</v>
      </c>
    </row>
    <row r="667" spans="1:48">
      <c r="A667">
        <v>3311</v>
      </c>
      <c r="C667" s="107">
        <f>VLOOKUP(3311,收盤價!$A:$C,3,0)</f>
        <v>16.2</v>
      </c>
      <c r="D667" s="107">
        <f t="shared" si="110"/>
        <v>0</v>
      </c>
      <c r="E667" s="167">
        <f t="shared" si="111"/>
        <v>3</v>
      </c>
      <c r="F667" s="104">
        <f t="shared" si="112"/>
        <v>1.0357010850577972</v>
      </c>
      <c r="G667" s="167">
        <f>RANK(1.08,AE:AE,0)</f>
        <v>769</v>
      </c>
      <c r="H667" s="365">
        <f t="shared" si="113"/>
        <v>0.1583949313621964</v>
      </c>
      <c r="I667" s="213">
        <f t="shared" si="114"/>
        <v>1182</v>
      </c>
      <c r="J667" s="213">
        <f t="shared" si="115"/>
        <v>768</v>
      </c>
      <c r="K667">
        <f>RANK(0.8,AI:AI,0)</f>
        <v>1168</v>
      </c>
      <c r="L667" s="357">
        <v>0</v>
      </c>
      <c r="M667" s="357">
        <v>1</v>
      </c>
      <c r="N667" s="357">
        <v>2</v>
      </c>
      <c r="O667" s="357">
        <v>0</v>
      </c>
      <c r="P667" s="357">
        <v>0</v>
      </c>
      <c r="Q667" s="358">
        <v>0.14192495921696574</v>
      </c>
      <c r="R667" s="359">
        <v>0</v>
      </c>
      <c r="S667" s="196">
        <v>2962515000</v>
      </c>
      <c r="T667" s="196">
        <v>189400000</v>
      </c>
      <c r="U667" s="200">
        <f t="shared" si="116"/>
        <v>3068280000</v>
      </c>
      <c r="V667" s="196">
        <v>29000000</v>
      </c>
      <c r="W667" s="196">
        <v>3874000000</v>
      </c>
      <c r="X667" s="196">
        <v>1055000000</v>
      </c>
      <c r="Y667" s="196">
        <v>4136000000</v>
      </c>
      <c r="Z667" s="196">
        <v>0</v>
      </c>
      <c r="AA667" s="198">
        <v>0.01</v>
      </c>
      <c r="AB667" s="198">
        <v>0.01</v>
      </c>
      <c r="AC667" s="213">
        <f t="shared" si="117"/>
        <v>769</v>
      </c>
      <c r="AD667" s="213">
        <f t="shared" si="118"/>
        <v>680</v>
      </c>
      <c r="AE667" s="213">
        <v>1.08</v>
      </c>
      <c r="AF667" s="196">
        <v>-30000000</v>
      </c>
      <c r="AG667" s="104">
        <f t="shared" si="119"/>
        <v>-0.1583949313621964</v>
      </c>
      <c r="AH667" s="104">
        <f t="shared" si="120"/>
        <v>0</v>
      </c>
      <c r="AI667" s="195">
        <v>0.8</v>
      </c>
    </row>
    <row r="668" spans="1:48">
      <c r="A668">
        <v>3312</v>
      </c>
      <c r="C668" s="107">
        <f>VLOOKUP(3312,收盤價!$A:$C,3,0)</f>
        <v>7.2</v>
      </c>
      <c r="D668" s="107">
        <f t="shared" si="110"/>
        <v>6.6666666666666661</v>
      </c>
      <c r="E668" s="167">
        <f t="shared" si="111"/>
        <v>2</v>
      </c>
      <c r="F668" s="104">
        <f t="shared" si="112"/>
        <v>8.8800306136463961E-2</v>
      </c>
      <c r="G668" s="167">
        <f>RANK(0.84,AE:AE,0)</f>
        <v>946</v>
      </c>
      <c r="H668" s="365">
        <f t="shared" si="113"/>
        <v>0.28793774319066145</v>
      </c>
      <c r="I668" s="213">
        <f t="shared" si="114"/>
        <v>1265</v>
      </c>
      <c r="J668" s="213">
        <f t="shared" si="115"/>
        <v>768</v>
      </c>
      <c r="K668">
        <f>RANK(0.77,AI:AI,0)</f>
        <v>1243</v>
      </c>
      <c r="L668" s="357">
        <v>0</v>
      </c>
      <c r="M668" s="357">
        <v>1</v>
      </c>
      <c r="N668" s="357">
        <v>1</v>
      </c>
      <c r="O668" s="357">
        <v>0</v>
      </c>
      <c r="P668" s="357">
        <v>0</v>
      </c>
      <c r="Q668" s="358">
        <v>9.7981290004923685E-2</v>
      </c>
      <c r="R668" s="359">
        <v>0.27</v>
      </c>
      <c r="S668" s="196">
        <v>10418883000</v>
      </c>
      <c r="T668" s="196">
        <v>128500000</v>
      </c>
      <c r="U668" s="200">
        <f t="shared" si="116"/>
        <v>925200000</v>
      </c>
      <c r="V668" s="196">
        <v>0</v>
      </c>
      <c r="W668" s="196">
        <v>1386000000</v>
      </c>
      <c r="X668" s="196">
        <v>5000000</v>
      </c>
      <c r="Y668" s="196">
        <v>1451000000</v>
      </c>
      <c r="Z668" s="196">
        <v>916000000</v>
      </c>
      <c r="AA668" s="198">
        <v>0</v>
      </c>
      <c r="AB668" s="198">
        <v>0</v>
      </c>
      <c r="AC668" s="213">
        <f t="shared" si="117"/>
        <v>945</v>
      </c>
      <c r="AD668" s="213">
        <f t="shared" si="118"/>
        <v>911</v>
      </c>
      <c r="AE668" s="213">
        <v>0.84</v>
      </c>
      <c r="AF668" s="196">
        <v>-37000000</v>
      </c>
      <c r="AG668" s="104">
        <f t="shared" si="119"/>
        <v>-0.28793774319066145</v>
      </c>
      <c r="AH668" s="104">
        <f t="shared" si="120"/>
        <v>0</v>
      </c>
      <c r="AI668" s="195">
        <v>0.77</v>
      </c>
      <c r="AO668" s="213"/>
      <c r="AP668" s="213"/>
      <c r="AQ668" s="213"/>
      <c r="AR668" s="213"/>
      <c r="AS668" s="213"/>
      <c r="AT668" s="213"/>
      <c r="AU668" s="213"/>
      <c r="AV668" s="213"/>
    </row>
    <row r="669" spans="1:48">
      <c r="A669">
        <v>3313</v>
      </c>
      <c r="C669" s="107">
        <f>VLOOKUP(3313,收盤價!$A:$C,3,0)</f>
        <v>15.95</v>
      </c>
      <c r="D669" s="107">
        <f t="shared" si="110"/>
        <v>0</v>
      </c>
      <c r="E669" s="167">
        <f t="shared" si="111"/>
        <v>2</v>
      </c>
      <c r="F669" s="104">
        <f t="shared" si="112"/>
        <v>0.83533635067115142</v>
      </c>
      <c r="G669" s="167">
        <f>RANK(0.59,AE:AE,0)</f>
        <v>1348</v>
      </c>
      <c r="H669" s="365">
        <f t="shared" si="113"/>
        <v>0.51312649164677804</v>
      </c>
      <c r="I669" s="213">
        <f t="shared" si="114"/>
        <v>1348</v>
      </c>
      <c r="J669" s="213">
        <f t="shared" si="115"/>
        <v>768</v>
      </c>
      <c r="K669">
        <f>RANK(0.74,AI:AI,0)</f>
        <v>1324</v>
      </c>
      <c r="L669" s="357">
        <v>0</v>
      </c>
      <c r="M669" s="357">
        <v>1</v>
      </c>
      <c r="N669" s="357">
        <v>1</v>
      </c>
      <c r="O669" s="357">
        <v>0</v>
      </c>
      <c r="P669" s="357">
        <v>0</v>
      </c>
      <c r="Q669" s="358">
        <v>0.15384615384615385</v>
      </c>
      <c r="R669" s="359">
        <v>0</v>
      </c>
      <c r="S669" s="196">
        <v>1600086000</v>
      </c>
      <c r="T669" s="196">
        <v>83800000</v>
      </c>
      <c r="U669" s="200">
        <f t="shared" si="116"/>
        <v>1336610000</v>
      </c>
      <c r="V669" s="196">
        <v>-16000000</v>
      </c>
      <c r="W669" s="196">
        <v>705000000</v>
      </c>
      <c r="X669" s="196">
        <v>250000000</v>
      </c>
      <c r="Y669" s="196">
        <v>1048000000</v>
      </c>
      <c r="Z669" s="196">
        <v>343000000</v>
      </c>
      <c r="AA669" s="198">
        <v>-0.02</v>
      </c>
      <c r="AB669" s="198">
        <v>-0.01</v>
      </c>
      <c r="AC669" s="213">
        <f t="shared" si="117"/>
        <v>1353</v>
      </c>
      <c r="AD669" s="213">
        <f t="shared" si="118"/>
        <v>1294</v>
      </c>
      <c r="AE669" s="213">
        <v>0.59</v>
      </c>
      <c r="AF669" s="196">
        <v>-43000000</v>
      </c>
      <c r="AG669" s="104">
        <f t="shared" si="119"/>
        <v>-0.51312649164677804</v>
      </c>
      <c r="AH669" s="104">
        <f t="shared" si="120"/>
        <v>0</v>
      </c>
      <c r="AI669" s="195">
        <v>0.74</v>
      </c>
    </row>
    <row r="670" spans="1:48">
      <c r="A670">
        <v>3315</v>
      </c>
      <c r="C670" s="107">
        <f>VLOOKUP(3315,收盤價!$A:$C,3,0)</f>
        <v>18.350000000000001</v>
      </c>
      <c r="D670" s="107">
        <f t="shared" si="110"/>
        <v>229.375</v>
      </c>
      <c r="E670" s="167">
        <f t="shared" si="111"/>
        <v>2</v>
      </c>
      <c r="F670" s="104">
        <f t="shared" si="112"/>
        <v>0.12745425052349901</v>
      </c>
      <c r="G670" s="167">
        <f>RANK(0.84,AE:AE,0)</f>
        <v>946</v>
      </c>
      <c r="H670" s="365">
        <f t="shared" si="113"/>
        <v>1.4366998577524894</v>
      </c>
      <c r="I670" s="213">
        <f t="shared" si="114"/>
        <v>1474</v>
      </c>
      <c r="J670" s="213">
        <f t="shared" si="115"/>
        <v>768</v>
      </c>
      <c r="K670">
        <f>RANK(0.69,AI:AI,0)</f>
        <v>1474</v>
      </c>
      <c r="L670" s="357">
        <v>0</v>
      </c>
      <c r="M670" s="357">
        <v>1</v>
      </c>
      <c r="N670" s="357">
        <v>1</v>
      </c>
      <c r="O670" s="357">
        <v>0</v>
      </c>
      <c r="P670" s="357">
        <v>0</v>
      </c>
      <c r="Q670" s="358">
        <v>5.991902834008097E-2</v>
      </c>
      <c r="R670" s="359">
        <v>0.02</v>
      </c>
      <c r="S670" s="196">
        <v>10121318000</v>
      </c>
      <c r="T670" s="196">
        <v>70300000</v>
      </c>
      <c r="U670" s="200">
        <f t="shared" si="116"/>
        <v>1290005000</v>
      </c>
      <c r="V670" s="196">
        <v>0</v>
      </c>
      <c r="W670" s="196">
        <v>1524000000</v>
      </c>
      <c r="X670" s="196">
        <v>14000000</v>
      </c>
      <c r="Y670" s="196">
        <v>1588000000</v>
      </c>
      <c r="Z670" s="196">
        <v>2203000000</v>
      </c>
      <c r="AA670" s="198">
        <v>0</v>
      </c>
      <c r="AB670" s="198">
        <v>0</v>
      </c>
      <c r="AC670" s="213">
        <f t="shared" si="117"/>
        <v>945</v>
      </c>
      <c r="AD670" s="213">
        <f t="shared" si="118"/>
        <v>911</v>
      </c>
      <c r="AE670" s="213">
        <v>0.84</v>
      </c>
      <c r="AF670" s="196">
        <v>-101000000</v>
      </c>
      <c r="AG670" s="104">
        <f t="shared" si="119"/>
        <v>-1.4366998577524894</v>
      </c>
      <c r="AH670" s="104">
        <f t="shared" si="120"/>
        <v>0</v>
      </c>
      <c r="AI670" s="195">
        <v>0.69</v>
      </c>
    </row>
    <row r="671" spans="1:48">
      <c r="A671">
        <v>3317</v>
      </c>
      <c r="C671" s="107">
        <f>VLOOKUP(3317,收盤價!$A:$C,3,0)</f>
        <v>15.6</v>
      </c>
      <c r="D671" s="107">
        <f t="shared" si="110"/>
        <v>9.2857142857142865</v>
      </c>
      <c r="E671" s="167">
        <f t="shared" si="111"/>
        <v>5</v>
      </c>
      <c r="F671" s="104">
        <f t="shared" si="112"/>
        <v>0.41362915595049321</v>
      </c>
      <c r="G671" s="167">
        <f>RANK(1.41,AE:AE,0)</f>
        <v>618</v>
      </c>
      <c r="H671" s="365">
        <f t="shared" si="113"/>
        <v>0.91908646003262651</v>
      </c>
      <c r="I671" s="213">
        <f t="shared" si="114"/>
        <v>573</v>
      </c>
      <c r="J671" s="213">
        <f t="shared" si="115"/>
        <v>299</v>
      </c>
      <c r="K671">
        <f>RANK(1.79,AI:AI,0)</f>
        <v>420</v>
      </c>
      <c r="L671" s="357">
        <v>1</v>
      </c>
      <c r="M671" s="357">
        <v>1</v>
      </c>
      <c r="N671" s="357">
        <v>2</v>
      </c>
      <c r="O671" s="357">
        <v>1</v>
      </c>
      <c r="P671" s="357">
        <v>0</v>
      </c>
      <c r="Q671" s="358">
        <v>0.20102214650766609</v>
      </c>
      <c r="R671" s="359">
        <v>0.42</v>
      </c>
      <c r="S671" s="196">
        <v>2311926000</v>
      </c>
      <c r="T671" s="196">
        <v>61300000</v>
      </c>
      <c r="U671" s="200">
        <f t="shared" si="116"/>
        <v>956280000</v>
      </c>
      <c r="V671" s="196">
        <v>30000000</v>
      </c>
      <c r="W671" s="196">
        <v>1097000000</v>
      </c>
      <c r="X671" s="196">
        <v>323000000</v>
      </c>
      <c r="Y671" s="196">
        <v>1498000000</v>
      </c>
      <c r="Z671" s="196">
        <v>499000000</v>
      </c>
      <c r="AA671" s="198">
        <v>0.02</v>
      </c>
      <c r="AB671" s="198">
        <v>0.02</v>
      </c>
      <c r="AC671" s="213">
        <f t="shared" si="117"/>
        <v>616</v>
      </c>
      <c r="AD671" s="213">
        <f t="shared" si="118"/>
        <v>487</v>
      </c>
      <c r="AE671" s="213">
        <v>1.41</v>
      </c>
      <c r="AF671" s="196">
        <v>54000000</v>
      </c>
      <c r="AG671" s="104">
        <f t="shared" si="119"/>
        <v>0.88091353996737354</v>
      </c>
      <c r="AH671" s="104">
        <f t="shared" si="120"/>
        <v>1.8</v>
      </c>
      <c r="AI671" s="195">
        <v>1.79</v>
      </c>
      <c r="AO671" s="213"/>
      <c r="AP671" s="213"/>
      <c r="AQ671" s="213"/>
      <c r="AR671" s="213"/>
      <c r="AS671" s="213"/>
      <c r="AT671" s="213"/>
      <c r="AU671" s="213"/>
      <c r="AV671" s="213"/>
    </row>
    <row r="672" spans="1:48">
      <c r="A672">
        <v>3321</v>
      </c>
      <c r="C672" s="107">
        <f>VLOOKUP(3321,收盤價!$A:$C,3,0)</f>
        <v>16.399999999999999</v>
      </c>
      <c r="D672" s="107">
        <f t="shared" si="110"/>
        <v>0</v>
      </c>
      <c r="E672" s="167">
        <f t="shared" si="111"/>
        <v>0</v>
      </c>
      <c r="F672" s="104">
        <f t="shared" si="112"/>
        <v>0.58026579481028651</v>
      </c>
      <c r="G672" s="167">
        <f>RANK(0.52,AE:AE,0)</f>
        <v>1493</v>
      </c>
      <c r="H672" s="365">
        <f t="shared" si="113"/>
        <v>0.10112359550561797</v>
      </c>
      <c r="I672" s="213">
        <f t="shared" si="114"/>
        <v>1140</v>
      </c>
      <c r="J672" s="213">
        <f t="shared" si="115"/>
        <v>768</v>
      </c>
      <c r="K672">
        <f>RANK(0.82,AI:AI,0)</f>
        <v>1121</v>
      </c>
      <c r="L672" s="357">
        <v>0</v>
      </c>
      <c r="M672" s="357">
        <v>0</v>
      </c>
      <c r="N672" s="357">
        <v>0</v>
      </c>
      <c r="O672" s="357">
        <v>0</v>
      </c>
      <c r="P672" s="357">
        <v>0</v>
      </c>
      <c r="Q672" s="358">
        <v>5.9726962457337884E-2</v>
      </c>
      <c r="R672" s="359">
        <v>0</v>
      </c>
      <c r="S672" s="196">
        <v>2515399000</v>
      </c>
      <c r="T672" s="196">
        <v>89000000</v>
      </c>
      <c r="U672" s="200">
        <f t="shared" si="116"/>
        <v>1459599999.9999998</v>
      </c>
      <c r="V672" s="196">
        <v>-80000000</v>
      </c>
      <c r="W672" s="196">
        <v>330000000</v>
      </c>
      <c r="X672" s="196">
        <v>1321000000</v>
      </c>
      <c r="Y672" s="196">
        <v>1345000000</v>
      </c>
      <c r="Z672" s="196">
        <v>140000000</v>
      </c>
      <c r="AA672" s="198">
        <v>-0.05</v>
      </c>
      <c r="AB672" s="198">
        <v>-0.05</v>
      </c>
      <c r="AC672" s="213">
        <f t="shared" si="117"/>
        <v>1468</v>
      </c>
      <c r="AD672" s="213">
        <f t="shared" si="118"/>
        <v>1500</v>
      </c>
      <c r="AE672" s="213">
        <v>0.52</v>
      </c>
      <c r="AF672" s="196">
        <v>-9000000</v>
      </c>
      <c r="AG672" s="104">
        <f t="shared" si="119"/>
        <v>-0.10112359550561797</v>
      </c>
      <c r="AH672" s="104">
        <f t="shared" si="120"/>
        <v>0</v>
      </c>
      <c r="AI672" s="195">
        <v>0.82</v>
      </c>
    </row>
    <row r="673" spans="1:48">
      <c r="A673">
        <v>3322</v>
      </c>
      <c r="C673" s="107">
        <f>VLOOKUP(3322,收盤價!$A:$C,3,0)</f>
        <v>8</v>
      </c>
      <c r="D673" s="107">
        <f t="shared" si="110"/>
        <v>0</v>
      </c>
      <c r="E673" s="167">
        <f t="shared" si="111"/>
        <v>1</v>
      </c>
      <c r="F673" s="104">
        <f t="shared" si="112"/>
        <v>0.3032581827499094</v>
      </c>
      <c r="G673" s="167">
        <f>RANK(0.56,AE:AE,0)</f>
        <v>1414</v>
      </c>
      <c r="H673" s="365">
        <f t="shared" si="113"/>
        <v>0.33564814814814814</v>
      </c>
      <c r="I673" s="213">
        <f t="shared" si="114"/>
        <v>1282</v>
      </c>
      <c r="J673" s="213">
        <f t="shared" si="115"/>
        <v>768</v>
      </c>
      <c r="K673">
        <f>RANK(0.76,AI:AI,0)</f>
        <v>1269</v>
      </c>
      <c r="L673" s="357">
        <v>0</v>
      </c>
      <c r="M673" s="357">
        <v>1</v>
      </c>
      <c r="N673" s="357">
        <v>0</v>
      </c>
      <c r="O673" s="357">
        <v>0</v>
      </c>
      <c r="P673" s="357">
        <v>0</v>
      </c>
      <c r="Q673" s="358">
        <v>0.14728682170542637</v>
      </c>
      <c r="R673" s="359">
        <v>0</v>
      </c>
      <c r="S673" s="196">
        <v>2279246000</v>
      </c>
      <c r="T673" s="196">
        <v>86400000</v>
      </c>
      <c r="U673" s="200">
        <f t="shared" si="116"/>
        <v>691200000</v>
      </c>
      <c r="V673" s="196">
        <v>-30000000</v>
      </c>
      <c r="W673" s="196">
        <v>876000000</v>
      </c>
      <c r="X673" s="196">
        <v>384000000</v>
      </c>
      <c r="Y673" s="196">
        <v>1030000000</v>
      </c>
      <c r="Z673" s="196">
        <v>130000000</v>
      </c>
      <c r="AA673" s="198">
        <v>-0.02</v>
      </c>
      <c r="AB673" s="198">
        <v>-0.03</v>
      </c>
      <c r="AC673" s="213">
        <f t="shared" si="117"/>
        <v>1353</v>
      </c>
      <c r="AD673" s="213">
        <f t="shared" si="118"/>
        <v>1444</v>
      </c>
      <c r="AE673" s="213">
        <v>0.56000000000000005</v>
      </c>
      <c r="AF673" s="196">
        <v>-29000000</v>
      </c>
      <c r="AG673" s="104">
        <f t="shared" si="119"/>
        <v>-0.33564814814814814</v>
      </c>
      <c r="AH673" s="104">
        <f t="shared" si="120"/>
        <v>0</v>
      </c>
      <c r="AI673" s="195">
        <v>0.76</v>
      </c>
    </row>
    <row r="674" spans="1:48">
      <c r="A674">
        <v>3323</v>
      </c>
      <c r="C674" s="107">
        <f>VLOOKUP(3323,收盤價!$A:$C,3,0)</f>
        <v>17.649999999999999</v>
      </c>
      <c r="D674" s="107">
        <f t="shared" si="110"/>
        <v>0</v>
      </c>
      <c r="E674" s="167">
        <f t="shared" si="111"/>
        <v>2</v>
      </c>
      <c r="F674" s="104">
        <f t="shared" si="112"/>
        <v>0.33683191869682955</v>
      </c>
      <c r="G674" s="167">
        <f>RANK(0.84,AE:AE,0)</f>
        <v>946</v>
      </c>
      <c r="H674" s="365">
        <f t="shared" si="113"/>
        <v>20.403986710963455</v>
      </c>
      <c r="I674" s="213">
        <f t="shared" si="114"/>
        <v>434</v>
      </c>
      <c r="J674" s="213">
        <f t="shared" si="115"/>
        <v>13</v>
      </c>
      <c r="K674">
        <f>RANK(3.49,AI:AI,0)</f>
        <v>126</v>
      </c>
      <c r="L674" s="357">
        <v>0</v>
      </c>
      <c r="M674" s="357">
        <v>1</v>
      </c>
      <c r="N674" s="357">
        <v>1</v>
      </c>
      <c r="O674" s="357">
        <v>0</v>
      </c>
      <c r="P674" s="357">
        <v>0</v>
      </c>
      <c r="Q674" s="358">
        <v>9.9035933391761616E-2</v>
      </c>
      <c r="R674" s="359">
        <v>0</v>
      </c>
      <c r="S674" s="196">
        <v>4731722000</v>
      </c>
      <c r="T674" s="196">
        <v>90300000</v>
      </c>
      <c r="U674" s="200">
        <f t="shared" si="116"/>
        <v>1593794999.9999998</v>
      </c>
      <c r="V674" s="196">
        <v>5000000</v>
      </c>
      <c r="W674" s="196">
        <v>1613000000</v>
      </c>
      <c r="X674" s="196">
        <v>494000000</v>
      </c>
      <c r="Y674" s="196">
        <v>2174000000</v>
      </c>
      <c r="Z674" s="196">
        <v>214000000</v>
      </c>
      <c r="AA674" s="198">
        <v>0</v>
      </c>
      <c r="AB674" s="198">
        <v>0</v>
      </c>
      <c r="AC674" s="213">
        <f t="shared" si="117"/>
        <v>945</v>
      </c>
      <c r="AD674" s="213">
        <f t="shared" si="118"/>
        <v>911</v>
      </c>
      <c r="AE674" s="213">
        <v>0.84</v>
      </c>
      <c r="AF674" s="196">
        <v>108000000</v>
      </c>
      <c r="AG674" s="104">
        <f t="shared" si="119"/>
        <v>1.1960132890365449</v>
      </c>
      <c r="AH674" s="104">
        <f t="shared" si="120"/>
        <v>21.6</v>
      </c>
      <c r="AI674" s="195">
        <v>3.49</v>
      </c>
      <c r="AO674" s="213"/>
      <c r="AP674" s="213"/>
      <c r="AQ674" s="213"/>
      <c r="AR674" s="213"/>
      <c r="AS674" s="213"/>
      <c r="AT674" s="213"/>
      <c r="AU674" s="213"/>
      <c r="AV674" s="213"/>
    </row>
    <row r="675" spans="1:48">
      <c r="A675">
        <v>3324</v>
      </c>
      <c r="C675" s="107">
        <f>VLOOKUP(3324,收盤價!$A:$C,3,0)</f>
        <v>96.2</v>
      </c>
      <c r="D675" s="107">
        <f t="shared" si="110"/>
        <v>13.237748579545455</v>
      </c>
      <c r="E675" s="167">
        <f t="shared" si="111"/>
        <v>3</v>
      </c>
      <c r="F675" s="104">
        <f t="shared" si="112"/>
        <v>1.2102452299922224</v>
      </c>
      <c r="G675" s="167">
        <f>RANK(31.8,AE:AE,0)</f>
        <v>17</v>
      </c>
      <c r="H675" s="365">
        <f t="shared" si="113"/>
        <v>-2.5964724382676696</v>
      </c>
      <c r="I675" s="213">
        <f t="shared" si="114"/>
        <v>51</v>
      </c>
      <c r="J675" s="213">
        <f t="shared" si="115"/>
        <v>270</v>
      </c>
      <c r="K675">
        <f>RANK(4.85,AI:AI,0)</f>
        <v>69</v>
      </c>
      <c r="L675" s="357">
        <v>0</v>
      </c>
      <c r="M675" s="357">
        <v>1</v>
      </c>
      <c r="N675" s="357">
        <v>0</v>
      </c>
      <c r="O675" s="357">
        <v>1</v>
      </c>
      <c r="P675" s="357">
        <v>1</v>
      </c>
      <c r="Q675" s="358">
        <v>0.22487346348517714</v>
      </c>
      <c r="R675" s="359">
        <v>1.816774193548387</v>
      </c>
      <c r="S675" s="196">
        <v>5667496000</v>
      </c>
      <c r="T675" s="196">
        <v>71300000</v>
      </c>
      <c r="U675" s="200">
        <f t="shared" si="116"/>
        <v>6859060000</v>
      </c>
      <c r="V675" s="196">
        <v>165000000</v>
      </c>
      <c r="W675" s="196">
        <v>393000000</v>
      </c>
      <c r="X675" s="196">
        <v>974000000</v>
      </c>
      <c r="Y675" s="196">
        <v>1565000000</v>
      </c>
      <c r="Z675" s="196">
        <v>145000000</v>
      </c>
      <c r="AA675" s="198">
        <v>0.12</v>
      </c>
      <c r="AB675" s="198">
        <v>0.1</v>
      </c>
      <c r="AC675" s="213">
        <f t="shared" si="117"/>
        <v>32</v>
      </c>
      <c r="AD675" s="213">
        <f t="shared" si="118"/>
        <v>17</v>
      </c>
      <c r="AE675" s="213">
        <v>31.8</v>
      </c>
      <c r="AF675" s="196">
        <v>326000000</v>
      </c>
      <c r="AG675" s="104">
        <f t="shared" si="119"/>
        <v>4.5722300140252452</v>
      </c>
      <c r="AH675" s="104">
        <f t="shared" si="120"/>
        <v>1.9757575757575758</v>
      </c>
      <c r="AI675" s="195">
        <v>4.8499999999999996</v>
      </c>
    </row>
    <row r="676" spans="1:48">
      <c r="A676">
        <v>3325</v>
      </c>
      <c r="C676" s="107">
        <f>VLOOKUP(3325,收盤價!$A:$C,3,0)</f>
        <v>23.85</v>
      </c>
      <c r="D676" s="107">
        <f t="shared" si="110"/>
        <v>0</v>
      </c>
      <c r="E676" s="167">
        <f t="shared" si="111"/>
        <v>1</v>
      </c>
      <c r="F676" s="104">
        <f t="shared" si="112"/>
        <v>1.3503420218761819</v>
      </c>
      <c r="G676" s="167">
        <f>RANK(0.84,AE:AE,0)</f>
        <v>946</v>
      </c>
      <c r="H676" s="365">
        <f t="shared" si="113"/>
        <v>-1.5434500648508431</v>
      </c>
      <c r="I676" s="213">
        <f t="shared" si="114"/>
        <v>334</v>
      </c>
      <c r="J676" s="213">
        <f t="shared" si="115"/>
        <v>768</v>
      </c>
      <c r="K676">
        <f>RANK(1.41,AI:AI,0)</f>
        <v>613</v>
      </c>
      <c r="L676" s="357">
        <v>0</v>
      </c>
      <c r="M676" s="357">
        <v>0</v>
      </c>
      <c r="N676" s="357">
        <v>0</v>
      </c>
      <c r="O676" s="357">
        <v>1</v>
      </c>
      <c r="P676" s="357">
        <v>0</v>
      </c>
      <c r="Q676" s="358">
        <v>0.14074074074074075</v>
      </c>
      <c r="R676" s="359">
        <v>0</v>
      </c>
      <c r="S676" s="196">
        <v>1361755000</v>
      </c>
      <c r="T676" s="196">
        <v>77100000</v>
      </c>
      <c r="U676" s="200">
        <f t="shared" si="116"/>
        <v>1838835000</v>
      </c>
      <c r="V676" s="196">
        <v>-4000000</v>
      </c>
      <c r="W676" s="196">
        <v>523000000</v>
      </c>
      <c r="X676" s="196">
        <v>337000000</v>
      </c>
      <c r="Y676" s="196">
        <v>969000000</v>
      </c>
      <c r="Z676" s="196">
        <v>258000000</v>
      </c>
      <c r="AA676" s="198">
        <v>0</v>
      </c>
      <c r="AB676" s="198">
        <v>0</v>
      </c>
      <c r="AC676" s="213">
        <f t="shared" si="117"/>
        <v>945</v>
      </c>
      <c r="AD676" s="213">
        <f t="shared" si="118"/>
        <v>911</v>
      </c>
      <c r="AE676" s="213">
        <v>0.84</v>
      </c>
      <c r="AF676" s="196">
        <v>119000000</v>
      </c>
      <c r="AG676" s="104">
        <f t="shared" si="119"/>
        <v>1.5434500648508431</v>
      </c>
      <c r="AH676" s="104">
        <f t="shared" si="120"/>
        <v>0</v>
      </c>
      <c r="AI676" s="195">
        <v>1.41</v>
      </c>
    </row>
    <row r="677" spans="1:48">
      <c r="A677">
        <v>3332</v>
      </c>
      <c r="C677" s="107">
        <f>VLOOKUP(3332,收盤價!$A:$C,3,0)</f>
        <v>0</v>
      </c>
      <c r="D677" s="107">
        <f t="shared" si="110"/>
        <v>0</v>
      </c>
      <c r="E677" s="167">
        <f t="shared" si="111"/>
        <v>2</v>
      </c>
      <c r="F677" s="104">
        <f t="shared" si="112"/>
        <v>0</v>
      </c>
      <c r="G677" s="167">
        <f>RANK(1.94,AE:AE,0)</f>
        <v>435</v>
      </c>
      <c r="H677" s="365">
        <f t="shared" si="113"/>
        <v>0.22314622314622312</v>
      </c>
      <c r="I677" s="213">
        <f t="shared" si="114"/>
        <v>536</v>
      </c>
      <c r="J677" s="213">
        <f t="shared" si="115"/>
        <v>470</v>
      </c>
      <c r="K677">
        <f>RANK(1.55,AI:AI,0)</f>
        <v>529</v>
      </c>
      <c r="L677" s="357">
        <v>0</v>
      </c>
      <c r="M677" s="357">
        <v>0</v>
      </c>
      <c r="N677" s="357">
        <v>2</v>
      </c>
      <c r="O677" s="357">
        <v>0</v>
      </c>
      <c r="P677" s="357">
        <v>0</v>
      </c>
      <c r="Q677" s="358">
        <v>0.36082474226804123</v>
      </c>
      <c r="R677" s="359">
        <v>0.5586486486486486</v>
      </c>
      <c r="S677" s="196">
        <v>1100582000</v>
      </c>
      <c r="T677" s="196">
        <v>48100000</v>
      </c>
      <c r="U677" s="200">
        <f t="shared" si="116"/>
        <v>0</v>
      </c>
      <c r="V677" s="196">
        <v>39000000</v>
      </c>
      <c r="W677" s="196">
        <v>996000000</v>
      </c>
      <c r="X677" s="196">
        <v>225000000</v>
      </c>
      <c r="Y677" s="196">
        <v>1308000000</v>
      </c>
      <c r="Z677" s="196">
        <v>0</v>
      </c>
      <c r="AA677" s="198">
        <v>0.03</v>
      </c>
      <c r="AB677" s="198">
        <v>0.03</v>
      </c>
      <c r="AC677" s="213">
        <f t="shared" si="117"/>
        <v>469</v>
      </c>
      <c r="AD677" s="213">
        <f t="shared" si="118"/>
        <v>334</v>
      </c>
      <c r="AE677" s="213">
        <v>1.94</v>
      </c>
      <c r="AF677" s="196">
        <v>46000000</v>
      </c>
      <c r="AG677" s="104">
        <f t="shared" si="119"/>
        <v>0.95634095634095639</v>
      </c>
      <c r="AH677" s="104">
        <f t="shared" si="120"/>
        <v>1.1794871794871795</v>
      </c>
      <c r="AI677" s="195">
        <v>1.55</v>
      </c>
    </row>
    <row r="678" spans="1:48">
      <c r="A678">
        <v>3338</v>
      </c>
      <c r="C678" s="107">
        <f>VLOOKUP(3338,收盤價!$A:$C,3,0)</f>
        <v>30.7</v>
      </c>
      <c r="D678" s="107">
        <f t="shared" si="110"/>
        <v>21.773049645390071</v>
      </c>
      <c r="E678" s="167">
        <f t="shared" si="111"/>
        <v>3</v>
      </c>
      <c r="F678" s="104">
        <f t="shared" si="112"/>
        <v>0.77744170333346796</v>
      </c>
      <c r="G678" s="167">
        <f>RANK(1.94,AE:AE,0)</f>
        <v>435</v>
      </c>
      <c r="H678" s="365">
        <f t="shared" si="113"/>
        <v>1.2165368928439004</v>
      </c>
      <c r="I678" s="213">
        <f t="shared" si="114"/>
        <v>528</v>
      </c>
      <c r="J678" s="213">
        <f t="shared" si="115"/>
        <v>232</v>
      </c>
      <c r="K678">
        <f>RANK(2.05,AI:AI,0)</f>
        <v>321</v>
      </c>
      <c r="L678" s="357">
        <v>0</v>
      </c>
      <c r="M678" s="357">
        <v>1</v>
      </c>
      <c r="N678" s="357">
        <v>1</v>
      </c>
      <c r="O678" s="357">
        <v>1</v>
      </c>
      <c r="P678" s="357">
        <v>0</v>
      </c>
      <c r="Q678" s="358">
        <v>0.22644376899696048</v>
      </c>
      <c r="R678" s="359">
        <v>0.35249999999999998</v>
      </c>
      <c r="S678" s="196">
        <v>2748399000</v>
      </c>
      <c r="T678" s="196">
        <v>69600000</v>
      </c>
      <c r="U678" s="200">
        <f t="shared" si="116"/>
        <v>2136720000</v>
      </c>
      <c r="V678" s="196">
        <v>31000000</v>
      </c>
      <c r="W678" s="196">
        <v>716000000</v>
      </c>
      <c r="X678" s="196">
        <v>392000000</v>
      </c>
      <c r="Y678" s="196">
        <v>1007000000</v>
      </c>
      <c r="Z678" s="196">
        <v>0</v>
      </c>
      <c r="AA678" s="198">
        <v>0.03</v>
      </c>
      <c r="AB678" s="198">
        <v>0.03</v>
      </c>
      <c r="AC678" s="213">
        <f t="shared" si="117"/>
        <v>469</v>
      </c>
      <c r="AD678" s="213">
        <f t="shared" si="118"/>
        <v>334</v>
      </c>
      <c r="AE678" s="213">
        <v>1.94</v>
      </c>
      <c r="AF678" s="196">
        <v>68000000</v>
      </c>
      <c r="AG678" s="104">
        <f t="shared" si="119"/>
        <v>0.97701149425287359</v>
      </c>
      <c r="AH678" s="104">
        <f t="shared" si="120"/>
        <v>2.193548387096774</v>
      </c>
      <c r="AI678" s="195">
        <v>2.0499999999999998</v>
      </c>
    </row>
    <row r="679" spans="1:48">
      <c r="A679">
        <v>3339</v>
      </c>
      <c r="C679" s="107">
        <f>VLOOKUP(3339,收盤價!$A:$C,3,0)</f>
        <v>6.11</v>
      </c>
      <c r="D679" s="107">
        <f t="shared" si="110"/>
        <v>0</v>
      </c>
      <c r="E679" s="167">
        <f t="shared" si="111"/>
        <v>3</v>
      </c>
      <c r="F679" s="104">
        <f t="shared" si="112"/>
        <v>1.7986210539484841</v>
      </c>
      <c r="G679" s="167">
        <f>RANK(0.53,AE:AE,0)</f>
        <v>1475</v>
      </c>
      <c r="H679" s="365">
        <f t="shared" si="113"/>
        <v>-0.1452960406828914</v>
      </c>
      <c r="I679" s="213">
        <f t="shared" si="114"/>
        <v>966</v>
      </c>
      <c r="J679" s="213">
        <f t="shared" si="115"/>
        <v>768</v>
      </c>
      <c r="K679">
        <f>RANK(0.9,AI:AI,0)</f>
        <v>988</v>
      </c>
      <c r="L679" s="357">
        <v>0</v>
      </c>
      <c r="M679" s="357">
        <v>1</v>
      </c>
      <c r="N679" s="357">
        <v>2</v>
      </c>
      <c r="O679" s="357">
        <v>0</v>
      </c>
      <c r="P679" s="357">
        <v>0</v>
      </c>
      <c r="Q679" s="358">
        <v>-0.23012552301255229</v>
      </c>
      <c r="R679" s="359">
        <v>0</v>
      </c>
      <c r="S679" s="196">
        <v>935207000</v>
      </c>
      <c r="T679" s="196">
        <v>275300000</v>
      </c>
      <c r="U679" s="200">
        <f t="shared" si="116"/>
        <v>1682083000</v>
      </c>
      <c r="V679" s="196">
        <v>-76000000</v>
      </c>
      <c r="W679" s="196">
        <v>0</v>
      </c>
      <c r="X679" s="196">
        <v>1340000000</v>
      </c>
      <c r="Y679" s="196">
        <v>826000000</v>
      </c>
      <c r="Z679" s="196">
        <v>894000000</v>
      </c>
      <c r="AA679" s="198">
        <v>-0.06</v>
      </c>
      <c r="AB679" s="198">
        <v>-0.04</v>
      </c>
      <c r="AC679" s="213">
        <f t="shared" si="117"/>
        <v>1484</v>
      </c>
      <c r="AD679" s="213">
        <f t="shared" si="118"/>
        <v>1483</v>
      </c>
      <c r="AE679" s="213">
        <v>0.53</v>
      </c>
      <c r="AF679" s="196">
        <v>40000000</v>
      </c>
      <c r="AG679" s="104">
        <f t="shared" si="119"/>
        <v>0.1452960406828914</v>
      </c>
      <c r="AH679" s="104">
        <f t="shared" si="120"/>
        <v>0</v>
      </c>
      <c r="AI679" s="195">
        <v>0.9</v>
      </c>
      <c r="AO679" s="213"/>
      <c r="AP679" s="213"/>
      <c r="AQ679" s="213"/>
      <c r="AR679" s="213"/>
      <c r="AS679" s="213"/>
      <c r="AT679" s="213"/>
      <c r="AU679" s="213"/>
      <c r="AV679" s="213"/>
    </row>
    <row r="680" spans="1:48">
      <c r="A680">
        <v>3354</v>
      </c>
      <c r="C680" s="107">
        <f>VLOOKUP(3354,收盤價!$A:$C,3,0)</f>
        <v>9.34</v>
      </c>
      <c r="D680" s="107">
        <f t="shared" si="110"/>
        <v>0</v>
      </c>
      <c r="E680" s="167">
        <f t="shared" si="111"/>
        <v>4</v>
      </c>
      <c r="F680" s="104">
        <f t="shared" si="112"/>
        <v>1.6772928226103121</v>
      </c>
      <c r="G680" s="167">
        <f>RANK(0.57,AE:AE,0)</f>
        <v>1389</v>
      </c>
      <c r="H680" s="365">
        <f t="shared" si="113"/>
        <v>-0.19393939393939394</v>
      </c>
      <c r="I680" s="213">
        <f t="shared" si="114"/>
        <v>936</v>
      </c>
      <c r="J680" s="213">
        <f t="shared" si="115"/>
        <v>768</v>
      </c>
      <c r="K680">
        <f>RANK(0.91,AI:AI,0)</f>
        <v>974</v>
      </c>
      <c r="L680" s="357">
        <v>0</v>
      </c>
      <c r="M680" s="357">
        <v>1</v>
      </c>
      <c r="N680" s="357">
        <v>2</v>
      </c>
      <c r="O680" s="357">
        <v>1</v>
      </c>
      <c r="P680" s="357">
        <v>0</v>
      </c>
      <c r="Q680" s="358">
        <v>8.9108910891089105E-2</v>
      </c>
      <c r="R680" s="359">
        <v>0</v>
      </c>
      <c r="S680" s="196">
        <v>459401000</v>
      </c>
      <c r="T680" s="196">
        <v>82500000</v>
      </c>
      <c r="U680" s="200">
        <f t="shared" si="116"/>
        <v>770550000</v>
      </c>
      <c r="V680" s="196">
        <v>-20000000</v>
      </c>
      <c r="W680" s="196">
        <v>663000000</v>
      </c>
      <c r="X680" s="196">
        <v>404000000</v>
      </c>
      <c r="Y680" s="196">
        <v>1268000000</v>
      </c>
      <c r="Z680" s="196">
        <v>21000000</v>
      </c>
      <c r="AA680" s="198">
        <v>-0.02</v>
      </c>
      <c r="AB680" s="198">
        <v>-0.02</v>
      </c>
      <c r="AC680" s="213">
        <f t="shared" si="117"/>
        <v>1353</v>
      </c>
      <c r="AD680" s="213">
        <f t="shared" si="118"/>
        <v>1388</v>
      </c>
      <c r="AE680" s="213">
        <v>0.56999999999999995</v>
      </c>
      <c r="AF680" s="196">
        <v>16000000</v>
      </c>
      <c r="AG680" s="104">
        <f t="shared" si="119"/>
        <v>0.19393939393939394</v>
      </c>
      <c r="AH680" s="104">
        <f t="shared" si="120"/>
        <v>0</v>
      </c>
      <c r="AI680" s="195">
        <v>0.91</v>
      </c>
    </row>
    <row r="681" spans="1:48">
      <c r="A681">
        <v>3356</v>
      </c>
      <c r="C681" s="107">
        <f>VLOOKUP(3356,收盤價!$A:$C,3,0)</f>
        <v>48.9</v>
      </c>
      <c r="D681" s="107">
        <f t="shared" si="110"/>
        <v>17.203843730308758</v>
      </c>
      <c r="E681" s="167">
        <f t="shared" si="111"/>
        <v>1</v>
      </c>
      <c r="F681" s="104">
        <f t="shared" si="112"/>
        <v>1.8800759819084079</v>
      </c>
      <c r="G681" s="167">
        <f>RANK(2.32,AE:AE,0)</f>
        <v>360</v>
      </c>
      <c r="H681" s="365">
        <f t="shared" si="113"/>
        <v>0.28387096774193549</v>
      </c>
      <c r="I681" s="213">
        <f t="shared" si="114"/>
        <v>1262</v>
      </c>
      <c r="J681" s="213">
        <f t="shared" si="115"/>
        <v>768</v>
      </c>
      <c r="K681">
        <f>RANK(0.77,AI:AI,0)</f>
        <v>1243</v>
      </c>
      <c r="L681" s="357">
        <v>0</v>
      </c>
      <c r="M681" s="357">
        <v>1</v>
      </c>
      <c r="N681" s="357">
        <v>0</v>
      </c>
      <c r="O681" s="357">
        <v>0</v>
      </c>
      <c r="P681" s="357">
        <v>0</v>
      </c>
      <c r="Q681" s="358">
        <v>0.47</v>
      </c>
      <c r="R681" s="359">
        <v>0.71059701492537319</v>
      </c>
      <c r="S681" s="196">
        <v>2015743000</v>
      </c>
      <c r="T681" s="196">
        <v>77500000</v>
      </c>
      <c r="U681" s="200">
        <f t="shared" si="116"/>
        <v>3789750000</v>
      </c>
      <c r="V681" s="196">
        <v>69000000</v>
      </c>
      <c r="W681" s="196">
        <v>1487000000</v>
      </c>
      <c r="X681" s="196">
        <v>153000000</v>
      </c>
      <c r="Y681" s="196">
        <v>1785000000</v>
      </c>
      <c r="Z681" s="196">
        <v>325000000</v>
      </c>
      <c r="AA681" s="198">
        <v>0.04</v>
      </c>
      <c r="AB681" s="198">
        <v>0.03</v>
      </c>
      <c r="AC681" s="213">
        <f t="shared" si="117"/>
        <v>337</v>
      </c>
      <c r="AD681" s="213">
        <f t="shared" si="118"/>
        <v>334</v>
      </c>
      <c r="AE681" s="213">
        <v>2.3199999999999998</v>
      </c>
      <c r="AF681" s="196">
        <v>-22000000</v>
      </c>
      <c r="AG681" s="104">
        <f t="shared" si="119"/>
        <v>-0.28387096774193549</v>
      </c>
      <c r="AH681" s="104">
        <f t="shared" si="120"/>
        <v>0</v>
      </c>
      <c r="AI681" s="195">
        <v>0.77</v>
      </c>
    </row>
    <row r="682" spans="1:48">
      <c r="A682">
        <v>3360</v>
      </c>
      <c r="C682" s="107">
        <f>VLOOKUP(3360,收盤價!$A:$C,3,0)</f>
        <v>17.8</v>
      </c>
      <c r="D682" s="107">
        <f t="shared" si="110"/>
        <v>17.530303030303031</v>
      </c>
      <c r="E682" s="167">
        <f t="shared" si="111"/>
        <v>1</v>
      </c>
      <c r="F682" s="104">
        <f t="shared" si="112"/>
        <v>0.12018898620290537</v>
      </c>
      <c r="G682" s="167">
        <f>RANK(1.63,AE:AE,0)</f>
        <v>551</v>
      </c>
      <c r="H682" s="365">
        <f t="shared" si="113"/>
        <v>14.674048013245033</v>
      </c>
      <c r="I682" s="213">
        <f t="shared" si="114"/>
        <v>3</v>
      </c>
      <c r="J682" s="213">
        <f t="shared" si="115"/>
        <v>10</v>
      </c>
      <c r="K682">
        <f>RANK(119.85,AI:AI,0)</f>
        <v>1</v>
      </c>
      <c r="L682" s="357">
        <v>0</v>
      </c>
      <c r="M682" s="357">
        <v>0</v>
      </c>
      <c r="N682" s="357">
        <v>0</v>
      </c>
      <c r="O682" s="357">
        <v>1</v>
      </c>
      <c r="P682" s="357">
        <v>0</v>
      </c>
      <c r="Q682" s="358">
        <v>2.8592375366568914E-2</v>
      </c>
      <c r="R682" s="359">
        <v>0.25384615384615383</v>
      </c>
      <c r="S682" s="196">
        <v>11181557000</v>
      </c>
      <c r="T682" s="196">
        <v>75500000</v>
      </c>
      <c r="U682" s="200">
        <f t="shared" si="116"/>
        <v>1343900000</v>
      </c>
      <c r="V682" s="196">
        <v>32000000</v>
      </c>
      <c r="W682" s="196">
        <v>874000000</v>
      </c>
      <c r="X682" s="196">
        <v>106000000</v>
      </c>
      <c r="Y682" s="196">
        <v>1025000000</v>
      </c>
      <c r="Z682" s="196">
        <v>677000000</v>
      </c>
      <c r="AA682" s="198">
        <v>0.03</v>
      </c>
      <c r="AB682" s="198">
        <v>0.02</v>
      </c>
      <c r="AC682" s="213">
        <f t="shared" si="117"/>
        <v>469</v>
      </c>
      <c r="AD682" s="213">
        <f t="shared" si="118"/>
        <v>487</v>
      </c>
      <c r="AE682" s="213">
        <v>1.63</v>
      </c>
      <c r="AF682" s="196">
        <v>815000000</v>
      </c>
      <c r="AG682" s="104">
        <f t="shared" si="119"/>
        <v>10.794701986754967</v>
      </c>
      <c r="AH682" s="104">
        <f t="shared" si="120"/>
        <v>25.46875</v>
      </c>
      <c r="AI682" s="195">
        <v>119.85</v>
      </c>
    </row>
    <row r="683" spans="1:48">
      <c r="A683">
        <v>3362</v>
      </c>
      <c r="C683" s="107">
        <f>VLOOKUP(3362,收盤價!$A:$C,3,0)</f>
        <v>23.8</v>
      </c>
      <c r="D683" s="107">
        <f t="shared" si="110"/>
        <v>59.5</v>
      </c>
      <c r="E683" s="167">
        <f t="shared" si="111"/>
        <v>4</v>
      </c>
      <c r="F683" s="104">
        <f t="shared" si="112"/>
        <v>1.6918937638189615</v>
      </c>
      <c r="G683" s="167">
        <f>RANK(1.08,AE:AE,0)</f>
        <v>769</v>
      </c>
      <c r="H683" s="365">
        <f t="shared" si="113"/>
        <v>6.6216438807445238E-2</v>
      </c>
      <c r="I683" s="213">
        <f t="shared" si="114"/>
        <v>1058</v>
      </c>
      <c r="J683" s="213">
        <f t="shared" si="115"/>
        <v>759</v>
      </c>
      <c r="K683">
        <f>RANK(0.86,AI:AI,0)</f>
        <v>1045</v>
      </c>
      <c r="L683" s="357">
        <v>1</v>
      </c>
      <c r="M683" s="357">
        <v>1</v>
      </c>
      <c r="N683" s="357">
        <v>2</v>
      </c>
      <c r="O683" s="357">
        <v>0</v>
      </c>
      <c r="P683" s="357">
        <v>0</v>
      </c>
      <c r="Q683" s="358">
        <v>0.2064343163538874</v>
      </c>
      <c r="R683" s="359">
        <v>0.1</v>
      </c>
      <c r="S683" s="196">
        <v>1313865000</v>
      </c>
      <c r="T683" s="196">
        <v>93400000</v>
      </c>
      <c r="U683" s="200">
        <f t="shared" si="116"/>
        <v>2222920000</v>
      </c>
      <c r="V683" s="196">
        <v>13000000</v>
      </c>
      <c r="W683" s="196">
        <v>553000000</v>
      </c>
      <c r="X683" s="196">
        <v>623000000</v>
      </c>
      <c r="Y683" s="196">
        <v>1202000000</v>
      </c>
      <c r="Z683" s="196">
        <v>306000000</v>
      </c>
      <c r="AA683" s="198">
        <v>0.01</v>
      </c>
      <c r="AB683" s="198">
        <v>0.01</v>
      </c>
      <c r="AC683" s="213">
        <f t="shared" si="117"/>
        <v>769</v>
      </c>
      <c r="AD683" s="213">
        <f t="shared" si="118"/>
        <v>680</v>
      </c>
      <c r="AE683" s="213">
        <v>1.08</v>
      </c>
      <c r="AF683" s="196">
        <v>1000000</v>
      </c>
      <c r="AG683" s="104">
        <f t="shared" si="119"/>
        <v>1.0706638115631691E-2</v>
      </c>
      <c r="AH683" s="104">
        <f t="shared" si="120"/>
        <v>7.6923076923076927E-2</v>
      </c>
      <c r="AI683" s="195">
        <v>0.86</v>
      </c>
      <c r="AO683" s="213"/>
      <c r="AP683" s="213"/>
      <c r="AQ683" s="213"/>
      <c r="AR683" s="213"/>
      <c r="AS683" s="213"/>
      <c r="AT683" s="213"/>
      <c r="AU683" s="213"/>
      <c r="AV683" s="213"/>
    </row>
    <row r="684" spans="1:48">
      <c r="A684">
        <v>3363</v>
      </c>
      <c r="C684" s="107">
        <f>VLOOKUP(3363,收盤價!$A:$C,3,0)</f>
        <v>27</v>
      </c>
      <c r="D684" s="107">
        <f t="shared" si="110"/>
        <v>450</v>
      </c>
      <c r="E684" s="167">
        <f t="shared" si="111"/>
        <v>4</v>
      </c>
      <c r="F684" s="104">
        <f t="shared" si="112"/>
        <v>1.7290695275428101</v>
      </c>
      <c r="G684" s="167">
        <f>RANK(1.08,AE:AE,0)</f>
        <v>769</v>
      </c>
      <c r="H684" s="365">
        <f t="shared" si="113"/>
        <v>0.32018239492466299</v>
      </c>
      <c r="I684" s="213">
        <f t="shared" si="114"/>
        <v>1025</v>
      </c>
      <c r="J684" s="213">
        <f t="shared" si="115"/>
        <v>707</v>
      </c>
      <c r="K684">
        <f>RANK(0.9,AI:AI,0)</f>
        <v>988</v>
      </c>
      <c r="L684" s="357">
        <v>0</v>
      </c>
      <c r="M684" s="357">
        <v>1</v>
      </c>
      <c r="N684" s="357">
        <v>2</v>
      </c>
      <c r="O684" s="357">
        <v>1</v>
      </c>
      <c r="P684" s="357">
        <v>0</v>
      </c>
      <c r="Q684" s="358">
        <v>0.16449086161879894</v>
      </c>
      <c r="R684" s="359">
        <v>1.4999999999999999E-2</v>
      </c>
      <c r="S684" s="196">
        <v>1211750000</v>
      </c>
      <c r="T684" s="196">
        <v>77600000</v>
      </c>
      <c r="U684" s="200">
        <f t="shared" si="116"/>
        <v>2095200000</v>
      </c>
      <c r="V684" s="196">
        <v>13000000</v>
      </c>
      <c r="W684" s="196">
        <v>784000000</v>
      </c>
      <c r="X684" s="196">
        <v>340000000</v>
      </c>
      <c r="Y684" s="196">
        <v>1357000000</v>
      </c>
      <c r="Z684" s="196">
        <v>0</v>
      </c>
      <c r="AA684" s="198">
        <v>0.01</v>
      </c>
      <c r="AB684" s="198">
        <v>0.01</v>
      </c>
      <c r="AC684" s="213">
        <f t="shared" si="117"/>
        <v>769</v>
      </c>
      <c r="AD684" s="213">
        <f t="shared" si="118"/>
        <v>680</v>
      </c>
      <c r="AE684" s="213">
        <v>1.08</v>
      </c>
      <c r="AF684" s="196">
        <v>5000000</v>
      </c>
      <c r="AG684" s="104">
        <f t="shared" si="119"/>
        <v>6.4432989690721643E-2</v>
      </c>
      <c r="AH684" s="104">
        <f t="shared" si="120"/>
        <v>0.38461538461538464</v>
      </c>
      <c r="AI684" s="195">
        <v>0.9</v>
      </c>
    </row>
    <row r="685" spans="1:48">
      <c r="A685">
        <v>3372</v>
      </c>
      <c r="C685" s="107">
        <f>VLOOKUP(3372,收盤價!$A:$C,3,0)</f>
        <v>7.52</v>
      </c>
      <c r="D685" s="107">
        <f t="shared" si="110"/>
        <v>0</v>
      </c>
      <c r="E685" s="167">
        <f t="shared" si="111"/>
        <v>2</v>
      </c>
      <c r="F685" s="104">
        <f t="shared" si="112"/>
        <v>1.7704330851852363</v>
      </c>
      <c r="G685" s="167">
        <f>RANK(0.57,AE:AE,0)</f>
        <v>1389</v>
      </c>
      <c r="H685" s="365">
        <f t="shared" si="113"/>
        <v>2.4443901246638962E-3</v>
      </c>
      <c r="I685" s="213">
        <f t="shared" si="114"/>
        <v>1072</v>
      </c>
      <c r="J685" s="213">
        <f t="shared" si="115"/>
        <v>768</v>
      </c>
      <c r="K685">
        <f>RANK(0.85,AI:AI,0)</f>
        <v>1059</v>
      </c>
      <c r="L685" s="357">
        <v>0</v>
      </c>
      <c r="M685" s="357">
        <v>1</v>
      </c>
      <c r="N685" s="357">
        <v>1</v>
      </c>
      <c r="O685" s="357">
        <v>0</v>
      </c>
      <c r="P685" s="357">
        <v>0</v>
      </c>
      <c r="Q685" s="358">
        <v>-7.0135746606334842E-2</v>
      </c>
      <c r="R685" s="359">
        <v>0</v>
      </c>
      <c r="S685" s="196">
        <v>1737672000</v>
      </c>
      <c r="T685" s="196">
        <v>409100000</v>
      </c>
      <c r="U685" s="200">
        <f t="shared" si="116"/>
        <v>3076432000</v>
      </c>
      <c r="V685" s="196">
        <v>-66000000</v>
      </c>
      <c r="W685" s="196">
        <v>1635000000</v>
      </c>
      <c r="X685" s="196">
        <v>1688000000</v>
      </c>
      <c r="Y685" s="196">
        <v>3365000000</v>
      </c>
      <c r="Z685" s="196">
        <v>0</v>
      </c>
      <c r="AA685" s="198">
        <v>-0.02</v>
      </c>
      <c r="AB685" s="198">
        <v>-0.02</v>
      </c>
      <c r="AC685" s="213">
        <f t="shared" si="117"/>
        <v>1353</v>
      </c>
      <c r="AD685" s="213">
        <f t="shared" si="118"/>
        <v>1388</v>
      </c>
      <c r="AE685" s="213">
        <v>0.56999999999999995</v>
      </c>
      <c r="AF685" s="196">
        <v>-1000000</v>
      </c>
      <c r="AG685" s="104">
        <f t="shared" si="119"/>
        <v>-2.4443901246638962E-3</v>
      </c>
      <c r="AH685" s="104">
        <f t="shared" si="120"/>
        <v>0</v>
      </c>
      <c r="AI685" s="195">
        <v>0.85</v>
      </c>
    </row>
    <row r="686" spans="1:48">
      <c r="A686">
        <v>3373</v>
      </c>
      <c r="C686" s="107">
        <f>VLOOKUP(3373,收盤價!$A:$C,3,0)</f>
        <v>21.05</v>
      </c>
      <c r="D686" s="107">
        <f t="shared" si="110"/>
        <v>12.204313543599259</v>
      </c>
      <c r="E686" s="167">
        <f t="shared" si="111"/>
        <v>4</v>
      </c>
      <c r="F686" s="104">
        <f t="shared" si="112"/>
        <v>0.93616957902077935</v>
      </c>
      <c r="G686" s="167">
        <f>RANK(2.32,AE:AE,0)</f>
        <v>360</v>
      </c>
      <c r="H686" s="365">
        <f t="shared" si="113"/>
        <v>0.71342504267496742</v>
      </c>
      <c r="I686" s="213">
        <f t="shared" si="114"/>
        <v>604</v>
      </c>
      <c r="J686" s="213">
        <f t="shared" si="115"/>
        <v>369</v>
      </c>
      <c r="K686">
        <f>RANK(1.6,AI:AI,0)</f>
        <v>503</v>
      </c>
      <c r="L686" s="357">
        <v>0</v>
      </c>
      <c r="M686" s="357">
        <v>1</v>
      </c>
      <c r="N686" s="357">
        <v>2</v>
      </c>
      <c r="O686" s="357">
        <v>1</v>
      </c>
      <c r="P686" s="357">
        <v>0</v>
      </c>
      <c r="Q686" s="358">
        <v>0.26890756302521007</v>
      </c>
      <c r="R686" s="359">
        <v>0.43119999999999997</v>
      </c>
      <c r="S686" s="196">
        <v>973611000</v>
      </c>
      <c r="T686" s="196">
        <v>43300000</v>
      </c>
      <c r="U686" s="200">
        <f t="shared" si="116"/>
        <v>911465000</v>
      </c>
      <c r="V686" s="196">
        <v>23000000</v>
      </c>
      <c r="W686" s="196">
        <v>469000000</v>
      </c>
      <c r="X686" s="196">
        <v>122000000</v>
      </c>
      <c r="Y686" s="196">
        <v>710000000</v>
      </c>
      <c r="Z686" s="196">
        <v>0</v>
      </c>
      <c r="AA686" s="198">
        <v>0.04</v>
      </c>
      <c r="AB686" s="198">
        <v>0.03</v>
      </c>
      <c r="AC686" s="213">
        <f t="shared" si="117"/>
        <v>337</v>
      </c>
      <c r="AD686" s="213">
        <f t="shared" si="118"/>
        <v>334</v>
      </c>
      <c r="AE686" s="213">
        <v>2.3199999999999998</v>
      </c>
      <c r="AF686" s="196">
        <v>35000000</v>
      </c>
      <c r="AG686" s="104">
        <f t="shared" si="119"/>
        <v>0.80831408775981528</v>
      </c>
      <c r="AH686" s="104">
        <f t="shared" si="120"/>
        <v>1.5217391304347827</v>
      </c>
      <c r="AI686" s="195">
        <v>1.6</v>
      </c>
      <c r="AO686" s="213"/>
      <c r="AP686" s="213"/>
      <c r="AQ686" s="213"/>
      <c r="AR686" s="213"/>
      <c r="AS686" s="213"/>
      <c r="AT686" s="213"/>
      <c r="AU686" s="213"/>
      <c r="AV686" s="213"/>
    </row>
    <row r="687" spans="1:48">
      <c r="A687">
        <v>3374</v>
      </c>
      <c r="C687" s="107">
        <f>VLOOKUP(3374,收盤價!$A:$C,3,0)</f>
        <v>31.65</v>
      </c>
      <c r="D687" s="107">
        <f t="shared" si="110"/>
        <v>0</v>
      </c>
      <c r="E687" s="167">
        <f t="shared" si="111"/>
        <v>2</v>
      </c>
      <c r="F687" s="104">
        <f t="shared" si="112"/>
        <v>2.0105395352920103</v>
      </c>
      <c r="G687" s="167">
        <f>RANK(0.55,AE:AE,0)</f>
        <v>1436</v>
      </c>
      <c r="H687" s="365">
        <f t="shared" si="113"/>
        <v>-1.0252600297176819</v>
      </c>
      <c r="I687" s="213">
        <f t="shared" si="114"/>
        <v>501</v>
      </c>
      <c r="J687" s="213">
        <f t="shared" si="115"/>
        <v>768</v>
      </c>
      <c r="K687">
        <f>RANK(1.23,AI:AI,0)</f>
        <v>720</v>
      </c>
      <c r="L687" s="357">
        <v>0</v>
      </c>
      <c r="M687" s="357">
        <v>0</v>
      </c>
      <c r="N687" s="357">
        <v>1</v>
      </c>
      <c r="O687" s="357">
        <v>1</v>
      </c>
      <c r="P687" s="357">
        <v>0</v>
      </c>
      <c r="Q687" s="358">
        <v>-5.9113300492610835E-2</v>
      </c>
      <c r="R687" s="359">
        <v>0</v>
      </c>
      <c r="S687" s="196">
        <v>4237758000</v>
      </c>
      <c r="T687" s="196">
        <v>269200000</v>
      </c>
      <c r="U687" s="200">
        <f t="shared" si="116"/>
        <v>8520180000</v>
      </c>
      <c r="V687" s="196">
        <v>-173000000</v>
      </c>
      <c r="W687" s="196">
        <v>528000000</v>
      </c>
      <c r="X687" s="196">
        <v>6148000000</v>
      </c>
      <c r="Y687" s="196">
        <v>5509000000</v>
      </c>
      <c r="Z687" s="196">
        <v>150000000</v>
      </c>
      <c r="AA687" s="198">
        <v>-0.03</v>
      </c>
      <c r="AB687" s="198">
        <v>-0.03</v>
      </c>
      <c r="AC687" s="213">
        <f t="shared" si="117"/>
        <v>1405</v>
      </c>
      <c r="AD687" s="213">
        <f t="shared" si="118"/>
        <v>1444</v>
      </c>
      <c r="AE687" s="213">
        <v>0.55000000000000004</v>
      </c>
      <c r="AF687" s="196">
        <v>276000000</v>
      </c>
      <c r="AG687" s="104">
        <f t="shared" si="119"/>
        <v>1.0252600297176819</v>
      </c>
      <c r="AH687" s="104">
        <f t="shared" si="120"/>
        <v>0</v>
      </c>
      <c r="AI687" s="195">
        <v>1.23</v>
      </c>
      <c r="AO687" s="213"/>
      <c r="AP687" s="213"/>
      <c r="AQ687" s="213"/>
      <c r="AR687" s="213"/>
      <c r="AS687" s="213"/>
      <c r="AT687" s="213"/>
      <c r="AU687" s="213"/>
      <c r="AV687" s="213"/>
    </row>
    <row r="688" spans="1:48">
      <c r="A688">
        <v>3376</v>
      </c>
      <c r="C688" s="107">
        <f>VLOOKUP(3376,收盤價!$A:$C,3,0)</f>
        <v>107.5</v>
      </c>
      <c r="D688" s="107">
        <f t="shared" si="110"/>
        <v>26.60891089108911</v>
      </c>
      <c r="E688" s="167">
        <f t="shared" si="111"/>
        <v>2</v>
      </c>
      <c r="F688" s="104">
        <f t="shared" si="112"/>
        <v>2.3873193114220621</v>
      </c>
      <c r="G688" s="167">
        <f>RANK(0.84,AE:AE,0)</f>
        <v>946</v>
      </c>
      <c r="H688" s="365">
        <f t="shared" si="113"/>
        <v>-4.655847789591494</v>
      </c>
      <c r="I688" s="213">
        <f t="shared" si="114"/>
        <v>47</v>
      </c>
      <c r="J688" s="213">
        <f t="shared" si="115"/>
        <v>768</v>
      </c>
      <c r="K688">
        <f>RANK(1.91,AI:AI,0)</f>
        <v>376</v>
      </c>
      <c r="L688" s="357">
        <v>0</v>
      </c>
      <c r="M688" s="357">
        <v>0</v>
      </c>
      <c r="N688" s="357">
        <v>1</v>
      </c>
      <c r="O688" s="357">
        <v>1</v>
      </c>
      <c r="P688" s="357">
        <v>0</v>
      </c>
      <c r="Q688" s="358">
        <v>0.27603036876355747</v>
      </c>
      <c r="R688" s="359">
        <v>1.01</v>
      </c>
      <c r="S688" s="196">
        <v>8046787000</v>
      </c>
      <c r="T688" s="196">
        <v>178700000</v>
      </c>
      <c r="U688" s="200">
        <f t="shared" si="116"/>
        <v>19210250000</v>
      </c>
      <c r="V688" s="196">
        <v>0</v>
      </c>
      <c r="W688" s="196">
        <v>4789000000</v>
      </c>
      <c r="X688" s="196">
        <v>5675000000</v>
      </c>
      <c r="Y688" s="196">
        <v>11201000000</v>
      </c>
      <c r="Z688" s="196">
        <v>2852000000</v>
      </c>
      <c r="AA688" s="198">
        <v>0</v>
      </c>
      <c r="AB688" s="198">
        <v>0</v>
      </c>
      <c r="AC688" s="213">
        <f t="shared" si="117"/>
        <v>945</v>
      </c>
      <c r="AD688" s="213">
        <f t="shared" si="118"/>
        <v>911</v>
      </c>
      <c r="AE688" s="213">
        <v>0.84</v>
      </c>
      <c r="AF688" s="196">
        <v>832000000</v>
      </c>
      <c r="AG688" s="104">
        <f t="shared" si="119"/>
        <v>4.655847789591494</v>
      </c>
      <c r="AH688" s="104">
        <f t="shared" si="120"/>
        <v>0</v>
      </c>
      <c r="AI688" s="195">
        <v>1.91</v>
      </c>
    </row>
    <row r="689" spans="1:48">
      <c r="A689">
        <v>3379</v>
      </c>
      <c r="C689" s="107">
        <f>VLOOKUP(3379,收盤價!$A:$C,3,0)</f>
        <v>10.5</v>
      </c>
      <c r="D689" s="107">
        <f t="shared" si="110"/>
        <v>0</v>
      </c>
      <c r="E689" s="167">
        <f t="shared" si="111"/>
        <v>3</v>
      </c>
      <c r="F689" s="104">
        <f t="shared" si="112"/>
        <v>0.37960376597380258</v>
      </c>
      <c r="G689" s="167">
        <f>RANK(0.61,AE:AE,0)</f>
        <v>1295</v>
      </c>
      <c r="H689" s="365">
        <f t="shared" si="113"/>
        <v>0.47368421052631576</v>
      </c>
      <c r="I689" s="213">
        <f t="shared" si="114"/>
        <v>1336</v>
      </c>
      <c r="J689" s="213">
        <f t="shared" si="115"/>
        <v>768</v>
      </c>
      <c r="K689">
        <f>RANK(0.74,AI:AI,0)</f>
        <v>1324</v>
      </c>
      <c r="L689" s="357">
        <v>0</v>
      </c>
      <c r="M689" s="357">
        <v>1</v>
      </c>
      <c r="N689" s="357">
        <v>2</v>
      </c>
      <c r="O689" s="357">
        <v>0</v>
      </c>
      <c r="P689" s="357">
        <v>0</v>
      </c>
      <c r="Q689" s="358">
        <v>0.24242424242424243</v>
      </c>
      <c r="R689" s="359">
        <v>0</v>
      </c>
      <c r="S689" s="196">
        <v>1051096000</v>
      </c>
      <c r="T689" s="196">
        <v>38000000</v>
      </c>
      <c r="U689" s="200">
        <f t="shared" si="116"/>
        <v>399000000</v>
      </c>
      <c r="V689" s="196">
        <v>-4000000</v>
      </c>
      <c r="W689" s="196">
        <v>166000000</v>
      </c>
      <c r="X689" s="196">
        <v>158000000</v>
      </c>
      <c r="Y689" s="196">
        <v>576000000</v>
      </c>
      <c r="Z689" s="196">
        <v>0</v>
      </c>
      <c r="AA689" s="198">
        <v>-0.01</v>
      </c>
      <c r="AB689" s="198">
        <v>-0.01</v>
      </c>
      <c r="AC689" s="213">
        <f t="shared" si="117"/>
        <v>1277</v>
      </c>
      <c r="AD689" s="213">
        <f t="shared" si="118"/>
        <v>1294</v>
      </c>
      <c r="AE689" s="213">
        <v>0.61</v>
      </c>
      <c r="AF689" s="196">
        <v>-18000000</v>
      </c>
      <c r="AG689" s="104">
        <f t="shared" si="119"/>
        <v>-0.47368421052631576</v>
      </c>
      <c r="AH689" s="104">
        <f t="shared" si="120"/>
        <v>0</v>
      </c>
      <c r="AI689" s="195">
        <v>0.74</v>
      </c>
    </row>
    <row r="690" spans="1:48">
      <c r="A690">
        <v>3380</v>
      </c>
      <c r="C690" s="107">
        <f>VLOOKUP(3380,收盤價!$A:$C,3,0)</f>
        <v>18.8</v>
      </c>
      <c r="D690" s="107">
        <f t="shared" si="110"/>
        <v>6.5277777777777786</v>
      </c>
      <c r="E690" s="167">
        <f t="shared" si="111"/>
        <v>5</v>
      </c>
      <c r="F690" s="104">
        <f t="shared" si="112"/>
        <v>0.37013113585955987</v>
      </c>
      <c r="G690" s="167">
        <f>RANK(0.84,AE:AE,0)</f>
        <v>946</v>
      </c>
      <c r="H690" s="365">
        <f t="shared" si="113"/>
        <v>-1.0905396251975614</v>
      </c>
      <c r="I690" s="213">
        <f t="shared" si="114"/>
        <v>474</v>
      </c>
      <c r="J690" s="213">
        <f t="shared" si="115"/>
        <v>768</v>
      </c>
      <c r="K690">
        <f>RANK(1.25,AI:AI,0)</f>
        <v>709</v>
      </c>
      <c r="L690" s="357">
        <v>1</v>
      </c>
      <c r="M690" s="357">
        <v>1</v>
      </c>
      <c r="N690" s="357">
        <v>2</v>
      </c>
      <c r="O690" s="357">
        <v>1</v>
      </c>
      <c r="P690" s="357">
        <v>0</v>
      </c>
      <c r="Q690" s="358">
        <v>0.14974343025967968</v>
      </c>
      <c r="R690" s="359">
        <v>0.72</v>
      </c>
      <c r="S690" s="196">
        <v>22496135000</v>
      </c>
      <c r="T690" s="196">
        <v>442900000</v>
      </c>
      <c r="U690" s="200">
        <f t="shared" si="116"/>
        <v>8326520000</v>
      </c>
      <c r="V690" s="196">
        <v>0</v>
      </c>
      <c r="W690" s="196">
        <v>6452000000</v>
      </c>
      <c r="X690" s="196">
        <v>2625000000</v>
      </c>
      <c r="Y690" s="196">
        <v>8476000000</v>
      </c>
      <c r="Z690" s="196">
        <v>183000000</v>
      </c>
      <c r="AA690" s="198">
        <v>0</v>
      </c>
      <c r="AB690" s="198">
        <v>0</v>
      </c>
      <c r="AC690" s="213">
        <f t="shared" si="117"/>
        <v>945</v>
      </c>
      <c r="AD690" s="213">
        <f t="shared" si="118"/>
        <v>911</v>
      </c>
      <c r="AE690" s="213">
        <v>0.84</v>
      </c>
      <c r="AF690" s="196">
        <v>483000000</v>
      </c>
      <c r="AG690" s="104">
        <f t="shared" si="119"/>
        <v>1.0905396251975614</v>
      </c>
      <c r="AH690" s="104">
        <f t="shared" si="120"/>
        <v>0</v>
      </c>
      <c r="AI690" s="195">
        <v>1.25</v>
      </c>
      <c r="AO690" s="213"/>
      <c r="AP690" s="213"/>
      <c r="AQ690" s="213"/>
      <c r="AR690" s="213"/>
      <c r="AS690" s="213"/>
      <c r="AT690" s="213"/>
      <c r="AU690" s="213"/>
      <c r="AV690" s="213"/>
    </row>
    <row r="691" spans="1:48">
      <c r="A691">
        <v>3383</v>
      </c>
      <c r="C691" s="107">
        <f>VLOOKUP(3383,收盤價!$A:$C,3,0)</f>
        <v>4.75</v>
      </c>
      <c r="D691" s="107">
        <f t="shared" si="110"/>
        <v>0</v>
      </c>
      <c r="E691" s="167">
        <f t="shared" si="111"/>
        <v>3</v>
      </c>
      <c r="F691" s="104">
        <f t="shared" si="112"/>
        <v>0.95232751239822611</v>
      </c>
      <c r="G691" s="167">
        <f>RANK(0.51,AE:AE,0)</f>
        <v>1523</v>
      </c>
      <c r="H691" s="365">
        <f t="shared" si="113"/>
        <v>-9.4339622641509441E-2</v>
      </c>
      <c r="I691" s="213">
        <f t="shared" si="114"/>
        <v>992</v>
      </c>
      <c r="J691" s="213">
        <f t="shared" si="115"/>
        <v>768</v>
      </c>
      <c r="K691">
        <f>RANK(0.89,AI:AI,0)</f>
        <v>1004</v>
      </c>
      <c r="L691" s="357">
        <v>0</v>
      </c>
      <c r="M691" s="357">
        <v>0</v>
      </c>
      <c r="N691" s="357">
        <v>2</v>
      </c>
      <c r="O691" s="357">
        <v>1</v>
      </c>
      <c r="P691" s="357">
        <v>0</v>
      </c>
      <c r="Q691" s="358">
        <v>-0.87356321839080464</v>
      </c>
      <c r="R691" s="359">
        <v>0</v>
      </c>
      <c r="S691" s="196">
        <v>1586114000</v>
      </c>
      <c r="T691" s="196">
        <v>318000000</v>
      </c>
      <c r="U691" s="200">
        <f t="shared" si="116"/>
        <v>1510500000</v>
      </c>
      <c r="V691" s="196">
        <v>-373000000</v>
      </c>
      <c r="W691" s="196">
        <v>447000000</v>
      </c>
      <c r="X691" s="196">
        <v>4942000000</v>
      </c>
      <c r="Y691" s="196">
        <v>3406000000</v>
      </c>
      <c r="Z691" s="196">
        <v>530000000</v>
      </c>
      <c r="AA691" s="198">
        <v>-7.0000000000000007E-2</v>
      </c>
      <c r="AB691" s="198">
        <v>-0.09</v>
      </c>
      <c r="AC691" s="213">
        <f t="shared" si="117"/>
        <v>1502</v>
      </c>
      <c r="AD691" s="213">
        <f t="shared" si="118"/>
        <v>1533</v>
      </c>
      <c r="AE691" s="213">
        <v>0.51</v>
      </c>
      <c r="AF691" s="196">
        <v>30000000</v>
      </c>
      <c r="AG691" s="104">
        <f t="shared" si="119"/>
        <v>9.4339622641509441E-2</v>
      </c>
      <c r="AH691" s="104">
        <f t="shared" si="120"/>
        <v>0</v>
      </c>
      <c r="AI691" s="195">
        <v>0.89</v>
      </c>
      <c r="AO691" s="213"/>
      <c r="AP691" s="213"/>
      <c r="AQ691" s="213"/>
      <c r="AR691" s="213"/>
      <c r="AS691" s="213"/>
      <c r="AT691" s="213"/>
      <c r="AU691" s="213"/>
      <c r="AV691" s="213"/>
    </row>
    <row r="692" spans="1:48">
      <c r="A692">
        <v>3388</v>
      </c>
      <c r="C692" s="107">
        <f>VLOOKUP(3388,收盤價!$A:$C,3,0)</f>
        <v>58.6</v>
      </c>
      <c r="D692" s="107">
        <f t="shared" si="110"/>
        <v>12.008196721311476</v>
      </c>
      <c r="E692" s="167">
        <f t="shared" si="111"/>
        <v>4</v>
      </c>
      <c r="F692" s="104">
        <f t="shared" si="112"/>
        <v>0.53696330816755733</v>
      </c>
      <c r="G692" s="167">
        <f>RANK(2.32,AE:AE,0)</f>
        <v>360</v>
      </c>
      <c r="H692" s="365">
        <f t="shared" si="113"/>
        <v>-1.5079255891853092</v>
      </c>
      <c r="I692" s="213">
        <f t="shared" si="114"/>
        <v>70</v>
      </c>
      <c r="J692" s="213">
        <f t="shared" si="115"/>
        <v>195</v>
      </c>
      <c r="K692">
        <f>RANK(5.88,AI:AI,0)</f>
        <v>48</v>
      </c>
      <c r="L692" s="357">
        <v>0</v>
      </c>
      <c r="M692" s="357">
        <v>1</v>
      </c>
      <c r="N692" s="357">
        <v>2</v>
      </c>
      <c r="O692" s="357">
        <v>1</v>
      </c>
      <c r="P692" s="357">
        <v>0</v>
      </c>
      <c r="Q692" s="358">
        <v>0.16208476517754869</v>
      </c>
      <c r="R692" s="359">
        <v>1.22</v>
      </c>
      <c r="S692" s="196">
        <v>7017202000</v>
      </c>
      <c r="T692" s="196">
        <v>64300000</v>
      </c>
      <c r="U692" s="200">
        <f t="shared" si="116"/>
        <v>3767980000</v>
      </c>
      <c r="V692" s="196">
        <v>104000000</v>
      </c>
      <c r="W692" s="196">
        <v>2698000000</v>
      </c>
      <c r="X692" s="196">
        <v>227000000</v>
      </c>
      <c r="Y692" s="196">
        <v>2977000000</v>
      </c>
      <c r="Z692" s="196">
        <v>102000000</v>
      </c>
      <c r="AA692" s="198">
        <v>0.04</v>
      </c>
      <c r="AB692" s="198">
        <v>0.03</v>
      </c>
      <c r="AC692" s="213">
        <f t="shared" si="117"/>
        <v>337</v>
      </c>
      <c r="AD692" s="213">
        <f t="shared" si="118"/>
        <v>334</v>
      </c>
      <c r="AE692" s="213">
        <v>2.3199999999999998</v>
      </c>
      <c r="AF692" s="196">
        <v>254000000</v>
      </c>
      <c r="AG692" s="104">
        <f t="shared" si="119"/>
        <v>3.9502332814930017</v>
      </c>
      <c r="AH692" s="104">
        <f t="shared" si="120"/>
        <v>2.4423076923076925</v>
      </c>
      <c r="AI692" s="195">
        <v>5.88</v>
      </c>
      <c r="AO692" s="213"/>
      <c r="AP692" s="213"/>
      <c r="AQ692" s="213"/>
      <c r="AR692" s="213"/>
      <c r="AS692" s="213"/>
      <c r="AT692" s="213"/>
      <c r="AU692" s="213"/>
      <c r="AV692" s="213"/>
    </row>
    <row r="693" spans="1:48">
      <c r="A693">
        <v>3390</v>
      </c>
      <c r="C693" s="107">
        <f>VLOOKUP(3390,收盤價!$A:$C,3,0)</f>
        <v>14.8</v>
      </c>
      <c r="D693" s="107">
        <f t="shared" si="110"/>
        <v>0</v>
      </c>
      <c r="E693" s="167">
        <f t="shared" si="111"/>
        <v>4</v>
      </c>
      <c r="F693" s="104">
        <f t="shared" si="112"/>
        <v>1.5556698626504408</v>
      </c>
      <c r="G693" s="167">
        <f>RANK(0.61,AE:AE,0)</f>
        <v>1295</v>
      </c>
      <c r="H693" s="365">
        <f t="shared" si="113"/>
        <v>-0.13677811550151975</v>
      </c>
      <c r="I693" s="213">
        <f t="shared" si="114"/>
        <v>972</v>
      </c>
      <c r="J693" s="213">
        <f t="shared" si="115"/>
        <v>768</v>
      </c>
      <c r="K693">
        <f>RANK(0.9,AI:AI,0)</f>
        <v>988</v>
      </c>
      <c r="L693" s="357">
        <v>0</v>
      </c>
      <c r="M693" s="357">
        <v>1</v>
      </c>
      <c r="N693" s="357">
        <v>2</v>
      </c>
      <c r="O693" s="357">
        <v>1</v>
      </c>
      <c r="P693" s="357">
        <v>0</v>
      </c>
      <c r="Q693" s="358">
        <v>0.12837837837837837</v>
      </c>
      <c r="R693" s="359">
        <v>0</v>
      </c>
      <c r="S693" s="196">
        <v>625994000</v>
      </c>
      <c r="T693" s="196">
        <v>65800000</v>
      </c>
      <c r="U693" s="200">
        <f t="shared" si="116"/>
        <v>973840000</v>
      </c>
      <c r="V693" s="196">
        <v>-7000000</v>
      </c>
      <c r="W693" s="196">
        <v>911000000</v>
      </c>
      <c r="X693" s="196">
        <v>296000000</v>
      </c>
      <c r="Y693" s="196">
        <v>1287000000</v>
      </c>
      <c r="Z693" s="196">
        <v>0</v>
      </c>
      <c r="AA693" s="198">
        <v>-0.01</v>
      </c>
      <c r="AB693" s="198">
        <v>-0.01</v>
      </c>
      <c r="AC693" s="213">
        <f t="shared" si="117"/>
        <v>1277</v>
      </c>
      <c r="AD693" s="213">
        <f t="shared" si="118"/>
        <v>1294</v>
      </c>
      <c r="AE693" s="213">
        <v>0.61</v>
      </c>
      <c r="AF693" s="196">
        <v>9000000</v>
      </c>
      <c r="AG693" s="104">
        <f t="shared" si="119"/>
        <v>0.13677811550151975</v>
      </c>
      <c r="AH693" s="104">
        <f t="shared" si="120"/>
        <v>0</v>
      </c>
      <c r="AI693" s="195">
        <v>0.9</v>
      </c>
    </row>
    <row r="694" spans="1:48">
      <c r="A694">
        <v>3402</v>
      </c>
      <c r="C694" s="107">
        <f>VLOOKUP(3402,收盤價!$A:$C,3,0)</f>
        <v>22.9</v>
      </c>
      <c r="D694" s="107">
        <f t="shared" si="110"/>
        <v>7.9413619167717524</v>
      </c>
      <c r="E694" s="167">
        <f t="shared" si="111"/>
        <v>4</v>
      </c>
      <c r="F694" s="104">
        <f t="shared" si="112"/>
        <v>0.55524924270606368</v>
      </c>
      <c r="G694" s="167">
        <f>RANK(3.92,AE:AE,0)</f>
        <v>209</v>
      </c>
      <c r="H694" s="365">
        <f t="shared" si="113"/>
        <v>0.35059931506849296</v>
      </c>
      <c r="I694" s="213">
        <f t="shared" si="114"/>
        <v>168</v>
      </c>
      <c r="J694" s="213">
        <f t="shared" si="115"/>
        <v>164</v>
      </c>
      <c r="K694">
        <f>RANK(4.69,AI:AI,0)</f>
        <v>75</v>
      </c>
      <c r="L694" s="357">
        <v>1</v>
      </c>
      <c r="M694" s="357">
        <v>1</v>
      </c>
      <c r="N694" s="357">
        <v>0</v>
      </c>
      <c r="O694" s="357">
        <v>1</v>
      </c>
      <c r="P694" s="357">
        <v>1</v>
      </c>
      <c r="Q694" s="358">
        <v>0.15827338129496402</v>
      </c>
      <c r="R694" s="359">
        <v>0.72090909090909094</v>
      </c>
      <c r="S694" s="196">
        <v>3010720000</v>
      </c>
      <c r="T694" s="196">
        <v>73000000</v>
      </c>
      <c r="U694" s="200">
        <f t="shared" si="116"/>
        <v>1671700000</v>
      </c>
      <c r="V694" s="196">
        <v>64000000</v>
      </c>
      <c r="W694" s="196">
        <v>883000000</v>
      </c>
      <c r="X694" s="196">
        <v>332000000</v>
      </c>
      <c r="Y694" s="196">
        <v>1256000000</v>
      </c>
      <c r="Z694" s="196">
        <v>58000000</v>
      </c>
      <c r="AA694" s="198">
        <v>0.05</v>
      </c>
      <c r="AB694" s="198">
        <v>0.05</v>
      </c>
      <c r="AC694" s="213">
        <f t="shared" si="117"/>
        <v>247</v>
      </c>
      <c r="AD694" s="213">
        <f t="shared" si="118"/>
        <v>150</v>
      </c>
      <c r="AE694" s="213">
        <v>3.92</v>
      </c>
      <c r="AF694" s="196">
        <v>182000000</v>
      </c>
      <c r="AG694" s="104">
        <f t="shared" si="119"/>
        <v>2.493150684931507</v>
      </c>
      <c r="AH694" s="104">
        <f t="shared" si="120"/>
        <v>2.84375</v>
      </c>
      <c r="AI694" s="195">
        <v>4.6900000000000004</v>
      </c>
    </row>
    <row r="695" spans="1:48">
      <c r="A695">
        <v>3406</v>
      </c>
      <c r="C695" s="107">
        <f>VLOOKUP(3406,收盤價!$A:$C,3,0)</f>
        <v>51.3</v>
      </c>
      <c r="D695" s="107">
        <f t="shared" si="110"/>
        <v>0</v>
      </c>
      <c r="E695" s="167">
        <f t="shared" si="111"/>
        <v>3</v>
      </c>
      <c r="F695" s="104">
        <f t="shared" si="112"/>
        <v>0.6605147090033372</v>
      </c>
      <c r="G695" s="167">
        <f>RANK(0.59,AE:AE,0)</f>
        <v>1348</v>
      </c>
      <c r="H695" s="365">
        <f t="shared" si="113"/>
        <v>-0.52104208416833664</v>
      </c>
      <c r="I695" s="213">
        <f t="shared" si="114"/>
        <v>736</v>
      </c>
      <c r="J695" s="213">
        <f t="shared" si="115"/>
        <v>768</v>
      </c>
      <c r="K695">
        <f>RANK(1.04,AI:AI,0)</f>
        <v>843</v>
      </c>
      <c r="L695" s="357">
        <v>0</v>
      </c>
      <c r="M695" s="357">
        <v>1</v>
      </c>
      <c r="N695" s="357">
        <v>1</v>
      </c>
      <c r="O695" s="357">
        <v>1</v>
      </c>
      <c r="P695" s="357">
        <v>0</v>
      </c>
      <c r="Q695" s="358">
        <v>0.14617737003058104</v>
      </c>
      <c r="R695" s="359">
        <v>0</v>
      </c>
      <c r="S695" s="196">
        <v>7751137000</v>
      </c>
      <c r="T695" s="196">
        <v>99800000</v>
      </c>
      <c r="U695" s="200">
        <f t="shared" si="116"/>
        <v>5119740000</v>
      </c>
      <c r="V695" s="196">
        <v>-148000000</v>
      </c>
      <c r="W695" s="196">
        <v>0</v>
      </c>
      <c r="X695" s="196">
        <v>7317000000</v>
      </c>
      <c r="Y695" s="196">
        <v>6093000000</v>
      </c>
      <c r="Z695" s="196">
        <v>4196000000</v>
      </c>
      <c r="AA695" s="198">
        <v>-0.02</v>
      </c>
      <c r="AB695" s="198">
        <v>-0.01</v>
      </c>
      <c r="AC695" s="213">
        <f t="shared" si="117"/>
        <v>1353</v>
      </c>
      <c r="AD695" s="213">
        <f t="shared" si="118"/>
        <v>1294</v>
      </c>
      <c r="AE695" s="213">
        <v>0.59</v>
      </c>
      <c r="AF695" s="196">
        <v>52000000</v>
      </c>
      <c r="AG695" s="104">
        <f t="shared" si="119"/>
        <v>0.52104208416833664</v>
      </c>
      <c r="AH695" s="104">
        <f t="shared" si="120"/>
        <v>0</v>
      </c>
      <c r="AI695" s="195">
        <v>1.04</v>
      </c>
      <c r="AO695" s="213"/>
      <c r="AP695" s="213"/>
      <c r="AQ695" s="213"/>
      <c r="AR695" s="213"/>
      <c r="AS695" s="213"/>
      <c r="AT695" s="213"/>
      <c r="AU695" s="213"/>
      <c r="AV695" s="213"/>
    </row>
    <row r="696" spans="1:48">
      <c r="A696">
        <v>3413</v>
      </c>
      <c r="C696" s="107">
        <f>VLOOKUP(3413,收盤價!$A:$C,3,0)</f>
        <v>81.400000000000006</v>
      </c>
      <c r="D696" s="107">
        <f t="shared" si="110"/>
        <v>12.000154368632296</v>
      </c>
      <c r="E696" s="167">
        <f t="shared" si="111"/>
        <v>2</v>
      </c>
      <c r="F696" s="104">
        <f t="shared" si="112"/>
        <v>0.78020221377726717</v>
      </c>
      <c r="G696" s="167">
        <f>RANK(13.43,AE:AE,0)</f>
        <v>57</v>
      </c>
      <c r="H696" s="365">
        <f t="shared" si="113"/>
        <v>0.63235294117647056</v>
      </c>
      <c r="I696" s="213">
        <f t="shared" si="114"/>
        <v>1379</v>
      </c>
      <c r="J696" s="213">
        <f t="shared" si="115"/>
        <v>768</v>
      </c>
      <c r="K696">
        <f>RANK(0.73,AI:AI,0)</f>
        <v>1352</v>
      </c>
      <c r="L696" s="357">
        <v>0</v>
      </c>
      <c r="M696" s="357">
        <v>1</v>
      </c>
      <c r="N696" s="357">
        <v>0</v>
      </c>
      <c r="O696" s="357">
        <v>0</v>
      </c>
      <c r="P696" s="357">
        <v>1</v>
      </c>
      <c r="Q696" s="358">
        <v>0.192005710206995</v>
      </c>
      <c r="R696" s="359">
        <v>1.6958115183246072</v>
      </c>
      <c r="S696" s="196">
        <v>7094571000</v>
      </c>
      <c r="T696" s="196">
        <v>68000000</v>
      </c>
      <c r="U696" s="200">
        <f t="shared" si="116"/>
        <v>5535200000</v>
      </c>
      <c r="V696" s="196">
        <v>159000000</v>
      </c>
      <c r="W696" s="196">
        <v>895000000</v>
      </c>
      <c r="X696" s="196">
        <v>744000000</v>
      </c>
      <c r="Y696" s="196">
        <v>2041000000</v>
      </c>
      <c r="Z696" s="196">
        <v>398000000</v>
      </c>
      <c r="AA696" s="198">
        <v>0.1</v>
      </c>
      <c r="AB696" s="198">
        <v>7.0000000000000007E-2</v>
      </c>
      <c r="AC696" s="213">
        <f t="shared" si="117"/>
        <v>52</v>
      </c>
      <c r="AD696" s="213">
        <f t="shared" si="118"/>
        <v>64</v>
      </c>
      <c r="AE696" s="213">
        <v>13.43</v>
      </c>
      <c r="AF696" s="196">
        <v>-43000000</v>
      </c>
      <c r="AG696" s="104">
        <f t="shared" si="119"/>
        <v>-0.63235294117647056</v>
      </c>
      <c r="AH696" s="104">
        <f t="shared" si="120"/>
        <v>0</v>
      </c>
      <c r="AI696" s="195">
        <v>0.73</v>
      </c>
    </row>
    <row r="697" spans="1:48">
      <c r="A697">
        <v>3416</v>
      </c>
      <c r="C697" s="107">
        <f>VLOOKUP(3416,收盤價!$A:$C,3,0)</f>
        <v>46.5</v>
      </c>
      <c r="D697" s="107">
        <f t="shared" si="110"/>
        <v>13.464451176051318</v>
      </c>
      <c r="E697" s="167">
        <f t="shared" si="111"/>
        <v>1</v>
      </c>
      <c r="F697" s="104">
        <f t="shared" si="112"/>
        <v>1.9152600239330531</v>
      </c>
      <c r="G697" s="167">
        <f>RANK(2.76,AE:AE,0)</f>
        <v>305</v>
      </c>
      <c r="H697" s="365">
        <f t="shared" si="113"/>
        <v>0.89700996677740863</v>
      </c>
      <c r="I697" s="213">
        <f t="shared" si="114"/>
        <v>1429</v>
      </c>
      <c r="J697" s="213">
        <f t="shared" si="115"/>
        <v>768</v>
      </c>
      <c r="K697">
        <f>RANK(0.71,AI:AI,0)</f>
        <v>1412</v>
      </c>
      <c r="L697" s="357">
        <v>0</v>
      </c>
      <c r="M697" s="357">
        <v>1</v>
      </c>
      <c r="N697" s="357">
        <v>0</v>
      </c>
      <c r="O697" s="357">
        <v>0</v>
      </c>
      <c r="P697" s="357">
        <v>0</v>
      </c>
      <c r="Q697" s="358">
        <v>0.40718562874251496</v>
      </c>
      <c r="R697" s="359">
        <v>0.86338461538461542</v>
      </c>
      <c r="S697" s="196">
        <v>1461577000</v>
      </c>
      <c r="T697" s="196">
        <v>60200000</v>
      </c>
      <c r="U697" s="200">
        <f t="shared" si="116"/>
        <v>2799300000</v>
      </c>
      <c r="V697" s="196">
        <v>61000000</v>
      </c>
      <c r="W697" s="196">
        <v>959000000</v>
      </c>
      <c r="X697" s="196">
        <v>489000000</v>
      </c>
      <c r="Y697" s="196">
        <v>1545000000</v>
      </c>
      <c r="Z697" s="196">
        <v>0</v>
      </c>
      <c r="AA697" s="198">
        <v>0.04</v>
      </c>
      <c r="AB697" s="198">
        <v>0.04</v>
      </c>
      <c r="AC697" s="213">
        <f t="shared" si="117"/>
        <v>337</v>
      </c>
      <c r="AD697" s="213">
        <f t="shared" si="118"/>
        <v>228</v>
      </c>
      <c r="AE697" s="213">
        <v>2.76</v>
      </c>
      <c r="AF697" s="196">
        <v>-54000000</v>
      </c>
      <c r="AG697" s="104">
        <f t="shared" si="119"/>
        <v>-0.89700996677740863</v>
      </c>
      <c r="AH697" s="104">
        <f t="shared" si="120"/>
        <v>0</v>
      </c>
      <c r="AI697" s="195">
        <v>0.71</v>
      </c>
    </row>
    <row r="698" spans="1:48">
      <c r="A698">
        <v>3419</v>
      </c>
      <c r="C698" s="107">
        <f>VLOOKUP(3419,收盤價!$A:$C,3,0)</f>
        <v>15.95</v>
      </c>
      <c r="D698" s="107">
        <f t="shared" si="110"/>
        <v>0</v>
      </c>
      <c r="E698" s="167">
        <f t="shared" si="111"/>
        <v>3</v>
      </c>
      <c r="F698" s="104">
        <f t="shared" si="112"/>
        <v>0.80847197614351185</v>
      </c>
      <c r="G698" s="167">
        <f>RANK(0.59,AE:AE,0)</f>
        <v>1348</v>
      </c>
      <c r="H698" s="365">
        <f t="shared" si="113"/>
        <v>0.1739850869925435</v>
      </c>
      <c r="I698" s="213">
        <f t="shared" si="114"/>
        <v>1192</v>
      </c>
      <c r="J698" s="213">
        <f t="shared" si="115"/>
        <v>768</v>
      </c>
      <c r="K698">
        <f>RANK(0.79,AI:AI,0)</f>
        <v>1192</v>
      </c>
      <c r="L698" s="357">
        <v>1</v>
      </c>
      <c r="M698" s="357">
        <v>1</v>
      </c>
      <c r="N698" s="357">
        <v>1</v>
      </c>
      <c r="O698" s="357">
        <v>0</v>
      </c>
      <c r="P698" s="357">
        <v>0</v>
      </c>
      <c r="Q698" s="358">
        <v>0.16945996275605213</v>
      </c>
      <c r="R698" s="359">
        <v>0</v>
      </c>
      <c r="S698" s="196">
        <v>2381239000</v>
      </c>
      <c r="T698" s="196">
        <v>120700000</v>
      </c>
      <c r="U698" s="200">
        <f t="shared" si="116"/>
        <v>1925165000</v>
      </c>
      <c r="V698" s="196">
        <v>-21000000</v>
      </c>
      <c r="W698" s="196">
        <v>727000000</v>
      </c>
      <c r="X698" s="196">
        <v>521000000</v>
      </c>
      <c r="Y698" s="196">
        <v>1636000000</v>
      </c>
      <c r="Z698" s="196">
        <v>291000000</v>
      </c>
      <c r="AA698" s="198">
        <v>-0.02</v>
      </c>
      <c r="AB698" s="198">
        <v>-0.01</v>
      </c>
      <c r="AC698" s="213">
        <f t="shared" si="117"/>
        <v>1353</v>
      </c>
      <c r="AD698" s="213">
        <f t="shared" si="118"/>
        <v>1294</v>
      </c>
      <c r="AE698" s="213">
        <v>0.59</v>
      </c>
      <c r="AF698" s="196">
        <v>-21000000</v>
      </c>
      <c r="AG698" s="104">
        <f t="shared" si="119"/>
        <v>-0.1739850869925435</v>
      </c>
      <c r="AH698" s="104">
        <f t="shared" si="120"/>
        <v>0</v>
      </c>
      <c r="AI698" s="195">
        <v>0.79</v>
      </c>
    </row>
    <row r="699" spans="1:48">
      <c r="A699">
        <v>3428</v>
      </c>
      <c r="C699" s="107">
        <f>VLOOKUP(3428,收盤價!$A:$C,3,0)</f>
        <v>57.6</v>
      </c>
      <c r="D699" s="107">
        <f t="shared" si="110"/>
        <v>38.70967741935484</v>
      </c>
      <c r="E699" s="167">
        <f t="shared" si="111"/>
        <v>1</v>
      </c>
      <c r="F699" s="104">
        <f t="shared" si="112"/>
        <v>2.8682303133203928</v>
      </c>
      <c r="G699" s="167">
        <f>RANK(2.32,AE:AE,0)</f>
        <v>360</v>
      </c>
      <c r="H699" s="365">
        <f t="shared" si="113"/>
        <v>3.1512605042016806E-2</v>
      </c>
      <c r="I699" s="213">
        <f t="shared" si="114"/>
        <v>1091</v>
      </c>
      <c r="J699" s="213">
        <f t="shared" si="115"/>
        <v>768</v>
      </c>
      <c r="K699">
        <f>RANK(0.84,AI:AI,0)</f>
        <v>1076</v>
      </c>
      <c r="L699" s="357">
        <v>0</v>
      </c>
      <c r="M699" s="357">
        <v>0</v>
      </c>
      <c r="N699" s="357">
        <v>1</v>
      </c>
      <c r="O699" s="357">
        <v>0</v>
      </c>
      <c r="P699" s="357">
        <v>0</v>
      </c>
      <c r="Q699" s="358">
        <v>0.30586080586080588</v>
      </c>
      <c r="R699" s="359">
        <v>0.372</v>
      </c>
      <c r="S699" s="196">
        <v>1911813000</v>
      </c>
      <c r="T699" s="196">
        <v>95200000</v>
      </c>
      <c r="U699" s="200">
        <f t="shared" si="116"/>
        <v>5483520000</v>
      </c>
      <c r="V699" s="196">
        <v>93000000</v>
      </c>
      <c r="W699" s="196">
        <v>766000000</v>
      </c>
      <c r="X699" s="196">
        <v>1722000000</v>
      </c>
      <c r="Y699" s="196">
        <v>2275000000</v>
      </c>
      <c r="Z699" s="196">
        <v>396000000</v>
      </c>
      <c r="AA699" s="198">
        <v>0.04</v>
      </c>
      <c r="AB699" s="198">
        <v>0.03</v>
      </c>
      <c r="AC699" s="213">
        <f t="shared" si="117"/>
        <v>337</v>
      </c>
      <c r="AD699" s="213">
        <f t="shared" si="118"/>
        <v>334</v>
      </c>
      <c r="AE699" s="213">
        <v>2.3199999999999998</v>
      </c>
      <c r="AF699" s="196">
        <v>-3000000</v>
      </c>
      <c r="AG699" s="104">
        <f t="shared" si="119"/>
        <v>-3.1512605042016806E-2</v>
      </c>
      <c r="AH699" s="104">
        <f t="shared" si="120"/>
        <v>0</v>
      </c>
      <c r="AI699" s="195">
        <v>0.84</v>
      </c>
    </row>
    <row r="700" spans="1:48">
      <c r="A700">
        <v>3431</v>
      </c>
      <c r="C700" s="107">
        <f>VLOOKUP(3431,收盤價!$A:$C,3,0)</f>
        <v>9.6300000000000008</v>
      </c>
      <c r="D700" s="107">
        <f t="shared" si="110"/>
        <v>0</v>
      </c>
      <c r="E700" s="167">
        <f t="shared" si="111"/>
        <v>3</v>
      </c>
      <c r="F700" s="104">
        <f t="shared" si="112"/>
        <v>1.0238636465736439</v>
      </c>
      <c r="G700" s="167">
        <f>RANK(0.84,AE:AE,0)</f>
        <v>946</v>
      </c>
      <c r="H700" s="365">
        <f t="shared" si="113"/>
        <v>-0.25352112676056338</v>
      </c>
      <c r="I700" s="213">
        <f t="shared" si="114"/>
        <v>890</v>
      </c>
      <c r="J700" s="213">
        <f t="shared" si="115"/>
        <v>768</v>
      </c>
      <c r="K700">
        <f>RANK(0.94,AI:AI,0)</f>
        <v>936</v>
      </c>
      <c r="L700" s="357">
        <v>1</v>
      </c>
      <c r="M700" s="357">
        <v>1</v>
      </c>
      <c r="N700" s="357">
        <v>0</v>
      </c>
      <c r="O700" s="357">
        <v>1</v>
      </c>
      <c r="P700" s="357">
        <v>0</v>
      </c>
      <c r="Q700" s="358">
        <v>0.29333333333333333</v>
      </c>
      <c r="R700" s="359">
        <v>-0.25</v>
      </c>
      <c r="S700" s="196">
        <v>333897000</v>
      </c>
      <c r="T700" s="196">
        <v>35500000</v>
      </c>
      <c r="U700" s="200">
        <f t="shared" si="116"/>
        <v>341865000</v>
      </c>
      <c r="V700" s="196">
        <v>0</v>
      </c>
      <c r="W700" s="196">
        <v>29000000</v>
      </c>
      <c r="X700" s="196">
        <v>168000000</v>
      </c>
      <c r="Y700" s="196">
        <v>181000000</v>
      </c>
      <c r="Z700" s="196">
        <v>113000000</v>
      </c>
      <c r="AA700" s="198">
        <v>0</v>
      </c>
      <c r="AB700" s="198">
        <v>0</v>
      </c>
      <c r="AC700" s="213">
        <f t="shared" si="117"/>
        <v>945</v>
      </c>
      <c r="AD700" s="213">
        <f t="shared" si="118"/>
        <v>911</v>
      </c>
      <c r="AE700" s="213">
        <v>0.84</v>
      </c>
      <c r="AF700" s="196">
        <v>9000000</v>
      </c>
      <c r="AG700" s="104">
        <f t="shared" si="119"/>
        <v>0.25352112676056338</v>
      </c>
      <c r="AH700" s="104">
        <f t="shared" si="120"/>
        <v>0</v>
      </c>
      <c r="AI700" s="195">
        <v>0.94</v>
      </c>
    </row>
    <row r="701" spans="1:48">
      <c r="A701">
        <v>3432</v>
      </c>
      <c r="C701" s="107">
        <f>VLOOKUP(3432,收盤價!$A:$C,3,0)</f>
        <v>13.2</v>
      </c>
      <c r="D701" s="107">
        <f t="shared" si="110"/>
        <v>0</v>
      </c>
      <c r="E701" s="167">
        <f t="shared" si="111"/>
        <v>3</v>
      </c>
      <c r="F701" s="104">
        <f t="shared" si="112"/>
        <v>1.6466436655016239</v>
      </c>
      <c r="G701" s="167">
        <f>RANK(0.61,AE:AE,0)</f>
        <v>1295</v>
      </c>
      <c r="H701" s="365">
        <f t="shared" si="113"/>
        <v>-0.49549549549549549</v>
      </c>
      <c r="I701" s="213">
        <f t="shared" si="114"/>
        <v>744</v>
      </c>
      <c r="J701" s="213">
        <f t="shared" si="115"/>
        <v>768</v>
      </c>
      <c r="K701">
        <f>RANK(1.03,AI:AI,0)</f>
        <v>851</v>
      </c>
      <c r="L701" s="357">
        <v>0</v>
      </c>
      <c r="M701" s="357">
        <v>1</v>
      </c>
      <c r="N701" s="357">
        <v>1</v>
      </c>
      <c r="O701" s="357">
        <v>1</v>
      </c>
      <c r="P701" s="357">
        <v>0</v>
      </c>
      <c r="Q701" s="358">
        <v>0.26126126126126126</v>
      </c>
      <c r="R701" s="359">
        <v>0</v>
      </c>
      <c r="S701" s="196">
        <v>533886000</v>
      </c>
      <c r="T701" s="196">
        <v>66600000</v>
      </c>
      <c r="U701" s="200">
        <f t="shared" si="116"/>
        <v>879120000</v>
      </c>
      <c r="V701" s="196">
        <v>-17000000</v>
      </c>
      <c r="W701" s="196">
        <v>887000000</v>
      </c>
      <c r="X701" s="196">
        <v>544000000</v>
      </c>
      <c r="Y701" s="196">
        <v>1445000000</v>
      </c>
      <c r="Z701" s="196">
        <v>149000000</v>
      </c>
      <c r="AA701" s="198">
        <v>-0.01</v>
      </c>
      <c r="AB701" s="198">
        <v>-0.01</v>
      </c>
      <c r="AC701" s="213">
        <f t="shared" si="117"/>
        <v>1277</v>
      </c>
      <c r="AD701" s="213">
        <f t="shared" si="118"/>
        <v>1294</v>
      </c>
      <c r="AE701" s="213">
        <v>0.61</v>
      </c>
      <c r="AF701" s="196">
        <v>33000000</v>
      </c>
      <c r="AG701" s="104">
        <f t="shared" si="119"/>
        <v>0.49549549549549549</v>
      </c>
      <c r="AH701" s="104">
        <f t="shared" si="120"/>
        <v>0</v>
      </c>
      <c r="AI701" s="195">
        <v>1.03</v>
      </c>
    </row>
    <row r="702" spans="1:48">
      <c r="A702">
        <v>3434</v>
      </c>
      <c r="C702" s="107">
        <f>VLOOKUP(3434,收盤價!$A:$C,3,0)</f>
        <v>13.15</v>
      </c>
      <c r="D702" s="107">
        <f t="shared" si="110"/>
        <v>17.30263157894737</v>
      </c>
      <c r="E702" s="167">
        <f t="shared" si="111"/>
        <v>3</v>
      </c>
      <c r="F702" s="104">
        <f t="shared" si="112"/>
        <v>0.40550802444146788</v>
      </c>
      <c r="G702" s="167">
        <f>RANK(1.89,AE:AE,0)</f>
        <v>498</v>
      </c>
      <c r="H702" s="365">
        <f t="shared" si="113"/>
        <v>0.30837004405286345</v>
      </c>
      <c r="I702" s="213">
        <f t="shared" si="114"/>
        <v>1269</v>
      </c>
      <c r="J702" s="213">
        <f t="shared" si="115"/>
        <v>768</v>
      </c>
      <c r="K702">
        <f>RANK(0.76,AI:AI,0)</f>
        <v>1269</v>
      </c>
      <c r="L702" s="357">
        <v>0</v>
      </c>
      <c r="M702" s="357">
        <v>1</v>
      </c>
      <c r="N702" s="357">
        <v>2</v>
      </c>
      <c r="O702" s="357">
        <v>0</v>
      </c>
      <c r="P702" s="357">
        <v>0</v>
      </c>
      <c r="Q702" s="358">
        <v>0.1791907514450867</v>
      </c>
      <c r="R702" s="359">
        <v>0.19</v>
      </c>
      <c r="S702" s="196">
        <v>736126000</v>
      </c>
      <c r="T702" s="196">
        <v>22700000</v>
      </c>
      <c r="U702" s="200">
        <f t="shared" si="116"/>
        <v>298505000</v>
      </c>
      <c r="V702" s="196">
        <v>8000000</v>
      </c>
      <c r="W702" s="196">
        <v>111000000</v>
      </c>
      <c r="X702" s="196">
        <v>68000000</v>
      </c>
      <c r="Y702" s="196">
        <v>236000000</v>
      </c>
      <c r="Z702" s="196">
        <v>116000000</v>
      </c>
      <c r="AA702" s="198">
        <v>0.04</v>
      </c>
      <c r="AB702" s="198">
        <v>0.02</v>
      </c>
      <c r="AC702" s="213">
        <f t="shared" si="117"/>
        <v>337</v>
      </c>
      <c r="AD702" s="213">
        <f t="shared" si="118"/>
        <v>487</v>
      </c>
      <c r="AE702" s="213">
        <v>1.89</v>
      </c>
      <c r="AF702" s="196">
        <v>-7000000</v>
      </c>
      <c r="AG702" s="104">
        <f t="shared" si="119"/>
        <v>-0.30837004405286345</v>
      </c>
      <c r="AH702" s="104">
        <f t="shared" si="120"/>
        <v>0</v>
      </c>
      <c r="AI702" s="195">
        <v>0.76</v>
      </c>
    </row>
    <row r="703" spans="1:48">
      <c r="A703">
        <v>3437</v>
      </c>
      <c r="C703" s="107">
        <f>VLOOKUP(3437,收盤價!$A:$C,3,0)</f>
        <v>23.8</v>
      </c>
      <c r="D703" s="107">
        <f t="shared" si="110"/>
        <v>0</v>
      </c>
      <c r="E703" s="167">
        <f t="shared" si="111"/>
        <v>3</v>
      </c>
      <c r="F703" s="104">
        <f t="shared" si="112"/>
        <v>0.61818051629234894</v>
      </c>
      <c r="G703" s="167">
        <f>RANK(0.61,AE:AE,0)</f>
        <v>1295</v>
      </c>
      <c r="H703" s="365">
        <f t="shared" si="113"/>
        <v>-0.1891891891891892</v>
      </c>
      <c r="I703" s="213">
        <f t="shared" si="114"/>
        <v>939</v>
      </c>
      <c r="J703" s="213">
        <f t="shared" si="115"/>
        <v>768</v>
      </c>
      <c r="K703">
        <f>RANK(0.91,AI:AI,0)</f>
        <v>974</v>
      </c>
      <c r="L703" s="357">
        <v>0</v>
      </c>
      <c r="M703" s="357">
        <v>0</v>
      </c>
      <c r="N703" s="357">
        <v>2</v>
      </c>
      <c r="O703" s="357">
        <v>1</v>
      </c>
      <c r="P703" s="357">
        <v>0</v>
      </c>
      <c r="Q703" s="358">
        <v>9.0076335877862596E-2</v>
      </c>
      <c r="R703" s="359">
        <v>0</v>
      </c>
      <c r="S703" s="196">
        <v>5698012000</v>
      </c>
      <c r="T703" s="196">
        <v>148000000</v>
      </c>
      <c r="U703" s="200">
        <f t="shared" si="116"/>
        <v>3522400000</v>
      </c>
      <c r="V703" s="196">
        <v>-27000000</v>
      </c>
      <c r="W703" s="196">
        <v>1948000000</v>
      </c>
      <c r="X703" s="196">
        <v>1238000000</v>
      </c>
      <c r="Y703" s="196">
        <v>3239000000</v>
      </c>
      <c r="Z703" s="196">
        <v>0</v>
      </c>
      <c r="AA703" s="198">
        <v>-0.01</v>
      </c>
      <c r="AB703" s="198">
        <v>-0.01</v>
      </c>
      <c r="AC703" s="213">
        <f t="shared" si="117"/>
        <v>1277</v>
      </c>
      <c r="AD703" s="213">
        <f t="shared" si="118"/>
        <v>1294</v>
      </c>
      <c r="AE703" s="213">
        <v>0.61</v>
      </c>
      <c r="AF703" s="196">
        <v>28000000</v>
      </c>
      <c r="AG703" s="104">
        <f t="shared" si="119"/>
        <v>0.1891891891891892</v>
      </c>
      <c r="AH703" s="104">
        <f t="shared" si="120"/>
        <v>0</v>
      </c>
      <c r="AI703" s="195">
        <v>0.91</v>
      </c>
    </row>
    <row r="704" spans="1:48">
      <c r="A704">
        <v>3438</v>
      </c>
      <c r="C704" s="107">
        <f>VLOOKUP(3438,收盤價!$A:$C,3,0)</f>
        <v>17.850000000000001</v>
      </c>
      <c r="D704" s="107">
        <f t="shared" si="110"/>
        <v>0</v>
      </c>
      <c r="E704" s="167">
        <f t="shared" si="111"/>
        <v>0</v>
      </c>
      <c r="F704" s="104">
        <f t="shared" si="112"/>
        <v>0.73983369950412448</v>
      </c>
      <c r="G704" s="167">
        <f>RANK(0.61,AE:AE,0)</f>
        <v>1295</v>
      </c>
      <c r="H704" s="365">
        <f t="shared" si="113"/>
        <v>0.33419023136246789</v>
      </c>
      <c r="I704" s="213">
        <f t="shared" si="114"/>
        <v>1281</v>
      </c>
      <c r="J704" s="213">
        <f t="shared" si="115"/>
        <v>768</v>
      </c>
      <c r="K704">
        <f>RANK(0.76,AI:AI,0)</f>
        <v>1269</v>
      </c>
      <c r="L704" s="357">
        <v>0</v>
      </c>
      <c r="M704" s="357">
        <v>0</v>
      </c>
      <c r="N704" s="357">
        <v>0</v>
      </c>
      <c r="O704" s="357">
        <v>0</v>
      </c>
      <c r="P704" s="357">
        <v>0</v>
      </c>
      <c r="Q704" s="358">
        <v>0.12605042016806722</v>
      </c>
      <c r="R704" s="359">
        <v>0</v>
      </c>
      <c r="S704" s="196">
        <v>938542000</v>
      </c>
      <c r="T704" s="196">
        <v>38900000</v>
      </c>
      <c r="U704" s="200">
        <f t="shared" si="116"/>
        <v>694365000</v>
      </c>
      <c r="V704" s="196">
        <v>-13000000</v>
      </c>
      <c r="W704" s="196">
        <v>353000000</v>
      </c>
      <c r="X704" s="196">
        <v>589000000</v>
      </c>
      <c r="Y704" s="196">
        <v>1015000000</v>
      </c>
      <c r="Z704" s="196">
        <v>298000000</v>
      </c>
      <c r="AA704" s="198">
        <v>-0.01</v>
      </c>
      <c r="AB704" s="198">
        <v>-0.01</v>
      </c>
      <c r="AC704" s="213">
        <f t="shared" si="117"/>
        <v>1277</v>
      </c>
      <c r="AD704" s="213">
        <f t="shared" si="118"/>
        <v>1294</v>
      </c>
      <c r="AE704" s="213">
        <v>0.61</v>
      </c>
      <c r="AF704" s="196">
        <v>-13000000</v>
      </c>
      <c r="AG704" s="104">
        <f t="shared" si="119"/>
        <v>-0.33419023136246789</v>
      </c>
      <c r="AH704" s="104">
        <f t="shared" si="120"/>
        <v>0</v>
      </c>
      <c r="AI704" s="195">
        <v>0.76</v>
      </c>
      <c r="AO704" s="213"/>
      <c r="AP704" s="213"/>
      <c r="AQ704" s="213"/>
      <c r="AR704" s="213"/>
      <c r="AS704" s="213"/>
      <c r="AT704" s="213"/>
      <c r="AU704" s="213"/>
      <c r="AV704" s="213"/>
    </row>
    <row r="705" spans="1:48">
      <c r="A705">
        <v>3441</v>
      </c>
      <c r="C705" s="107">
        <f>VLOOKUP(3441,收盤價!$A:$C,3,0)</f>
        <v>13.9</v>
      </c>
      <c r="D705" s="107">
        <f t="shared" si="110"/>
        <v>0</v>
      </c>
      <c r="E705" s="167">
        <f t="shared" si="111"/>
        <v>1</v>
      </c>
      <c r="F705" s="104">
        <f t="shared" si="112"/>
        <v>1.0683924920447034</v>
      </c>
      <c r="G705" s="167">
        <f>RANK(0.61,AE:AE,0)</f>
        <v>1295</v>
      </c>
      <c r="H705" s="365">
        <f t="shared" si="113"/>
        <v>-0.375</v>
      </c>
      <c r="I705" s="213">
        <f t="shared" si="114"/>
        <v>816</v>
      </c>
      <c r="J705" s="213">
        <f t="shared" si="115"/>
        <v>768</v>
      </c>
      <c r="K705">
        <f>RANK(0.98,AI:AI,0)</f>
        <v>903</v>
      </c>
      <c r="L705" s="357">
        <v>0</v>
      </c>
      <c r="M705" s="357">
        <v>0</v>
      </c>
      <c r="N705" s="357">
        <v>0</v>
      </c>
      <c r="O705" s="357">
        <v>1</v>
      </c>
      <c r="P705" s="357">
        <v>0</v>
      </c>
      <c r="Q705" s="358">
        <v>0.11428571428571428</v>
      </c>
      <c r="R705" s="359">
        <v>0</v>
      </c>
      <c r="S705" s="196">
        <v>520408000</v>
      </c>
      <c r="T705" s="196">
        <v>40000000</v>
      </c>
      <c r="U705" s="200">
        <f t="shared" si="116"/>
        <v>556000000</v>
      </c>
      <c r="V705" s="196">
        <v>-14000000</v>
      </c>
      <c r="W705" s="196">
        <v>819000000</v>
      </c>
      <c r="X705" s="196">
        <v>225000000</v>
      </c>
      <c r="Y705" s="196">
        <v>1045000000</v>
      </c>
      <c r="Z705" s="196">
        <v>0</v>
      </c>
      <c r="AA705" s="198">
        <v>-0.01</v>
      </c>
      <c r="AB705" s="198">
        <v>-0.01</v>
      </c>
      <c r="AC705" s="213">
        <f t="shared" si="117"/>
        <v>1277</v>
      </c>
      <c r="AD705" s="213">
        <f t="shared" si="118"/>
        <v>1294</v>
      </c>
      <c r="AE705" s="213">
        <v>0.61</v>
      </c>
      <c r="AF705" s="196">
        <v>15000000</v>
      </c>
      <c r="AG705" s="104">
        <f t="shared" si="119"/>
        <v>0.375</v>
      </c>
      <c r="AH705" s="104">
        <f t="shared" si="120"/>
        <v>0</v>
      </c>
      <c r="AI705" s="195">
        <v>0.98</v>
      </c>
      <c r="AO705" s="213"/>
      <c r="AP705" s="213"/>
      <c r="AQ705" s="213"/>
      <c r="AR705" s="213"/>
      <c r="AS705" s="213"/>
      <c r="AT705" s="213"/>
      <c r="AU705" s="213"/>
      <c r="AV705" s="213"/>
    </row>
    <row r="706" spans="1:48">
      <c r="A706">
        <v>3443</v>
      </c>
      <c r="C706" s="107">
        <f>VLOOKUP(3443,收盤價!$A:$C,3,0)</f>
        <v>78.5</v>
      </c>
      <c r="D706" s="107">
        <f t="shared" ref="D706:D769" si="121">IF(AND(ISNUMBER(C706),R706&gt;0),C706/(R706*4),0)</f>
        <v>27.894654088050316</v>
      </c>
      <c r="E706" s="167">
        <f t="shared" ref="E706:E769" si="122">SUM(L706:P706)</f>
        <v>1</v>
      </c>
      <c r="F706" s="104">
        <f t="shared" ref="F706:F769" si="123">IF(AND(ISNUMBER(U706),ISNUMBER(S706)),U706/S706,0)</f>
        <v>1.3025172052010048</v>
      </c>
      <c r="G706" s="167">
        <f>RANK(1.94,AE:AE,0)</f>
        <v>435</v>
      </c>
      <c r="H706" s="365">
        <f t="shared" ref="H706:H769" si="124">AH706-AG706</f>
        <v>0.22388059701492538</v>
      </c>
      <c r="I706" s="213">
        <f t="shared" ref="I706:I769" si="125">RANK(AG706,AG:AG)</f>
        <v>1224</v>
      </c>
      <c r="J706" s="213">
        <f t="shared" ref="J706:J769" si="126">RANK(AH706,AH:AH)</f>
        <v>768</v>
      </c>
      <c r="K706">
        <f>RANK(0.78,AI:AI,0)</f>
        <v>1217</v>
      </c>
      <c r="L706" s="357">
        <v>0</v>
      </c>
      <c r="M706" s="357">
        <v>1</v>
      </c>
      <c r="N706" s="357">
        <v>0</v>
      </c>
      <c r="O706" s="357">
        <v>0</v>
      </c>
      <c r="P706" s="357">
        <v>0</v>
      </c>
      <c r="Q706" s="358">
        <v>0.28779979144942647</v>
      </c>
      <c r="R706" s="359">
        <v>0.70353982300884954</v>
      </c>
      <c r="S706" s="196">
        <v>8075901000</v>
      </c>
      <c r="T706" s="196">
        <v>134000000</v>
      </c>
      <c r="U706" s="200">
        <f t="shared" ref="U706:U769" si="127">C706*T706</f>
        <v>10519000000</v>
      </c>
      <c r="V706" s="196">
        <v>106000000</v>
      </c>
      <c r="W706" s="196">
        <v>2742000000</v>
      </c>
      <c r="X706" s="196">
        <v>352000000</v>
      </c>
      <c r="Y706" s="196">
        <v>3387000000</v>
      </c>
      <c r="Z706" s="196">
        <v>0</v>
      </c>
      <c r="AA706" s="198">
        <v>0.03</v>
      </c>
      <c r="AB706" s="198">
        <v>0.03</v>
      </c>
      <c r="AC706" s="213">
        <f t="shared" ref="AC706:AC769" si="128">RANK(AA706,AA:AA)</f>
        <v>469</v>
      </c>
      <c r="AD706" s="213">
        <f t="shared" ref="AD706:AD769" si="129">RANK(AB706,AB:AB)</f>
        <v>334</v>
      </c>
      <c r="AE706" s="213">
        <v>1.94</v>
      </c>
      <c r="AF706" s="196">
        <v>-30000000</v>
      </c>
      <c r="AG706" s="104">
        <f t="shared" ref="AG706:AG769" si="130">AF706/T706</f>
        <v>-0.22388059701492538</v>
      </c>
      <c r="AH706" s="104">
        <f t="shared" ref="AH706:AH769" si="131">IF(AND(AF706&gt;0,V706&gt;0),AF706/V706,0)</f>
        <v>0</v>
      </c>
      <c r="AI706" s="195">
        <v>0.78</v>
      </c>
    </row>
    <row r="707" spans="1:48">
      <c r="A707">
        <v>3444</v>
      </c>
      <c r="C707" s="107">
        <f>VLOOKUP(3444,收盤價!$A:$C,3,0)</f>
        <v>17.3</v>
      </c>
      <c r="D707" s="107">
        <f t="shared" si="121"/>
        <v>15.017361111111112</v>
      </c>
      <c r="E707" s="167">
        <f t="shared" si="122"/>
        <v>1</v>
      </c>
      <c r="F707" s="104">
        <f t="shared" si="123"/>
        <v>0.73619745411486082</v>
      </c>
      <c r="G707" s="167">
        <f>RANK(1.41,AE:AE,0)</f>
        <v>618</v>
      </c>
      <c r="H707" s="365">
        <f t="shared" si="124"/>
        <v>0.58800279004882594</v>
      </c>
      <c r="I707" s="213">
        <f t="shared" si="125"/>
        <v>908</v>
      </c>
      <c r="J707" s="213">
        <f t="shared" si="126"/>
        <v>588</v>
      </c>
      <c r="K707">
        <f>RANK(1.04,AI:AI,0)</f>
        <v>843</v>
      </c>
      <c r="L707" s="357">
        <v>0</v>
      </c>
      <c r="M707" s="357">
        <v>1</v>
      </c>
      <c r="N707" s="357">
        <v>0</v>
      </c>
      <c r="O707" s="357">
        <v>0</v>
      </c>
      <c r="P707" s="357">
        <v>0</v>
      </c>
      <c r="Q707" s="358">
        <v>0.2</v>
      </c>
      <c r="R707" s="359">
        <v>0.28799999999999998</v>
      </c>
      <c r="S707" s="196">
        <v>918816000</v>
      </c>
      <c r="T707" s="196">
        <v>39100000</v>
      </c>
      <c r="U707" s="200">
        <f t="shared" si="127"/>
        <v>676430000</v>
      </c>
      <c r="V707" s="196">
        <v>11000000</v>
      </c>
      <c r="W707" s="196">
        <v>290000000</v>
      </c>
      <c r="X707" s="196">
        <v>212000000</v>
      </c>
      <c r="Y707" s="196">
        <v>559000000</v>
      </c>
      <c r="Z707" s="196">
        <v>20000000</v>
      </c>
      <c r="AA707" s="198">
        <v>0.02</v>
      </c>
      <c r="AB707" s="198">
        <v>0.02</v>
      </c>
      <c r="AC707" s="213">
        <f t="shared" si="128"/>
        <v>616</v>
      </c>
      <c r="AD707" s="213">
        <f t="shared" si="129"/>
        <v>487</v>
      </c>
      <c r="AE707" s="213">
        <v>1.41</v>
      </c>
      <c r="AF707" s="196">
        <v>9000000</v>
      </c>
      <c r="AG707" s="104">
        <f t="shared" si="130"/>
        <v>0.23017902813299232</v>
      </c>
      <c r="AH707" s="104">
        <f t="shared" si="131"/>
        <v>0.81818181818181823</v>
      </c>
      <c r="AI707" s="195">
        <v>1.04</v>
      </c>
      <c r="AO707" s="213"/>
      <c r="AP707" s="213"/>
      <c r="AQ707" s="213"/>
      <c r="AR707" s="213"/>
      <c r="AS707" s="213"/>
      <c r="AT707" s="213"/>
      <c r="AU707" s="213"/>
      <c r="AV707" s="213"/>
    </row>
    <row r="708" spans="1:48">
      <c r="A708">
        <v>3450</v>
      </c>
      <c r="C708" s="107">
        <f>VLOOKUP(3450,收盤價!$A:$C,3,0)</f>
        <v>115</v>
      </c>
      <c r="D708" s="107">
        <f t="shared" si="121"/>
        <v>9.3344155844155843</v>
      </c>
      <c r="E708" s="167">
        <f t="shared" si="122"/>
        <v>4</v>
      </c>
      <c r="F708" s="104">
        <f t="shared" si="123"/>
        <v>1.3021088132213521</v>
      </c>
      <c r="G708" s="167">
        <f>RANK(0.84,AE:AE,0)</f>
        <v>946</v>
      </c>
      <c r="H708" s="365">
        <f t="shared" si="124"/>
        <v>-5.5</v>
      </c>
      <c r="I708" s="213">
        <f t="shared" si="125"/>
        <v>30</v>
      </c>
      <c r="J708" s="213">
        <f t="shared" si="126"/>
        <v>768</v>
      </c>
      <c r="K708">
        <f>RANK(1.95,AI:AI,0)</f>
        <v>358</v>
      </c>
      <c r="L708" s="357">
        <v>0</v>
      </c>
      <c r="M708" s="357">
        <v>1</v>
      </c>
      <c r="N708" s="357">
        <v>2</v>
      </c>
      <c r="O708" s="357">
        <v>1</v>
      </c>
      <c r="P708" s="357">
        <v>0</v>
      </c>
      <c r="Q708" s="358">
        <v>0.29422718808193671</v>
      </c>
      <c r="R708" s="359">
        <v>3.08</v>
      </c>
      <c r="S708" s="196">
        <v>8125281000</v>
      </c>
      <c r="T708" s="196">
        <v>92000000</v>
      </c>
      <c r="U708" s="200">
        <f t="shared" si="127"/>
        <v>10580000000</v>
      </c>
      <c r="V708" s="196">
        <v>0</v>
      </c>
      <c r="W708" s="196">
        <v>2568000000</v>
      </c>
      <c r="X708" s="196">
        <v>2094000000</v>
      </c>
      <c r="Y708" s="196">
        <v>4749000000</v>
      </c>
      <c r="Z708" s="196">
        <v>0</v>
      </c>
      <c r="AA708" s="198">
        <v>0</v>
      </c>
      <c r="AB708" s="198">
        <v>0</v>
      </c>
      <c r="AC708" s="213">
        <f t="shared" si="128"/>
        <v>945</v>
      </c>
      <c r="AD708" s="213">
        <f t="shared" si="129"/>
        <v>911</v>
      </c>
      <c r="AE708" s="213">
        <v>0.84</v>
      </c>
      <c r="AF708" s="196">
        <v>506000000</v>
      </c>
      <c r="AG708" s="104">
        <f t="shared" si="130"/>
        <v>5.5</v>
      </c>
      <c r="AH708" s="104">
        <f t="shared" si="131"/>
        <v>0</v>
      </c>
      <c r="AI708" s="195">
        <v>1.95</v>
      </c>
    </row>
    <row r="709" spans="1:48">
      <c r="A709" s="213">
        <v>3452</v>
      </c>
      <c r="C709" s="107">
        <f>VLOOKUP(3452,收盤價!$A:$C,3,0)</f>
        <v>9.91</v>
      </c>
      <c r="D709" s="107">
        <f t="shared" si="121"/>
        <v>0</v>
      </c>
      <c r="E709" s="167">
        <f t="shared" si="122"/>
        <v>3</v>
      </c>
      <c r="F709" s="104">
        <f t="shared" si="123"/>
        <v>1.5119369719425078</v>
      </c>
      <c r="G709" s="167">
        <f>RANK(0.56,AE:AE,0)</f>
        <v>1414</v>
      </c>
      <c r="H709" s="365">
        <f t="shared" si="124"/>
        <v>-2.3094688221709007E-2</v>
      </c>
      <c r="I709" s="213">
        <f t="shared" si="125"/>
        <v>1052</v>
      </c>
      <c r="J709" s="213">
        <f t="shared" si="126"/>
        <v>768</v>
      </c>
      <c r="K709" s="213">
        <f>RANK(0.86,AI:AI,0)</f>
        <v>1045</v>
      </c>
      <c r="L709" s="357">
        <v>0</v>
      </c>
      <c r="M709" s="357">
        <v>1</v>
      </c>
      <c r="N709" s="357">
        <v>1</v>
      </c>
      <c r="O709" s="357">
        <v>1</v>
      </c>
      <c r="P709" s="357">
        <v>0</v>
      </c>
      <c r="Q709" s="358">
        <v>-5.7069846678023853E-2</v>
      </c>
      <c r="R709" s="359">
        <v>0</v>
      </c>
      <c r="S709" s="196">
        <v>5108582000</v>
      </c>
      <c r="T709" s="196">
        <v>779400000</v>
      </c>
      <c r="U709" s="200">
        <f t="shared" si="127"/>
        <v>7723854000</v>
      </c>
      <c r="V709" s="196">
        <v>-138000000</v>
      </c>
      <c r="W709" s="196">
        <v>1981000000</v>
      </c>
      <c r="X709" s="196">
        <v>3372000000</v>
      </c>
      <c r="Y709" s="196">
        <v>6458000000</v>
      </c>
      <c r="Z709" s="196">
        <v>152000000</v>
      </c>
      <c r="AA709" s="198">
        <v>-0.03</v>
      </c>
      <c r="AB709" s="198">
        <v>-0.02</v>
      </c>
      <c r="AC709" s="213">
        <f t="shared" si="128"/>
        <v>1405</v>
      </c>
      <c r="AD709" s="213">
        <f t="shared" si="129"/>
        <v>1388</v>
      </c>
      <c r="AE709" s="213">
        <v>0.56000000000000005</v>
      </c>
      <c r="AF709" s="196">
        <v>18000000</v>
      </c>
      <c r="AG709" s="104">
        <f t="shared" si="130"/>
        <v>2.3094688221709007E-2</v>
      </c>
      <c r="AH709" s="104">
        <f t="shared" si="131"/>
        <v>0</v>
      </c>
      <c r="AI709" s="195">
        <v>0.86</v>
      </c>
    </row>
    <row r="710" spans="1:48">
      <c r="A710">
        <v>3454</v>
      </c>
      <c r="C710" s="107">
        <f>VLOOKUP(3454,收盤價!$A:$C,3,0)</f>
        <v>79.5</v>
      </c>
      <c r="D710" s="107">
        <f t="shared" si="121"/>
        <v>9.9162508909479694</v>
      </c>
      <c r="E710" s="167">
        <f t="shared" si="122"/>
        <v>4</v>
      </c>
      <c r="F710" s="104">
        <f t="shared" si="123"/>
        <v>1.3467096683425983</v>
      </c>
      <c r="G710" s="167">
        <f>RANK(9.68,AE:AE,0)</f>
        <v>76</v>
      </c>
      <c r="H710" s="365">
        <f t="shared" si="124"/>
        <v>-2.7081599077563419</v>
      </c>
      <c r="I710" s="213">
        <f t="shared" si="125"/>
        <v>46</v>
      </c>
      <c r="J710" s="213">
        <f t="shared" si="126"/>
        <v>274</v>
      </c>
      <c r="K710">
        <f>RANK(4.87,AI:AI,0)</f>
        <v>67</v>
      </c>
      <c r="L710" s="357">
        <v>0</v>
      </c>
      <c r="M710" s="357">
        <v>1</v>
      </c>
      <c r="N710" s="357">
        <v>2</v>
      </c>
      <c r="O710" s="357">
        <v>1</v>
      </c>
      <c r="P710" s="357">
        <v>0</v>
      </c>
      <c r="Q710" s="358">
        <v>0.4099332839140104</v>
      </c>
      <c r="R710" s="359">
        <v>2.004285714285714</v>
      </c>
      <c r="S710" s="196">
        <v>4563233000</v>
      </c>
      <c r="T710" s="196">
        <v>77300000</v>
      </c>
      <c r="U710" s="200">
        <f t="shared" si="127"/>
        <v>6145350000</v>
      </c>
      <c r="V710" s="196">
        <v>184000000</v>
      </c>
      <c r="W710" s="196">
        <v>1705000000</v>
      </c>
      <c r="X710" s="196">
        <v>465000000</v>
      </c>
      <c r="Y710" s="196">
        <v>2585000000</v>
      </c>
      <c r="Z710" s="196">
        <v>1000000</v>
      </c>
      <c r="AA710" s="198">
        <v>0.08</v>
      </c>
      <c r="AB710" s="198">
        <v>7.0000000000000007E-2</v>
      </c>
      <c r="AC710" s="213">
        <f t="shared" si="128"/>
        <v>97</v>
      </c>
      <c r="AD710" s="213">
        <f t="shared" si="129"/>
        <v>64</v>
      </c>
      <c r="AE710" s="213">
        <v>9.68</v>
      </c>
      <c r="AF710" s="196">
        <v>361000000</v>
      </c>
      <c r="AG710" s="104">
        <f t="shared" si="130"/>
        <v>4.6701164294954722</v>
      </c>
      <c r="AH710" s="104">
        <f t="shared" si="131"/>
        <v>1.9619565217391304</v>
      </c>
      <c r="AI710" s="195">
        <v>4.87</v>
      </c>
    </row>
    <row r="711" spans="1:48">
      <c r="A711">
        <v>3455</v>
      </c>
      <c r="C711" s="107">
        <f>VLOOKUP(3455,收盤價!$A:$C,3,0)</f>
        <v>36</v>
      </c>
      <c r="D711" s="107">
        <f t="shared" si="121"/>
        <v>0</v>
      </c>
      <c r="E711" s="167">
        <f t="shared" si="122"/>
        <v>1</v>
      </c>
      <c r="F711" s="104">
        <f t="shared" si="123"/>
        <v>1.5579313285480025</v>
      </c>
      <c r="G711" s="167">
        <f>RANK(0.61,AE:AE,0)</f>
        <v>1295</v>
      </c>
      <c r="H711" s="365">
        <f t="shared" si="124"/>
        <v>0.19607843137254902</v>
      </c>
      <c r="I711" s="213">
        <f t="shared" si="125"/>
        <v>1206</v>
      </c>
      <c r="J711" s="213">
        <f t="shared" si="126"/>
        <v>768</v>
      </c>
      <c r="K711">
        <f>RANK(0.79,AI:AI,0)</f>
        <v>1192</v>
      </c>
      <c r="L711" s="357">
        <v>0</v>
      </c>
      <c r="M711" s="357">
        <v>1</v>
      </c>
      <c r="N711" s="357">
        <v>0</v>
      </c>
      <c r="O711" s="357">
        <v>0</v>
      </c>
      <c r="P711" s="357">
        <v>0</v>
      </c>
      <c r="Q711" s="358">
        <v>0.45957446808510638</v>
      </c>
      <c r="R711" s="359">
        <v>0</v>
      </c>
      <c r="S711" s="196">
        <v>1414183000</v>
      </c>
      <c r="T711" s="196">
        <v>61200000</v>
      </c>
      <c r="U711" s="200">
        <f t="shared" si="127"/>
        <v>2203200000</v>
      </c>
      <c r="V711" s="196">
        <v>-20000000</v>
      </c>
      <c r="W711" s="196">
        <v>1238000000</v>
      </c>
      <c r="X711" s="196">
        <v>321000000</v>
      </c>
      <c r="Y711" s="196">
        <v>1584000000</v>
      </c>
      <c r="Z711" s="196">
        <v>316000000</v>
      </c>
      <c r="AA711" s="198">
        <v>-0.01</v>
      </c>
      <c r="AB711" s="198">
        <v>-0.01</v>
      </c>
      <c r="AC711" s="213">
        <f t="shared" si="128"/>
        <v>1277</v>
      </c>
      <c r="AD711" s="213">
        <f t="shared" si="129"/>
        <v>1294</v>
      </c>
      <c r="AE711" s="213">
        <v>0.61</v>
      </c>
      <c r="AF711" s="196">
        <v>-12000000</v>
      </c>
      <c r="AG711" s="104">
        <f t="shared" si="130"/>
        <v>-0.19607843137254902</v>
      </c>
      <c r="AH711" s="104">
        <f t="shared" si="131"/>
        <v>0</v>
      </c>
      <c r="AI711" s="195">
        <v>0.79</v>
      </c>
      <c r="AO711" s="213"/>
      <c r="AP711" s="213"/>
      <c r="AQ711" s="213"/>
      <c r="AR711" s="213"/>
      <c r="AS711" s="213"/>
      <c r="AT711" s="213"/>
      <c r="AU711" s="213"/>
      <c r="AV711" s="213"/>
    </row>
    <row r="712" spans="1:48">
      <c r="A712">
        <v>3465</v>
      </c>
      <c r="C712" s="107">
        <f>VLOOKUP(3465,收盤價!$A:$C,3,0)</f>
        <v>6</v>
      </c>
      <c r="D712" s="107">
        <f t="shared" si="121"/>
        <v>0</v>
      </c>
      <c r="E712" s="167">
        <f t="shared" si="122"/>
        <v>3</v>
      </c>
      <c r="F712" s="104">
        <f t="shared" si="123"/>
        <v>1.0460237178254903</v>
      </c>
      <c r="G712" s="167">
        <f>RANK(0.5,AE:AE,0)</f>
        <v>1545</v>
      </c>
      <c r="H712" s="365">
        <f t="shared" si="124"/>
        <v>7.6045627376425853E-2</v>
      </c>
      <c r="I712" s="213">
        <f t="shared" si="125"/>
        <v>1119</v>
      </c>
      <c r="J712" s="213">
        <f t="shared" si="126"/>
        <v>768</v>
      </c>
      <c r="K712">
        <f>RANK(0.83,AI:AI,0)</f>
        <v>1098</v>
      </c>
      <c r="L712" s="357">
        <v>0</v>
      </c>
      <c r="M712" s="357">
        <v>1</v>
      </c>
      <c r="N712" s="357">
        <v>2</v>
      </c>
      <c r="O712" s="357">
        <v>0</v>
      </c>
      <c r="P712" s="357">
        <v>0</v>
      </c>
      <c r="Q712" s="358">
        <v>0.13333333333333333</v>
      </c>
      <c r="R712" s="359">
        <v>0</v>
      </c>
      <c r="S712" s="196">
        <v>150857000</v>
      </c>
      <c r="T712" s="196">
        <v>26300000</v>
      </c>
      <c r="U712" s="200">
        <f t="shared" si="127"/>
        <v>157800000</v>
      </c>
      <c r="V712" s="196">
        <v>-11000000</v>
      </c>
      <c r="W712" s="196">
        <v>0</v>
      </c>
      <c r="X712" s="196">
        <v>1000000</v>
      </c>
      <c r="Y712" s="196">
        <v>47000000</v>
      </c>
      <c r="Z712" s="196">
        <v>42000000</v>
      </c>
      <c r="AA712" s="198">
        <v>-11</v>
      </c>
      <c r="AB712" s="198">
        <v>-0.12</v>
      </c>
      <c r="AC712" s="213">
        <f t="shared" si="128"/>
        <v>1557</v>
      </c>
      <c r="AD712" s="213">
        <f t="shared" si="129"/>
        <v>1543</v>
      </c>
      <c r="AE712" s="213">
        <v>0.5</v>
      </c>
      <c r="AF712" s="196">
        <v>-2000000</v>
      </c>
      <c r="AG712" s="104">
        <f t="shared" si="130"/>
        <v>-7.6045627376425853E-2</v>
      </c>
      <c r="AH712" s="104">
        <f t="shared" si="131"/>
        <v>0</v>
      </c>
      <c r="AI712" s="195">
        <v>0.83</v>
      </c>
      <c r="AO712" s="213"/>
      <c r="AP712" s="213"/>
      <c r="AQ712" s="213"/>
      <c r="AR712" s="213"/>
      <c r="AS712" s="213"/>
      <c r="AT712" s="213"/>
      <c r="AU712" s="213"/>
      <c r="AV712" s="213"/>
    </row>
    <row r="713" spans="1:48">
      <c r="A713">
        <v>3466</v>
      </c>
      <c r="C713" s="107">
        <f>VLOOKUP(3466,收盤價!$A:$C,3,0)</f>
        <v>0</v>
      </c>
      <c r="D713" s="107">
        <f t="shared" si="121"/>
        <v>0</v>
      </c>
      <c r="E713" s="167">
        <f t="shared" si="122"/>
        <v>2</v>
      </c>
      <c r="F713" s="104">
        <f t="shared" si="123"/>
        <v>0</v>
      </c>
      <c r="G713" s="167">
        <f>RANK(0.61,AE:AE,0)</f>
        <v>1295</v>
      </c>
      <c r="H713" s="365">
        <f t="shared" si="124"/>
        <v>-1.4614121510673235</v>
      </c>
      <c r="I713" s="213">
        <f t="shared" si="125"/>
        <v>357</v>
      </c>
      <c r="J713" s="213">
        <f t="shared" si="126"/>
        <v>768</v>
      </c>
      <c r="K713">
        <f>RANK(1.38,AI:AI,0)</f>
        <v>637</v>
      </c>
      <c r="L713" s="357">
        <v>0</v>
      </c>
      <c r="M713" s="357">
        <v>1</v>
      </c>
      <c r="N713" s="357">
        <v>0</v>
      </c>
      <c r="O713" s="357">
        <v>1</v>
      </c>
      <c r="P713" s="357">
        <v>0</v>
      </c>
      <c r="Q713" s="358">
        <v>0.15182186234817813</v>
      </c>
      <c r="R713" s="359">
        <v>0</v>
      </c>
      <c r="S713" s="196">
        <v>1630565000</v>
      </c>
      <c r="T713" s="196">
        <v>60900000</v>
      </c>
      <c r="U713" s="200">
        <f t="shared" si="127"/>
        <v>0</v>
      </c>
      <c r="V713" s="196">
        <v>-11000000</v>
      </c>
      <c r="W713" s="196">
        <v>1087000000</v>
      </c>
      <c r="X713" s="196">
        <v>277000000</v>
      </c>
      <c r="Y713" s="196">
        <v>1580000000</v>
      </c>
      <c r="Z713" s="196">
        <v>35000000</v>
      </c>
      <c r="AA713" s="198">
        <v>-0.01</v>
      </c>
      <c r="AB713" s="198">
        <v>-0.01</v>
      </c>
      <c r="AC713" s="213">
        <f t="shared" si="128"/>
        <v>1277</v>
      </c>
      <c r="AD713" s="213">
        <f t="shared" si="129"/>
        <v>1294</v>
      </c>
      <c r="AE713" s="213">
        <v>0.61</v>
      </c>
      <c r="AF713" s="196">
        <v>89000000</v>
      </c>
      <c r="AG713" s="104">
        <f t="shared" si="130"/>
        <v>1.4614121510673235</v>
      </c>
      <c r="AH713" s="104">
        <f t="shared" si="131"/>
        <v>0</v>
      </c>
      <c r="AI713" s="195">
        <v>1.38</v>
      </c>
      <c r="AO713" s="213"/>
      <c r="AP713" s="213"/>
      <c r="AQ713" s="213"/>
      <c r="AR713" s="213"/>
      <c r="AS713" s="213"/>
      <c r="AT713" s="213"/>
      <c r="AU713" s="213"/>
      <c r="AV713" s="213"/>
    </row>
    <row r="714" spans="1:48">
      <c r="A714">
        <v>3474</v>
      </c>
      <c r="C714" s="107">
        <f>VLOOKUP(3474,收盤價!$A:$C,3,0)</f>
        <v>29.5</v>
      </c>
      <c r="D714" s="107">
        <f t="shared" si="121"/>
        <v>0</v>
      </c>
      <c r="E714" s="167">
        <f t="shared" si="122"/>
        <v>2</v>
      </c>
      <c r="F714" s="104">
        <f t="shared" si="123"/>
        <v>4.0712378427792721</v>
      </c>
      <c r="G714" s="167">
        <f>RANK(0.84,AE:AE,0)</f>
        <v>946</v>
      </c>
      <c r="H714" s="365">
        <f t="shared" si="124"/>
        <v>-0.51913937351007455</v>
      </c>
      <c r="I714" s="213">
        <f t="shared" si="125"/>
        <v>737</v>
      </c>
      <c r="J714" s="213">
        <f t="shared" si="126"/>
        <v>768</v>
      </c>
      <c r="K714">
        <f>RANK(1.04,AI:AI,0)</f>
        <v>843</v>
      </c>
      <c r="L714" s="357">
        <v>0</v>
      </c>
      <c r="M714" s="357">
        <v>0</v>
      </c>
      <c r="N714" s="357">
        <v>1</v>
      </c>
      <c r="O714" s="357">
        <v>1</v>
      </c>
      <c r="P714" s="357">
        <v>0</v>
      </c>
      <c r="Q714" s="358">
        <v>-3.2199585635359115E-2</v>
      </c>
      <c r="R714" s="359">
        <v>0</v>
      </c>
      <c r="S714" s="196">
        <v>47721125000</v>
      </c>
      <c r="T714" s="196">
        <v>6585900000</v>
      </c>
      <c r="U714" s="200">
        <f t="shared" si="127"/>
        <v>194284050000</v>
      </c>
      <c r="V714" s="196">
        <v>-510000000</v>
      </c>
      <c r="W714" s="196">
        <v>13418000000</v>
      </c>
      <c r="X714" s="196">
        <v>119704000000</v>
      </c>
      <c r="Y714" s="196">
        <v>130286000000</v>
      </c>
      <c r="Z714" s="196">
        <v>7178000000</v>
      </c>
      <c r="AA714" s="198">
        <v>0</v>
      </c>
      <c r="AB714" s="198">
        <v>0</v>
      </c>
      <c r="AC714" s="213">
        <f t="shared" si="128"/>
        <v>945</v>
      </c>
      <c r="AD714" s="213">
        <f t="shared" si="129"/>
        <v>911</v>
      </c>
      <c r="AE714" s="213">
        <v>0.84</v>
      </c>
      <c r="AF714" s="196">
        <v>3419000000</v>
      </c>
      <c r="AG714" s="104">
        <f t="shared" si="130"/>
        <v>0.51913937351007455</v>
      </c>
      <c r="AH714" s="104">
        <f t="shared" si="131"/>
        <v>0</v>
      </c>
      <c r="AI714" s="195">
        <v>1.04</v>
      </c>
    </row>
    <row r="715" spans="1:48">
      <c r="A715">
        <v>3479</v>
      </c>
      <c r="C715" s="107">
        <f>VLOOKUP(3479,收盤價!$A:$C,3,0)</f>
        <v>64.599999999999994</v>
      </c>
      <c r="D715" s="107">
        <f t="shared" si="121"/>
        <v>11.034842023647991</v>
      </c>
      <c r="E715" s="167">
        <f t="shared" si="122"/>
        <v>2</v>
      </c>
      <c r="F715" s="104">
        <f t="shared" si="123"/>
        <v>0.82092382215389315</v>
      </c>
      <c r="G715" s="167">
        <f>RANK(6.8,AE:AE,0)</f>
        <v>115</v>
      </c>
      <c r="H715" s="365">
        <f t="shared" si="124"/>
        <v>-2.2643815554263313</v>
      </c>
      <c r="I715" s="213">
        <f t="shared" si="125"/>
        <v>45</v>
      </c>
      <c r="J715" s="213">
        <f t="shared" si="126"/>
        <v>198</v>
      </c>
      <c r="K715">
        <f>RANK(6.41,AI:AI,0)</f>
        <v>41</v>
      </c>
      <c r="L715" s="357">
        <v>0</v>
      </c>
      <c r="M715" s="357">
        <v>1</v>
      </c>
      <c r="N715" s="357">
        <v>0</v>
      </c>
      <c r="O715" s="357">
        <v>1</v>
      </c>
      <c r="P715" s="357">
        <v>0</v>
      </c>
      <c r="Q715" s="358">
        <v>0.27514792899408286</v>
      </c>
      <c r="R715" s="359">
        <v>1.4635460992907803</v>
      </c>
      <c r="S715" s="196">
        <v>5453344000</v>
      </c>
      <c r="T715" s="196">
        <v>69300000</v>
      </c>
      <c r="U715" s="200">
        <f t="shared" si="127"/>
        <v>4476780000</v>
      </c>
      <c r="V715" s="196">
        <v>134000000</v>
      </c>
      <c r="W715" s="196">
        <v>1155000000</v>
      </c>
      <c r="X715" s="196">
        <v>684000000</v>
      </c>
      <c r="Y715" s="196">
        <v>2070000000</v>
      </c>
      <c r="Z715" s="196">
        <v>20000000</v>
      </c>
      <c r="AA715" s="198">
        <v>7.0000000000000007E-2</v>
      </c>
      <c r="AB715" s="198">
        <v>0.06</v>
      </c>
      <c r="AC715" s="213">
        <f t="shared" si="128"/>
        <v>134</v>
      </c>
      <c r="AD715" s="213">
        <f t="shared" si="129"/>
        <v>95</v>
      </c>
      <c r="AE715" s="213">
        <v>6.8</v>
      </c>
      <c r="AF715" s="196">
        <v>325000000</v>
      </c>
      <c r="AG715" s="104">
        <f t="shared" si="130"/>
        <v>4.6897546897546896</v>
      </c>
      <c r="AH715" s="104">
        <f t="shared" si="131"/>
        <v>2.4253731343283582</v>
      </c>
      <c r="AI715" s="195">
        <v>6.41</v>
      </c>
    </row>
    <row r="716" spans="1:48">
      <c r="A716">
        <v>3481</v>
      </c>
      <c r="C716" s="107">
        <f>VLOOKUP(3481,收盤價!$A:$C,3,0)</f>
        <v>11</v>
      </c>
      <c r="D716" s="107">
        <f t="shared" si="121"/>
        <v>0</v>
      </c>
      <c r="E716" s="167">
        <f t="shared" si="122"/>
        <v>3</v>
      </c>
      <c r="F716" s="104">
        <f t="shared" si="123"/>
        <v>0.3819733840511671</v>
      </c>
      <c r="G716" s="167">
        <f>RANK(0.61,AE:AE,0)</f>
        <v>1295</v>
      </c>
      <c r="H716" s="365">
        <f t="shared" si="124"/>
        <v>-0.6014629637072465</v>
      </c>
      <c r="I716" s="213">
        <f t="shared" si="125"/>
        <v>694</v>
      </c>
      <c r="J716" s="213">
        <f t="shared" si="126"/>
        <v>768</v>
      </c>
      <c r="K716">
        <f>RANK(1.07,AI:AI,0)</f>
        <v>826</v>
      </c>
      <c r="L716" s="357">
        <v>0</v>
      </c>
      <c r="M716" s="357">
        <v>1</v>
      </c>
      <c r="N716" s="357">
        <v>2</v>
      </c>
      <c r="O716" s="357">
        <v>0</v>
      </c>
      <c r="P716" s="357">
        <v>0</v>
      </c>
      <c r="Q716" s="358">
        <v>2.3276700845745079E-2</v>
      </c>
      <c r="R716" s="359">
        <v>0</v>
      </c>
      <c r="S716" s="196">
        <v>286607404000</v>
      </c>
      <c r="T716" s="196">
        <v>9952400000</v>
      </c>
      <c r="U716" s="200">
        <f t="shared" si="127"/>
        <v>109476400000</v>
      </c>
      <c r="V716" s="196">
        <v>-2746000000</v>
      </c>
      <c r="W716" s="196">
        <v>11643000000</v>
      </c>
      <c r="X716" s="196">
        <v>190044000000</v>
      </c>
      <c r="Y716" s="196">
        <v>214685000000</v>
      </c>
      <c r="Z716" s="196">
        <v>21612000000</v>
      </c>
      <c r="AA716" s="198">
        <v>-0.01</v>
      </c>
      <c r="AB716" s="198">
        <v>-0.01</v>
      </c>
      <c r="AC716" s="213">
        <f t="shared" si="128"/>
        <v>1277</v>
      </c>
      <c r="AD716" s="213">
        <f t="shared" si="129"/>
        <v>1294</v>
      </c>
      <c r="AE716" s="213">
        <v>0.61</v>
      </c>
      <c r="AF716" s="196">
        <v>5986000000</v>
      </c>
      <c r="AG716" s="104">
        <f t="shared" si="130"/>
        <v>0.6014629637072465</v>
      </c>
      <c r="AH716" s="104">
        <f t="shared" si="131"/>
        <v>0</v>
      </c>
      <c r="AI716" s="195">
        <v>1.07</v>
      </c>
      <c r="AO716" s="213"/>
      <c r="AP716" s="213"/>
      <c r="AQ716" s="213"/>
      <c r="AR716" s="213"/>
      <c r="AS716" s="213"/>
      <c r="AT716" s="213"/>
      <c r="AU716" s="213"/>
      <c r="AV716" s="213"/>
    </row>
    <row r="717" spans="1:48">
      <c r="A717">
        <v>3483</v>
      </c>
      <c r="C717" s="107">
        <f>VLOOKUP(3483,收盤價!$A:$C,3,0)</f>
        <v>27</v>
      </c>
      <c r="D717" s="107">
        <f t="shared" si="121"/>
        <v>26.888736263736259</v>
      </c>
      <c r="E717" s="167">
        <f t="shared" si="122"/>
        <v>4</v>
      </c>
      <c r="F717" s="104">
        <f t="shared" si="123"/>
        <v>0.40720171474088673</v>
      </c>
      <c r="G717" s="167">
        <f>RANK(1.08,AE:AE,0)</f>
        <v>769</v>
      </c>
      <c r="H717" s="365">
        <f t="shared" si="124"/>
        <v>4.763505402160864</v>
      </c>
      <c r="I717" s="213">
        <f t="shared" si="125"/>
        <v>162</v>
      </c>
      <c r="J717" s="213">
        <f t="shared" si="126"/>
        <v>58</v>
      </c>
      <c r="K717">
        <f>RANK(7.08,AI:AI,0)</f>
        <v>32</v>
      </c>
      <c r="L717" s="357">
        <v>0</v>
      </c>
      <c r="M717" s="357">
        <v>1</v>
      </c>
      <c r="N717" s="357">
        <v>2</v>
      </c>
      <c r="O717" s="357">
        <v>1</v>
      </c>
      <c r="P717" s="357">
        <v>0</v>
      </c>
      <c r="Q717" s="358">
        <v>0.17654171704957677</v>
      </c>
      <c r="R717" s="359">
        <v>0.25103448275862073</v>
      </c>
      <c r="S717" s="196">
        <v>3249004000</v>
      </c>
      <c r="T717" s="196">
        <v>49000000</v>
      </c>
      <c r="U717" s="200">
        <f t="shared" si="127"/>
        <v>1323000000</v>
      </c>
      <c r="V717" s="196">
        <v>17000000</v>
      </c>
      <c r="W717" s="196">
        <v>881000000</v>
      </c>
      <c r="X717" s="196">
        <v>948000000</v>
      </c>
      <c r="Y717" s="196">
        <v>1899000000</v>
      </c>
      <c r="Z717" s="196">
        <v>531000000</v>
      </c>
      <c r="AA717" s="198">
        <v>0.01</v>
      </c>
      <c r="AB717" s="198">
        <v>0.01</v>
      </c>
      <c r="AC717" s="213">
        <f t="shared" si="128"/>
        <v>769</v>
      </c>
      <c r="AD717" s="213">
        <f t="shared" si="129"/>
        <v>680</v>
      </c>
      <c r="AE717" s="213">
        <v>1.08</v>
      </c>
      <c r="AF717" s="196">
        <v>124000000</v>
      </c>
      <c r="AG717" s="104">
        <f t="shared" si="130"/>
        <v>2.5306122448979593</v>
      </c>
      <c r="AH717" s="104">
        <f t="shared" si="131"/>
        <v>7.2941176470588234</v>
      </c>
      <c r="AI717" s="195">
        <v>7.08</v>
      </c>
      <c r="AO717" s="213"/>
      <c r="AP717" s="213"/>
      <c r="AQ717" s="213"/>
      <c r="AR717" s="213"/>
      <c r="AS717" s="213"/>
      <c r="AT717" s="213"/>
      <c r="AU717" s="213"/>
      <c r="AV717" s="213"/>
    </row>
    <row r="718" spans="1:48">
      <c r="A718">
        <v>3484</v>
      </c>
      <c r="C718" s="107">
        <f>VLOOKUP(3484,收盤價!$A:$C,3,0)</f>
        <v>41.4</v>
      </c>
      <c r="D718" s="107">
        <f t="shared" si="121"/>
        <v>22.5</v>
      </c>
      <c r="E718" s="167">
        <f t="shared" si="122"/>
        <v>2</v>
      </c>
      <c r="F718" s="104">
        <f t="shared" si="123"/>
        <v>0.80859546130279758</v>
      </c>
      <c r="G718" s="167">
        <f>RANK(0.84,AE:AE,0)</f>
        <v>946</v>
      </c>
      <c r="H718" s="365">
        <f t="shared" si="124"/>
        <v>-1.1145510835913313</v>
      </c>
      <c r="I718" s="213">
        <f t="shared" si="125"/>
        <v>469</v>
      </c>
      <c r="J718" s="213">
        <f t="shared" si="126"/>
        <v>768</v>
      </c>
      <c r="K718">
        <f>RANK(1.26,AI:AI,0)</f>
        <v>696</v>
      </c>
      <c r="L718" s="357">
        <v>0</v>
      </c>
      <c r="M718" s="357">
        <v>0</v>
      </c>
      <c r="N718" s="357">
        <v>1</v>
      </c>
      <c r="O718" s="357">
        <v>1</v>
      </c>
      <c r="P718" s="357">
        <v>0</v>
      </c>
      <c r="Q718" s="358">
        <v>0.2300469483568075</v>
      </c>
      <c r="R718" s="359">
        <v>0.46</v>
      </c>
      <c r="S718" s="196">
        <v>3307513000</v>
      </c>
      <c r="T718" s="196">
        <v>64600000</v>
      </c>
      <c r="U718" s="200">
        <f t="shared" si="127"/>
        <v>2674440000</v>
      </c>
      <c r="V718" s="196">
        <v>0</v>
      </c>
      <c r="W718" s="196">
        <v>1108000000</v>
      </c>
      <c r="X718" s="196">
        <v>672000000</v>
      </c>
      <c r="Y718" s="196">
        <v>1617000000</v>
      </c>
      <c r="Z718" s="196">
        <v>272000000</v>
      </c>
      <c r="AA718" s="198">
        <v>0</v>
      </c>
      <c r="AB718" s="198">
        <v>0</v>
      </c>
      <c r="AC718" s="213">
        <f t="shared" si="128"/>
        <v>945</v>
      </c>
      <c r="AD718" s="213">
        <f t="shared" si="129"/>
        <v>911</v>
      </c>
      <c r="AE718" s="213">
        <v>0.84</v>
      </c>
      <c r="AF718" s="196">
        <v>72000000</v>
      </c>
      <c r="AG718" s="104">
        <f t="shared" si="130"/>
        <v>1.1145510835913313</v>
      </c>
      <c r="AH718" s="104">
        <f t="shared" si="131"/>
        <v>0</v>
      </c>
      <c r="AI718" s="195">
        <v>1.26</v>
      </c>
      <c r="AO718" s="213"/>
      <c r="AP718" s="213"/>
      <c r="AQ718" s="213"/>
      <c r="AR718" s="213"/>
      <c r="AS718" s="213"/>
      <c r="AT718" s="213"/>
      <c r="AU718" s="213"/>
      <c r="AV718" s="213"/>
    </row>
    <row r="719" spans="1:48">
      <c r="A719">
        <v>3489</v>
      </c>
      <c r="C719" s="107">
        <f>VLOOKUP(3489,收盤價!$A:$C,3,0)</f>
        <v>10.75</v>
      </c>
      <c r="D719" s="107">
        <f t="shared" si="121"/>
        <v>15.357142857142856</v>
      </c>
      <c r="E719" s="167">
        <f t="shared" si="122"/>
        <v>3</v>
      </c>
      <c r="F719" s="104">
        <f t="shared" si="123"/>
        <v>0.76871611737372003</v>
      </c>
      <c r="G719" s="167">
        <f>RANK(1.08,AE:AE,0)</f>
        <v>769</v>
      </c>
      <c r="H719" s="365">
        <f t="shared" si="124"/>
        <v>1.8531889290012034</v>
      </c>
      <c r="I719" s="213">
        <f t="shared" si="125"/>
        <v>1505</v>
      </c>
      <c r="J719" s="213">
        <f t="shared" si="126"/>
        <v>768</v>
      </c>
      <c r="K719">
        <f>RANK(0.69,AI:AI,0)</f>
        <v>1474</v>
      </c>
      <c r="L719" s="357">
        <v>0</v>
      </c>
      <c r="M719" s="357">
        <v>1</v>
      </c>
      <c r="N719" s="357">
        <v>2</v>
      </c>
      <c r="O719" s="357">
        <v>0</v>
      </c>
      <c r="P719" s="357">
        <v>0</v>
      </c>
      <c r="Q719" s="358">
        <v>8.1632653061224483E-2</v>
      </c>
      <c r="R719" s="359">
        <v>0.17500000000000002</v>
      </c>
      <c r="S719" s="196">
        <v>1162100000</v>
      </c>
      <c r="T719" s="196">
        <v>83100000</v>
      </c>
      <c r="U719" s="200">
        <f t="shared" si="127"/>
        <v>893325000</v>
      </c>
      <c r="V719" s="196">
        <v>24000000</v>
      </c>
      <c r="W719" s="196">
        <v>1686000000</v>
      </c>
      <c r="X719" s="196">
        <v>1000000</v>
      </c>
      <c r="Y719" s="196">
        <v>1138000000</v>
      </c>
      <c r="Z719" s="196">
        <v>544000000</v>
      </c>
      <c r="AA719" s="198">
        <v>0.01</v>
      </c>
      <c r="AB719" s="198">
        <v>0.01</v>
      </c>
      <c r="AC719" s="213">
        <f t="shared" si="128"/>
        <v>769</v>
      </c>
      <c r="AD719" s="213">
        <f t="shared" si="129"/>
        <v>680</v>
      </c>
      <c r="AE719" s="213">
        <v>1.08</v>
      </c>
      <c r="AF719" s="196">
        <v>-154000000</v>
      </c>
      <c r="AG719" s="104">
        <f t="shared" si="130"/>
        <v>-1.8531889290012034</v>
      </c>
      <c r="AH719" s="104">
        <f t="shared" si="131"/>
        <v>0</v>
      </c>
      <c r="AI719" s="195">
        <v>0.69</v>
      </c>
    </row>
    <row r="720" spans="1:48">
      <c r="A720">
        <v>3490</v>
      </c>
      <c r="C720" s="107">
        <f>VLOOKUP(3490,收盤價!$A:$C,3,0)</f>
        <v>33.9</v>
      </c>
      <c r="D720" s="107">
        <f t="shared" si="121"/>
        <v>0</v>
      </c>
      <c r="E720" s="167">
        <f t="shared" si="122"/>
        <v>0</v>
      </c>
      <c r="F720" s="104">
        <f t="shared" si="123"/>
        <v>1.5889066857659173</v>
      </c>
      <c r="G720" s="167">
        <f>RANK(1.08,AE:AE,0)</f>
        <v>769</v>
      </c>
      <c r="H720" s="365">
        <f t="shared" si="124"/>
        <v>1.637239165329053</v>
      </c>
      <c r="I720" s="213">
        <f t="shared" si="125"/>
        <v>1488</v>
      </c>
      <c r="J720" s="213">
        <f t="shared" si="126"/>
        <v>768</v>
      </c>
      <c r="K720">
        <f>RANK(0.69,AI:AI,0)</f>
        <v>1474</v>
      </c>
      <c r="L720" s="357">
        <v>0</v>
      </c>
      <c r="M720" s="357">
        <v>0</v>
      </c>
      <c r="N720" s="357">
        <v>0</v>
      </c>
      <c r="O720" s="357">
        <v>0</v>
      </c>
      <c r="P720" s="357">
        <v>0</v>
      </c>
      <c r="Q720" s="358">
        <v>0.27</v>
      </c>
      <c r="R720" s="359">
        <v>-0.35555555555555557</v>
      </c>
      <c r="S720" s="196">
        <v>1329197000</v>
      </c>
      <c r="T720" s="196">
        <v>62300000</v>
      </c>
      <c r="U720" s="200">
        <f t="shared" si="127"/>
        <v>2111970000</v>
      </c>
      <c r="V720" s="196">
        <v>10000000</v>
      </c>
      <c r="W720" s="196">
        <v>573000000</v>
      </c>
      <c r="X720" s="196">
        <v>883000000</v>
      </c>
      <c r="Y720" s="196">
        <v>1478000000</v>
      </c>
      <c r="Z720" s="196">
        <v>40000000</v>
      </c>
      <c r="AA720" s="198">
        <v>0.01</v>
      </c>
      <c r="AB720" s="198">
        <v>0.01</v>
      </c>
      <c r="AC720" s="213">
        <f t="shared" si="128"/>
        <v>769</v>
      </c>
      <c r="AD720" s="213">
        <f t="shared" si="129"/>
        <v>680</v>
      </c>
      <c r="AE720" s="213">
        <v>1.08</v>
      </c>
      <c r="AF720" s="196">
        <v>-102000000</v>
      </c>
      <c r="AG720" s="104">
        <f t="shared" si="130"/>
        <v>-1.637239165329053</v>
      </c>
      <c r="AH720" s="104">
        <f t="shared" si="131"/>
        <v>0</v>
      </c>
      <c r="AI720" s="195">
        <v>0.69</v>
      </c>
    </row>
    <row r="721" spans="1:48">
      <c r="A721">
        <v>3491</v>
      </c>
      <c r="C721" s="107">
        <f>VLOOKUP(3491,收盤價!$A:$C,3,0)</f>
        <v>55.4</v>
      </c>
      <c r="D721" s="107">
        <f t="shared" si="121"/>
        <v>17.3125</v>
      </c>
      <c r="E721" s="167">
        <f t="shared" si="122"/>
        <v>2</v>
      </c>
      <c r="F721" s="104">
        <f t="shared" si="123"/>
        <v>1.9103397210913631</v>
      </c>
      <c r="G721" s="167">
        <f>RANK(2.32,AE:AE,0)</f>
        <v>360</v>
      </c>
      <c r="H721" s="365">
        <f t="shared" si="124"/>
        <v>-8.9445438282649281E-3</v>
      </c>
      <c r="I721" s="213">
        <f t="shared" si="125"/>
        <v>450</v>
      </c>
      <c r="J721" s="213">
        <f t="shared" si="126"/>
        <v>486</v>
      </c>
      <c r="K721">
        <f>RANK(1.66,AI:AI,0)</f>
        <v>476</v>
      </c>
      <c r="L721" s="357">
        <v>0</v>
      </c>
      <c r="M721" s="357">
        <v>1</v>
      </c>
      <c r="N721" s="357">
        <v>0</v>
      </c>
      <c r="O721" s="357">
        <v>1</v>
      </c>
      <c r="P721" s="357">
        <v>0</v>
      </c>
      <c r="Q721" s="358">
        <v>0.32383419689119169</v>
      </c>
      <c r="R721" s="359">
        <v>0.8</v>
      </c>
      <c r="S721" s="196">
        <v>1496404000</v>
      </c>
      <c r="T721" s="196">
        <v>51600000</v>
      </c>
      <c r="U721" s="200">
        <f t="shared" si="127"/>
        <v>2858640000</v>
      </c>
      <c r="V721" s="196">
        <v>52000000</v>
      </c>
      <c r="W721" s="196">
        <v>616000000</v>
      </c>
      <c r="X721" s="196">
        <v>836000000</v>
      </c>
      <c r="Y721" s="196">
        <v>1671000000</v>
      </c>
      <c r="Z721" s="196">
        <v>170000000</v>
      </c>
      <c r="AA721" s="198">
        <v>0.04</v>
      </c>
      <c r="AB721" s="198">
        <v>0.03</v>
      </c>
      <c r="AC721" s="213">
        <f t="shared" si="128"/>
        <v>337</v>
      </c>
      <c r="AD721" s="213">
        <f t="shared" si="129"/>
        <v>334</v>
      </c>
      <c r="AE721" s="213">
        <v>2.3199999999999998</v>
      </c>
      <c r="AF721" s="196">
        <v>60000000</v>
      </c>
      <c r="AG721" s="104">
        <f t="shared" si="130"/>
        <v>1.1627906976744187</v>
      </c>
      <c r="AH721" s="104">
        <f t="shared" si="131"/>
        <v>1.1538461538461537</v>
      </c>
      <c r="AI721" s="195">
        <v>1.66</v>
      </c>
    </row>
    <row r="722" spans="1:48">
      <c r="A722">
        <v>3492</v>
      </c>
      <c r="C722" s="107">
        <f>VLOOKUP(3492,收盤價!$A:$C,3,0)</f>
        <v>31.4</v>
      </c>
      <c r="D722" s="107">
        <f t="shared" si="121"/>
        <v>26.166666666666668</v>
      </c>
      <c r="E722" s="167">
        <f t="shared" si="122"/>
        <v>1</v>
      </c>
      <c r="F722" s="104">
        <f t="shared" si="123"/>
        <v>1.0037242338127295</v>
      </c>
      <c r="G722" s="167">
        <f>RANK(1.94,AE:AE,0)</f>
        <v>435</v>
      </c>
      <c r="H722" s="365">
        <f t="shared" si="124"/>
        <v>2.2494969818913484</v>
      </c>
      <c r="I722" s="213">
        <f t="shared" si="125"/>
        <v>355</v>
      </c>
      <c r="J722" s="213">
        <f t="shared" si="126"/>
        <v>122</v>
      </c>
      <c r="K722">
        <f>RANK(3.27,AI:AI,0)</f>
        <v>141</v>
      </c>
      <c r="L722" s="357">
        <v>0</v>
      </c>
      <c r="M722" s="357">
        <v>0</v>
      </c>
      <c r="N722" s="357">
        <v>0</v>
      </c>
      <c r="O722" s="357">
        <v>1</v>
      </c>
      <c r="P722" s="357">
        <v>0</v>
      </c>
      <c r="Q722" s="358">
        <v>0.27272727272727271</v>
      </c>
      <c r="R722" s="359">
        <v>0.3</v>
      </c>
      <c r="S722" s="196">
        <v>1110564000</v>
      </c>
      <c r="T722" s="196">
        <v>35500000</v>
      </c>
      <c r="U722" s="200">
        <f t="shared" si="127"/>
        <v>1114700000</v>
      </c>
      <c r="V722" s="196">
        <v>14000000</v>
      </c>
      <c r="W722" s="196">
        <v>269000000</v>
      </c>
      <c r="X722" s="196">
        <v>154000000</v>
      </c>
      <c r="Y722" s="196">
        <v>481000000</v>
      </c>
      <c r="Z722" s="196">
        <v>24000000</v>
      </c>
      <c r="AA722" s="198">
        <v>0.03</v>
      </c>
      <c r="AB722" s="198">
        <v>0.03</v>
      </c>
      <c r="AC722" s="213">
        <f t="shared" si="128"/>
        <v>469</v>
      </c>
      <c r="AD722" s="213">
        <f t="shared" si="129"/>
        <v>334</v>
      </c>
      <c r="AE722" s="213">
        <v>1.94</v>
      </c>
      <c r="AF722" s="196">
        <v>52000000</v>
      </c>
      <c r="AG722" s="104">
        <f t="shared" si="130"/>
        <v>1.4647887323943662</v>
      </c>
      <c r="AH722" s="104">
        <f t="shared" si="131"/>
        <v>3.7142857142857144</v>
      </c>
      <c r="AI722" s="195">
        <v>3.27</v>
      </c>
    </row>
    <row r="723" spans="1:48">
      <c r="A723">
        <v>3494</v>
      </c>
      <c r="C723" s="107">
        <f>VLOOKUP(3494,收盤價!$A:$C,3,0)</f>
        <v>13.15</v>
      </c>
      <c r="D723" s="107">
        <f t="shared" si="121"/>
        <v>0</v>
      </c>
      <c r="E723" s="167">
        <f t="shared" si="122"/>
        <v>1</v>
      </c>
      <c r="F723" s="104">
        <f t="shared" si="123"/>
        <v>1.3959156711223448</v>
      </c>
      <c r="G723" s="167">
        <f>RANK(0.84,AE:AE,0)</f>
        <v>946</v>
      </c>
      <c r="H723" s="365">
        <f t="shared" si="124"/>
        <v>-0.1894150417827298</v>
      </c>
      <c r="I723" s="213">
        <f t="shared" si="125"/>
        <v>938</v>
      </c>
      <c r="J723" s="213">
        <f t="shared" si="126"/>
        <v>768</v>
      </c>
      <c r="K723">
        <f>RANK(0.91,AI:AI,0)</f>
        <v>974</v>
      </c>
      <c r="L723" s="357">
        <v>0</v>
      </c>
      <c r="M723" s="357">
        <v>0</v>
      </c>
      <c r="N723" s="357">
        <v>0</v>
      </c>
      <c r="O723" s="357">
        <v>1</v>
      </c>
      <c r="P723" s="357">
        <v>0</v>
      </c>
      <c r="Q723" s="358">
        <v>0.26190476190476192</v>
      </c>
      <c r="R723" s="359">
        <v>-0.14000000000000001</v>
      </c>
      <c r="S723" s="196">
        <v>1690951000</v>
      </c>
      <c r="T723" s="196">
        <v>179500000</v>
      </c>
      <c r="U723" s="200">
        <f t="shared" si="127"/>
        <v>2360425000</v>
      </c>
      <c r="V723" s="196">
        <v>0</v>
      </c>
      <c r="W723" s="196">
        <v>851000000</v>
      </c>
      <c r="X723" s="196">
        <v>1595000000</v>
      </c>
      <c r="Y723" s="196">
        <v>2786000000</v>
      </c>
      <c r="Z723" s="196">
        <v>586000000</v>
      </c>
      <c r="AA723" s="198">
        <v>0</v>
      </c>
      <c r="AB723" s="198">
        <v>0</v>
      </c>
      <c r="AC723" s="213">
        <f t="shared" si="128"/>
        <v>945</v>
      </c>
      <c r="AD723" s="213">
        <f t="shared" si="129"/>
        <v>911</v>
      </c>
      <c r="AE723" s="213">
        <v>0.84</v>
      </c>
      <c r="AF723" s="196">
        <v>34000000</v>
      </c>
      <c r="AG723" s="104">
        <f t="shared" si="130"/>
        <v>0.1894150417827298</v>
      </c>
      <c r="AH723" s="104">
        <f t="shared" si="131"/>
        <v>0</v>
      </c>
      <c r="AI723" s="195">
        <v>0.91</v>
      </c>
      <c r="AO723" s="213"/>
      <c r="AP723" s="213"/>
      <c r="AQ723" s="213"/>
      <c r="AR723" s="213"/>
      <c r="AS723" s="213"/>
      <c r="AT723" s="213"/>
      <c r="AU723" s="213"/>
      <c r="AV723" s="213"/>
    </row>
    <row r="724" spans="1:48">
      <c r="A724">
        <v>3498</v>
      </c>
      <c r="C724" s="107">
        <f>VLOOKUP(3498,收盤價!$A:$C,3,0)</f>
        <v>45</v>
      </c>
      <c r="D724" s="107">
        <f t="shared" si="121"/>
        <v>281.25</v>
      </c>
      <c r="E724" s="167">
        <f t="shared" si="122"/>
        <v>0</v>
      </c>
      <c r="F724" s="104">
        <f t="shared" si="123"/>
        <v>1.4370370112691393</v>
      </c>
      <c r="G724" s="167">
        <f>RANK(0.84,AE:AE,0)</f>
        <v>946</v>
      </c>
      <c r="H724" s="365">
        <f t="shared" si="124"/>
        <v>8.5580065359477118</v>
      </c>
      <c r="I724" s="213">
        <f t="shared" si="125"/>
        <v>600</v>
      </c>
      <c r="J724" s="213">
        <f t="shared" si="126"/>
        <v>44</v>
      </c>
      <c r="K724">
        <f>RANK(2.42,AI:AI,0)</f>
        <v>256</v>
      </c>
      <c r="L724" s="357">
        <v>0</v>
      </c>
      <c r="M724" s="357">
        <v>0</v>
      </c>
      <c r="N724" s="357">
        <v>0</v>
      </c>
      <c r="O724" s="357">
        <v>0</v>
      </c>
      <c r="P724" s="357">
        <v>0</v>
      </c>
      <c r="Q724" s="358">
        <v>0.31725888324873097</v>
      </c>
      <c r="R724" s="359">
        <v>0.04</v>
      </c>
      <c r="S724" s="196">
        <v>2874665000</v>
      </c>
      <c r="T724" s="196">
        <v>91800000</v>
      </c>
      <c r="U724" s="200">
        <f t="shared" si="127"/>
        <v>4131000000</v>
      </c>
      <c r="V724" s="196">
        <v>8000000</v>
      </c>
      <c r="W724" s="196">
        <v>2436000000</v>
      </c>
      <c r="X724" s="196">
        <v>728000000</v>
      </c>
      <c r="Y724" s="196">
        <v>3267000000</v>
      </c>
      <c r="Z724" s="196">
        <v>126000000</v>
      </c>
      <c r="AA724" s="198">
        <v>0</v>
      </c>
      <c r="AB724" s="198">
        <v>0</v>
      </c>
      <c r="AC724" s="213">
        <f t="shared" si="128"/>
        <v>945</v>
      </c>
      <c r="AD724" s="213">
        <f t="shared" si="129"/>
        <v>911</v>
      </c>
      <c r="AE724" s="213">
        <v>0.84</v>
      </c>
      <c r="AF724" s="196">
        <v>75000000</v>
      </c>
      <c r="AG724" s="104">
        <f t="shared" si="130"/>
        <v>0.81699346405228757</v>
      </c>
      <c r="AH724" s="104">
        <f t="shared" si="131"/>
        <v>9.375</v>
      </c>
      <c r="AI724" s="195">
        <v>2.42</v>
      </c>
      <c r="AO724" s="213"/>
      <c r="AP724" s="213"/>
      <c r="AQ724" s="213"/>
      <c r="AR724" s="213"/>
      <c r="AS724" s="213"/>
      <c r="AT724" s="213"/>
      <c r="AU724" s="213"/>
      <c r="AV724" s="213"/>
    </row>
    <row r="725" spans="1:48">
      <c r="A725">
        <v>3499</v>
      </c>
      <c r="C725" s="107">
        <f>VLOOKUP(3499,收盤價!$A:$C,3,0)</f>
        <v>16.3</v>
      </c>
      <c r="D725" s="107">
        <f t="shared" si="121"/>
        <v>0</v>
      </c>
      <c r="E725" s="167">
        <f t="shared" si="122"/>
        <v>3</v>
      </c>
      <c r="F725" s="104">
        <f t="shared" si="123"/>
        <v>1.5278871357527295</v>
      </c>
      <c r="G725" s="167">
        <f>RANK(0.61,AE:AE,0)</f>
        <v>1295</v>
      </c>
      <c r="H725" s="365">
        <f t="shared" si="124"/>
        <v>-0.12727272727272726</v>
      </c>
      <c r="I725" s="213">
        <f t="shared" si="125"/>
        <v>977</v>
      </c>
      <c r="J725" s="213">
        <f t="shared" si="126"/>
        <v>768</v>
      </c>
      <c r="K725">
        <f>RANK(0.89,AI:AI,0)</f>
        <v>1004</v>
      </c>
      <c r="L725" s="357">
        <v>0</v>
      </c>
      <c r="M725" s="357">
        <v>1</v>
      </c>
      <c r="N725" s="357">
        <v>2</v>
      </c>
      <c r="O725" s="357">
        <v>0</v>
      </c>
      <c r="P725" s="357">
        <v>0</v>
      </c>
      <c r="Q725" s="358">
        <v>0.25675675675675674</v>
      </c>
      <c r="R725" s="359">
        <v>0</v>
      </c>
      <c r="S725" s="196">
        <v>586758000</v>
      </c>
      <c r="T725" s="196">
        <v>55000000</v>
      </c>
      <c r="U725" s="200">
        <f t="shared" si="127"/>
        <v>896500000</v>
      </c>
      <c r="V725" s="196">
        <v>-5000000</v>
      </c>
      <c r="W725" s="196">
        <v>203000000</v>
      </c>
      <c r="X725" s="196">
        <v>334000000</v>
      </c>
      <c r="Y725" s="196">
        <v>619000000</v>
      </c>
      <c r="Z725" s="196">
        <v>153000000</v>
      </c>
      <c r="AA725" s="198">
        <v>-0.01</v>
      </c>
      <c r="AB725" s="198">
        <v>-0.01</v>
      </c>
      <c r="AC725" s="213">
        <f t="shared" si="128"/>
        <v>1277</v>
      </c>
      <c r="AD725" s="213">
        <f t="shared" si="129"/>
        <v>1294</v>
      </c>
      <c r="AE725" s="213">
        <v>0.61</v>
      </c>
      <c r="AF725" s="196">
        <v>7000000</v>
      </c>
      <c r="AG725" s="104">
        <f t="shared" si="130"/>
        <v>0.12727272727272726</v>
      </c>
      <c r="AH725" s="104">
        <f t="shared" si="131"/>
        <v>0</v>
      </c>
      <c r="AI725" s="195">
        <v>0.89</v>
      </c>
      <c r="AO725" s="213"/>
      <c r="AP725" s="213"/>
      <c r="AQ725" s="213"/>
      <c r="AR725" s="213"/>
      <c r="AS725" s="213"/>
      <c r="AT725" s="213"/>
      <c r="AU725" s="213"/>
      <c r="AV725" s="213"/>
    </row>
    <row r="726" spans="1:48">
      <c r="A726">
        <v>3501</v>
      </c>
      <c r="C726" s="107">
        <f>VLOOKUP(3501,收盤價!$A:$C,3,0)</f>
        <v>47.05</v>
      </c>
      <c r="D726" s="107">
        <f t="shared" si="121"/>
        <v>12.634878009284249</v>
      </c>
      <c r="E726" s="167">
        <f t="shared" si="122"/>
        <v>3</v>
      </c>
      <c r="F726" s="104">
        <f t="shared" si="123"/>
        <v>1.068142141970408</v>
      </c>
      <c r="G726" s="167">
        <f>RANK(1.94,AE:AE,0)</f>
        <v>435</v>
      </c>
      <c r="H726" s="365">
        <f t="shared" si="124"/>
        <v>-0.76470271521716882</v>
      </c>
      <c r="I726" s="213">
        <f t="shared" si="125"/>
        <v>108</v>
      </c>
      <c r="J726" s="213">
        <f t="shared" si="126"/>
        <v>206</v>
      </c>
      <c r="K726">
        <f>RANK(4.96,AI:AI,0)</f>
        <v>66</v>
      </c>
      <c r="L726" s="357">
        <v>0</v>
      </c>
      <c r="M726" s="357">
        <v>0</v>
      </c>
      <c r="N726" s="357">
        <v>2</v>
      </c>
      <c r="O726" s="357">
        <v>1</v>
      </c>
      <c r="P726" s="357">
        <v>0</v>
      </c>
      <c r="Q726" s="358">
        <v>0.28805237315875615</v>
      </c>
      <c r="R726" s="359">
        <v>0.93095477386934666</v>
      </c>
      <c r="S726" s="196">
        <v>5210931000</v>
      </c>
      <c r="T726" s="196">
        <v>118300000</v>
      </c>
      <c r="U726" s="200">
        <f t="shared" si="127"/>
        <v>5566015000</v>
      </c>
      <c r="V726" s="196">
        <v>157000000</v>
      </c>
      <c r="W726" s="196">
        <v>2967000000</v>
      </c>
      <c r="X726" s="196">
        <v>2330000000</v>
      </c>
      <c r="Y726" s="196">
        <v>5362000000</v>
      </c>
      <c r="Z726" s="196">
        <v>136000000</v>
      </c>
      <c r="AA726" s="198">
        <v>0.03</v>
      </c>
      <c r="AB726" s="198">
        <v>0.03</v>
      </c>
      <c r="AC726" s="213">
        <f t="shared" si="128"/>
        <v>469</v>
      </c>
      <c r="AD726" s="213">
        <f t="shared" si="129"/>
        <v>334</v>
      </c>
      <c r="AE726" s="213">
        <v>1.94</v>
      </c>
      <c r="AF726" s="196">
        <v>367000000</v>
      </c>
      <c r="AG726" s="104">
        <f t="shared" si="130"/>
        <v>3.1022823330515639</v>
      </c>
      <c r="AH726" s="104">
        <f t="shared" si="131"/>
        <v>2.3375796178343951</v>
      </c>
      <c r="AI726" s="195">
        <v>4.96</v>
      </c>
    </row>
    <row r="727" spans="1:48">
      <c r="A727">
        <v>3504</v>
      </c>
      <c r="C727" s="107">
        <f>VLOOKUP(3504,收盤價!$A:$C,3,0)</f>
        <v>27.55</v>
      </c>
      <c r="D727" s="107">
        <f t="shared" si="121"/>
        <v>0</v>
      </c>
      <c r="E727" s="167">
        <f t="shared" si="122"/>
        <v>1</v>
      </c>
      <c r="F727" s="104">
        <f t="shared" si="123"/>
        <v>0.73877149953372245</v>
      </c>
      <c r="G727" s="167">
        <f>RANK(0.57,AE:AE,0)</f>
        <v>1389</v>
      </c>
      <c r="H727" s="365">
        <f t="shared" si="124"/>
        <v>0.33304119193689746</v>
      </c>
      <c r="I727" s="213">
        <f t="shared" si="125"/>
        <v>1280</v>
      </c>
      <c r="J727" s="213">
        <f t="shared" si="126"/>
        <v>768</v>
      </c>
      <c r="K727">
        <f>RANK(0.76,AI:AI,0)</f>
        <v>1269</v>
      </c>
      <c r="L727" s="357">
        <v>0</v>
      </c>
      <c r="M727" s="357">
        <v>0</v>
      </c>
      <c r="N727" s="357">
        <v>1</v>
      </c>
      <c r="O727" s="357">
        <v>0</v>
      </c>
      <c r="P727" s="357">
        <v>0</v>
      </c>
      <c r="Q727" s="358">
        <v>0.18373493975903615</v>
      </c>
      <c r="R727" s="359">
        <v>0</v>
      </c>
      <c r="S727" s="196">
        <v>4254976000</v>
      </c>
      <c r="T727" s="196">
        <v>114100000</v>
      </c>
      <c r="U727" s="200">
        <f t="shared" si="127"/>
        <v>3143455000</v>
      </c>
      <c r="V727" s="196">
        <v>-77000000</v>
      </c>
      <c r="W727" s="196">
        <v>1419000000</v>
      </c>
      <c r="X727" s="196">
        <v>2081000000</v>
      </c>
      <c r="Y727" s="196">
        <v>3734000000</v>
      </c>
      <c r="Z727" s="196">
        <v>845000000</v>
      </c>
      <c r="AA727" s="198">
        <v>-0.02</v>
      </c>
      <c r="AB727" s="198">
        <v>-0.02</v>
      </c>
      <c r="AC727" s="213">
        <f t="shared" si="128"/>
        <v>1353</v>
      </c>
      <c r="AD727" s="213">
        <f t="shared" si="129"/>
        <v>1388</v>
      </c>
      <c r="AE727" s="213">
        <v>0.56999999999999995</v>
      </c>
      <c r="AF727" s="196">
        <v>-38000000</v>
      </c>
      <c r="AG727" s="104">
        <f t="shared" si="130"/>
        <v>-0.33304119193689746</v>
      </c>
      <c r="AH727" s="104">
        <f t="shared" si="131"/>
        <v>0</v>
      </c>
      <c r="AI727" s="195">
        <v>0.76</v>
      </c>
      <c r="AO727" s="213"/>
      <c r="AP727" s="213"/>
      <c r="AQ727" s="213"/>
      <c r="AR727" s="213"/>
      <c r="AS727" s="213"/>
      <c r="AT727" s="213"/>
      <c r="AU727" s="213"/>
      <c r="AV727" s="213"/>
    </row>
    <row r="728" spans="1:48">
      <c r="A728">
        <v>3508</v>
      </c>
      <c r="C728" s="107">
        <f>VLOOKUP(3508,收盤價!$A:$C,3,0)</f>
        <v>16.2</v>
      </c>
      <c r="D728" s="107">
        <f t="shared" si="121"/>
        <v>0</v>
      </c>
      <c r="E728" s="167">
        <f t="shared" si="122"/>
        <v>0</v>
      </c>
      <c r="F728" s="104">
        <f t="shared" si="123"/>
        <v>0.7088585630638744</v>
      </c>
      <c r="G728" s="167">
        <f>RANK(0.51,AE:AE,0)</f>
        <v>1523</v>
      </c>
      <c r="H728" s="365">
        <f t="shared" si="124"/>
        <v>0.14008620689655171</v>
      </c>
      <c r="I728" s="213">
        <f t="shared" si="125"/>
        <v>1166</v>
      </c>
      <c r="J728" s="213">
        <f t="shared" si="126"/>
        <v>768</v>
      </c>
      <c r="K728">
        <f>RANK(0.81,AI:AI,0)</f>
        <v>1144</v>
      </c>
      <c r="L728" s="357">
        <v>0</v>
      </c>
      <c r="M728" s="357">
        <v>0</v>
      </c>
      <c r="N728" s="357">
        <v>0</v>
      </c>
      <c r="O728" s="357">
        <v>0</v>
      </c>
      <c r="P728" s="357">
        <v>0</v>
      </c>
      <c r="Q728" s="358">
        <v>-0.40259740259740262</v>
      </c>
      <c r="R728" s="359">
        <v>0</v>
      </c>
      <c r="S728" s="196">
        <v>2120818000</v>
      </c>
      <c r="T728" s="196">
        <v>92800000</v>
      </c>
      <c r="U728" s="200">
        <f t="shared" si="127"/>
        <v>1503360000</v>
      </c>
      <c r="V728" s="196">
        <v>-174000000</v>
      </c>
      <c r="W728" s="196">
        <v>499000000</v>
      </c>
      <c r="X728" s="196">
        <v>784000000</v>
      </c>
      <c r="Y728" s="196">
        <v>1768000000</v>
      </c>
      <c r="Z728" s="196">
        <v>87000000</v>
      </c>
      <c r="AA728" s="198">
        <v>-0.14000000000000001</v>
      </c>
      <c r="AB728" s="198">
        <v>-0.09</v>
      </c>
      <c r="AC728" s="213">
        <f t="shared" si="128"/>
        <v>1531</v>
      </c>
      <c r="AD728" s="213">
        <f t="shared" si="129"/>
        <v>1533</v>
      </c>
      <c r="AE728" s="213">
        <v>0.51</v>
      </c>
      <c r="AF728" s="196">
        <v>-13000000</v>
      </c>
      <c r="AG728" s="104">
        <f t="shared" si="130"/>
        <v>-0.14008620689655171</v>
      </c>
      <c r="AH728" s="104">
        <f t="shared" si="131"/>
        <v>0</v>
      </c>
      <c r="AI728" s="195">
        <v>0.81</v>
      </c>
      <c r="AO728" s="213"/>
      <c r="AP728" s="213"/>
      <c r="AQ728" s="213"/>
      <c r="AR728" s="213"/>
      <c r="AS728" s="213"/>
      <c r="AT728" s="213"/>
      <c r="AU728" s="213"/>
      <c r="AV728" s="213"/>
    </row>
    <row r="729" spans="1:48">
      <c r="A729">
        <v>3511</v>
      </c>
      <c r="C729" s="107">
        <f>VLOOKUP(3511,收盤價!$A:$C,3,0)</f>
        <v>19.850000000000001</v>
      </c>
      <c r="D729" s="107">
        <f t="shared" si="121"/>
        <v>0</v>
      </c>
      <c r="E729" s="167">
        <f t="shared" si="122"/>
        <v>0</v>
      </c>
      <c r="F729" s="104">
        <f t="shared" si="123"/>
        <v>0.65233768028501804</v>
      </c>
      <c r="G729" s="167">
        <f>RANK(0.52,AE:AE,0)</f>
        <v>1493</v>
      </c>
      <c r="H729" s="365">
        <f t="shared" si="124"/>
        <v>0.4358974358974359</v>
      </c>
      <c r="I729" s="213">
        <f t="shared" si="125"/>
        <v>1328</v>
      </c>
      <c r="J729" s="213">
        <f t="shared" si="126"/>
        <v>768</v>
      </c>
      <c r="K729">
        <f>RANK(0.74,AI:AI,0)</f>
        <v>1324</v>
      </c>
      <c r="L729" s="357">
        <v>0</v>
      </c>
      <c r="M729" s="357">
        <v>0</v>
      </c>
      <c r="N729" s="357">
        <v>0</v>
      </c>
      <c r="O729" s="357">
        <v>0</v>
      </c>
      <c r="P729" s="357">
        <v>0</v>
      </c>
      <c r="Q729" s="358">
        <v>0.16723549488054607</v>
      </c>
      <c r="R729" s="359">
        <v>0</v>
      </c>
      <c r="S729" s="196">
        <v>1186732000</v>
      </c>
      <c r="T729" s="196">
        <v>39000000</v>
      </c>
      <c r="U729" s="200">
        <f t="shared" si="127"/>
        <v>774150000</v>
      </c>
      <c r="V729" s="196">
        <v>-32000000</v>
      </c>
      <c r="W729" s="196">
        <v>171000000</v>
      </c>
      <c r="X729" s="196">
        <v>318000000</v>
      </c>
      <c r="Y729" s="196">
        <v>641000000</v>
      </c>
      <c r="Z729" s="196">
        <v>127000000</v>
      </c>
      <c r="AA729" s="198">
        <v>-7.0000000000000007E-2</v>
      </c>
      <c r="AB729" s="198">
        <v>-0.04</v>
      </c>
      <c r="AC729" s="213">
        <f t="shared" si="128"/>
        <v>1502</v>
      </c>
      <c r="AD729" s="213">
        <f t="shared" si="129"/>
        <v>1483</v>
      </c>
      <c r="AE729" s="213">
        <v>0.52</v>
      </c>
      <c r="AF729" s="196">
        <v>-17000000</v>
      </c>
      <c r="AG729" s="104">
        <f t="shared" si="130"/>
        <v>-0.4358974358974359</v>
      </c>
      <c r="AH729" s="104">
        <f t="shared" si="131"/>
        <v>0</v>
      </c>
      <c r="AI729" s="195">
        <v>0.74</v>
      </c>
    </row>
    <row r="730" spans="1:48">
      <c r="A730">
        <v>3512</v>
      </c>
      <c r="C730" s="107">
        <f>VLOOKUP(3512,收盤價!$A:$C,3,0)</f>
        <v>27.7</v>
      </c>
      <c r="D730" s="107">
        <f t="shared" si="121"/>
        <v>0</v>
      </c>
      <c r="E730" s="167">
        <f t="shared" si="122"/>
        <v>2</v>
      </c>
      <c r="F730" s="104">
        <f t="shared" si="123"/>
        <v>2.3500973515209558</v>
      </c>
      <c r="G730" s="167">
        <f>RANK(0.57,AE:AE,0)</f>
        <v>1389</v>
      </c>
      <c r="H730" s="365">
        <f t="shared" si="124"/>
        <v>-0.42372881355932202</v>
      </c>
      <c r="I730" s="213">
        <f t="shared" si="125"/>
        <v>791</v>
      </c>
      <c r="J730" s="213">
        <f t="shared" si="126"/>
        <v>768</v>
      </c>
      <c r="K730">
        <f>RANK(1,AI:AI,0)</f>
        <v>884</v>
      </c>
      <c r="L730" s="357">
        <v>0</v>
      </c>
      <c r="M730" s="357">
        <v>1</v>
      </c>
      <c r="N730" s="357">
        <v>0</v>
      </c>
      <c r="O730" s="357">
        <v>1</v>
      </c>
      <c r="P730" s="357">
        <v>0</v>
      </c>
      <c r="Q730" s="358">
        <v>1.7543859649122806E-2</v>
      </c>
      <c r="R730" s="359">
        <v>0</v>
      </c>
      <c r="S730" s="196">
        <v>695418000</v>
      </c>
      <c r="T730" s="196">
        <v>59000000</v>
      </c>
      <c r="U730" s="200">
        <f t="shared" si="127"/>
        <v>1634300000</v>
      </c>
      <c r="V730" s="196">
        <v>-18000000</v>
      </c>
      <c r="W730" s="196">
        <v>474000000</v>
      </c>
      <c r="X730" s="196">
        <v>283000000</v>
      </c>
      <c r="Y730" s="196">
        <v>753000000</v>
      </c>
      <c r="Z730" s="196">
        <v>309000000</v>
      </c>
      <c r="AA730" s="198">
        <v>-0.02</v>
      </c>
      <c r="AB730" s="198">
        <v>-0.02</v>
      </c>
      <c r="AC730" s="213">
        <f t="shared" si="128"/>
        <v>1353</v>
      </c>
      <c r="AD730" s="213">
        <f t="shared" si="129"/>
        <v>1388</v>
      </c>
      <c r="AE730" s="213">
        <v>0.56999999999999995</v>
      </c>
      <c r="AF730" s="196">
        <v>25000000</v>
      </c>
      <c r="AG730" s="104">
        <f t="shared" si="130"/>
        <v>0.42372881355932202</v>
      </c>
      <c r="AH730" s="104">
        <f t="shared" si="131"/>
        <v>0</v>
      </c>
      <c r="AI730" s="195">
        <v>1</v>
      </c>
    </row>
    <row r="731" spans="1:48">
      <c r="A731">
        <v>3514</v>
      </c>
      <c r="C731" s="107">
        <f>VLOOKUP(3514,收盤價!$A:$C,3,0)</f>
        <v>23.1</v>
      </c>
      <c r="D731" s="107">
        <f t="shared" si="121"/>
        <v>24.583333333333339</v>
      </c>
      <c r="E731" s="167">
        <f t="shared" si="122"/>
        <v>3</v>
      </c>
      <c r="F731" s="104">
        <f t="shared" si="123"/>
        <v>0.59031932832705603</v>
      </c>
      <c r="G731" s="167">
        <f>RANK(1.08,AE:AE,0)</f>
        <v>769</v>
      </c>
      <c r="H731" s="365">
        <f t="shared" si="124"/>
        <v>4.5280896942047395</v>
      </c>
      <c r="I731" s="213">
        <f t="shared" si="125"/>
        <v>178</v>
      </c>
      <c r="J731" s="213">
        <f t="shared" si="126"/>
        <v>61</v>
      </c>
      <c r="K731">
        <f>RANK(6.52,AI:AI,0)</f>
        <v>40</v>
      </c>
      <c r="L731" s="357">
        <v>0</v>
      </c>
      <c r="M731" s="357">
        <v>1</v>
      </c>
      <c r="N731" s="357">
        <v>0</v>
      </c>
      <c r="O731" s="357">
        <v>1</v>
      </c>
      <c r="P731" s="357">
        <v>1</v>
      </c>
      <c r="Q731" s="358">
        <v>6.5311418685121109E-2</v>
      </c>
      <c r="R731" s="359">
        <v>0.2349152542372881</v>
      </c>
      <c r="S731" s="196">
        <v>17597374000</v>
      </c>
      <c r="T731" s="196">
        <v>449700000</v>
      </c>
      <c r="U731" s="200">
        <f t="shared" si="127"/>
        <v>10388070000</v>
      </c>
      <c r="V731" s="196">
        <v>155000000</v>
      </c>
      <c r="W731" s="196">
        <v>3697000000</v>
      </c>
      <c r="X731" s="196">
        <v>7458000000</v>
      </c>
      <c r="Y731" s="196">
        <v>14008000000</v>
      </c>
      <c r="Z731" s="196">
        <v>2230000000</v>
      </c>
      <c r="AA731" s="198">
        <v>0.01</v>
      </c>
      <c r="AB731" s="198">
        <v>0.01</v>
      </c>
      <c r="AC731" s="213">
        <f t="shared" si="128"/>
        <v>769</v>
      </c>
      <c r="AD731" s="213">
        <f t="shared" si="129"/>
        <v>680</v>
      </c>
      <c r="AE731" s="213">
        <v>1.08</v>
      </c>
      <c r="AF731" s="196">
        <v>1071000000</v>
      </c>
      <c r="AG731" s="104">
        <f t="shared" si="130"/>
        <v>2.3815877251501001</v>
      </c>
      <c r="AH731" s="104">
        <f t="shared" si="131"/>
        <v>6.9096774193548391</v>
      </c>
      <c r="AI731" s="195">
        <v>6.52</v>
      </c>
    </row>
    <row r="732" spans="1:48">
      <c r="A732">
        <v>3515</v>
      </c>
      <c r="C732" s="107">
        <f>VLOOKUP(3515,收盤價!$A:$C,3,0)</f>
        <v>38.200000000000003</v>
      </c>
      <c r="D732" s="107">
        <f t="shared" si="121"/>
        <v>73.461538461538467</v>
      </c>
      <c r="E732" s="167">
        <f t="shared" si="122"/>
        <v>0</v>
      </c>
      <c r="F732" s="104">
        <f t="shared" si="123"/>
        <v>0.59144615113690813</v>
      </c>
      <c r="G732" s="167">
        <f>RANK(0.84,AE:AE,0)</f>
        <v>946</v>
      </c>
      <c r="H732" s="365">
        <f t="shared" si="124"/>
        <v>0.22608695652173913</v>
      </c>
      <c r="I732" s="213">
        <f t="shared" si="125"/>
        <v>1225</v>
      </c>
      <c r="J732" s="213">
        <f t="shared" si="126"/>
        <v>768</v>
      </c>
      <c r="K732">
        <f>RANK(0.78,AI:AI,0)</f>
        <v>1217</v>
      </c>
      <c r="L732" s="357">
        <v>0</v>
      </c>
      <c r="M732" s="357">
        <v>0</v>
      </c>
      <c r="N732" s="357">
        <v>0</v>
      </c>
      <c r="O732" s="357">
        <v>0</v>
      </c>
      <c r="P732" s="357">
        <v>0</v>
      </c>
      <c r="Q732" s="358">
        <v>0.18777022853613343</v>
      </c>
      <c r="R732" s="359">
        <v>0.13</v>
      </c>
      <c r="S732" s="196">
        <v>7427557000</v>
      </c>
      <c r="T732" s="196">
        <v>115000000</v>
      </c>
      <c r="U732" s="200">
        <f t="shared" si="127"/>
        <v>4393000000</v>
      </c>
      <c r="V732" s="196">
        <v>24000000</v>
      </c>
      <c r="W732" s="196">
        <v>5295000000</v>
      </c>
      <c r="X732" s="196">
        <v>232000000</v>
      </c>
      <c r="Y732" s="196">
        <v>5576000000</v>
      </c>
      <c r="Z732" s="196">
        <v>0</v>
      </c>
      <c r="AA732" s="198">
        <v>0</v>
      </c>
      <c r="AB732" s="198">
        <v>0</v>
      </c>
      <c r="AC732" s="213">
        <f t="shared" si="128"/>
        <v>945</v>
      </c>
      <c r="AD732" s="213">
        <f t="shared" si="129"/>
        <v>911</v>
      </c>
      <c r="AE732" s="213">
        <v>0.84</v>
      </c>
      <c r="AF732" s="196">
        <v>-26000000</v>
      </c>
      <c r="AG732" s="104">
        <f t="shared" si="130"/>
        <v>-0.22608695652173913</v>
      </c>
      <c r="AH732" s="104">
        <f t="shared" si="131"/>
        <v>0</v>
      </c>
      <c r="AI732" s="195">
        <v>0.78</v>
      </c>
    </row>
    <row r="733" spans="1:48">
      <c r="A733">
        <v>3516</v>
      </c>
      <c r="C733" s="107">
        <f>VLOOKUP(3516,收盤價!$A:$C,3,0)</f>
        <v>8.9700000000000006</v>
      </c>
      <c r="D733" s="107">
        <f t="shared" si="121"/>
        <v>0</v>
      </c>
      <c r="E733" s="167">
        <f t="shared" si="122"/>
        <v>4</v>
      </c>
      <c r="F733" s="104">
        <f t="shared" si="123"/>
        <v>0.88021352555745846</v>
      </c>
      <c r="G733" s="167">
        <f>RANK(0.59,AE:AE,0)</f>
        <v>1348</v>
      </c>
      <c r="H733" s="365">
        <f t="shared" si="124"/>
        <v>-0.70911722141823441</v>
      </c>
      <c r="I733" s="213">
        <f t="shared" si="125"/>
        <v>646</v>
      </c>
      <c r="J733" s="213">
        <f t="shared" si="126"/>
        <v>768</v>
      </c>
      <c r="K733">
        <f>RANK(1.1,AI:AI,0)</f>
        <v>795</v>
      </c>
      <c r="L733" s="357">
        <v>0</v>
      </c>
      <c r="M733" s="357">
        <v>1</v>
      </c>
      <c r="N733" s="357">
        <v>2</v>
      </c>
      <c r="O733" s="357">
        <v>1</v>
      </c>
      <c r="P733" s="357">
        <v>0</v>
      </c>
      <c r="Q733" s="358">
        <v>8.6294416243654817E-2</v>
      </c>
      <c r="R733" s="359">
        <v>0</v>
      </c>
      <c r="S733" s="196">
        <v>704178000</v>
      </c>
      <c r="T733" s="196">
        <v>69100000</v>
      </c>
      <c r="U733" s="200">
        <f t="shared" si="127"/>
        <v>619827000</v>
      </c>
      <c r="V733" s="196">
        <v>-23000000</v>
      </c>
      <c r="W733" s="196">
        <v>634000000</v>
      </c>
      <c r="X733" s="196">
        <v>551000000</v>
      </c>
      <c r="Y733" s="196">
        <v>1525000000</v>
      </c>
      <c r="Z733" s="196">
        <v>90000000</v>
      </c>
      <c r="AA733" s="198">
        <v>-0.02</v>
      </c>
      <c r="AB733" s="198">
        <v>-0.01</v>
      </c>
      <c r="AC733" s="213">
        <f t="shared" si="128"/>
        <v>1353</v>
      </c>
      <c r="AD733" s="213">
        <f t="shared" si="129"/>
        <v>1294</v>
      </c>
      <c r="AE733" s="213">
        <v>0.59</v>
      </c>
      <c r="AF733" s="196">
        <v>49000000</v>
      </c>
      <c r="AG733" s="104">
        <f t="shared" si="130"/>
        <v>0.70911722141823441</v>
      </c>
      <c r="AH733" s="104">
        <f t="shared" si="131"/>
        <v>0</v>
      </c>
      <c r="AI733" s="195">
        <v>1.1000000000000001</v>
      </c>
    </row>
    <row r="734" spans="1:48">
      <c r="A734">
        <v>3518</v>
      </c>
      <c r="C734" s="107">
        <f>VLOOKUP(3518,收盤價!$A:$C,3,0)</f>
        <v>23.6</v>
      </c>
      <c r="D734" s="107">
        <f t="shared" si="121"/>
        <v>0</v>
      </c>
      <c r="E734" s="167">
        <f t="shared" si="122"/>
        <v>2</v>
      </c>
      <c r="F734" s="104">
        <f t="shared" si="123"/>
        <v>2.0668938344338073</v>
      </c>
      <c r="G734" s="167">
        <f>RANK(0.54,AE:AE,0)</f>
        <v>1453</v>
      </c>
      <c r="H734" s="365">
        <f t="shared" si="124"/>
        <v>-1.1282660332541568</v>
      </c>
      <c r="I734" s="213">
        <f t="shared" si="125"/>
        <v>460</v>
      </c>
      <c r="J734" s="213">
        <f t="shared" si="126"/>
        <v>768</v>
      </c>
      <c r="K734">
        <f>RANK(1.27,AI:AI,0)</f>
        <v>690</v>
      </c>
      <c r="L734" s="357">
        <v>0</v>
      </c>
      <c r="M734" s="357">
        <v>0</v>
      </c>
      <c r="N734" s="357">
        <v>1</v>
      </c>
      <c r="O734" s="357">
        <v>1</v>
      </c>
      <c r="P734" s="357">
        <v>0</v>
      </c>
      <c r="Q734" s="358">
        <v>0.19138755980861244</v>
      </c>
      <c r="R734" s="359">
        <v>0</v>
      </c>
      <c r="S734" s="196">
        <v>961404000</v>
      </c>
      <c r="T734" s="196">
        <v>84200000</v>
      </c>
      <c r="U734" s="200">
        <f t="shared" si="127"/>
        <v>1987120000.0000002</v>
      </c>
      <c r="V734" s="196">
        <v>-83000000</v>
      </c>
      <c r="W734" s="196">
        <v>1143000000</v>
      </c>
      <c r="X734" s="196">
        <v>1196000000</v>
      </c>
      <c r="Y734" s="196">
        <v>2669000000</v>
      </c>
      <c r="Z734" s="196">
        <v>273000000</v>
      </c>
      <c r="AA734" s="198">
        <v>-0.04</v>
      </c>
      <c r="AB734" s="198">
        <v>-0.03</v>
      </c>
      <c r="AC734" s="213">
        <f t="shared" si="128"/>
        <v>1444</v>
      </c>
      <c r="AD734" s="213">
        <f t="shared" si="129"/>
        <v>1444</v>
      </c>
      <c r="AE734" s="213">
        <v>0.54</v>
      </c>
      <c r="AF734" s="196">
        <v>95000000</v>
      </c>
      <c r="AG734" s="104">
        <f t="shared" si="130"/>
        <v>1.1282660332541568</v>
      </c>
      <c r="AH734" s="104">
        <f t="shared" si="131"/>
        <v>0</v>
      </c>
      <c r="AI734" s="195">
        <v>1.27</v>
      </c>
    </row>
    <row r="735" spans="1:48">
      <c r="A735">
        <v>3519</v>
      </c>
      <c r="C735" s="107">
        <f>VLOOKUP(3519,收盤價!$A:$C,3,0)</f>
        <v>17.649999999999999</v>
      </c>
      <c r="D735" s="107">
        <f t="shared" si="121"/>
        <v>9.4855607355607354</v>
      </c>
      <c r="E735" s="167">
        <f t="shared" si="122"/>
        <v>1</v>
      </c>
      <c r="F735" s="104">
        <f t="shared" si="123"/>
        <v>0.40303211268195605</v>
      </c>
      <c r="G735" s="167">
        <f>RANK(1.63,AE:AE,0)</f>
        <v>551</v>
      </c>
      <c r="H735" s="365">
        <f t="shared" si="124"/>
        <v>0.24242802566855598</v>
      </c>
      <c r="I735" s="213">
        <f t="shared" si="125"/>
        <v>796</v>
      </c>
      <c r="J735" s="213">
        <f t="shared" si="126"/>
        <v>638</v>
      </c>
      <c r="K735">
        <f>RANK(1.09,AI:AI,0)</f>
        <v>803</v>
      </c>
      <c r="L735" s="357">
        <v>0</v>
      </c>
      <c r="M735" s="357">
        <v>1</v>
      </c>
      <c r="N735" s="357">
        <v>0</v>
      </c>
      <c r="O735" s="357">
        <v>0</v>
      </c>
      <c r="P735" s="357">
        <v>0</v>
      </c>
      <c r="Q735" s="358">
        <v>7.9481280066931601E-2</v>
      </c>
      <c r="R735" s="359">
        <v>0.46518072289156626</v>
      </c>
      <c r="S735" s="196">
        <v>18143455000</v>
      </c>
      <c r="T735" s="196">
        <v>414300000</v>
      </c>
      <c r="U735" s="200">
        <f t="shared" si="127"/>
        <v>7312394999.999999</v>
      </c>
      <c r="V735" s="196">
        <v>261000000</v>
      </c>
      <c r="W735" s="196">
        <v>0</v>
      </c>
      <c r="X735" s="196">
        <v>9639000000</v>
      </c>
      <c r="Y735" s="196">
        <v>7301000000</v>
      </c>
      <c r="Z735" s="196">
        <v>5043000000</v>
      </c>
      <c r="AA735" s="198">
        <v>0.03</v>
      </c>
      <c r="AB735" s="198">
        <v>0.02</v>
      </c>
      <c r="AC735" s="213">
        <f t="shared" si="128"/>
        <v>469</v>
      </c>
      <c r="AD735" s="213">
        <f t="shared" si="129"/>
        <v>487</v>
      </c>
      <c r="AE735" s="213">
        <v>1.63</v>
      </c>
      <c r="AF735" s="196">
        <v>171000000</v>
      </c>
      <c r="AG735" s="104">
        <f t="shared" si="130"/>
        <v>0.41274438812454745</v>
      </c>
      <c r="AH735" s="104">
        <f t="shared" si="131"/>
        <v>0.65517241379310343</v>
      </c>
      <c r="AI735" s="195">
        <v>1.0900000000000001</v>
      </c>
      <c r="AO735" s="213"/>
      <c r="AP735" s="213"/>
      <c r="AQ735" s="213"/>
      <c r="AR735" s="213"/>
      <c r="AS735" s="213"/>
      <c r="AT735" s="213"/>
      <c r="AU735" s="213"/>
      <c r="AV735" s="213"/>
    </row>
    <row r="736" spans="1:48">
      <c r="A736">
        <v>3520</v>
      </c>
      <c r="C736" s="107">
        <f>VLOOKUP(3520,收盤價!$A:$C,3,0)</f>
        <v>89.7</v>
      </c>
      <c r="D736" s="107">
        <f t="shared" si="121"/>
        <v>0</v>
      </c>
      <c r="E736" s="167">
        <f t="shared" si="122"/>
        <v>4</v>
      </c>
      <c r="F736" s="104">
        <f t="shared" si="123"/>
        <v>8.7056672494702063</v>
      </c>
      <c r="G736" s="167">
        <f>RANK(0.61,AE:AE,0)</f>
        <v>1295</v>
      </c>
      <c r="H736" s="365">
        <f t="shared" si="124"/>
        <v>-0.46816479400749061</v>
      </c>
      <c r="I736" s="213">
        <f t="shared" si="125"/>
        <v>760</v>
      </c>
      <c r="J736" s="213">
        <f t="shared" si="126"/>
        <v>768</v>
      </c>
      <c r="K736">
        <f>RANK(1.02,AI:AI,0)</f>
        <v>862</v>
      </c>
      <c r="L736" s="357">
        <v>0</v>
      </c>
      <c r="M736" s="357">
        <v>1</v>
      </c>
      <c r="N736" s="357">
        <v>2</v>
      </c>
      <c r="O736" s="357">
        <v>1</v>
      </c>
      <c r="P736" s="357">
        <v>0</v>
      </c>
      <c r="Q736" s="358">
        <v>0.10416666666666667</v>
      </c>
      <c r="R736" s="359">
        <v>0</v>
      </c>
      <c r="S736" s="196">
        <v>550214000</v>
      </c>
      <c r="T736" s="196">
        <v>53400000</v>
      </c>
      <c r="U736" s="200">
        <f t="shared" si="127"/>
        <v>4789980000</v>
      </c>
      <c r="V736" s="196">
        <v>-6000000</v>
      </c>
      <c r="W736" s="196">
        <v>264000000</v>
      </c>
      <c r="X736" s="196">
        <v>148000000</v>
      </c>
      <c r="Y736" s="196">
        <v>310000000</v>
      </c>
      <c r="Z736" s="196">
        <v>227000000</v>
      </c>
      <c r="AA736" s="198">
        <v>-0.01</v>
      </c>
      <c r="AB736" s="198">
        <v>-0.01</v>
      </c>
      <c r="AC736" s="213">
        <f t="shared" si="128"/>
        <v>1277</v>
      </c>
      <c r="AD736" s="213">
        <f t="shared" si="129"/>
        <v>1294</v>
      </c>
      <c r="AE736" s="213">
        <v>0.61</v>
      </c>
      <c r="AF736" s="196">
        <v>25000000</v>
      </c>
      <c r="AG736" s="104">
        <f t="shared" si="130"/>
        <v>0.46816479400749061</v>
      </c>
      <c r="AH736" s="104">
        <f t="shared" si="131"/>
        <v>0</v>
      </c>
      <c r="AI736" s="195">
        <v>1.02</v>
      </c>
    </row>
    <row r="737" spans="1:48">
      <c r="A737">
        <v>3521</v>
      </c>
      <c r="C737" s="107">
        <f>VLOOKUP(3521,收盤價!$A:$C,3,0)</f>
        <v>10.15</v>
      </c>
      <c r="D737" s="107">
        <f t="shared" si="121"/>
        <v>63.4375</v>
      </c>
      <c r="E737" s="167">
        <f t="shared" si="122"/>
        <v>2</v>
      </c>
      <c r="F737" s="104">
        <f t="shared" si="123"/>
        <v>0.6825214437624102</v>
      </c>
      <c r="G737" s="167">
        <f>RANK(0.93,AE:AE,0)</f>
        <v>920</v>
      </c>
      <c r="H737" s="365">
        <f t="shared" si="124"/>
        <v>0.27837259100642398</v>
      </c>
      <c r="I737" s="213">
        <f t="shared" si="125"/>
        <v>1260</v>
      </c>
      <c r="J737" s="213">
        <f t="shared" si="126"/>
        <v>768</v>
      </c>
      <c r="K737">
        <f>RANK(0.77,AI:AI,0)</f>
        <v>1243</v>
      </c>
      <c r="L737" s="357">
        <v>0</v>
      </c>
      <c r="M737" s="357">
        <v>1</v>
      </c>
      <c r="N737" s="357">
        <v>1</v>
      </c>
      <c r="O737" s="357">
        <v>0</v>
      </c>
      <c r="P737" s="357">
        <v>0</v>
      </c>
      <c r="Q737" s="358">
        <v>0.15923566878980891</v>
      </c>
      <c r="R737" s="359">
        <v>0.04</v>
      </c>
      <c r="S737" s="196">
        <v>694491000</v>
      </c>
      <c r="T737" s="196">
        <v>46700000</v>
      </c>
      <c r="U737" s="200">
        <f t="shared" si="127"/>
        <v>474005000</v>
      </c>
      <c r="V737" s="196">
        <v>3000000</v>
      </c>
      <c r="W737" s="196">
        <v>247000000</v>
      </c>
      <c r="X737" s="196">
        <v>174000000</v>
      </c>
      <c r="Y737" s="196">
        <v>477000000</v>
      </c>
      <c r="Z737" s="196">
        <v>135000000</v>
      </c>
      <c r="AA737" s="198">
        <v>0.01</v>
      </c>
      <c r="AB737" s="198">
        <v>0</v>
      </c>
      <c r="AC737" s="213">
        <f t="shared" si="128"/>
        <v>769</v>
      </c>
      <c r="AD737" s="213">
        <f t="shared" si="129"/>
        <v>911</v>
      </c>
      <c r="AE737" s="213">
        <v>0.93</v>
      </c>
      <c r="AF737" s="196">
        <v>-13000000</v>
      </c>
      <c r="AG737" s="104">
        <f t="shared" si="130"/>
        <v>-0.27837259100642398</v>
      </c>
      <c r="AH737" s="104">
        <f t="shared" si="131"/>
        <v>0</v>
      </c>
      <c r="AI737" s="195">
        <v>0.77</v>
      </c>
    </row>
    <row r="738" spans="1:48">
      <c r="A738">
        <v>3522</v>
      </c>
      <c r="C738" s="107">
        <f>VLOOKUP(3522,收盤價!$A:$C,3,0)</f>
        <v>43.8</v>
      </c>
      <c r="D738" s="107">
        <f t="shared" si="121"/>
        <v>0</v>
      </c>
      <c r="E738" s="167">
        <f t="shared" si="122"/>
        <v>3</v>
      </c>
      <c r="F738" s="104">
        <f t="shared" si="123"/>
        <v>1.5776610672701619</v>
      </c>
      <c r="G738" s="167">
        <f>RANK(0.61,AE:AE,0)</f>
        <v>1295</v>
      </c>
      <c r="H738" s="365">
        <f t="shared" si="124"/>
        <v>-0.31914893617021278</v>
      </c>
      <c r="I738" s="213">
        <f t="shared" si="125"/>
        <v>851</v>
      </c>
      <c r="J738" s="213">
        <f t="shared" si="126"/>
        <v>768</v>
      </c>
      <c r="K738">
        <f>RANK(0.96,AI:AI,0)</f>
        <v>922</v>
      </c>
      <c r="L738" s="357">
        <v>0</v>
      </c>
      <c r="M738" s="357">
        <v>1</v>
      </c>
      <c r="N738" s="357">
        <v>2</v>
      </c>
      <c r="O738" s="357">
        <v>0</v>
      </c>
      <c r="P738" s="357">
        <v>0</v>
      </c>
      <c r="Q738" s="358">
        <v>8.5245901639344257E-2</v>
      </c>
      <c r="R738" s="359">
        <v>0</v>
      </c>
      <c r="S738" s="196">
        <v>1304843000</v>
      </c>
      <c r="T738" s="196">
        <v>47000000</v>
      </c>
      <c r="U738" s="200">
        <f t="shared" si="127"/>
        <v>2058599999.9999998</v>
      </c>
      <c r="V738" s="196">
        <v>-6000000</v>
      </c>
      <c r="W738" s="196">
        <v>754000000</v>
      </c>
      <c r="X738" s="196">
        <v>378000000</v>
      </c>
      <c r="Y738" s="196">
        <v>1031000000</v>
      </c>
      <c r="Z738" s="196">
        <v>74000000</v>
      </c>
      <c r="AA738" s="198">
        <v>-0.01</v>
      </c>
      <c r="AB738" s="198">
        <v>-0.01</v>
      </c>
      <c r="AC738" s="213">
        <f t="shared" si="128"/>
        <v>1277</v>
      </c>
      <c r="AD738" s="213">
        <f t="shared" si="129"/>
        <v>1294</v>
      </c>
      <c r="AE738" s="213">
        <v>0.61</v>
      </c>
      <c r="AF738" s="196">
        <v>15000000</v>
      </c>
      <c r="AG738" s="104">
        <f t="shared" si="130"/>
        <v>0.31914893617021278</v>
      </c>
      <c r="AH738" s="104">
        <f t="shared" si="131"/>
        <v>0</v>
      </c>
      <c r="AI738" s="195">
        <v>0.96</v>
      </c>
    </row>
    <row r="739" spans="1:48">
      <c r="A739">
        <v>3523</v>
      </c>
      <c r="C739" s="107">
        <f>VLOOKUP(3523,收盤價!$A:$C,3,0)</f>
        <v>18.100000000000001</v>
      </c>
      <c r="D739" s="107">
        <f t="shared" si="121"/>
        <v>0</v>
      </c>
      <c r="E739" s="167">
        <f t="shared" si="122"/>
        <v>1</v>
      </c>
      <c r="F739" s="104">
        <f t="shared" si="123"/>
        <v>2.8735237220459164</v>
      </c>
      <c r="G739" s="167">
        <f>RANK(0.51,AE:AE,0)</f>
        <v>1523</v>
      </c>
      <c r="H739" s="365">
        <f t="shared" si="124"/>
        <v>0.67637877211238295</v>
      </c>
      <c r="I739" s="213">
        <f t="shared" si="125"/>
        <v>1388</v>
      </c>
      <c r="J739" s="213">
        <f t="shared" si="126"/>
        <v>768</v>
      </c>
      <c r="K739">
        <f>RANK(0.72,AI:AI,0)</f>
        <v>1381</v>
      </c>
      <c r="L739" s="357">
        <v>0</v>
      </c>
      <c r="M739" s="357">
        <v>0</v>
      </c>
      <c r="N739" s="357">
        <v>1</v>
      </c>
      <c r="O739" s="357">
        <v>0</v>
      </c>
      <c r="P739" s="357">
        <v>0</v>
      </c>
      <c r="Q739" s="358">
        <v>-0.5</v>
      </c>
      <c r="R739" s="359">
        <v>0</v>
      </c>
      <c r="S739" s="196">
        <v>605323000</v>
      </c>
      <c r="T739" s="196">
        <v>96100000</v>
      </c>
      <c r="U739" s="200">
        <f t="shared" si="127"/>
        <v>1739410000.0000002</v>
      </c>
      <c r="V739" s="196">
        <v>-90000000</v>
      </c>
      <c r="W739" s="196">
        <v>0</v>
      </c>
      <c r="X739" s="196">
        <v>1357000000</v>
      </c>
      <c r="Y739" s="196">
        <v>580000000</v>
      </c>
      <c r="Z739" s="196">
        <v>236000000</v>
      </c>
      <c r="AA739" s="198">
        <v>-7.0000000000000007E-2</v>
      </c>
      <c r="AB739" s="198">
        <v>-0.11</v>
      </c>
      <c r="AC739" s="213">
        <f t="shared" si="128"/>
        <v>1502</v>
      </c>
      <c r="AD739" s="213">
        <f t="shared" si="129"/>
        <v>1540</v>
      </c>
      <c r="AE739" s="213">
        <v>0.51</v>
      </c>
      <c r="AF739" s="196">
        <v>-65000000</v>
      </c>
      <c r="AG739" s="104">
        <f t="shared" si="130"/>
        <v>-0.67637877211238295</v>
      </c>
      <c r="AH739" s="104">
        <f t="shared" si="131"/>
        <v>0</v>
      </c>
      <c r="AI739" s="195">
        <v>0.72</v>
      </c>
    </row>
    <row r="740" spans="1:48">
      <c r="A740">
        <v>3526</v>
      </c>
      <c r="C740" s="107">
        <f>VLOOKUP(3526,收盤價!$A:$C,3,0)</f>
        <v>71.3</v>
      </c>
      <c r="D740" s="107">
        <f t="shared" si="121"/>
        <v>24.803921568627452</v>
      </c>
      <c r="E740" s="167">
        <f t="shared" si="122"/>
        <v>3</v>
      </c>
      <c r="F740" s="104">
        <f t="shared" si="123"/>
        <v>2.4437383090704188</v>
      </c>
      <c r="G740" s="167">
        <f>RANK(2.76,AE:AE,0)</f>
        <v>305</v>
      </c>
      <c r="H740" s="365">
        <f t="shared" si="124"/>
        <v>0.38635608326535542</v>
      </c>
      <c r="I740" s="213">
        <f t="shared" si="125"/>
        <v>369</v>
      </c>
      <c r="J740" s="213">
        <f t="shared" si="126"/>
        <v>298</v>
      </c>
      <c r="K740">
        <f>RANK(2.34,AI:AI,0)</f>
        <v>269</v>
      </c>
      <c r="L740" s="357">
        <v>0</v>
      </c>
      <c r="M740" s="357">
        <v>1</v>
      </c>
      <c r="N740" s="357">
        <v>1</v>
      </c>
      <c r="O740" s="357">
        <v>1</v>
      </c>
      <c r="P740" s="357">
        <v>0</v>
      </c>
      <c r="Q740" s="358">
        <v>0.31485587583148561</v>
      </c>
      <c r="R740" s="359">
        <v>0.71863636363636363</v>
      </c>
      <c r="S740" s="196">
        <v>1893562000</v>
      </c>
      <c r="T740" s="196">
        <v>64900000</v>
      </c>
      <c r="U740" s="200">
        <f t="shared" si="127"/>
        <v>4627370000</v>
      </c>
      <c r="V740" s="196">
        <v>51000000</v>
      </c>
      <c r="W740" s="196">
        <v>729000000</v>
      </c>
      <c r="X740" s="196">
        <v>517000000</v>
      </c>
      <c r="Y740" s="196">
        <v>1299000000</v>
      </c>
      <c r="Z740" s="196">
        <v>20000000</v>
      </c>
      <c r="AA740" s="198">
        <v>0.04</v>
      </c>
      <c r="AB740" s="198">
        <v>0.04</v>
      </c>
      <c r="AC740" s="213">
        <f t="shared" si="128"/>
        <v>337</v>
      </c>
      <c r="AD740" s="213">
        <f t="shared" si="129"/>
        <v>228</v>
      </c>
      <c r="AE740" s="213">
        <v>2.76</v>
      </c>
      <c r="AF740" s="196">
        <v>92000000</v>
      </c>
      <c r="AG740" s="104">
        <f t="shared" si="130"/>
        <v>1.4175654853620956</v>
      </c>
      <c r="AH740" s="104">
        <f t="shared" si="131"/>
        <v>1.803921568627451</v>
      </c>
      <c r="AI740" s="195">
        <v>2.34</v>
      </c>
    </row>
    <row r="741" spans="1:48">
      <c r="A741">
        <v>3527</v>
      </c>
      <c r="C741" s="107">
        <f>VLOOKUP(3527,收盤價!$A:$C,3,0)</f>
        <v>71.400000000000006</v>
      </c>
      <c r="D741" s="107">
        <f t="shared" si="121"/>
        <v>7.8737811484290354</v>
      </c>
      <c r="E741" s="167">
        <f t="shared" si="122"/>
        <v>3</v>
      </c>
      <c r="F741" s="104">
        <f t="shared" si="123"/>
        <v>1.0082690168385995</v>
      </c>
      <c r="G741" s="167">
        <f>RANK(4.81,AE:AE,0)</f>
        <v>170</v>
      </c>
      <c r="H741" s="365">
        <f t="shared" si="124"/>
        <v>0.82568807339449546</v>
      </c>
      <c r="I741" s="213">
        <f t="shared" si="125"/>
        <v>1414</v>
      </c>
      <c r="J741" s="213">
        <f t="shared" si="126"/>
        <v>768</v>
      </c>
      <c r="K741">
        <f>RANK(0.71,AI:AI,0)</f>
        <v>1412</v>
      </c>
      <c r="L741" s="357">
        <v>1</v>
      </c>
      <c r="M741" s="357">
        <v>1</v>
      </c>
      <c r="N741" s="357">
        <v>1</v>
      </c>
      <c r="O741" s="357">
        <v>0</v>
      </c>
      <c r="P741" s="357">
        <v>0</v>
      </c>
      <c r="Q741" s="358">
        <v>0.3245341614906832</v>
      </c>
      <c r="R741" s="359">
        <v>2.2670175438596494</v>
      </c>
      <c r="S741" s="196">
        <v>2315632000</v>
      </c>
      <c r="T741" s="196">
        <v>32700000</v>
      </c>
      <c r="U741" s="200">
        <f t="shared" si="127"/>
        <v>2334780000</v>
      </c>
      <c r="V741" s="196">
        <v>72000000</v>
      </c>
      <c r="W741" s="196">
        <v>1054000000</v>
      </c>
      <c r="X741" s="196">
        <v>179000000</v>
      </c>
      <c r="Y741" s="196">
        <v>1483000000</v>
      </c>
      <c r="Z741" s="196">
        <v>69000000</v>
      </c>
      <c r="AA741" s="198">
        <v>0.06</v>
      </c>
      <c r="AB741" s="198">
        <v>0.05</v>
      </c>
      <c r="AC741" s="213">
        <f t="shared" si="128"/>
        <v>174</v>
      </c>
      <c r="AD741" s="213">
        <f t="shared" si="129"/>
        <v>150</v>
      </c>
      <c r="AE741" s="213">
        <v>4.8099999999999996</v>
      </c>
      <c r="AF741" s="196">
        <v>-27000000</v>
      </c>
      <c r="AG741" s="104">
        <f t="shared" si="130"/>
        <v>-0.82568807339449546</v>
      </c>
      <c r="AH741" s="104">
        <f t="shared" si="131"/>
        <v>0</v>
      </c>
      <c r="AI741" s="195">
        <v>0.71</v>
      </c>
    </row>
    <row r="742" spans="1:48">
      <c r="A742">
        <v>3528</v>
      </c>
      <c r="C742" s="107">
        <f>VLOOKUP(3528,收盤價!$A:$C,3,0)</f>
        <v>29.8</v>
      </c>
      <c r="D742" s="107">
        <f t="shared" si="121"/>
        <v>14.633928571428573</v>
      </c>
      <c r="E742" s="167">
        <f t="shared" si="122"/>
        <v>2</v>
      </c>
      <c r="F742" s="104">
        <f t="shared" si="123"/>
        <v>0.58475150736736947</v>
      </c>
      <c r="G742" s="167">
        <f>RANK(2.32,AE:AE,0)</f>
        <v>360</v>
      </c>
      <c r="H742" s="365">
        <f t="shared" si="124"/>
        <v>1.8181818181818181</v>
      </c>
      <c r="I742" s="213">
        <f t="shared" si="125"/>
        <v>1502</v>
      </c>
      <c r="J742" s="213">
        <f t="shared" si="126"/>
        <v>768</v>
      </c>
      <c r="K742">
        <f>RANK(0.69,AI:AI,0)</f>
        <v>1474</v>
      </c>
      <c r="L742" s="357">
        <v>0</v>
      </c>
      <c r="M742" s="357">
        <v>0</v>
      </c>
      <c r="N742" s="357">
        <v>2</v>
      </c>
      <c r="O742" s="357">
        <v>0</v>
      </c>
      <c r="P742" s="357">
        <v>0</v>
      </c>
      <c r="Q742" s="358">
        <v>0.13043478260869565</v>
      </c>
      <c r="R742" s="359">
        <v>0.50909090909090904</v>
      </c>
      <c r="S742" s="196">
        <v>3139248000</v>
      </c>
      <c r="T742" s="196">
        <v>61600000</v>
      </c>
      <c r="U742" s="200">
        <f t="shared" si="127"/>
        <v>1835680000</v>
      </c>
      <c r="V742" s="196">
        <v>41000000</v>
      </c>
      <c r="W742" s="196">
        <v>1011000000</v>
      </c>
      <c r="X742" s="196">
        <v>34000000</v>
      </c>
      <c r="Y742" s="196">
        <v>1281000000</v>
      </c>
      <c r="Z742" s="196">
        <v>213000000</v>
      </c>
      <c r="AA742" s="198">
        <v>0.04</v>
      </c>
      <c r="AB742" s="198">
        <v>0.03</v>
      </c>
      <c r="AC742" s="213">
        <f t="shared" si="128"/>
        <v>337</v>
      </c>
      <c r="AD742" s="213">
        <f t="shared" si="129"/>
        <v>334</v>
      </c>
      <c r="AE742" s="213">
        <v>2.3199999999999998</v>
      </c>
      <c r="AF742" s="196">
        <v>-112000000</v>
      </c>
      <c r="AG742" s="104">
        <f t="shared" si="130"/>
        <v>-1.8181818181818181</v>
      </c>
      <c r="AH742" s="104">
        <f t="shared" si="131"/>
        <v>0</v>
      </c>
      <c r="AI742" s="195">
        <v>0.69</v>
      </c>
      <c r="AO742" s="213"/>
      <c r="AP742" s="213"/>
      <c r="AQ742" s="213"/>
      <c r="AR742" s="213"/>
      <c r="AS742" s="213"/>
      <c r="AT742" s="213"/>
      <c r="AU742" s="213"/>
      <c r="AV742" s="213"/>
    </row>
    <row r="743" spans="1:48">
      <c r="A743">
        <v>3529</v>
      </c>
      <c r="C743" s="107">
        <f>VLOOKUP(3529,收盤價!$A:$C,3,0)</f>
        <v>331</v>
      </c>
      <c r="D743" s="107">
        <f t="shared" si="121"/>
        <v>61.127899877899878</v>
      </c>
      <c r="E743" s="167">
        <f t="shared" si="122"/>
        <v>3</v>
      </c>
      <c r="F743" s="104">
        <f t="shared" si="123"/>
        <v>21.260650535333721</v>
      </c>
      <c r="G743" s="167">
        <f>RANK(9.68,AE:AE,0)</f>
        <v>76</v>
      </c>
      <c r="H743" s="365">
        <f t="shared" si="124"/>
        <v>-0.85014545700561528</v>
      </c>
      <c r="I743" s="213">
        <f t="shared" si="125"/>
        <v>172</v>
      </c>
      <c r="J743" s="213">
        <f t="shared" si="126"/>
        <v>358</v>
      </c>
      <c r="K743">
        <f>RANK(2.94,AI:AI,0)</f>
        <v>178</v>
      </c>
      <c r="L743" s="357">
        <v>0</v>
      </c>
      <c r="M743" s="357">
        <v>0</v>
      </c>
      <c r="N743" s="357">
        <v>1</v>
      </c>
      <c r="O743" s="357">
        <v>1</v>
      </c>
      <c r="P743" s="357">
        <v>1</v>
      </c>
      <c r="Q743" s="358">
        <v>1</v>
      </c>
      <c r="R743" s="359">
        <v>1.3537190082644628</v>
      </c>
      <c r="S743" s="196">
        <v>1180105000</v>
      </c>
      <c r="T743" s="196">
        <v>75800000</v>
      </c>
      <c r="U743" s="200">
        <f t="shared" si="127"/>
        <v>25089800000</v>
      </c>
      <c r="V743" s="196">
        <v>117000000</v>
      </c>
      <c r="W743" s="196">
        <v>1034000000</v>
      </c>
      <c r="X743" s="196">
        <v>484000000</v>
      </c>
      <c r="Y743" s="196">
        <v>1651000000</v>
      </c>
      <c r="Z743" s="196">
        <v>0</v>
      </c>
      <c r="AA743" s="198">
        <v>0.08</v>
      </c>
      <c r="AB743" s="198">
        <v>7.0000000000000007E-2</v>
      </c>
      <c r="AC743" s="213">
        <f t="shared" si="128"/>
        <v>97</v>
      </c>
      <c r="AD743" s="213">
        <f t="shared" si="129"/>
        <v>64</v>
      </c>
      <c r="AE743" s="213">
        <v>9.68</v>
      </c>
      <c r="AF743" s="196">
        <v>183000000</v>
      </c>
      <c r="AG743" s="104">
        <f t="shared" si="130"/>
        <v>2.4142480211081794</v>
      </c>
      <c r="AH743" s="104">
        <f t="shared" si="131"/>
        <v>1.5641025641025641</v>
      </c>
      <c r="AI743" s="195">
        <v>2.94</v>
      </c>
    </row>
    <row r="744" spans="1:48">
      <c r="A744">
        <v>3531</v>
      </c>
      <c r="C744" s="107">
        <f>VLOOKUP(3531,收盤價!$A:$C,3,0)</f>
        <v>18.5</v>
      </c>
      <c r="D744" s="107">
        <f t="shared" si="121"/>
        <v>15.282608695652174</v>
      </c>
      <c r="E744" s="167">
        <f t="shared" si="122"/>
        <v>5</v>
      </c>
      <c r="F744" s="104">
        <f t="shared" si="123"/>
        <v>0.67437655013687658</v>
      </c>
      <c r="G744" s="167">
        <f>RANK(1.08,AE:AE,0)</f>
        <v>769</v>
      </c>
      <c r="H744" s="365">
        <f t="shared" si="124"/>
        <v>1.9539641943734016</v>
      </c>
      <c r="I744" s="213">
        <f t="shared" si="125"/>
        <v>441</v>
      </c>
      <c r="J744" s="213">
        <f t="shared" si="126"/>
        <v>150</v>
      </c>
      <c r="K744">
        <f>RANK(2.64,AI:AI,0)</f>
        <v>207</v>
      </c>
      <c r="L744" s="357">
        <v>1</v>
      </c>
      <c r="M744" s="357">
        <v>1</v>
      </c>
      <c r="N744" s="357">
        <v>2</v>
      </c>
      <c r="O744" s="357">
        <v>1</v>
      </c>
      <c r="P744" s="357">
        <v>0</v>
      </c>
      <c r="Q744" s="358">
        <v>0.21281464530892449</v>
      </c>
      <c r="R744" s="359">
        <v>0.30263157894736842</v>
      </c>
      <c r="S744" s="196">
        <v>1678884000</v>
      </c>
      <c r="T744" s="196">
        <v>61200000</v>
      </c>
      <c r="U744" s="200">
        <f t="shared" si="127"/>
        <v>1132200000</v>
      </c>
      <c r="V744" s="196">
        <v>23000000</v>
      </c>
      <c r="W744" s="196">
        <v>1212000000</v>
      </c>
      <c r="X744" s="196">
        <v>461000000</v>
      </c>
      <c r="Y744" s="196">
        <v>1739000000</v>
      </c>
      <c r="Z744" s="196">
        <v>112000000</v>
      </c>
      <c r="AA744" s="198">
        <v>0.01</v>
      </c>
      <c r="AB744" s="198">
        <v>0.01</v>
      </c>
      <c r="AC744" s="213">
        <f t="shared" si="128"/>
        <v>769</v>
      </c>
      <c r="AD744" s="213">
        <f t="shared" si="129"/>
        <v>680</v>
      </c>
      <c r="AE744" s="213">
        <v>1.08</v>
      </c>
      <c r="AF744" s="196">
        <v>72000000</v>
      </c>
      <c r="AG744" s="104">
        <f t="shared" si="130"/>
        <v>1.1764705882352942</v>
      </c>
      <c r="AH744" s="104">
        <f t="shared" si="131"/>
        <v>3.1304347826086958</v>
      </c>
      <c r="AI744" s="195">
        <v>2.64</v>
      </c>
    </row>
    <row r="745" spans="1:48">
      <c r="A745">
        <v>3532</v>
      </c>
      <c r="C745" s="107">
        <f>VLOOKUP(3532,收盤價!$A:$C,3,0)</f>
        <v>32.6</v>
      </c>
      <c r="D745" s="107">
        <f t="shared" si="121"/>
        <v>26.290322580645164</v>
      </c>
      <c r="E745" s="167">
        <f t="shared" si="122"/>
        <v>2</v>
      </c>
      <c r="F745" s="104">
        <f t="shared" si="123"/>
        <v>2.4961323393875765</v>
      </c>
      <c r="G745" s="167">
        <f>RANK(1.08,AE:AE,0)</f>
        <v>769</v>
      </c>
      <c r="H745" s="365">
        <f t="shared" si="124"/>
        <v>1.9047699383166989</v>
      </c>
      <c r="I745" s="213">
        <f t="shared" si="125"/>
        <v>576</v>
      </c>
      <c r="J745" s="213">
        <f t="shared" si="126"/>
        <v>167</v>
      </c>
      <c r="K745">
        <f>RANK(2.1,AI:AI,0)</f>
        <v>309</v>
      </c>
      <c r="L745" s="357">
        <v>0</v>
      </c>
      <c r="M745" s="357">
        <v>1</v>
      </c>
      <c r="N745" s="357">
        <v>0</v>
      </c>
      <c r="O745" s="357">
        <v>1</v>
      </c>
      <c r="P745" s="357">
        <v>0</v>
      </c>
      <c r="Q745" s="358">
        <v>0.12813787935556389</v>
      </c>
      <c r="R745" s="359">
        <v>0.31</v>
      </c>
      <c r="S745" s="196">
        <v>10130801000</v>
      </c>
      <c r="T745" s="196">
        <v>775700000</v>
      </c>
      <c r="U745" s="200">
        <f t="shared" si="127"/>
        <v>25287820000</v>
      </c>
      <c r="V745" s="196">
        <v>243000000</v>
      </c>
      <c r="W745" s="196">
        <v>5249000000</v>
      </c>
      <c r="X745" s="196">
        <v>14320000000</v>
      </c>
      <c r="Y745" s="196">
        <v>19694000000</v>
      </c>
      <c r="Z745" s="196">
        <v>0</v>
      </c>
      <c r="AA745" s="198">
        <v>0.01</v>
      </c>
      <c r="AB745" s="198">
        <v>0.01</v>
      </c>
      <c r="AC745" s="213">
        <f t="shared" si="128"/>
        <v>769</v>
      </c>
      <c r="AD745" s="213">
        <f t="shared" si="129"/>
        <v>680</v>
      </c>
      <c r="AE745" s="213">
        <v>1.08</v>
      </c>
      <c r="AF745" s="196">
        <v>674000000</v>
      </c>
      <c r="AG745" s="104">
        <f t="shared" si="130"/>
        <v>0.86889261312363031</v>
      </c>
      <c r="AH745" s="104">
        <f t="shared" si="131"/>
        <v>2.7736625514403292</v>
      </c>
      <c r="AI745" s="195">
        <v>2.1</v>
      </c>
    </row>
    <row r="746" spans="1:48">
      <c r="A746">
        <v>3533</v>
      </c>
      <c r="C746" s="107">
        <f>VLOOKUP(3533,收盤價!$A:$C,3,0)</f>
        <v>80.5</v>
      </c>
      <c r="D746" s="107">
        <f t="shared" si="121"/>
        <v>36.621174524400331</v>
      </c>
      <c r="E746" s="167">
        <f t="shared" si="122"/>
        <v>3</v>
      </c>
      <c r="F746" s="104">
        <f t="shared" si="123"/>
        <v>0.8850245856167146</v>
      </c>
      <c r="G746" s="167">
        <f>RANK(1.08,AE:AE,0)</f>
        <v>769</v>
      </c>
      <c r="H746" s="365">
        <f t="shared" si="124"/>
        <v>3.4352476168332924E-2</v>
      </c>
      <c r="I746" s="213">
        <f t="shared" si="125"/>
        <v>208</v>
      </c>
      <c r="J746" s="213">
        <f t="shared" si="126"/>
        <v>243</v>
      </c>
      <c r="K746">
        <f>RANK(3.45,AI:AI,0)</f>
        <v>131</v>
      </c>
      <c r="L746" s="357">
        <v>0</v>
      </c>
      <c r="M746" s="357">
        <v>0</v>
      </c>
      <c r="N746" s="357">
        <v>2</v>
      </c>
      <c r="O746" s="357">
        <v>1</v>
      </c>
      <c r="P746" s="357">
        <v>0</v>
      </c>
      <c r="Q746" s="358">
        <v>0.28523967726625532</v>
      </c>
      <c r="R746" s="359">
        <v>0.54954545454545456</v>
      </c>
      <c r="S746" s="196">
        <v>8504566000</v>
      </c>
      <c r="T746" s="196">
        <v>93500000</v>
      </c>
      <c r="U746" s="200">
        <f t="shared" si="127"/>
        <v>7526750000</v>
      </c>
      <c r="V746" s="196">
        <v>92000000</v>
      </c>
      <c r="W746" s="196">
        <v>4264000000</v>
      </c>
      <c r="X746" s="196">
        <v>2290000000</v>
      </c>
      <c r="Y746" s="196">
        <v>7622000000</v>
      </c>
      <c r="Z746" s="196">
        <v>105000000</v>
      </c>
      <c r="AA746" s="198">
        <v>0.01</v>
      </c>
      <c r="AB746" s="198">
        <v>0.01</v>
      </c>
      <c r="AC746" s="213">
        <f t="shared" si="128"/>
        <v>769</v>
      </c>
      <c r="AD746" s="213">
        <f t="shared" si="129"/>
        <v>680</v>
      </c>
      <c r="AE746" s="213">
        <v>1.08</v>
      </c>
      <c r="AF746" s="196">
        <v>197000000</v>
      </c>
      <c r="AG746" s="104">
        <f t="shared" si="130"/>
        <v>2.106951871657754</v>
      </c>
      <c r="AH746" s="104">
        <f t="shared" si="131"/>
        <v>2.1413043478260869</v>
      </c>
      <c r="AI746" s="195">
        <v>3.45</v>
      </c>
    </row>
    <row r="747" spans="1:48">
      <c r="A747">
        <v>3535</v>
      </c>
      <c r="C747" s="107">
        <f>VLOOKUP(3535,收盤價!$A:$C,3,0)</f>
        <v>14.2</v>
      </c>
      <c r="D747" s="107">
        <f t="shared" si="121"/>
        <v>0</v>
      </c>
      <c r="E747" s="167">
        <f t="shared" si="122"/>
        <v>3</v>
      </c>
      <c r="F747" s="104">
        <f t="shared" si="123"/>
        <v>0.90971777328944992</v>
      </c>
      <c r="G747" s="167">
        <f>RANK(1.41,AE:AE,0)</f>
        <v>618</v>
      </c>
      <c r="H747" s="365">
        <f t="shared" si="124"/>
        <v>1.272264631043257</v>
      </c>
      <c r="I747" s="213">
        <f t="shared" si="125"/>
        <v>1462</v>
      </c>
      <c r="J747" s="213">
        <f t="shared" si="126"/>
        <v>768</v>
      </c>
      <c r="K747">
        <f>RANK(0.7,AI:AI,0)</f>
        <v>1442</v>
      </c>
      <c r="L747" s="357">
        <v>0</v>
      </c>
      <c r="M747" s="357">
        <v>1</v>
      </c>
      <c r="N747" s="357">
        <v>2</v>
      </c>
      <c r="O747" s="357">
        <v>0</v>
      </c>
      <c r="P747" s="357">
        <v>0</v>
      </c>
      <c r="Q747" s="358">
        <v>0.25</v>
      </c>
      <c r="R747" s="359">
        <v>0</v>
      </c>
      <c r="S747" s="196">
        <v>1226886000</v>
      </c>
      <c r="T747" s="196">
        <v>78600000</v>
      </c>
      <c r="U747" s="200">
        <f t="shared" si="127"/>
        <v>1116120000</v>
      </c>
      <c r="V747" s="196">
        <v>24000000</v>
      </c>
      <c r="W747" s="196">
        <v>754000000</v>
      </c>
      <c r="X747" s="196">
        <v>460000000</v>
      </c>
      <c r="Y747" s="196">
        <v>896000000</v>
      </c>
      <c r="Z747" s="196">
        <v>238000000</v>
      </c>
      <c r="AA747" s="198">
        <v>0.02</v>
      </c>
      <c r="AB747" s="198">
        <v>0.02</v>
      </c>
      <c r="AC747" s="213">
        <f t="shared" si="128"/>
        <v>616</v>
      </c>
      <c r="AD747" s="213">
        <f t="shared" si="129"/>
        <v>487</v>
      </c>
      <c r="AE747" s="213">
        <v>1.41</v>
      </c>
      <c r="AF747" s="196">
        <v>-100000000</v>
      </c>
      <c r="AG747" s="104">
        <f t="shared" si="130"/>
        <v>-1.272264631043257</v>
      </c>
      <c r="AH747" s="104">
        <f t="shared" si="131"/>
        <v>0</v>
      </c>
      <c r="AI747" s="195">
        <v>0.7</v>
      </c>
    </row>
    <row r="748" spans="1:48">
      <c r="A748">
        <v>3536</v>
      </c>
      <c r="C748" s="107">
        <f>VLOOKUP(3536,收盤價!$A:$C,3,0)</f>
        <v>15</v>
      </c>
      <c r="D748" s="107">
        <f t="shared" si="121"/>
        <v>0</v>
      </c>
      <c r="E748" s="167">
        <f t="shared" si="122"/>
        <v>2</v>
      </c>
      <c r="F748" s="104">
        <f t="shared" si="123"/>
        <v>1.3703969715359487</v>
      </c>
      <c r="G748" s="167">
        <f>RANK(0.84,AE:AE,0)</f>
        <v>946</v>
      </c>
      <c r="H748" s="365">
        <f t="shared" si="124"/>
        <v>8.2644628099173556E-2</v>
      </c>
      <c r="I748" s="213">
        <f t="shared" si="125"/>
        <v>1124</v>
      </c>
      <c r="J748" s="213">
        <f t="shared" si="126"/>
        <v>768</v>
      </c>
      <c r="K748">
        <f>RANK(0.82,AI:AI,0)</f>
        <v>1121</v>
      </c>
      <c r="L748" s="357">
        <v>0</v>
      </c>
      <c r="M748" s="357">
        <v>1</v>
      </c>
      <c r="N748" s="357">
        <v>1</v>
      </c>
      <c r="O748" s="357">
        <v>0</v>
      </c>
      <c r="P748" s="357">
        <v>0</v>
      </c>
      <c r="Q748" s="358">
        <v>0.13253012048192772</v>
      </c>
      <c r="R748" s="359">
        <v>-0.15</v>
      </c>
      <c r="S748" s="196">
        <v>1059547000</v>
      </c>
      <c r="T748" s="196">
        <v>96800000</v>
      </c>
      <c r="U748" s="200">
        <f t="shared" si="127"/>
        <v>1452000000</v>
      </c>
      <c r="V748" s="196">
        <v>0</v>
      </c>
      <c r="W748" s="196">
        <v>172000000</v>
      </c>
      <c r="X748" s="196">
        <v>470000000</v>
      </c>
      <c r="Y748" s="196">
        <v>649000000</v>
      </c>
      <c r="Z748" s="196">
        <v>288000000</v>
      </c>
      <c r="AA748" s="198">
        <v>0</v>
      </c>
      <c r="AB748" s="198">
        <v>0</v>
      </c>
      <c r="AC748" s="213">
        <f t="shared" si="128"/>
        <v>945</v>
      </c>
      <c r="AD748" s="213">
        <f t="shared" si="129"/>
        <v>911</v>
      </c>
      <c r="AE748" s="213">
        <v>0.84</v>
      </c>
      <c r="AF748" s="196">
        <v>-8000000</v>
      </c>
      <c r="AG748" s="104">
        <f t="shared" si="130"/>
        <v>-8.2644628099173556E-2</v>
      </c>
      <c r="AH748" s="104">
        <f t="shared" si="131"/>
        <v>0</v>
      </c>
      <c r="AI748" s="195">
        <v>0.82</v>
      </c>
      <c r="AO748" s="213"/>
      <c r="AP748" s="213"/>
      <c r="AQ748" s="213"/>
      <c r="AR748" s="213"/>
      <c r="AS748" s="213"/>
      <c r="AT748" s="213"/>
      <c r="AU748" s="213"/>
      <c r="AV748" s="213"/>
    </row>
    <row r="749" spans="1:48">
      <c r="A749">
        <v>3537</v>
      </c>
      <c r="C749" s="107">
        <f>VLOOKUP(3537,收盤價!$A:$C,3,0)</f>
        <v>21.8</v>
      </c>
      <c r="D749" s="107">
        <f t="shared" si="121"/>
        <v>33.030303030303031</v>
      </c>
      <c r="E749" s="167">
        <f t="shared" si="122"/>
        <v>4</v>
      </c>
      <c r="F749" s="104">
        <f t="shared" si="123"/>
        <v>0.3899352727868402</v>
      </c>
      <c r="G749" s="167">
        <f>RANK(1.2,AE:AE,0)</f>
        <v>710</v>
      </c>
      <c r="H749" s="365">
        <f t="shared" si="124"/>
        <v>1.4661190965092401</v>
      </c>
      <c r="I749" s="213">
        <f t="shared" si="125"/>
        <v>726</v>
      </c>
      <c r="J749" s="213">
        <f t="shared" si="126"/>
        <v>261</v>
      </c>
      <c r="K749">
        <f>RANK(1.58,AI:AI,0)</f>
        <v>513</v>
      </c>
      <c r="L749" s="357">
        <v>0</v>
      </c>
      <c r="M749" s="357">
        <v>1</v>
      </c>
      <c r="N749" s="357">
        <v>2</v>
      </c>
      <c r="O749" s="357">
        <v>1</v>
      </c>
      <c r="P749" s="357">
        <v>0</v>
      </c>
      <c r="Q749" s="358">
        <v>7.8167115902964962E-2</v>
      </c>
      <c r="R749" s="359">
        <v>0.16500000000000001</v>
      </c>
      <c r="S749" s="196">
        <v>2722657000</v>
      </c>
      <c r="T749" s="196">
        <v>48700000</v>
      </c>
      <c r="U749" s="200">
        <f t="shared" si="127"/>
        <v>1061660000</v>
      </c>
      <c r="V749" s="196">
        <v>13000000</v>
      </c>
      <c r="W749" s="196">
        <v>544000000</v>
      </c>
      <c r="X749" s="196">
        <v>235000000</v>
      </c>
      <c r="Y749" s="196">
        <v>777000000</v>
      </c>
      <c r="Z749" s="196">
        <v>189000000</v>
      </c>
      <c r="AA749" s="198">
        <v>0.02</v>
      </c>
      <c r="AB749" s="198">
        <v>0.01</v>
      </c>
      <c r="AC749" s="213">
        <f t="shared" si="128"/>
        <v>616</v>
      </c>
      <c r="AD749" s="213">
        <f t="shared" si="129"/>
        <v>680</v>
      </c>
      <c r="AE749" s="213">
        <v>1.2</v>
      </c>
      <c r="AF749" s="196">
        <v>26000000</v>
      </c>
      <c r="AG749" s="104">
        <f t="shared" si="130"/>
        <v>0.53388090349075978</v>
      </c>
      <c r="AH749" s="104">
        <f t="shared" si="131"/>
        <v>2</v>
      </c>
      <c r="AI749" s="195">
        <v>1.58</v>
      </c>
    </row>
    <row r="750" spans="1:48">
      <c r="A750">
        <v>3540</v>
      </c>
      <c r="C750" s="107">
        <f>VLOOKUP(3540,收盤價!$A:$C,3,0)</f>
        <v>21.45</v>
      </c>
      <c r="D750" s="107">
        <f t="shared" si="121"/>
        <v>19.151785714285715</v>
      </c>
      <c r="E750" s="167">
        <f t="shared" si="122"/>
        <v>1</v>
      </c>
      <c r="F750" s="104">
        <f t="shared" si="123"/>
        <v>0.48187727623994253</v>
      </c>
      <c r="G750" s="167">
        <f>RANK(1.08,AE:AE,0)</f>
        <v>769</v>
      </c>
      <c r="H750" s="365">
        <f t="shared" si="124"/>
        <v>0.15015015015015015</v>
      </c>
      <c r="I750" s="213">
        <f t="shared" si="125"/>
        <v>1175</v>
      </c>
      <c r="J750" s="213">
        <f t="shared" si="126"/>
        <v>768</v>
      </c>
      <c r="K750">
        <f>RANK(0.8,AI:AI,0)</f>
        <v>1168</v>
      </c>
      <c r="L750" s="357">
        <v>0</v>
      </c>
      <c r="M750" s="357">
        <v>1</v>
      </c>
      <c r="N750" s="357">
        <v>0</v>
      </c>
      <c r="O750" s="357">
        <v>0</v>
      </c>
      <c r="P750" s="357">
        <v>0</v>
      </c>
      <c r="Q750" s="358">
        <v>0.33050847457627119</v>
      </c>
      <c r="R750" s="359">
        <v>0.27999999999999997</v>
      </c>
      <c r="S750" s="196">
        <v>2964593000</v>
      </c>
      <c r="T750" s="196">
        <v>66600000</v>
      </c>
      <c r="U750" s="200">
        <f t="shared" si="127"/>
        <v>1428570000</v>
      </c>
      <c r="V750" s="196">
        <v>14000000</v>
      </c>
      <c r="W750" s="196">
        <v>1012000000</v>
      </c>
      <c r="X750" s="196">
        <v>123000000</v>
      </c>
      <c r="Y750" s="196">
        <v>1286000000</v>
      </c>
      <c r="Z750" s="196">
        <v>315000000</v>
      </c>
      <c r="AA750" s="198">
        <v>0.01</v>
      </c>
      <c r="AB750" s="198">
        <v>0.01</v>
      </c>
      <c r="AC750" s="213">
        <f t="shared" si="128"/>
        <v>769</v>
      </c>
      <c r="AD750" s="213">
        <f t="shared" si="129"/>
        <v>680</v>
      </c>
      <c r="AE750" s="213">
        <v>1.08</v>
      </c>
      <c r="AF750" s="196">
        <v>-10000000</v>
      </c>
      <c r="AG750" s="104">
        <f t="shared" si="130"/>
        <v>-0.15015015015015015</v>
      </c>
      <c r="AH750" s="104">
        <f t="shared" si="131"/>
        <v>0</v>
      </c>
      <c r="AI750" s="195">
        <v>0.8</v>
      </c>
    </row>
    <row r="751" spans="1:48">
      <c r="A751">
        <v>3541</v>
      </c>
      <c r="C751" s="107">
        <f>VLOOKUP(3541,收盤價!$A:$C,3,0)</f>
        <v>134</v>
      </c>
      <c r="D751" s="107">
        <f t="shared" si="121"/>
        <v>20.38857677902622</v>
      </c>
      <c r="E751" s="167">
        <f t="shared" si="122"/>
        <v>5</v>
      </c>
      <c r="F751" s="104">
        <f t="shared" si="123"/>
        <v>3.7293091146361905</v>
      </c>
      <c r="G751" s="167">
        <f>RANK(31.8,AE:AE,0)</f>
        <v>17</v>
      </c>
      <c r="H751" s="365">
        <f t="shared" si="124"/>
        <v>-0.46167039522744219</v>
      </c>
      <c r="I751" s="213">
        <f t="shared" si="125"/>
        <v>555</v>
      </c>
      <c r="J751" s="213">
        <f t="shared" si="126"/>
        <v>691</v>
      </c>
      <c r="K751">
        <f>RANK(1.25,AI:AI,0)</f>
        <v>709</v>
      </c>
      <c r="L751" s="357">
        <v>1</v>
      </c>
      <c r="M751" s="357">
        <v>1</v>
      </c>
      <c r="N751" s="357">
        <v>2</v>
      </c>
      <c r="O751" s="357">
        <v>1</v>
      </c>
      <c r="P751" s="357">
        <v>0</v>
      </c>
      <c r="Q751" s="358">
        <v>0.40461215932914046</v>
      </c>
      <c r="R751" s="359">
        <v>1.6430769230769229</v>
      </c>
      <c r="S751" s="196">
        <v>1606142000</v>
      </c>
      <c r="T751" s="196">
        <v>44700000</v>
      </c>
      <c r="U751" s="200">
        <f t="shared" si="127"/>
        <v>5989800000</v>
      </c>
      <c r="V751" s="196">
        <v>90000000</v>
      </c>
      <c r="W751" s="196">
        <v>478000000</v>
      </c>
      <c r="X751" s="196">
        <v>283000000</v>
      </c>
      <c r="Y751" s="196">
        <v>770000000</v>
      </c>
      <c r="Z751" s="196">
        <v>89000000</v>
      </c>
      <c r="AA751" s="198">
        <v>0.12</v>
      </c>
      <c r="AB751" s="198">
        <v>0.1</v>
      </c>
      <c r="AC751" s="213">
        <f t="shared" si="128"/>
        <v>32</v>
      </c>
      <c r="AD751" s="213">
        <f t="shared" si="129"/>
        <v>17</v>
      </c>
      <c r="AE751" s="213">
        <v>31.8</v>
      </c>
      <c r="AF751" s="196">
        <v>41000000</v>
      </c>
      <c r="AG751" s="104">
        <f t="shared" si="130"/>
        <v>0.91722595078299773</v>
      </c>
      <c r="AH751" s="104">
        <f t="shared" si="131"/>
        <v>0.45555555555555555</v>
      </c>
      <c r="AI751" s="195">
        <v>1.25</v>
      </c>
    </row>
    <row r="752" spans="1:48">
      <c r="A752">
        <v>3545</v>
      </c>
      <c r="C752" s="107">
        <f>VLOOKUP(3545,收盤價!$A:$C,3,0)</f>
        <v>33.65</v>
      </c>
      <c r="D752" s="107">
        <f t="shared" si="121"/>
        <v>35.661684782608695</v>
      </c>
      <c r="E752" s="167">
        <f t="shared" si="122"/>
        <v>2</v>
      </c>
      <c r="F752" s="104">
        <f t="shared" si="123"/>
        <v>0.87608525434148177</v>
      </c>
      <c r="G752" s="167">
        <f>RANK(1.08,AE:AE,0)</f>
        <v>769</v>
      </c>
      <c r="H752" s="365">
        <f t="shared" si="124"/>
        <v>0.1325178389398573</v>
      </c>
      <c r="I752" s="213">
        <f t="shared" si="125"/>
        <v>1161</v>
      </c>
      <c r="J752" s="213">
        <f t="shared" si="126"/>
        <v>768</v>
      </c>
      <c r="K752">
        <f>RANK(0.81,AI:AI,0)</f>
        <v>1144</v>
      </c>
      <c r="L752" s="357">
        <v>0</v>
      </c>
      <c r="M752" s="357">
        <v>1</v>
      </c>
      <c r="N752" s="357">
        <v>1</v>
      </c>
      <c r="O752" s="357">
        <v>0</v>
      </c>
      <c r="P752" s="357">
        <v>0</v>
      </c>
      <c r="Q752" s="358">
        <v>0.19594594594594594</v>
      </c>
      <c r="R752" s="359">
        <v>0.23589743589743589</v>
      </c>
      <c r="S752" s="196">
        <v>11303917000</v>
      </c>
      <c r="T752" s="196">
        <v>294300000</v>
      </c>
      <c r="U752" s="200">
        <f t="shared" si="127"/>
        <v>9903195000</v>
      </c>
      <c r="V752" s="196">
        <v>83000000</v>
      </c>
      <c r="W752" s="196">
        <v>7574000000</v>
      </c>
      <c r="X752" s="196">
        <v>122000000</v>
      </c>
      <c r="Y752" s="196">
        <v>11096000000</v>
      </c>
      <c r="Z752" s="196">
        <v>357000000</v>
      </c>
      <c r="AA752" s="198">
        <v>0.01</v>
      </c>
      <c r="AB752" s="198">
        <v>0.01</v>
      </c>
      <c r="AC752" s="213">
        <f t="shared" si="128"/>
        <v>769</v>
      </c>
      <c r="AD752" s="213">
        <f t="shared" si="129"/>
        <v>680</v>
      </c>
      <c r="AE752" s="213">
        <v>1.08</v>
      </c>
      <c r="AF752" s="196">
        <v>-39000000</v>
      </c>
      <c r="AG752" s="104">
        <f t="shared" si="130"/>
        <v>-0.1325178389398573</v>
      </c>
      <c r="AH752" s="104">
        <f t="shared" si="131"/>
        <v>0</v>
      </c>
      <c r="AI752" s="195">
        <v>0.81</v>
      </c>
      <c r="AO752" s="213"/>
      <c r="AP752" s="213"/>
      <c r="AQ752" s="213"/>
      <c r="AR752" s="213"/>
      <c r="AS752" s="213"/>
      <c r="AT752" s="213"/>
      <c r="AU752" s="213"/>
      <c r="AV752" s="213"/>
    </row>
    <row r="753" spans="1:48">
      <c r="A753">
        <v>3546</v>
      </c>
      <c r="C753" s="107">
        <f>VLOOKUP(3546,收盤價!$A:$C,3,0)</f>
        <v>88</v>
      </c>
      <c r="D753" s="107">
        <f t="shared" si="121"/>
        <v>44</v>
      </c>
      <c r="E753" s="167">
        <f t="shared" si="122"/>
        <v>3</v>
      </c>
      <c r="F753" s="104">
        <f t="shared" si="123"/>
        <v>4.5477414049663407</v>
      </c>
      <c r="G753" s="167">
        <f>RANK(1.41,AE:AE,0)</f>
        <v>618</v>
      </c>
      <c r="H753" s="365">
        <f t="shared" si="124"/>
        <v>0.35</v>
      </c>
      <c r="I753" s="213">
        <f t="shared" si="125"/>
        <v>742</v>
      </c>
      <c r="J753" s="213">
        <f t="shared" si="126"/>
        <v>577</v>
      </c>
      <c r="K753">
        <f>RANK(1.18,AI:AI,0)</f>
        <v>740</v>
      </c>
      <c r="L753" s="357">
        <v>0</v>
      </c>
      <c r="M753" s="357">
        <v>1</v>
      </c>
      <c r="N753" s="357">
        <v>1</v>
      </c>
      <c r="O753" s="357">
        <v>1</v>
      </c>
      <c r="P753" s="357">
        <v>0</v>
      </c>
      <c r="Q753" s="358">
        <v>0.97385620915032678</v>
      </c>
      <c r="R753" s="359">
        <v>0.5</v>
      </c>
      <c r="S753" s="196">
        <v>657909000</v>
      </c>
      <c r="T753" s="196">
        <v>34000000</v>
      </c>
      <c r="U753" s="200">
        <f t="shared" si="127"/>
        <v>2992000000</v>
      </c>
      <c r="V753" s="196">
        <v>20000000</v>
      </c>
      <c r="W753" s="196">
        <v>748000000</v>
      </c>
      <c r="X753" s="196">
        <v>100000000</v>
      </c>
      <c r="Y753" s="196">
        <v>977000000</v>
      </c>
      <c r="Z753" s="196">
        <v>0</v>
      </c>
      <c r="AA753" s="198">
        <v>0.02</v>
      </c>
      <c r="AB753" s="198">
        <v>0.02</v>
      </c>
      <c r="AC753" s="213">
        <f t="shared" si="128"/>
        <v>616</v>
      </c>
      <c r="AD753" s="213">
        <f t="shared" si="129"/>
        <v>487</v>
      </c>
      <c r="AE753" s="213">
        <v>1.41</v>
      </c>
      <c r="AF753" s="196">
        <v>17000000</v>
      </c>
      <c r="AG753" s="104">
        <f t="shared" si="130"/>
        <v>0.5</v>
      </c>
      <c r="AH753" s="104">
        <f t="shared" si="131"/>
        <v>0.85</v>
      </c>
      <c r="AI753" s="195">
        <v>1.18</v>
      </c>
    </row>
    <row r="754" spans="1:48">
      <c r="A754">
        <v>3548</v>
      </c>
      <c r="C754" s="107">
        <f>VLOOKUP(3548,收盤價!$A:$C,3,0)</f>
        <v>60.5</v>
      </c>
      <c r="D754" s="107">
        <f t="shared" si="121"/>
        <v>7.8337324571173976</v>
      </c>
      <c r="E754" s="167">
        <f t="shared" si="122"/>
        <v>5</v>
      </c>
      <c r="F754" s="104">
        <f t="shared" si="123"/>
        <v>0.59124468081613513</v>
      </c>
      <c r="G754" s="167">
        <f>RANK(3.92,AE:AE,0)</f>
        <v>209</v>
      </c>
      <c r="H754" s="365">
        <f t="shared" si="124"/>
        <v>-2.829395403308447</v>
      </c>
      <c r="I754" s="213">
        <f t="shared" si="125"/>
        <v>52</v>
      </c>
      <c r="J754" s="213">
        <f t="shared" si="126"/>
        <v>324</v>
      </c>
      <c r="K754">
        <f>RANK(4.14,AI:AI,0)</f>
        <v>97</v>
      </c>
      <c r="L754" s="357">
        <v>1</v>
      </c>
      <c r="M754" s="357">
        <v>1</v>
      </c>
      <c r="N754" s="357">
        <v>2</v>
      </c>
      <c r="O754" s="357">
        <v>1</v>
      </c>
      <c r="P754" s="357">
        <v>0</v>
      </c>
      <c r="Q754" s="358">
        <v>0.22243226212980466</v>
      </c>
      <c r="R754" s="359">
        <v>1.9307526881720432</v>
      </c>
      <c r="S754" s="196">
        <v>5177721000</v>
      </c>
      <c r="T754" s="196">
        <v>50600000</v>
      </c>
      <c r="U754" s="200">
        <f t="shared" si="127"/>
        <v>3061300000</v>
      </c>
      <c r="V754" s="196">
        <v>135000000</v>
      </c>
      <c r="W754" s="196">
        <v>1114000000</v>
      </c>
      <c r="X754" s="196">
        <v>1510000000</v>
      </c>
      <c r="Y754" s="196">
        <v>2729000000</v>
      </c>
      <c r="Z754" s="196">
        <v>91000000</v>
      </c>
      <c r="AA754" s="198">
        <v>0.05</v>
      </c>
      <c r="AB754" s="198">
        <v>0.05</v>
      </c>
      <c r="AC754" s="213">
        <f t="shared" si="128"/>
        <v>247</v>
      </c>
      <c r="AD754" s="213">
        <f t="shared" si="129"/>
        <v>150</v>
      </c>
      <c r="AE754" s="213">
        <v>3.92</v>
      </c>
      <c r="AF754" s="196">
        <v>229000000</v>
      </c>
      <c r="AG754" s="104">
        <f t="shared" si="130"/>
        <v>4.5256916996047432</v>
      </c>
      <c r="AH754" s="104">
        <f t="shared" si="131"/>
        <v>1.6962962962962962</v>
      </c>
      <c r="AI754" s="195">
        <v>4.1399999999999997</v>
      </c>
      <c r="AO754" s="213"/>
      <c r="AP754" s="213"/>
      <c r="AQ754" s="213"/>
      <c r="AR754" s="213"/>
      <c r="AS754" s="213"/>
      <c r="AT754" s="213"/>
      <c r="AU754" s="213"/>
      <c r="AV754" s="213"/>
    </row>
    <row r="755" spans="1:48">
      <c r="A755">
        <v>3550</v>
      </c>
      <c r="C755" s="107">
        <f>VLOOKUP(3550,收盤價!$A:$C,3,0)</f>
        <v>15.9</v>
      </c>
      <c r="D755" s="107">
        <f t="shared" si="121"/>
        <v>7.7172573189522335</v>
      </c>
      <c r="E755" s="167">
        <f t="shared" si="122"/>
        <v>5</v>
      </c>
      <c r="F755" s="104">
        <f t="shared" si="123"/>
        <v>0.39385142985699828</v>
      </c>
      <c r="G755" s="167">
        <f>RANK(1.41,AE:AE,0)</f>
        <v>618</v>
      </c>
      <c r="H755" s="365">
        <f t="shared" si="124"/>
        <v>0.61973434535104377</v>
      </c>
      <c r="I755" s="213">
        <f t="shared" si="125"/>
        <v>294</v>
      </c>
      <c r="J755" s="213">
        <f t="shared" si="126"/>
        <v>215</v>
      </c>
      <c r="K755">
        <f>RANK(3.06,AI:AI,0)</f>
        <v>159</v>
      </c>
      <c r="L755" s="357">
        <v>1</v>
      </c>
      <c r="M755" s="357">
        <v>1</v>
      </c>
      <c r="N755" s="357">
        <v>2</v>
      </c>
      <c r="O755" s="357">
        <v>1</v>
      </c>
      <c r="P755" s="357">
        <v>0</v>
      </c>
      <c r="Q755" s="358">
        <v>0.22417840375586853</v>
      </c>
      <c r="R755" s="359">
        <v>0.51507936507936514</v>
      </c>
      <c r="S755" s="196">
        <v>3431497000</v>
      </c>
      <c r="T755" s="196">
        <v>85000000</v>
      </c>
      <c r="U755" s="200">
        <f t="shared" si="127"/>
        <v>1351500000</v>
      </c>
      <c r="V755" s="196">
        <v>62000000</v>
      </c>
      <c r="W755" s="196">
        <v>2094000000</v>
      </c>
      <c r="X755" s="196">
        <v>418000000</v>
      </c>
      <c r="Y755" s="196">
        <v>2174000000</v>
      </c>
      <c r="Z755" s="196">
        <v>330000000</v>
      </c>
      <c r="AA755" s="198">
        <v>0.02</v>
      </c>
      <c r="AB755" s="198">
        <v>0.02</v>
      </c>
      <c r="AC755" s="213">
        <f t="shared" si="128"/>
        <v>616</v>
      </c>
      <c r="AD755" s="213">
        <f t="shared" si="129"/>
        <v>487</v>
      </c>
      <c r="AE755" s="213">
        <v>1.41</v>
      </c>
      <c r="AF755" s="196">
        <v>142000000</v>
      </c>
      <c r="AG755" s="104">
        <f t="shared" si="130"/>
        <v>1.6705882352941177</v>
      </c>
      <c r="AH755" s="104">
        <f t="shared" si="131"/>
        <v>2.2903225806451615</v>
      </c>
      <c r="AI755" s="195">
        <v>3.06</v>
      </c>
    </row>
    <row r="756" spans="1:48">
      <c r="A756">
        <v>3551</v>
      </c>
      <c r="C756" s="107">
        <f>VLOOKUP(3551,收盤價!$A:$C,3,0)</f>
        <v>32.4</v>
      </c>
      <c r="D756" s="107">
        <f t="shared" si="121"/>
        <v>14.901076015272473</v>
      </c>
      <c r="E756" s="167">
        <f t="shared" si="122"/>
        <v>2</v>
      </c>
      <c r="F756" s="104">
        <f t="shared" si="123"/>
        <v>1.4171776731678656</v>
      </c>
      <c r="G756" s="167">
        <f>RANK(1.41,AE:AE,0)</f>
        <v>618</v>
      </c>
      <c r="H756" s="365">
        <f t="shared" si="124"/>
        <v>0.57362355953905242</v>
      </c>
      <c r="I756" s="213">
        <f t="shared" si="125"/>
        <v>235</v>
      </c>
      <c r="J756" s="213">
        <f t="shared" si="126"/>
        <v>189</v>
      </c>
      <c r="K756">
        <f>RANK(3.67,AI:AI,0)</f>
        <v>115</v>
      </c>
      <c r="L756" s="357">
        <v>0</v>
      </c>
      <c r="M756" s="357">
        <v>1</v>
      </c>
      <c r="N756" s="357">
        <v>0</v>
      </c>
      <c r="O756" s="357">
        <v>1</v>
      </c>
      <c r="P756" s="357">
        <v>0</v>
      </c>
      <c r="Q756" s="358">
        <v>0.30722891566265059</v>
      </c>
      <c r="R756" s="359">
        <v>0.54358490566037743</v>
      </c>
      <c r="S756" s="196">
        <v>1298581000</v>
      </c>
      <c r="T756" s="196">
        <v>56800000</v>
      </c>
      <c r="U756" s="200">
        <f t="shared" si="127"/>
        <v>1840320000</v>
      </c>
      <c r="V756" s="196">
        <v>44000000</v>
      </c>
      <c r="W756" s="196">
        <v>671000000</v>
      </c>
      <c r="X756" s="196">
        <v>1632000000</v>
      </c>
      <c r="Y756" s="196">
        <v>2581000000</v>
      </c>
      <c r="Z756" s="196">
        <v>263000000</v>
      </c>
      <c r="AA756" s="198">
        <v>0.02</v>
      </c>
      <c r="AB756" s="198">
        <v>0.02</v>
      </c>
      <c r="AC756" s="213">
        <f t="shared" si="128"/>
        <v>616</v>
      </c>
      <c r="AD756" s="213">
        <f t="shared" si="129"/>
        <v>487</v>
      </c>
      <c r="AE756" s="213">
        <v>1.41</v>
      </c>
      <c r="AF756" s="196">
        <v>112000000</v>
      </c>
      <c r="AG756" s="104">
        <f t="shared" si="130"/>
        <v>1.971830985915493</v>
      </c>
      <c r="AH756" s="104">
        <f t="shared" si="131"/>
        <v>2.5454545454545454</v>
      </c>
      <c r="AI756" s="195">
        <v>3.67</v>
      </c>
    </row>
    <row r="757" spans="1:48">
      <c r="A757">
        <v>3552</v>
      </c>
      <c r="C757" s="107">
        <f>VLOOKUP(3552,收盤價!$A:$C,3,0)</f>
        <v>467</v>
      </c>
      <c r="D757" s="107">
        <f t="shared" si="121"/>
        <v>36.713836477987421</v>
      </c>
      <c r="E757" s="167">
        <f t="shared" si="122"/>
        <v>2</v>
      </c>
      <c r="F757" s="104">
        <f t="shared" si="123"/>
        <v>4.2399077699319667</v>
      </c>
      <c r="G757" s="167">
        <f>RANK(0.84,AE:AE,0)</f>
        <v>946</v>
      </c>
      <c r="H757" s="365">
        <f t="shared" si="124"/>
        <v>-1.5384615384615385</v>
      </c>
      <c r="I757" s="213">
        <f t="shared" si="125"/>
        <v>336</v>
      </c>
      <c r="J757" s="213">
        <f t="shared" si="126"/>
        <v>768</v>
      </c>
      <c r="K757">
        <f>RANK(1.41,AI:AI,0)</f>
        <v>613</v>
      </c>
      <c r="L757" s="357">
        <v>0</v>
      </c>
      <c r="M757" s="357">
        <v>1</v>
      </c>
      <c r="N757" s="357">
        <v>0</v>
      </c>
      <c r="O757" s="357">
        <v>1</v>
      </c>
      <c r="P757" s="357">
        <v>0</v>
      </c>
      <c r="Q757" s="358">
        <v>0.33596145422689444</v>
      </c>
      <c r="R757" s="359">
        <v>3.18</v>
      </c>
      <c r="S757" s="196">
        <v>9307160000</v>
      </c>
      <c r="T757" s="196">
        <v>84500000</v>
      </c>
      <c r="U757" s="200">
        <f t="shared" si="127"/>
        <v>39461500000</v>
      </c>
      <c r="V757" s="196">
        <v>0</v>
      </c>
      <c r="W757" s="196">
        <v>2081000000</v>
      </c>
      <c r="X757" s="196">
        <v>1408000000</v>
      </c>
      <c r="Y757" s="196">
        <v>3865000000</v>
      </c>
      <c r="Z757" s="196">
        <v>1828000000</v>
      </c>
      <c r="AA757" s="198">
        <v>0</v>
      </c>
      <c r="AB757" s="198">
        <v>0</v>
      </c>
      <c r="AC757" s="213">
        <f t="shared" si="128"/>
        <v>945</v>
      </c>
      <c r="AD757" s="213">
        <f t="shared" si="129"/>
        <v>911</v>
      </c>
      <c r="AE757" s="213">
        <v>0.84</v>
      </c>
      <c r="AF757" s="196">
        <v>130000000</v>
      </c>
      <c r="AG757" s="104">
        <f t="shared" si="130"/>
        <v>1.5384615384615385</v>
      </c>
      <c r="AH757" s="104">
        <f t="shared" si="131"/>
        <v>0</v>
      </c>
      <c r="AI757" s="195">
        <v>1.41</v>
      </c>
    </row>
    <row r="758" spans="1:48">
      <c r="A758">
        <v>3553</v>
      </c>
      <c r="C758" s="107">
        <f>VLOOKUP(3553,收盤價!$A:$C,3,0)</f>
        <v>14.1</v>
      </c>
      <c r="D758" s="107">
        <f t="shared" si="121"/>
        <v>0</v>
      </c>
      <c r="E758" s="167">
        <f t="shared" si="122"/>
        <v>3</v>
      </c>
      <c r="F758" s="104">
        <f t="shared" si="123"/>
        <v>0.45915472048693001</v>
      </c>
      <c r="G758" s="167">
        <f>RANK(0.71,AE:AE,0)</f>
        <v>1276</v>
      </c>
      <c r="H758" s="365">
        <f t="shared" si="124"/>
        <v>-1.5588235294117647</v>
      </c>
      <c r="I758" s="213">
        <f t="shared" si="125"/>
        <v>330</v>
      </c>
      <c r="J758" s="213">
        <f t="shared" si="126"/>
        <v>768</v>
      </c>
      <c r="K758">
        <f>RANK(1.42,AI:AI,0)</f>
        <v>606</v>
      </c>
      <c r="L758" s="357">
        <v>0</v>
      </c>
      <c r="M758" s="357">
        <v>1</v>
      </c>
      <c r="N758" s="357">
        <v>1</v>
      </c>
      <c r="O758" s="357">
        <v>1</v>
      </c>
      <c r="P758" s="357">
        <v>0</v>
      </c>
      <c r="Q758" s="358">
        <v>0.12962962962962962</v>
      </c>
      <c r="R758" s="359">
        <v>0</v>
      </c>
      <c r="S758" s="196">
        <v>2088185000</v>
      </c>
      <c r="T758" s="196">
        <v>68000000</v>
      </c>
      <c r="U758" s="200">
        <f t="shared" si="127"/>
        <v>958800000</v>
      </c>
      <c r="V758" s="196">
        <v>-6000000</v>
      </c>
      <c r="W758" s="196">
        <v>710000000</v>
      </c>
      <c r="X758" s="196">
        <v>142000000</v>
      </c>
      <c r="Y758" s="196">
        <v>858000000</v>
      </c>
      <c r="Z758" s="196">
        <v>394000000</v>
      </c>
      <c r="AA758" s="198">
        <v>-0.01</v>
      </c>
      <c r="AB758" s="198">
        <v>0</v>
      </c>
      <c r="AC758" s="213">
        <f t="shared" si="128"/>
        <v>1277</v>
      </c>
      <c r="AD758" s="213">
        <f t="shared" si="129"/>
        <v>911</v>
      </c>
      <c r="AE758" s="213">
        <v>0.71</v>
      </c>
      <c r="AF758" s="196">
        <v>106000000</v>
      </c>
      <c r="AG758" s="104">
        <f t="shared" si="130"/>
        <v>1.5588235294117647</v>
      </c>
      <c r="AH758" s="104">
        <f t="shared" si="131"/>
        <v>0</v>
      </c>
      <c r="AI758" s="195">
        <v>1.42</v>
      </c>
      <c r="AO758" s="213"/>
      <c r="AP758" s="213"/>
      <c r="AQ758" s="213"/>
      <c r="AR758" s="213"/>
      <c r="AS758" s="213"/>
      <c r="AT758" s="213"/>
      <c r="AU758" s="213"/>
      <c r="AV758" s="213"/>
    </row>
    <row r="759" spans="1:48">
      <c r="A759">
        <v>3555</v>
      </c>
      <c r="C759" s="107">
        <f>VLOOKUP(3555,收盤價!$A:$C,3,0)</f>
        <v>63.9</v>
      </c>
      <c r="D759" s="107">
        <f t="shared" si="121"/>
        <v>159.75</v>
      </c>
      <c r="E759" s="167">
        <f t="shared" si="122"/>
        <v>4</v>
      </c>
      <c r="F759" s="104">
        <f t="shared" si="123"/>
        <v>28.624085699475899</v>
      </c>
      <c r="G759" s="167">
        <f>RANK(0.84,AE:AE,0)</f>
        <v>946</v>
      </c>
      <c r="H759" s="365">
        <f t="shared" si="124"/>
        <v>1.4285714285714286</v>
      </c>
      <c r="I759" s="213">
        <f t="shared" si="125"/>
        <v>1472</v>
      </c>
      <c r="J759" s="213">
        <f t="shared" si="126"/>
        <v>768</v>
      </c>
      <c r="K759">
        <f>RANK(0.7,AI:AI,0)</f>
        <v>1442</v>
      </c>
      <c r="L759" s="357">
        <v>1</v>
      </c>
      <c r="M759" s="357">
        <v>1</v>
      </c>
      <c r="N759" s="357">
        <v>2</v>
      </c>
      <c r="O759" s="357">
        <v>0</v>
      </c>
      <c r="P759" s="357">
        <v>0</v>
      </c>
      <c r="Q759" s="358">
        <v>0.37037037037037035</v>
      </c>
      <c r="R759" s="359">
        <v>0.1</v>
      </c>
      <c r="S759" s="196">
        <v>156267000</v>
      </c>
      <c r="T759" s="196">
        <v>70000000</v>
      </c>
      <c r="U759" s="200">
        <f t="shared" si="127"/>
        <v>4473000000</v>
      </c>
      <c r="V759" s="196">
        <v>6000000</v>
      </c>
      <c r="W759" s="196">
        <v>252000000</v>
      </c>
      <c r="X759" s="196">
        <v>0</v>
      </c>
      <c r="Y759" s="196">
        <v>392000000</v>
      </c>
      <c r="Z759" s="196">
        <v>10000000</v>
      </c>
      <c r="AA759" s="198">
        <v>0</v>
      </c>
      <c r="AB759" s="198">
        <v>0</v>
      </c>
      <c r="AC759" s="213">
        <f t="shared" si="128"/>
        <v>945</v>
      </c>
      <c r="AD759" s="213">
        <f t="shared" si="129"/>
        <v>911</v>
      </c>
      <c r="AE759" s="213">
        <v>0.84</v>
      </c>
      <c r="AF759" s="196">
        <v>-100000000</v>
      </c>
      <c r="AG759" s="104">
        <f t="shared" si="130"/>
        <v>-1.4285714285714286</v>
      </c>
      <c r="AH759" s="104">
        <f t="shared" si="131"/>
        <v>0</v>
      </c>
      <c r="AI759" s="195">
        <v>0.7</v>
      </c>
    </row>
    <row r="760" spans="1:48">
      <c r="A760">
        <v>3556</v>
      </c>
      <c r="C760" s="107">
        <f>VLOOKUP(3556,收盤價!$A:$C,3,0)</f>
        <v>51.1</v>
      </c>
      <c r="D760" s="107">
        <f t="shared" si="121"/>
        <v>14.983024691358025</v>
      </c>
      <c r="E760" s="167">
        <f t="shared" si="122"/>
        <v>1</v>
      </c>
      <c r="F760" s="104">
        <f t="shared" si="123"/>
        <v>2.5639739086803814</v>
      </c>
      <c r="G760" s="167">
        <f>RANK(3.92,AE:AE,0)</f>
        <v>209</v>
      </c>
      <c r="H760" s="365">
        <f t="shared" si="124"/>
        <v>1.5151515151515138E-2</v>
      </c>
      <c r="I760" s="213">
        <f t="shared" si="125"/>
        <v>598</v>
      </c>
      <c r="J760" s="213">
        <f t="shared" si="126"/>
        <v>584</v>
      </c>
      <c r="K760">
        <f>RANK(1.32,AI:AI,0)</f>
        <v>665</v>
      </c>
      <c r="L760" s="357">
        <v>0</v>
      </c>
      <c r="M760" s="357">
        <v>0</v>
      </c>
      <c r="N760" s="357">
        <v>0</v>
      </c>
      <c r="O760" s="357">
        <v>1</v>
      </c>
      <c r="P760" s="357">
        <v>0</v>
      </c>
      <c r="Q760" s="358">
        <v>0.4563106796116505</v>
      </c>
      <c r="R760" s="359">
        <v>0.85263157894736841</v>
      </c>
      <c r="S760" s="196">
        <v>1096150000</v>
      </c>
      <c r="T760" s="196">
        <v>55000000</v>
      </c>
      <c r="U760" s="200">
        <f t="shared" si="127"/>
        <v>2810500000</v>
      </c>
      <c r="V760" s="196">
        <v>54000000</v>
      </c>
      <c r="W760" s="196">
        <v>1040000000</v>
      </c>
      <c r="X760" s="196">
        <v>5000000</v>
      </c>
      <c r="Y760" s="196">
        <v>1109000000</v>
      </c>
      <c r="Z760" s="196">
        <v>0</v>
      </c>
      <c r="AA760" s="198">
        <v>0.05</v>
      </c>
      <c r="AB760" s="198">
        <v>0.05</v>
      </c>
      <c r="AC760" s="213">
        <f t="shared" si="128"/>
        <v>247</v>
      </c>
      <c r="AD760" s="213">
        <f t="shared" si="129"/>
        <v>150</v>
      </c>
      <c r="AE760" s="213">
        <v>3.92</v>
      </c>
      <c r="AF760" s="196">
        <v>45000000</v>
      </c>
      <c r="AG760" s="104">
        <f t="shared" si="130"/>
        <v>0.81818181818181823</v>
      </c>
      <c r="AH760" s="104">
        <f t="shared" si="131"/>
        <v>0.83333333333333337</v>
      </c>
      <c r="AI760" s="195">
        <v>1.32</v>
      </c>
      <c r="AO760" s="213"/>
      <c r="AP760" s="213"/>
      <c r="AQ760" s="213"/>
      <c r="AR760" s="213"/>
      <c r="AS760" s="213"/>
      <c r="AT760" s="213"/>
      <c r="AU760" s="213"/>
      <c r="AV760" s="213"/>
    </row>
    <row r="761" spans="1:48">
      <c r="A761">
        <v>3557</v>
      </c>
      <c r="C761" s="107">
        <f>VLOOKUP(3557,收盤價!$A:$C,3,0)</f>
        <v>5.61</v>
      </c>
      <c r="D761" s="107">
        <f t="shared" si="121"/>
        <v>0</v>
      </c>
      <c r="E761" s="167">
        <f t="shared" si="122"/>
        <v>2</v>
      </c>
      <c r="F761" s="104">
        <f t="shared" si="123"/>
        <v>1.0641026974731345</v>
      </c>
      <c r="G761" s="167">
        <f>RANK(0.56,AE:AE,0)</f>
        <v>1414</v>
      </c>
      <c r="H761" s="365">
        <f t="shared" si="124"/>
        <v>-9.1407678244972576E-2</v>
      </c>
      <c r="I761" s="213">
        <f t="shared" si="125"/>
        <v>997</v>
      </c>
      <c r="J761" s="213">
        <f t="shared" si="126"/>
        <v>768</v>
      </c>
      <c r="K761">
        <f>RANK(0.88,AI:AI,0)</f>
        <v>1021</v>
      </c>
      <c r="L761" s="357">
        <v>0</v>
      </c>
      <c r="M761" s="357">
        <v>1</v>
      </c>
      <c r="N761" s="357">
        <v>1</v>
      </c>
      <c r="O761" s="357">
        <v>0</v>
      </c>
      <c r="P761" s="357">
        <v>0</v>
      </c>
      <c r="Q761" s="358">
        <v>7.5187969924812026E-3</v>
      </c>
      <c r="R761" s="359">
        <v>0</v>
      </c>
      <c r="S761" s="196">
        <v>576762000</v>
      </c>
      <c r="T761" s="196">
        <v>109400000</v>
      </c>
      <c r="U761" s="200">
        <f t="shared" si="127"/>
        <v>613734000</v>
      </c>
      <c r="V761" s="196">
        <v>-19000000</v>
      </c>
      <c r="W761" s="196">
        <v>197000000</v>
      </c>
      <c r="X761" s="196">
        <v>464000000</v>
      </c>
      <c r="Y761" s="196">
        <v>670000000</v>
      </c>
      <c r="Z761" s="196">
        <v>215000000</v>
      </c>
      <c r="AA761" s="198">
        <v>-0.03</v>
      </c>
      <c r="AB761" s="198">
        <v>-0.02</v>
      </c>
      <c r="AC761" s="213">
        <f t="shared" si="128"/>
        <v>1405</v>
      </c>
      <c r="AD761" s="213">
        <f t="shared" si="129"/>
        <v>1388</v>
      </c>
      <c r="AE761" s="213">
        <v>0.56000000000000005</v>
      </c>
      <c r="AF761" s="196">
        <v>10000000</v>
      </c>
      <c r="AG761" s="104">
        <f t="shared" si="130"/>
        <v>9.1407678244972576E-2</v>
      </c>
      <c r="AH761" s="104">
        <f t="shared" si="131"/>
        <v>0</v>
      </c>
      <c r="AI761" s="195">
        <v>0.88</v>
      </c>
      <c r="AO761" s="213"/>
      <c r="AP761" s="213"/>
      <c r="AQ761" s="213"/>
      <c r="AR761" s="213"/>
      <c r="AS761" s="213"/>
      <c r="AT761" s="213"/>
      <c r="AU761" s="213"/>
      <c r="AV761" s="213"/>
    </row>
    <row r="762" spans="1:48">
      <c r="A762">
        <v>3558</v>
      </c>
      <c r="C762" s="107">
        <f>VLOOKUP(3558,收盤價!$A:$C,3,0)</f>
        <v>133.5</v>
      </c>
      <c r="D762" s="107">
        <f t="shared" si="121"/>
        <v>11.907303682342501</v>
      </c>
      <c r="E762" s="167">
        <f t="shared" si="122"/>
        <v>1</v>
      </c>
      <c r="F762" s="104">
        <f t="shared" si="123"/>
        <v>0.9166558287639337</v>
      </c>
      <c r="G762" s="167">
        <f>RANK(9.68,AE:AE,0)</f>
        <v>76</v>
      </c>
      <c r="H762" s="365">
        <f t="shared" si="124"/>
        <v>-2.9043372419527831</v>
      </c>
      <c r="I762" s="213">
        <f t="shared" si="125"/>
        <v>64</v>
      </c>
      <c r="J762" s="213">
        <f t="shared" si="126"/>
        <v>465</v>
      </c>
      <c r="K762">
        <f>RANK(2.95,AI:AI,0)</f>
        <v>175</v>
      </c>
      <c r="L762" s="357">
        <v>0</v>
      </c>
      <c r="M762" s="357">
        <v>0</v>
      </c>
      <c r="N762" s="357">
        <v>1</v>
      </c>
      <c r="O762" s="357">
        <v>0</v>
      </c>
      <c r="P762" s="357">
        <v>0</v>
      </c>
      <c r="Q762" s="358">
        <v>0.26410835214446954</v>
      </c>
      <c r="R762" s="359">
        <v>2.8029015544041451</v>
      </c>
      <c r="S762" s="196">
        <v>7150830000</v>
      </c>
      <c r="T762" s="196">
        <v>49100000</v>
      </c>
      <c r="U762" s="200">
        <f t="shared" si="127"/>
        <v>6554850000</v>
      </c>
      <c r="V762" s="196">
        <v>169000000</v>
      </c>
      <c r="W762" s="196">
        <v>1784000000</v>
      </c>
      <c r="X762" s="196">
        <v>331000000</v>
      </c>
      <c r="Y762" s="196">
        <v>2239000000</v>
      </c>
      <c r="Z762" s="196">
        <v>123000000</v>
      </c>
      <c r="AA762" s="198">
        <v>0.08</v>
      </c>
      <c r="AB762" s="198">
        <v>7.0000000000000007E-2</v>
      </c>
      <c r="AC762" s="213">
        <f t="shared" si="128"/>
        <v>97</v>
      </c>
      <c r="AD762" s="213">
        <f t="shared" si="129"/>
        <v>64</v>
      </c>
      <c r="AE762" s="213">
        <v>9.68</v>
      </c>
      <c r="AF762" s="196">
        <v>201000000</v>
      </c>
      <c r="AG762" s="104">
        <f t="shared" si="130"/>
        <v>4.0936863543788187</v>
      </c>
      <c r="AH762" s="104">
        <f t="shared" si="131"/>
        <v>1.1893491124260356</v>
      </c>
      <c r="AI762" s="195">
        <v>2.95</v>
      </c>
    </row>
    <row r="763" spans="1:48">
      <c r="A763">
        <v>3559</v>
      </c>
      <c r="C763" s="107">
        <f>VLOOKUP(3559,收盤價!$A:$C,3,0)</f>
        <v>23.25</v>
      </c>
      <c r="D763" s="107">
        <f t="shared" si="121"/>
        <v>11.387023992956196</v>
      </c>
      <c r="E763" s="167">
        <f t="shared" si="122"/>
        <v>4</v>
      </c>
      <c r="F763" s="104">
        <f t="shared" si="123"/>
        <v>1.8024901034843193</v>
      </c>
      <c r="G763" s="167">
        <f>RANK(2.76,AE:AE,0)</f>
        <v>305</v>
      </c>
      <c r="H763" s="365">
        <f t="shared" si="124"/>
        <v>0.55402640477267351</v>
      </c>
      <c r="I763" s="213">
        <f t="shared" si="125"/>
        <v>527</v>
      </c>
      <c r="J763" s="213">
        <f t="shared" si="126"/>
        <v>365</v>
      </c>
      <c r="K763">
        <f>RANK(1.75,AI:AI,0)</f>
        <v>437</v>
      </c>
      <c r="L763" s="357">
        <v>0</v>
      </c>
      <c r="M763" s="357">
        <v>1</v>
      </c>
      <c r="N763" s="357">
        <v>2</v>
      </c>
      <c r="O763" s="357">
        <v>1</v>
      </c>
      <c r="P763" s="357">
        <v>0</v>
      </c>
      <c r="Q763" s="358">
        <v>0.32835820895522388</v>
      </c>
      <c r="R763" s="359">
        <v>0.5104494382022472</v>
      </c>
      <c r="S763" s="196">
        <v>1555598000</v>
      </c>
      <c r="T763" s="196">
        <v>120600000</v>
      </c>
      <c r="U763" s="200">
        <f t="shared" si="127"/>
        <v>2803950000</v>
      </c>
      <c r="V763" s="196">
        <v>77000000</v>
      </c>
      <c r="W763" s="196">
        <v>644000000</v>
      </c>
      <c r="X763" s="196">
        <v>1177000000</v>
      </c>
      <c r="Y763" s="196">
        <v>1953000000</v>
      </c>
      <c r="Z763" s="196">
        <v>0</v>
      </c>
      <c r="AA763" s="198">
        <v>0.04</v>
      </c>
      <c r="AB763" s="198">
        <v>0.04</v>
      </c>
      <c r="AC763" s="213">
        <f t="shared" si="128"/>
        <v>337</v>
      </c>
      <c r="AD763" s="213">
        <f t="shared" si="129"/>
        <v>228</v>
      </c>
      <c r="AE763" s="213">
        <v>2.76</v>
      </c>
      <c r="AF763" s="196">
        <v>118000000</v>
      </c>
      <c r="AG763" s="104">
        <f t="shared" si="130"/>
        <v>0.97844112769485903</v>
      </c>
      <c r="AH763" s="104">
        <f t="shared" si="131"/>
        <v>1.5324675324675325</v>
      </c>
      <c r="AI763" s="195">
        <v>1.75</v>
      </c>
      <c r="AO763" s="213"/>
      <c r="AP763" s="213"/>
      <c r="AQ763" s="213"/>
      <c r="AR763" s="213"/>
      <c r="AS763" s="213"/>
      <c r="AT763" s="213"/>
      <c r="AU763" s="213"/>
      <c r="AV763" s="213"/>
    </row>
    <row r="764" spans="1:48">
      <c r="A764">
        <v>3561</v>
      </c>
      <c r="C764" s="107">
        <f>VLOOKUP(3561,收盤價!$A:$C,3,0)</f>
        <v>15.9</v>
      </c>
      <c r="D764" s="107">
        <f t="shared" si="121"/>
        <v>36.437500000000007</v>
      </c>
      <c r="E764" s="167">
        <f t="shared" si="122"/>
        <v>3</v>
      </c>
      <c r="F764" s="104">
        <f t="shared" si="123"/>
        <v>0.48170248264440074</v>
      </c>
      <c r="G764" s="167">
        <f>RANK(1.08,AE:AE,0)</f>
        <v>769</v>
      </c>
      <c r="H764" s="365">
        <f t="shared" si="124"/>
        <v>3.4095161145524733</v>
      </c>
      <c r="I764" s="213">
        <f t="shared" si="125"/>
        <v>667</v>
      </c>
      <c r="J764" s="213">
        <f t="shared" si="126"/>
        <v>109</v>
      </c>
      <c r="K764">
        <f>RANK(2.01,AI:AI,0)</f>
        <v>332</v>
      </c>
      <c r="L764" s="357">
        <v>0</v>
      </c>
      <c r="M764" s="357">
        <v>1</v>
      </c>
      <c r="N764" s="357">
        <v>1</v>
      </c>
      <c r="O764" s="357">
        <v>1</v>
      </c>
      <c r="P764" s="357">
        <v>0</v>
      </c>
      <c r="Q764" s="358">
        <v>3.9564787339268048E-2</v>
      </c>
      <c r="R764" s="359">
        <v>0.10909090909090907</v>
      </c>
      <c r="S764" s="196">
        <v>12255843000</v>
      </c>
      <c r="T764" s="196">
        <v>371300000</v>
      </c>
      <c r="U764" s="200">
        <f t="shared" si="127"/>
        <v>5903670000</v>
      </c>
      <c r="V764" s="196">
        <v>60000000</v>
      </c>
      <c r="W764" s="196">
        <v>1226000000</v>
      </c>
      <c r="X764" s="196">
        <v>5699000000</v>
      </c>
      <c r="Y764" s="196">
        <v>7814000000</v>
      </c>
      <c r="Z764" s="196">
        <v>800000000</v>
      </c>
      <c r="AA764" s="198">
        <v>0.01</v>
      </c>
      <c r="AB764" s="198">
        <v>0.01</v>
      </c>
      <c r="AC764" s="213">
        <f t="shared" si="128"/>
        <v>769</v>
      </c>
      <c r="AD764" s="213">
        <f t="shared" si="129"/>
        <v>680</v>
      </c>
      <c r="AE764" s="213">
        <v>1.08</v>
      </c>
      <c r="AF764" s="196">
        <v>244000000</v>
      </c>
      <c r="AG764" s="104">
        <f t="shared" si="130"/>
        <v>0.65715055211419338</v>
      </c>
      <c r="AH764" s="104">
        <f t="shared" si="131"/>
        <v>4.0666666666666664</v>
      </c>
      <c r="AI764" s="195">
        <v>2.0099999999999998</v>
      </c>
    </row>
    <row r="765" spans="1:48">
      <c r="A765">
        <v>3562</v>
      </c>
      <c r="C765" s="107">
        <f>VLOOKUP(3562,收盤價!$A:$C,3,0)</f>
        <v>0</v>
      </c>
      <c r="D765" s="107">
        <f t="shared" si="121"/>
        <v>0</v>
      </c>
      <c r="E765" s="167">
        <f t="shared" si="122"/>
        <v>0</v>
      </c>
      <c r="F765" s="104">
        <f t="shared" si="123"/>
        <v>0</v>
      </c>
      <c r="G765" s="167">
        <f>RANK(0.5,AE:AE,0)</f>
        <v>1545</v>
      </c>
      <c r="H765" s="365">
        <f t="shared" si="124"/>
        <v>0.76335877862595425</v>
      </c>
      <c r="I765" s="213">
        <f t="shared" si="125"/>
        <v>1402</v>
      </c>
      <c r="J765" s="213">
        <f t="shared" si="126"/>
        <v>768</v>
      </c>
      <c r="K765">
        <f>RANK(0.72,AI:AI,0)</f>
        <v>1381</v>
      </c>
      <c r="L765" s="357">
        <v>0</v>
      </c>
      <c r="M765" s="357">
        <v>0</v>
      </c>
      <c r="N765" s="357">
        <v>0</v>
      </c>
      <c r="O765" s="357">
        <v>0</v>
      </c>
      <c r="P765" s="357">
        <v>0</v>
      </c>
      <c r="Q765" s="358">
        <v>-0.28947368421052633</v>
      </c>
      <c r="R765" s="359">
        <v>0</v>
      </c>
      <c r="S765" s="196">
        <v>540289000</v>
      </c>
      <c r="T765" s="196">
        <v>52400000</v>
      </c>
      <c r="U765" s="200">
        <f t="shared" si="127"/>
        <v>0</v>
      </c>
      <c r="V765" s="196">
        <v>-24000000</v>
      </c>
      <c r="W765" s="196">
        <v>0</v>
      </c>
      <c r="X765" s="196">
        <v>11000000</v>
      </c>
      <c r="Y765" s="196">
        <v>37000000</v>
      </c>
      <c r="Z765" s="196">
        <v>168000000</v>
      </c>
      <c r="AA765" s="198">
        <v>-2.1800000000000002</v>
      </c>
      <c r="AB765" s="198">
        <v>-0.12</v>
      </c>
      <c r="AC765" s="213">
        <f t="shared" si="128"/>
        <v>1555</v>
      </c>
      <c r="AD765" s="213">
        <f t="shared" si="129"/>
        <v>1543</v>
      </c>
      <c r="AE765" s="213">
        <v>0.5</v>
      </c>
      <c r="AF765" s="196">
        <v>-40000000</v>
      </c>
      <c r="AG765" s="104">
        <f t="shared" si="130"/>
        <v>-0.76335877862595425</v>
      </c>
      <c r="AH765" s="104">
        <f t="shared" si="131"/>
        <v>0</v>
      </c>
      <c r="AI765" s="195">
        <v>0.72</v>
      </c>
      <c r="AO765" s="213"/>
      <c r="AP765" s="213"/>
      <c r="AQ765" s="213"/>
      <c r="AR765" s="213"/>
      <c r="AS765" s="213"/>
      <c r="AT765" s="213"/>
      <c r="AU765" s="213"/>
      <c r="AV765" s="213"/>
    </row>
    <row r="766" spans="1:48">
      <c r="A766">
        <v>3563</v>
      </c>
      <c r="C766" s="107">
        <f>VLOOKUP(3563,收盤價!$A:$C,3,0)</f>
        <v>59.6</v>
      </c>
      <c r="D766" s="107">
        <f t="shared" si="121"/>
        <v>16.021505376344084</v>
      </c>
      <c r="E766" s="167">
        <f t="shared" si="122"/>
        <v>1</v>
      </c>
      <c r="F766" s="104">
        <f t="shared" si="123"/>
        <v>4.061757605716946</v>
      </c>
      <c r="G766" s="167">
        <f>RANK(7.87,AE:AE,0)</f>
        <v>100</v>
      </c>
      <c r="H766" s="365">
        <f t="shared" si="124"/>
        <v>-0.2604613186364565</v>
      </c>
      <c r="I766" s="213">
        <f t="shared" si="125"/>
        <v>659</v>
      </c>
      <c r="J766" s="213">
        <f t="shared" si="126"/>
        <v>698</v>
      </c>
      <c r="K766">
        <f>RANK(1.15,AI:AI,0)</f>
        <v>757</v>
      </c>
      <c r="L766" s="357">
        <v>0</v>
      </c>
      <c r="M766" s="357">
        <v>1</v>
      </c>
      <c r="N766" s="357">
        <v>0</v>
      </c>
      <c r="O766" s="357">
        <v>0</v>
      </c>
      <c r="P766" s="357">
        <v>0</v>
      </c>
      <c r="Q766" s="358">
        <v>0.66304347826086951</v>
      </c>
      <c r="R766" s="359">
        <v>0.93</v>
      </c>
      <c r="S766" s="196">
        <v>625089000</v>
      </c>
      <c r="T766" s="196">
        <v>42600000</v>
      </c>
      <c r="U766" s="200">
        <f t="shared" si="127"/>
        <v>2538960000</v>
      </c>
      <c r="V766" s="196">
        <v>69000000</v>
      </c>
      <c r="W766" s="196">
        <v>703000000</v>
      </c>
      <c r="X766" s="196">
        <v>220000000</v>
      </c>
      <c r="Y766" s="196">
        <v>963000000</v>
      </c>
      <c r="Z766" s="196">
        <v>0</v>
      </c>
      <c r="AA766" s="198">
        <v>7.0000000000000007E-2</v>
      </c>
      <c r="AB766" s="198">
        <v>7.0000000000000007E-2</v>
      </c>
      <c r="AC766" s="213">
        <f t="shared" si="128"/>
        <v>134</v>
      </c>
      <c r="AD766" s="213">
        <f t="shared" si="129"/>
        <v>64</v>
      </c>
      <c r="AE766" s="213">
        <v>7.87</v>
      </c>
      <c r="AF766" s="196">
        <v>29000000</v>
      </c>
      <c r="AG766" s="104">
        <f t="shared" si="130"/>
        <v>0.68075117370892024</v>
      </c>
      <c r="AH766" s="104">
        <f t="shared" si="131"/>
        <v>0.42028985507246375</v>
      </c>
      <c r="AI766" s="195">
        <v>1.1499999999999999</v>
      </c>
    </row>
    <row r="767" spans="1:48">
      <c r="A767">
        <v>3564</v>
      </c>
      <c r="C767" s="107">
        <f>VLOOKUP(3564,收盤價!$A:$C,3,0)</f>
        <v>51.8</v>
      </c>
      <c r="D767" s="107">
        <f t="shared" si="121"/>
        <v>8.6879432624113484</v>
      </c>
      <c r="E767" s="167">
        <f t="shared" si="122"/>
        <v>3</v>
      </c>
      <c r="F767" s="104">
        <f t="shared" si="123"/>
        <v>0.82527429874098657</v>
      </c>
      <c r="G767" s="167">
        <f>RANK(5.01,AE:AE,0)</f>
        <v>169</v>
      </c>
      <c r="H767" s="365">
        <f t="shared" si="124"/>
        <v>-0.4086687306501548</v>
      </c>
      <c r="I767" s="213">
        <f t="shared" si="125"/>
        <v>571</v>
      </c>
      <c r="J767" s="213">
        <f t="shared" si="126"/>
        <v>688</v>
      </c>
      <c r="K767">
        <f>RANK(1.24,AI:AI,0)</f>
        <v>716</v>
      </c>
      <c r="L767" s="357">
        <v>0</v>
      </c>
      <c r="M767" s="357">
        <v>1</v>
      </c>
      <c r="N767" s="357">
        <v>2</v>
      </c>
      <c r="O767" s="357">
        <v>0</v>
      </c>
      <c r="P767" s="357">
        <v>0</v>
      </c>
      <c r="Q767" s="358">
        <v>0.30211480362537763</v>
      </c>
      <c r="R767" s="359">
        <v>1.4905714285714284</v>
      </c>
      <c r="S767" s="196">
        <v>1280447000</v>
      </c>
      <c r="T767" s="196">
        <v>20400000</v>
      </c>
      <c r="U767" s="200">
        <f t="shared" si="127"/>
        <v>1056720000</v>
      </c>
      <c r="V767" s="196">
        <v>38000000</v>
      </c>
      <c r="W767" s="196">
        <v>262000000</v>
      </c>
      <c r="X767" s="196">
        <v>485000000</v>
      </c>
      <c r="Y767" s="196">
        <v>532000000</v>
      </c>
      <c r="Z767" s="196">
        <v>14000000</v>
      </c>
      <c r="AA767" s="198">
        <v>0.05</v>
      </c>
      <c r="AB767" s="198">
        <v>7.0000000000000007E-2</v>
      </c>
      <c r="AC767" s="213">
        <f t="shared" si="128"/>
        <v>247</v>
      </c>
      <c r="AD767" s="213">
        <f t="shared" si="129"/>
        <v>64</v>
      </c>
      <c r="AE767" s="213">
        <v>5.01</v>
      </c>
      <c r="AF767" s="196">
        <v>18000000</v>
      </c>
      <c r="AG767" s="104">
        <f t="shared" si="130"/>
        <v>0.88235294117647056</v>
      </c>
      <c r="AH767" s="104">
        <f t="shared" si="131"/>
        <v>0.47368421052631576</v>
      </c>
      <c r="AI767" s="195">
        <v>1.24</v>
      </c>
    </row>
    <row r="768" spans="1:48">
      <c r="A768">
        <v>3567</v>
      </c>
      <c r="C768" s="107">
        <f>VLOOKUP(3567,收盤價!$A:$C,3,0)</f>
        <v>20.65</v>
      </c>
      <c r="D768" s="107">
        <f t="shared" si="121"/>
        <v>13.828125</v>
      </c>
      <c r="E768" s="167">
        <f t="shared" si="122"/>
        <v>4</v>
      </c>
      <c r="F768" s="104">
        <f t="shared" si="123"/>
        <v>2.1365752715985513</v>
      </c>
      <c r="G768" s="167">
        <f>RANK(1.94,AE:AE,0)</f>
        <v>435</v>
      </c>
      <c r="H768" s="365">
        <f t="shared" si="124"/>
        <v>1.2344569288389513</v>
      </c>
      <c r="I768" s="213">
        <f t="shared" si="125"/>
        <v>563</v>
      </c>
      <c r="J768" s="213">
        <f t="shared" si="126"/>
        <v>245</v>
      </c>
      <c r="K768">
        <f>RANK(1.93,AI:AI,0)</f>
        <v>367</v>
      </c>
      <c r="L768" s="357">
        <v>1</v>
      </c>
      <c r="M768" s="357">
        <v>1</v>
      </c>
      <c r="N768" s="357">
        <v>1</v>
      </c>
      <c r="O768" s="357">
        <v>1</v>
      </c>
      <c r="P768" s="357">
        <v>0</v>
      </c>
      <c r="Q768" s="358">
        <v>0.41379310344827586</v>
      </c>
      <c r="R768" s="359">
        <v>0.37333333333333329</v>
      </c>
      <c r="S768" s="196">
        <v>344074000</v>
      </c>
      <c r="T768" s="196">
        <v>35600000</v>
      </c>
      <c r="U768" s="200">
        <f t="shared" si="127"/>
        <v>735140000</v>
      </c>
      <c r="V768" s="196">
        <v>15000000</v>
      </c>
      <c r="W768" s="196">
        <v>113000000</v>
      </c>
      <c r="X768" s="196">
        <v>319000000</v>
      </c>
      <c r="Y768" s="196">
        <v>473000000</v>
      </c>
      <c r="Z768" s="196">
        <v>0</v>
      </c>
      <c r="AA768" s="198">
        <v>0.03</v>
      </c>
      <c r="AB768" s="198">
        <v>0.03</v>
      </c>
      <c r="AC768" s="213">
        <f t="shared" si="128"/>
        <v>469</v>
      </c>
      <c r="AD768" s="213">
        <f t="shared" si="129"/>
        <v>334</v>
      </c>
      <c r="AE768" s="213">
        <v>1.94</v>
      </c>
      <c r="AF768" s="196">
        <v>32000000</v>
      </c>
      <c r="AG768" s="104">
        <f t="shared" si="130"/>
        <v>0.898876404494382</v>
      </c>
      <c r="AH768" s="104">
        <f t="shared" si="131"/>
        <v>2.1333333333333333</v>
      </c>
      <c r="AI768" s="195">
        <v>1.93</v>
      </c>
    </row>
    <row r="769" spans="1:48">
      <c r="A769">
        <v>3570</v>
      </c>
      <c r="C769" s="107">
        <f>VLOOKUP(3570,收盤價!$A:$C,3,0)</f>
        <v>47.7</v>
      </c>
      <c r="D769" s="107">
        <f t="shared" si="121"/>
        <v>12.247899159663865</v>
      </c>
      <c r="E769" s="167">
        <f t="shared" si="122"/>
        <v>3</v>
      </c>
      <c r="F769" s="104">
        <f t="shared" si="123"/>
        <v>0.85717888763366001</v>
      </c>
      <c r="G769" s="167">
        <f>RANK(2.76,AE:AE,0)</f>
        <v>305</v>
      </c>
      <c r="H769" s="365">
        <f t="shared" si="124"/>
        <v>-1.0969089390142024</v>
      </c>
      <c r="I769" s="213">
        <f t="shared" si="125"/>
        <v>25</v>
      </c>
      <c r="J769" s="213">
        <f t="shared" si="126"/>
        <v>84</v>
      </c>
      <c r="K769">
        <f>RANK(14.29,AI:AI,0)</f>
        <v>8</v>
      </c>
      <c r="L769" s="357">
        <v>0</v>
      </c>
      <c r="M769" s="357">
        <v>1</v>
      </c>
      <c r="N769" s="357">
        <v>1</v>
      </c>
      <c r="O769" s="357">
        <v>1</v>
      </c>
      <c r="P769" s="357">
        <v>0</v>
      </c>
      <c r="Q769" s="358">
        <v>0.40740740740740738</v>
      </c>
      <c r="R769" s="359">
        <v>0.97363636363636374</v>
      </c>
      <c r="S769" s="196">
        <v>951575000</v>
      </c>
      <c r="T769" s="196">
        <v>17100000</v>
      </c>
      <c r="U769" s="200">
        <f t="shared" si="127"/>
        <v>815670000</v>
      </c>
      <c r="V769" s="196">
        <v>21000000</v>
      </c>
      <c r="W769" s="196">
        <v>459000000</v>
      </c>
      <c r="X769" s="196">
        <v>23000000</v>
      </c>
      <c r="Y769" s="196">
        <v>520000000</v>
      </c>
      <c r="Z769" s="196">
        <v>0</v>
      </c>
      <c r="AA769" s="198">
        <v>0.04</v>
      </c>
      <c r="AB769" s="198">
        <v>0.04</v>
      </c>
      <c r="AC769" s="213">
        <f t="shared" si="128"/>
        <v>337</v>
      </c>
      <c r="AD769" s="213">
        <f t="shared" si="129"/>
        <v>228</v>
      </c>
      <c r="AE769" s="213">
        <v>2.76</v>
      </c>
      <c r="AF769" s="196">
        <v>101000000</v>
      </c>
      <c r="AG769" s="104">
        <f t="shared" si="130"/>
        <v>5.9064327485380117</v>
      </c>
      <c r="AH769" s="104">
        <f t="shared" si="131"/>
        <v>4.8095238095238093</v>
      </c>
      <c r="AI769" s="195">
        <v>14.29</v>
      </c>
    </row>
    <row r="770" spans="1:48">
      <c r="A770">
        <v>3576</v>
      </c>
      <c r="C770" s="107">
        <f>VLOOKUP(3576,收盤價!$A:$C,3,0)</f>
        <v>16.149999999999999</v>
      </c>
      <c r="D770" s="107">
        <f t="shared" ref="D770:D833" si="132">IF(AND(ISNUMBER(C770),R770&gt;0),C770/(R770*4),0)</f>
        <v>0</v>
      </c>
      <c r="E770" s="167">
        <f t="shared" ref="E770:E833" si="133">SUM(L770:P770)</f>
        <v>0</v>
      </c>
      <c r="F770" s="104">
        <f t="shared" ref="F770:F833" si="134">IF(AND(ISNUMBER(U770),ISNUMBER(S770)),U770/S770,0)</f>
        <v>0.72727624274094016</v>
      </c>
      <c r="G770" s="167">
        <f>RANK(0.54,AE:AE,0)</f>
        <v>1453</v>
      </c>
      <c r="H770" s="365">
        <f t="shared" ref="H770:H833" si="135">AH770-AG770</f>
        <v>0.74867360974651209</v>
      </c>
      <c r="I770" s="213">
        <f t="shared" ref="I770:I833" si="136">RANK(AG770,AG:AG)</f>
        <v>1398</v>
      </c>
      <c r="J770" s="213">
        <f t="shared" ref="J770:J833" si="137">RANK(AH770,AH:AH)</f>
        <v>768</v>
      </c>
      <c r="K770">
        <f>RANK(0.72,AI:AI,0)</f>
        <v>1381</v>
      </c>
      <c r="L770" s="357">
        <v>0</v>
      </c>
      <c r="M770" s="357">
        <v>0</v>
      </c>
      <c r="N770" s="357">
        <v>0</v>
      </c>
      <c r="O770" s="357">
        <v>0</v>
      </c>
      <c r="P770" s="357">
        <v>0</v>
      </c>
      <c r="Q770" s="358">
        <v>-8.4813499111900531E-2</v>
      </c>
      <c r="R770" s="359">
        <v>0</v>
      </c>
      <c r="S770" s="196">
        <v>22601412000</v>
      </c>
      <c r="T770" s="196">
        <v>1017800000</v>
      </c>
      <c r="U770" s="200">
        <f t="shared" ref="U770:U833" si="138">C770*T770</f>
        <v>16437469999.999998</v>
      </c>
      <c r="V770" s="196">
        <v>-953000000</v>
      </c>
      <c r="W770" s="196">
        <v>10720000000</v>
      </c>
      <c r="X770" s="196">
        <v>11894000000</v>
      </c>
      <c r="Y770" s="196">
        <v>22276000000</v>
      </c>
      <c r="Z770" s="196">
        <v>6896000000</v>
      </c>
      <c r="AA770" s="198">
        <v>-0.04</v>
      </c>
      <c r="AB770" s="198">
        <v>-0.03</v>
      </c>
      <c r="AC770" s="213">
        <f t="shared" ref="AC770:AC833" si="139">RANK(AA770,AA:AA)</f>
        <v>1444</v>
      </c>
      <c r="AD770" s="213">
        <f t="shared" ref="AD770:AD833" si="140">RANK(AB770,AB:AB)</f>
        <v>1444</v>
      </c>
      <c r="AE770" s="213">
        <v>0.54</v>
      </c>
      <c r="AF770" s="196">
        <v>-762000000</v>
      </c>
      <c r="AG770" s="104">
        <f t="shared" ref="AG770:AG833" si="141">AF770/T770</f>
        <v>-0.74867360974651209</v>
      </c>
      <c r="AH770" s="104">
        <f t="shared" ref="AH770:AH833" si="142">IF(AND(AF770&gt;0,V770&gt;0),AF770/V770,0)</f>
        <v>0</v>
      </c>
      <c r="AI770" s="195">
        <v>0.72</v>
      </c>
      <c r="AO770" s="213"/>
      <c r="AP770" s="213"/>
      <c r="AQ770" s="213"/>
      <c r="AR770" s="213"/>
      <c r="AS770" s="213"/>
      <c r="AT770" s="213"/>
      <c r="AU770" s="213"/>
      <c r="AV770" s="213"/>
    </row>
    <row r="771" spans="1:48">
      <c r="A771">
        <v>3577</v>
      </c>
      <c r="C771" s="107">
        <f>VLOOKUP(3577,收盤價!$A:$C,3,0)</f>
        <v>38.6</v>
      </c>
      <c r="D771" s="107">
        <f t="shared" si="132"/>
        <v>15.564516129032258</v>
      </c>
      <c r="E771" s="167">
        <f t="shared" si="133"/>
        <v>5</v>
      </c>
      <c r="F771" s="104">
        <f t="shared" si="134"/>
        <v>2.2944531423216032</v>
      </c>
      <c r="G771" s="167">
        <f>RANK(0.84,AE:AE,0)</f>
        <v>946</v>
      </c>
      <c r="H771" s="365">
        <f t="shared" si="135"/>
        <v>-1.1670480549199085</v>
      </c>
      <c r="I771" s="213">
        <f t="shared" si="136"/>
        <v>447</v>
      </c>
      <c r="J771" s="213">
        <f t="shared" si="137"/>
        <v>768</v>
      </c>
      <c r="K771">
        <f>RANK(1.28,AI:AI,0)</f>
        <v>685</v>
      </c>
      <c r="L771" s="357">
        <v>1</v>
      </c>
      <c r="M771" s="357">
        <v>1</v>
      </c>
      <c r="N771" s="357">
        <v>2</v>
      </c>
      <c r="O771" s="357">
        <v>1</v>
      </c>
      <c r="P771" s="357">
        <v>0</v>
      </c>
      <c r="Q771" s="358">
        <v>0.54358974358974355</v>
      </c>
      <c r="R771" s="359">
        <v>0.62</v>
      </c>
      <c r="S771" s="196">
        <v>735173000</v>
      </c>
      <c r="T771" s="196">
        <v>43700000</v>
      </c>
      <c r="U771" s="200">
        <f t="shared" si="138"/>
        <v>1686820000</v>
      </c>
      <c r="V771" s="196">
        <v>0</v>
      </c>
      <c r="W771" s="196">
        <v>263000000</v>
      </c>
      <c r="X771" s="196">
        <v>541000000</v>
      </c>
      <c r="Y771" s="196">
        <v>815000000</v>
      </c>
      <c r="Z771" s="196">
        <v>47000000</v>
      </c>
      <c r="AA771" s="198">
        <v>0</v>
      </c>
      <c r="AB771" s="198">
        <v>0</v>
      </c>
      <c r="AC771" s="213">
        <f t="shared" si="139"/>
        <v>945</v>
      </c>
      <c r="AD771" s="213">
        <f t="shared" si="140"/>
        <v>911</v>
      </c>
      <c r="AE771" s="213">
        <v>0.84</v>
      </c>
      <c r="AF771" s="196">
        <v>51000000</v>
      </c>
      <c r="AG771" s="104">
        <f t="shared" si="141"/>
        <v>1.1670480549199085</v>
      </c>
      <c r="AH771" s="104">
        <f t="shared" si="142"/>
        <v>0</v>
      </c>
      <c r="AI771" s="195">
        <v>1.28</v>
      </c>
      <c r="AO771" s="213"/>
      <c r="AP771" s="213"/>
      <c r="AQ771" s="213"/>
      <c r="AR771" s="213"/>
      <c r="AS771" s="213"/>
      <c r="AT771" s="213"/>
      <c r="AU771" s="213"/>
      <c r="AV771" s="213"/>
    </row>
    <row r="772" spans="1:48">
      <c r="A772">
        <v>3579</v>
      </c>
      <c r="C772" s="107">
        <f>VLOOKUP(3579,收盤價!$A:$C,3,0)</f>
        <v>12.25</v>
      </c>
      <c r="D772" s="107">
        <f t="shared" si="132"/>
        <v>46.922514619883039</v>
      </c>
      <c r="E772" s="167">
        <f t="shared" si="133"/>
        <v>1</v>
      </c>
      <c r="F772" s="104">
        <f t="shared" si="134"/>
        <v>7.6892247848567283E-2</v>
      </c>
      <c r="G772" s="167">
        <f>RANK(1.41,AE:AE,0)</f>
        <v>618</v>
      </c>
      <c r="H772" s="365">
        <f t="shared" si="135"/>
        <v>-0.7603695796215858</v>
      </c>
      <c r="I772" s="213">
        <f t="shared" si="136"/>
        <v>349</v>
      </c>
      <c r="J772" s="213">
        <f t="shared" si="137"/>
        <v>618</v>
      </c>
      <c r="K772">
        <f>RANK(1.61,AI:AI,0)</f>
        <v>498</v>
      </c>
      <c r="L772" s="357">
        <v>0</v>
      </c>
      <c r="M772" s="357">
        <v>1</v>
      </c>
      <c r="N772" s="357">
        <v>0</v>
      </c>
      <c r="O772" s="357">
        <v>0</v>
      </c>
      <c r="P772" s="357">
        <v>0</v>
      </c>
      <c r="Q772" s="358">
        <v>7.4697311717627751E-2</v>
      </c>
      <c r="R772" s="359">
        <v>6.5267175572519084E-2</v>
      </c>
      <c r="S772" s="196">
        <v>18416681000</v>
      </c>
      <c r="T772" s="196">
        <v>115600000</v>
      </c>
      <c r="U772" s="200">
        <f t="shared" si="138"/>
        <v>1416100000</v>
      </c>
      <c r="V772" s="196">
        <v>235000000</v>
      </c>
      <c r="W772" s="196">
        <v>0</v>
      </c>
      <c r="X772" s="196">
        <v>10619000000</v>
      </c>
      <c r="Y772" s="196">
        <v>8245000000</v>
      </c>
      <c r="Z772" s="196">
        <v>5346000000</v>
      </c>
      <c r="AA772" s="198">
        <v>0.02</v>
      </c>
      <c r="AB772" s="198">
        <v>0.02</v>
      </c>
      <c r="AC772" s="213">
        <f t="shared" si="139"/>
        <v>616</v>
      </c>
      <c r="AD772" s="213">
        <f t="shared" si="140"/>
        <v>487</v>
      </c>
      <c r="AE772" s="213">
        <v>1.41</v>
      </c>
      <c r="AF772" s="196">
        <v>173000000</v>
      </c>
      <c r="AG772" s="104">
        <f t="shared" si="141"/>
        <v>1.4965397923875432</v>
      </c>
      <c r="AH772" s="104">
        <f t="shared" si="142"/>
        <v>0.7361702127659574</v>
      </c>
      <c r="AI772" s="195">
        <v>1.61</v>
      </c>
      <c r="AO772" s="213"/>
      <c r="AP772" s="213"/>
      <c r="AQ772" s="213"/>
      <c r="AR772" s="213"/>
      <c r="AS772" s="213"/>
      <c r="AT772" s="213"/>
      <c r="AU772" s="213"/>
      <c r="AV772" s="213"/>
    </row>
    <row r="773" spans="1:48">
      <c r="A773">
        <v>3580</v>
      </c>
      <c r="C773" s="107">
        <f>VLOOKUP(3580,收盤價!$A:$C,3,0)</f>
        <v>25.5</v>
      </c>
      <c r="D773" s="107">
        <f t="shared" si="132"/>
        <v>0</v>
      </c>
      <c r="E773" s="167">
        <f t="shared" si="133"/>
        <v>2</v>
      </c>
      <c r="F773" s="104">
        <f t="shared" si="134"/>
        <v>2.7177157103287506</v>
      </c>
      <c r="G773" s="167">
        <f>RANK(0.51,AE:AE,0)</f>
        <v>1523</v>
      </c>
      <c r="H773" s="365">
        <f t="shared" si="135"/>
        <v>-0.12367491166077739</v>
      </c>
      <c r="I773" s="213">
        <f t="shared" si="136"/>
        <v>980</v>
      </c>
      <c r="J773" s="213">
        <f t="shared" si="137"/>
        <v>768</v>
      </c>
      <c r="K773">
        <f>RANK(0.89,AI:AI,0)</f>
        <v>1004</v>
      </c>
      <c r="L773" s="357">
        <v>0</v>
      </c>
      <c r="M773" s="357">
        <v>1</v>
      </c>
      <c r="N773" s="357">
        <v>0</v>
      </c>
      <c r="O773" s="357">
        <v>1</v>
      </c>
      <c r="P773" s="357">
        <v>0</v>
      </c>
      <c r="Q773" s="358">
        <v>6.9565217391304349E-2</v>
      </c>
      <c r="R773" s="359">
        <v>0</v>
      </c>
      <c r="S773" s="196">
        <v>531071000</v>
      </c>
      <c r="T773" s="196">
        <v>56600000</v>
      </c>
      <c r="U773" s="200">
        <f t="shared" si="138"/>
        <v>1443300000</v>
      </c>
      <c r="V773" s="196">
        <v>-27000000</v>
      </c>
      <c r="W773" s="196">
        <v>64000000</v>
      </c>
      <c r="X773" s="196">
        <v>187000000</v>
      </c>
      <c r="Y773" s="196">
        <v>288000000</v>
      </c>
      <c r="Z773" s="196">
        <v>184000000</v>
      </c>
      <c r="AA773" s="198">
        <v>-0.11</v>
      </c>
      <c r="AB773" s="198">
        <v>-0.06</v>
      </c>
      <c r="AC773" s="213">
        <f t="shared" si="139"/>
        <v>1524</v>
      </c>
      <c r="AD773" s="213">
        <f t="shared" si="140"/>
        <v>1515</v>
      </c>
      <c r="AE773" s="213">
        <v>0.51</v>
      </c>
      <c r="AF773" s="196">
        <v>7000000</v>
      </c>
      <c r="AG773" s="104">
        <f t="shared" si="141"/>
        <v>0.12367491166077739</v>
      </c>
      <c r="AH773" s="104">
        <f t="shared" si="142"/>
        <v>0</v>
      </c>
      <c r="AI773" s="195">
        <v>0.89</v>
      </c>
      <c r="AO773" s="213"/>
      <c r="AP773" s="213"/>
      <c r="AQ773" s="213"/>
      <c r="AR773" s="213"/>
      <c r="AS773" s="213"/>
      <c r="AT773" s="213"/>
      <c r="AU773" s="213"/>
      <c r="AV773" s="213"/>
    </row>
    <row r="774" spans="1:48">
      <c r="A774">
        <v>3581</v>
      </c>
      <c r="C774" s="107">
        <f>VLOOKUP(3581,收盤價!$A:$C,3,0)</f>
        <v>16.899999999999999</v>
      </c>
      <c r="D774" s="107">
        <f t="shared" si="132"/>
        <v>9.629629629629628</v>
      </c>
      <c r="E774" s="167">
        <f t="shared" si="133"/>
        <v>4</v>
      </c>
      <c r="F774" s="104">
        <f t="shared" si="134"/>
        <v>1.0651770265764964</v>
      </c>
      <c r="G774" s="167">
        <f>RANK(2.76,AE:AE,0)</f>
        <v>305</v>
      </c>
      <c r="H774" s="365">
        <f t="shared" si="135"/>
        <v>0.37237237237237236</v>
      </c>
      <c r="I774" s="213">
        <f t="shared" si="136"/>
        <v>799</v>
      </c>
      <c r="J774" s="213">
        <f t="shared" si="137"/>
        <v>607</v>
      </c>
      <c r="K774">
        <f>RANK(1.11,AI:AI,0)</f>
        <v>788</v>
      </c>
      <c r="L774" s="357">
        <v>0</v>
      </c>
      <c r="M774" s="357">
        <v>1</v>
      </c>
      <c r="N774" s="357">
        <v>2</v>
      </c>
      <c r="O774" s="357">
        <v>1</v>
      </c>
      <c r="P774" s="357">
        <v>0</v>
      </c>
      <c r="Q774" s="358">
        <v>0.390625</v>
      </c>
      <c r="R774" s="359">
        <v>0.43875000000000003</v>
      </c>
      <c r="S774" s="196">
        <v>821854000</v>
      </c>
      <c r="T774" s="196">
        <v>51800000</v>
      </c>
      <c r="U774" s="200">
        <f t="shared" si="138"/>
        <v>875419999.99999988</v>
      </c>
      <c r="V774" s="196">
        <v>27000000</v>
      </c>
      <c r="W774" s="196">
        <v>550000000</v>
      </c>
      <c r="X774" s="196">
        <v>134000000</v>
      </c>
      <c r="Y774" s="196">
        <v>732000000</v>
      </c>
      <c r="Z774" s="196">
        <v>21000000</v>
      </c>
      <c r="AA774" s="198">
        <v>0.04</v>
      </c>
      <c r="AB774" s="198">
        <v>0.04</v>
      </c>
      <c r="AC774" s="213">
        <f t="shared" si="139"/>
        <v>337</v>
      </c>
      <c r="AD774" s="213">
        <f t="shared" si="140"/>
        <v>228</v>
      </c>
      <c r="AE774" s="213">
        <v>2.76</v>
      </c>
      <c r="AF774" s="196">
        <v>21000000</v>
      </c>
      <c r="AG774" s="104">
        <f t="shared" si="141"/>
        <v>0.40540540540540543</v>
      </c>
      <c r="AH774" s="104">
        <f t="shared" si="142"/>
        <v>0.77777777777777779</v>
      </c>
      <c r="AI774" s="195">
        <v>1.1100000000000001</v>
      </c>
      <c r="AO774" s="213"/>
      <c r="AP774" s="213"/>
      <c r="AQ774" s="213"/>
      <c r="AR774" s="213"/>
      <c r="AS774" s="213"/>
      <c r="AT774" s="213"/>
      <c r="AU774" s="213"/>
      <c r="AV774" s="213"/>
    </row>
    <row r="775" spans="1:48">
      <c r="A775">
        <v>3583</v>
      </c>
      <c r="C775" s="107">
        <f>VLOOKUP(3583,收盤價!$A:$C,3,0)</f>
        <v>61.2</v>
      </c>
      <c r="D775" s="107">
        <f t="shared" si="132"/>
        <v>20.131578947368425</v>
      </c>
      <c r="E775" s="167">
        <f t="shared" si="133"/>
        <v>2</v>
      </c>
      <c r="F775" s="104">
        <f t="shared" si="134"/>
        <v>1.4720129450490851</v>
      </c>
      <c r="G775" s="167">
        <f>RANK(2.76,AE:AE,0)</f>
        <v>305</v>
      </c>
      <c r="H775" s="365">
        <f t="shared" si="135"/>
        <v>8.5876164759868256E-2</v>
      </c>
      <c r="I775" s="213">
        <f t="shared" si="136"/>
        <v>104</v>
      </c>
      <c r="J775" s="213">
        <f t="shared" si="137"/>
        <v>139</v>
      </c>
      <c r="K775">
        <f>RANK(6.41,AI:AI,0)</f>
        <v>41</v>
      </c>
      <c r="L775" s="357">
        <v>0</v>
      </c>
      <c r="M775" s="357">
        <v>1</v>
      </c>
      <c r="N775" s="357">
        <v>0</v>
      </c>
      <c r="O775" s="357">
        <v>1</v>
      </c>
      <c r="P775" s="357">
        <v>0</v>
      </c>
      <c r="Q775" s="358">
        <v>0.34248210023866349</v>
      </c>
      <c r="R775" s="359">
        <v>0.7599999999999999</v>
      </c>
      <c r="S775" s="196">
        <v>3371791000</v>
      </c>
      <c r="T775" s="196">
        <v>81100000</v>
      </c>
      <c r="U775" s="200">
        <f t="shared" si="138"/>
        <v>4963320000</v>
      </c>
      <c r="V775" s="196">
        <v>79000000</v>
      </c>
      <c r="W775" s="196">
        <v>634000000</v>
      </c>
      <c r="X775" s="196">
        <v>1469000000</v>
      </c>
      <c r="Y775" s="196">
        <v>2011000000</v>
      </c>
      <c r="Z775" s="196">
        <v>208000000</v>
      </c>
      <c r="AA775" s="198">
        <v>0.04</v>
      </c>
      <c r="AB775" s="198">
        <v>0.04</v>
      </c>
      <c r="AC775" s="213">
        <f t="shared" si="139"/>
        <v>337</v>
      </c>
      <c r="AD775" s="213">
        <f t="shared" si="140"/>
        <v>228</v>
      </c>
      <c r="AE775" s="213">
        <v>2.76</v>
      </c>
      <c r="AF775" s="196">
        <v>262000000</v>
      </c>
      <c r="AG775" s="104">
        <f t="shared" si="141"/>
        <v>3.2305795314426633</v>
      </c>
      <c r="AH775" s="104">
        <f t="shared" si="142"/>
        <v>3.3164556962025316</v>
      </c>
      <c r="AI775" s="195">
        <v>6.41</v>
      </c>
      <c r="AO775" s="213"/>
      <c r="AP775" s="213"/>
      <c r="AQ775" s="213"/>
      <c r="AR775" s="213"/>
      <c r="AS775" s="213"/>
      <c r="AT775" s="213"/>
      <c r="AU775" s="213"/>
      <c r="AV775" s="213"/>
    </row>
    <row r="776" spans="1:48">
      <c r="A776">
        <v>3587</v>
      </c>
      <c r="C776" s="107">
        <f>VLOOKUP(3587,收盤價!$A:$C,3,0)</f>
        <v>80.3</v>
      </c>
      <c r="D776" s="107">
        <f t="shared" si="132"/>
        <v>13.940972222222221</v>
      </c>
      <c r="E776" s="167">
        <f t="shared" si="133"/>
        <v>5</v>
      </c>
      <c r="F776" s="104">
        <f t="shared" si="134"/>
        <v>2.7425085918004091</v>
      </c>
      <c r="G776" s="167">
        <f>RANK(7.87,AE:AE,0)</f>
        <v>100</v>
      </c>
      <c r="H776" s="365">
        <f t="shared" si="135"/>
        <v>-1.3260585664774722</v>
      </c>
      <c r="I776" s="213">
        <f t="shared" si="136"/>
        <v>127</v>
      </c>
      <c r="J776" s="213">
        <f t="shared" si="137"/>
        <v>361</v>
      </c>
      <c r="K776">
        <f>RANK(3.19,AI:AI,0)</f>
        <v>151</v>
      </c>
      <c r="L776" s="357">
        <v>1</v>
      </c>
      <c r="M776" s="357">
        <v>1</v>
      </c>
      <c r="N776" s="357">
        <v>2</v>
      </c>
      <c r="O776" s="357">
        <v>1</v>
      </c>
      <c r="P776" s="357">
        <v>0</v>
      </c>
      <c r="Q776" s="358">
        <v>0.37735849056603776</v>
      </c>
      <c r="R776" s="359">
        <v>1.44</v>
      </c>
      <c r="S776" s="196">
        <v>1355653000</v>
      </c>
      <c r="T776" s="196">
        <v>46300000</v>
      </c>
      <c r="U776" s="200">
        <f t="shared" si="138"/>
        <v>3717890000</v>
      </c>
      <c r="V776" s="196">
        <v>86000000</v>
      </c>
      <c r="W776" s="196">
        <v>196000000</v>
      </c>
      <c r="X776" s="196">
        <v>1008000000</v>
      </c>
      <c r="Y776" s="196">
        <v>1223000000</v>
      </c>
      <c r="Z776" s="196">
        <v>30000000</v>
      </c>
      <c r="AA776" s="198">
        <v>7.0000000000000007E-2</v>
      </c>
      <c r="AB776" s="198">
        <v>7.0000000000000007E-2</v>
      </c>
      <c r="AC776" s="213">
        <f t="shared" si="139"/>
        <v>134</v>
      </c>
      <c r="AD776" s="213">
        <f t="shared" si="140"/>
        <v>64</v>
      </c>
      <c r="AE776" s="213">
        <v>7.87</v>
      </c>
      <c r="AF776" s="196">
        <v>133000000</v>
      </c>
      <c r="AG776" s="104">
        <f t="shared" si="141"/>
        <v>2.872570194384449</v>
      </c>
      <c r="AH776" s="104">
        <f t="shared" si="142"/>
        <v>1.5465116279069768</v>
      </c>
      <c r="AI776" s="195">
        <v>3.19</v>
      </c>
    </row>
    <row r="777" spans="1:48">
      <c r="A777">
        <v>3588</v>
      </c>
      <c r="C777" s="107">
        <f>VLOOKUP(3588,收盤價!$A:$C,3,0)</f>
        <v>37.299999999999997</v>
      </c>
      <c r="D777" s="107">
        <f t="shared" si="132"/>
        <v>20.542879622344611</v>
      </c>
      <c r="E777" s="167">
        <f t="shared" si="133"/>
        <v>3</v>
      </c>
      <c r="F777" s="104">
        <f t="shared" si="134"/>
        <v>1.5526827312269949</v>
      </c>
      <c r="G777" s="167">
        <f>RANK(1.94,AE:AE,0)</f>
        <v>435</v>
      </c>
      <c r="H777" s="365">
        <f t="shared" si="135"/>
        <v>1.3143268538516919</v>
      </c>
      <c r="I777" s="213">
        <f t="shared" si="136"/>
        <v>171</v>
      </c>
      <c r="J777" s="213">
        <f t="shared" si="137"/>
        <v>119</v>
      </c>
      <c r="K777">
        <f>RANK(5.37,AI:AI,0)</f>
        <v>60</v>
      </c>
      <c r="L777" s="357">
        <v>0</v>
      </c>
      <c r="M777" s="357">
        <v>0</v>
      </c>
      <c r="N777" s="357">
        <v>2</v>
      </c>
      <c r="O777" s="357">
        <v>1</v>
      </c>
      <c r="P777" s="357">
        <v>0</v>
      </c>
      <c r="Q777" s="358">
        <v>0.35815602836879434</v>
      </c>
      <c r="R777" s="359">
        <v>0.4539285714285714</v>
      </c>
      <c r="S777" s="196">
        <v>1112262000</v>
      </c>
      <c r="T777" s="196">
        <v>46300000</v>
      </c>
      <c r="U777" s="200">
        <f t="shared" si="138"/>
        <v>1726989999.9999998</v>
      </c>
      <c r="V777" s="196">
        <v>30000000</v>
      </c>
      <c r="W777" s="196">
        <v>793000000</v>
      </c>
      <c r="X777" s="196">
        <v>333000000</v>
      </c>
      <c r="Y777" s="196">
        <v>1198000000</v>
      </c>
      <c r="Z777" s="196">
        <v>0</v>
      </c>
      <c r="AA777" s="198">
        <v>0.03</v>
      </c>
      <c r="AB777" s="198">
        <v>0.03</v>
      </c>
      <c r="AC777" s="213">
        <f t="shared" si="139"/>
        <v>469</v>
      </c>
      <c r="AD777" s="213">
        <f t="shared" si="140"/>
        <v>334</v>
      </c>
      <c r="AE777" s="213">
        <v>1.94</v>
      </c>
      <c r="AF777" s="196">
        <v>112000000</v>
      </c>
      <c r="AG777" s="104">
        <f t="shared" si="141"/>
        <v>2.4190064794816415</v>
      </c>
      <c r="AH777" s="104">
        <f t="shared" si="142"/>
        <v>3.7333333333333334</v>
      </c>
      <c r="AI777" s="195">
        <v>5.37</v>
      </c>
    </row>
    <row r="778" spans="1:48">
      <c r="A778">
        <v>3591</v>
      </c>
      <c r="C778" s="107">
        <f>VLOOKUP(3591,收盤價!$A:$C,3,0)</f>
        <v>13.35</v>
      </c>
      <c r="D778" s="107">
        <f t="shared" si="132"/>
        <v>0</v>
      </c>
      <c r="E778" s="167">
        <f t="shared" si="133"/>
        <v>3</v>
      </c>
      <c r="F778" s="104">
        <f t="shared" si="134"/>
        <v>0.54752438961728778</v>
      </c>
      <c r="G778" s="167">
        <f>RANK(0.84,AE:AE,0)</f>
        <v>946</v>
      </c>
      <c r="H778" s="365">
        <f t="shared" si="135"/>
        <v>-0.65660377358490563</v>
      </c>
      <c r="I778" s="213">
        <f t="shared" si="136"/>
        <v>668</v>
      </c>
      <c r="J778" s="213">
        <f t="shared" si="137"/>
        <v>768</v>
      </c>
      <c r="K778">
        <f>RANK(1.08,AI:AI,0)</f>
        <v>817</v>
      </c>
      <c r="L778" s="357">
        <v>0</v>
      </c>
      <c r="M778" s="357">
        <v>0</v>
      </c>
      <c r="N778" s="357">
        <v>2</v>
      </c>
      <c r="O778" s="357">
        <v>1</v>
      </c>
      <c r="P778" s="357">
        <v>0</v>
      </c>
      <c r="Q778" s="358">
        <v>9.7938144329896906E-2</v>
      </c>
      <c r="R778" s="359">
        <v>0</v>
      </c>
      <c r="S778" s="196">
        <v>3230678000</v>
      </c>
      <c r="T778" s="196">
        <v>132500000</v>
      </c>
      <c r="U778" s="200">
        <f t="shared" si="138"/>
        <v>1768875000</v>
      </c>
      <c r="V778" s="196">
        <v>-9000000</v>
      </c>
      <c r="W778" s="196">
        <v>786000000</v>
      </c>
      <c r="X778" s="196">
        <v>2187000000</v>
      </c>
      <c r="Y778" s="196">
        <v>3503000000</v>
      </c>
      <c r="Z778" s="196">
        <v>402000000</v>
      </c>
      <c r="AA778" s="198">
        <v>0</v>
      </c>
      <c r="AB778" s="198">
        <v>0</v>
      </c>
      <c r="AC778" s="213">
        <f t="shared" si="139"/>
        <v>945</v>
      </c>
      <c r="AD778" s="213">
        <f t="shared" si="140"/>
        <v>911</v>
      </c>
      <c r="AE778" s="213">
        <v>0.84</v>
      </c>
      <c r="AF778" s="196">
        <v>87000000</v>
      </c>
      <c r="AG778" s="104">
        <f t="shared" si="141"/>
        <v>0.65660377358490563</v>
      </c>
      <c r="AH778" s="104">
        <f t="shared" si="142"/>
        <v>0</v>
      </c>
      <c r="AI778" s="195">
        <v>1.08</v>
      </c>
    </row>
    <row r="779" spans="1:48">
      <c r="A779">
        <v>3593</v>
      </c>
      <c r="C779" s="107">
        <f>VLOOKUP(3593,收盤價!$A:$C,3,0)</f>
        <v>7.25</v>
      </c>
      <c r="D779" s="107">
        <f t="shared" si="132"/>
        <v>0</v>
      </c>
      <c r="E779" s="167">
        <f t="shared" si="133"/>
        <v>1</v>
      </c>
      <c r="F779" s="104">
        <f t="shared" si="134"/>
        <v>1.0894028300540919</v>
      </c>
      <c r="G779" s="167">
        <f>RANK(0.58,AE:AE,0)</f>
        <v>1374</v>
      </c>
      <c r="H779" s="365">
        <f t="shared" si="135"/>
        <v>0.42590949423247559</v>
      </c>
      <c r="I779" s="213">
        <f t="shared" si="136"/>
        <v>1322</v>
      </c>
      <c r="J779" s="213">
        <f t="shared" si="137"/>
        <v>768</v>
      </c>
      <c r="K779">
        <f>RANK(0.75,AI:AI,0)</f>
        <v>1296</v>
      </c>
      <c r="L779" s="357">
        <v>0</v>
      </c>
      <c r="M779" s="357">
        <v>1</v>
      </c>
      <c r="N779" s="357">
        <v>0</v>
      </c>
      <c r="O779" s="357">
        <v>0</v>
      </c>
      <c r="P779" s="357">
        <v>0</v>
      </c>
      <c r="Q779" s="358">
        <v>7.7380952380952384E-2</v>
      </c>
      <c r="R779" s="359">
        <v>0</v>
      </c>
      <c r="S779" s="196">
        <v>750021000</v>
      </c>
      <c r="T779" s="196">
        <v>112700000</v>
      </c>
      <c r="U779" s="200">
        <f t="shared" si="138"/>
        <v>817075000</v>
      </c>
      <c r="V779" s="196">
        <v>-19000000</v>
      </c>
      <c r="W779" s="196">
        <v>0</v>
      </c>
      <c r="X779" s="196">
        <v>625000000</v>
      </c>
      <c r="Y779" s="196">
        <v>787000000</v>
      </c>
      <c r="Z779" s="196">
        <v>566000000</v>
      </c>
      <c r="AA779" s="198">
        <v>-0.03</v>
      </c>
      <c r="AB779" s="198">
        <v>-0.01</v>
      </c>
      <c r="AC779" s="213">
        <f t="shared" si="139"/>
        <v>1405</v>
      </c>
      <c r="AD779" s="213">
        <f t="shared" si="140"/>
        <v>1294</v>
      </c>
      <c r="AE779" s="213">
        <v>0.57999999999999996</v>
      </c>
      <c r="AF779" s="196">
        <v>-48000000</v>
      </c>
      <c r="AG779" s="104">
        <f t="shared" si="141"/>
        <v>-0.42590949423247559</v>
      </c>
      <c r="AH779" s="104">
        <f t="shared" si="142"/>
        <v>0</v>
      </c>
      <c r="AI779" s="195">
        <v>0.75</v>
      </c>
      <c r="AO779" s="213"/>
      <c r="AP779" s="213"/>
      <c r="AQ779" s="213"/>
      <c r="AR779" s="213"/>
      <c r="AS779" s="213"/>
      <c r="AT779" s="213"/>
      <c r="AU779" s="213"/>
      <c r="AV779" s="213"/>
    </row>
    <row r="780" spans="1:48">
      <c r="A780">
        <v>3594</v>
      </c>
      <c r="C780" s="107">
        <f>VLOOKUP(3594,收盤價!$A:$C,3,0)</f>
        <v>26</v>
      </c>
      <c r="D780" s="107">
        <f t="shared" si="132"/>
        <v>0</v>
      </c>
      <c r="E780" s="167">
        <f t="shared" si="133"/>
        <v>1</v>
      </c>
      <c r="F780" s="104">
        <f t="shared" si="134"/>
        <v>0.93911585583741053</v>
      </c>
      <c r="G780" s="167">
        <f>RANK(0.84,AE:AE,0)</f>
        <v>946</v>
      </c>
      <c r="H780" s="365">
        <f t="shared" si="135"/>
        <v>0.28520499108734404</v>
      </c>
      <c r="I780" s="213">
        <f t="shared" si="136"/>
        <v>1264</v>
      </c>
      <c r="J780" s="213">
        <f t="shared" si="137"/>
        <v>768</v>
      </c>
      <c r="K780">
        <f>RANK(0.77,AI:AI,0)</f>
        <v>1243</v>
      </c>
      <c r="L780" s="357">
        <v>0</v>
      </c>
      <c r="M780" s="357">
        <v>1</v>
      </c>
      <c r="N780" s="357">
        <v>0</v>
      </c>
      <c r="O780" s="357">
        <v>0</v>
      </c>
      <c r="P780" s="357">
        <v>0</v>
      </c>
      <c r="Q780" s="358">
        <v>0.41666666666666669</v>
      </c>
      <c r="R780" s="359">
        <v>0</v>
      </c>
      <c r="S780" s="196">
        <v>1553163000</v>
      </c>
      <c r="T780" s="196">
        <v>56100000</v>
      </c>
      <c r="U780" s="200">
        <f t="shared" si="138"/>
        <v>1458600000</v>
      </c>
      <c r="V780" s="196">
        <v>3000000</v>
      </c>
      <c r="W780" s="196">
        <v>759000000</v>
      </c>
      <c r="X780" s="196">
        <v>172000000</v>
      </c>
      <c r="Y780" s="196">
        <v>1192000000</v>
      </c>
      <c r="Z780" s="196">
        <v>775000000</v>
      </c>
      <c r="AA780" s="198">
        <v>0</v>
      </c>
      <c r="AB780" s="198">
        <v>0</v>
      </c>
      <c r="AC780" s="213">
        <f t="shared" si="139"/>
        <v>945</v>
      </c>
      <c r="AD780" s="213">
        <f t="shared" si="140"/>
        <v>911</v>
      </c>
      <c r="AE780" s="213">
        <v>0.84</v>
      </c>
      <c r="AF780" s="196">
        <v>-16000000</v>
      </c>
      <c r="AG780" s="104">
        <f t="shared" si="141"/>
        <v>-0.28520499108734404</v>
      </c>
      <c r="AH780" s="104">
        <f t="shared" si="142"/>
        <v>0</v>
      </c>
      <c r="AI780" s="195">
        <v>0.77</v>
      </c>
    </row>
    <row r="781" spans="1:48">
      <c r="A781">
        <v>3596</v>
      </c>
      <c r="C781" s="107">
        <f>VLOOKUP(3596,收盤價!$A:$C,3,0)</f>
        <v>57.2</v>
      </c>
      <c r="D781" s="107">
        <f t="shared" si="132"/>
        <v>5.0234009360374419</v>
      </c>
      <c r="E781" s="167">
        <f t="shared" si="133"/>
        <v>4</v>
      </c>
      <c r="F781" s="104">
        <f t="shared" si="134"/>
        <v>0.45791113742054412</v>
      </c>
      <c r="G781" s="167">
        <f>RANK(11.21,AE:AE,0)</f>
        <v>64</v>
      </c>
      <c r="H781" s="365">
        <f t="shared" si="135"/>
        <v>-4.3087330732343032</v>
      </c>
      <c r="I781" s="213">
        <f t="shared" si="136"/>
        <v>22</v>
      </c>
      <c r="J781" s="213">
        <f t="shared" si="137"/>
        <v>309</v>
      </c>
      <c r="K781">
        <f>RANK(4.71,AI:AI,0)</f>
        <v>73</v>
      </c>
      <c r="L781" s="357">
        <v>1</v>
      </c>
      <c r="M781" s="357">
        <v>1</v>
      </c>
      <c r="N781" s="357">
        <v>1</v>
      </c>
      <c r="O781" s="357">
        <v>1</v>
      </c>
      <c r="P781" s="357">
        <v>0</v>
      </c>
      <c r="Q781" s="358">
        <v>0.17470055506865323</v>
      </c>
      <c r="R781" s="359">
        <v>2.8466770186335402</v>
      </c>
      <c r="S781" s="196">
        <v>23621439000</v>
      </c>
      <c r="T781" s="196">
        <v>189100000</v>
      </c>
      <c r="U781" s="200">
        <f t="shared" si="138"/>
        <v>10816520000</v>
      </c>
      <c r="V781" s="196">
        <v>646000000</v>
      </c>
      <c r="W781" s="196">
        <v>5878000000</v>
      </c>
      <c r="X781" s="196">
        <v>1883000000</v>
      </c>
      <c r="Y781" s="196">
        <v>8586000000</v>
      </c>
      <c r="Z781" s="196">
        <v>0</v>
      </c>
      <c r="AA781" s="198">
        <v>0.08</v>
      </c>
      <c r="AB781" s="198">
        <v>0.08</v>
      </c>
      <c r="AC781" s="213">
        <f t="shared" si="139"/>
        <v>97</v>
      </c>
      <c r="AD781" s="213">
        <f t="shared" si="140"/>
        <v>42</v>
      </c>
      <c r="AE781" s="213">
        <v>11.21</v>
      </c>
      <c r="AF781" s="196">
        <v>1152000000</v>
      </c>
      <c r="AG781" s="104">
        <f t="shared" si="141"/>
        <v>6.0920148069804334</v>
      </c>
      <c r="AH781" s="104">
        <f t="shared" si="142"/>
        <v>1.78328173374613</v>
      </c>
      <c r="AI781" s="195">
        <v>4.71</v>
      </c>
      <c r="AO781" s="213"/>
      <c r="AP781" s="213"/>
      <c r="AQ781" s="213"/>
      <c r="AR781" s="213"/>
      <c r="AS781" s="213"/>
      <c r="AT781" s="213"/>
      <c r="AU781" s="213"/>
      <c r="AV781" s="213"/>
    </row>
    <row r="782" spans="1:48">
      <c r="A782">
        <v>3605</v>
      </c>
      <c r="C782" s="107">
        <f>VLOOKUP(3605,收盤價!$A:$C,3,0)</f>
        <v>25.35</v>
      </c>
      <c r="D782" s="107">
        <f t="shared" si="132"/>
        <v>48.75</v>
      </c>
      <c r="E782" s="167">
        <f t="shared" si="133"/>
        <v>2</v>
      </c>
      <c r="F782" s="104">
        <f t="shared" si="134"/>
        <v>0.65154752819293271</v>
      </c>
      <c r="G782" s="167">
        <f>RANK(0.84,AE:AE,0)</f>
        <v>946</v>
      </c>
      <c r="H782" s="365">
        <f t="shared" si="135"/>
        <v>0.66989507667473769</v>
      </c>
      <c r="I782" s="213">
        <f t="shared" si="136"/>
        <v>1387</v>
      </c>
      <c r="J782" s="213">
        <f t="shared" si="137"/>
        <v>768</v>
      </c>
      <c r="K782">
        <f>RANK(0.72,AI:AI,0)</f>
        <v>1381</v>
      </c>
      <c r="L782" s="357">
        <v>0</v>
      </c>
      <c r="M782" s="357">
        <v>1</v>
      </c>
      <c r="N782" s="357">
        <v>1</v>
      </c>
      <c r="O782" s="357">
        <v>0</v>
      </c>
      <c r="P782" s="357">
        <v>0</v>
      </c>
      <c r="Q782" s="358">
        <v>0.22819885900570497</v>
      </c>
      <c r="R782" s="359">
        <v>0.13</v>
      </c>
      <c r="S782" s="196">
        <v>4820623000</v>
      </c>
      <c r="T782" s="196">
        <v>123900000</v>
      </c>
      <c r="U782" s="200">
        <f t="shared" si="138"/>
        <v>3140865000</v>
      </c>
      <c r="V782" s="196">
        <v>0</v>
      </c>
      <c r="W782" s="196">
        <v>2426000000</v>
      </c>
      <c r="X782" s="196">
        <v>2071000000</v>
      </c>
      <c r="Y782" s="196">
        <v>4180000000</v>
      </c>
      <c r="Z782" s="196">
        <v>684000000</v>
      </c>
      <c r="AA782" s="198">
        <v>0</v>
      </c>
      <c r="AB782" s="198">
        <v>0</v>
      </c>
      <c r="AC782" s="213">
        <f t="shared" si="139"/>
        <v>945</v>
      </c>
      <c r="AD782" s="213">
        <f t="shared" si="140"/>
        <v>911</v>
      </c>
      <c r="AE782" s="213">
        <v>0.84</v>
      </c>
      <c r="AF782" s="196">
        <v>-83000000</v>
      </c>
      <c r="AG782" s="104">
        <f t="shared" si="141"/>
        <v>-0.66989507667473769</v>
      </c>
      <c r="AH782" s="104">
        <f t="shared" si="142"/>
        <v>0</v>
      </c>
      <c r="AI782" s="195">
        <v>0.72</v>
      </c>
      <c r="AO782" s="213"/>
      <c r="AP782" s="213"/>
      <c r="AQ782" s="213"/>
      <c r="AR782" s="213"/>
      <c r="AS782" s="213"/>
      <c r="AT782" s="213"/>
      <c r="AU782" s="213"/>
      <c r="AV782" s="213"/>
    </row>
    <row r="783" spans="1:48">
      <c r="A783">
        <v>3607</v>
      </c>
      <c r="C783" s="107">
        <f>VLOOKUP(3607,收盤價!$A:$C,3,0)</f>
        <v>30.65</v>
      </c>
      <c r="D783" s="107">
        <f t="shared" si="132"/>
        <v>0</v>
      </c>
      <c r="E783" s="167">
        <f t="shared" si="133"/>
        <v>4</v>
      </c>
      <c r="F783" s="104">
        <f t="shared" si="134"/>
        <v>0.51541636736884577</v>
      </c>
      <c r="G783" s="167">
        <f>RANK(0.58,AE:AE,0)</f>
        <v>1374</v>
      </c>
      <c r="H783" s="365">
        <f t="shared" si="135"/>
        <v>-0.68690095846645371</v>
      </c>
      <c r="I783" s="213">
        <f t="shared" si="136"/>
        <v>656</v>
      </c>
      <c r="J783" s="213">
        <f t="shared" si="137"/>
        <v>768</v>
      </c>
      <c r="K783">
        <f>RANK(1.09,AI:AI,0)</f>
        <v>803</v>
      </c>
      <c r="L783" s="357">
        <v>0</v>
      </c>
      <c r="M783" s="357">
        <v>1</v>
      </c>
      <c r="N783" s="357">
        <v>2</v>
      </c>
      <c r="O783" s="357">
        <v>1</v>
      </c>
      <c r="P783" s="357">
        <v>0</v>
      </c>
      <c r="Q783" s="358">
        <v>4.5961917268548917E-2</v>
      </c>
      <c r="R783" s="359">
        <v>0</v>
      </c>
      <c r="S783" s="196">
        <v>7445204000</v>
      </c>
      <c r="T783" s="196">
        <v>125200000</v>
      </c>
      <c r="U783" s="200">
        <f t="shared" si="138"/>
        <v>3837380000</v>
      </c>
      <c r="V783" s="196">
        <v>-103000000</v>
      </c>
      <c r="W783" s="196">
        <v>3155000000</v>
      </c>
      <c r="X783" s="196">
        <v>3950000000</v>
      </c>
      <c r="Y783" s="196">
        <v>6380000000</v>
      </c>
      <c r="Z783" s="196">
        <v>46000000</v>
      </c>
      <c r="AA783" s="198">
        <v>-0.01</v>
      </c>
      <c r="AB783" s="198">
        <v>-0.02</v>
      </c>
      <c r="AC783" s="213">
        <f t="shared" si="139"/>
        <v>1277</v>
      </c>
      <c r="AD783" s="213">
        <f t="shared" si="140"/>
        <v>1388</v>
      </c>
      <c r="AE783" s="213">
        <v>0.57999999999999996</v>
      </c>
      <c r="AF783" s="196">
        <v>86000000</v>
      </c>
      <c r="AG783" s="104">
        <f t="shared" si="141"/>
        <v>0.68690095846645371</v>
      </c>
      <c r="AH783" s="104">
        <f t="shared" si="142"/>
        <v>0</v>
      </c>
      <c r="AI783" s="195">
        <v>1.0900000000000001</v>
      </c>
    </row>
    <row r="784" spans="1:48">
      <c r="A784">
        <v>3609</v>
      </c>
      <c r="C784" s="107">
        <f>VLOOKUP(3609,收盤價!$A:$C,3,0)</f>
        <v>0</v>
      </c>
      <c r="D784" s="107">
        <f t="shared" si="132"/>
        <v>0</v>
      </c>
      <c r="E784" s="167">
        <f t="shared" si="133"/>
        <v>6</v>
      </c>
      <c r="F784" s="104">
        <f t="shared" si="134"/>
        <v>0</v>
      </c>
      <c r="G784" s="167">
        <f>RANK(1.2,AE:AE,0)</f>
        <v>710</v>
      </c>
      <c r="H784" s="365">
        <f t="shared" si="135"/>
        <v>0.81220095693779903</v>
      </c>
      <c r="I784" s="213">
        <f t="shared" si="136"/>
        <v>767</v>
      </c>
      <c r="J784" s="213">
        <f t="shared" si="137"/>
        <v>434</v>
      </c>
      <c r="K784">
        <f>RANK(1.3,AI:AI,0)</f>
        <v>676</v>
      </c>
      <c r="L784" s="357">
        <v>1</v>
      </c>
      <c r="M784" s="357">
        <v>1</v>
      </c>
      <c r="N784" s="357">
        <v>2</v>
      </c>
      <c r="O784" s="357">
        <v>1</v>
      </c>
      <c r="P784" s="357">
        <v>1</v>
      </c>
      <c r="Q784" s="358">
        <v>0.31390134529147984</v>
      </c>
      <c r="R784" s="359">
        <v>0.3</v>
      </c>
      <c r="S784" s="196">
        <v>764425000</v>
      </c>
      <c r="T784" s="196">
        <v>30400000</v>
      </c>
      <c r="U784" s="200">
        <f t="shared" si="138"/>
        <v>0</v>
      </c>
      <c r="V784" s="196">
        <v>11000000</v>
      </c>
      <c r="W784" s="196">
        <v>215000000</v>
      </c>
      <c r="X784" s="196">
        <v>245000000</v>
      </c>
      <c r="Y784" s="196">
        <v>557000000</v>
      </c>
      <c r="Z784" s="196">
        <v>190000000</v>
      </c>
      <c r="AA784" s="198">
        <v>0.02</v>
      </c>
      <c r="AB784" s="198">
        <v>0.01</v>
      </c>
      <c r="AC784" s="213">
        <f t="shared" si="139"/>
        <v>616</v>
      </c>
      <c r="AD784" s="213">
        <f t="shared" si="140"/>
        <v>680</v>
      </c>
      <c r="AE784" s="213">
        <v>1.2</v>
      </c>
      <c r="AF784" s="196">
        <v>14000000</v>
      </c>
      <c r="AG784" s="104">
        <f t="shared" si="141"/>
        <v>0.46052631578947367</v>
      </c>
      <c r="AH784" s="104">
        <f t="shared" si="142"/>
        <v>1.2727272727272727</v>
      </c>
      <c r="AI784" s="195">
        <v>1.3</v>
      </c>
    </row>
    <row r="785" spans="1:48">
      <c r="A785">
        <v>3611</v>
      </c>
      <c r="C785" s="107">
        <f>VLOOKUP(3611,收盤價!$A:$C,3,0)</f>
        <v>237.5</v>
      </c>
      <c r="D785" s="107">
        <f t="shared" si="132"/>
        <v>15.687113937985441</v>
      </c>
      <c r="E785" s="167">
        <f t="shared" si="133"/>
        <v>2</v>
      </c>
      <c r="F785" s="104">
        <f t="shared" si="134"/>
        <v>3.0589062973576402</v>
      </c>
      <c r="G785" s="167">
        <f>RANK(47.21,AE:AE,0)</f>
        <v>10</v>
      </c>
      <c r="H785" s="365">
        <f t="shared" si="135"/>
        <v>-2.8236567354214412</v>
      </c>
      <c r="I785" s="213">
        <f t="shared" si="136"/>
        <v>92</v>
      </c>
      <c r="J785" s="213">
        <f t="shared" si="137"/>
        <v>637</v>
      </c>
      <c r="K785">
        <f>RANK(2.14,AI:AI,0)</f>
        <v>304</v>
      </c>
      <c r="L785" s="357">
        <v>0</v>
      </c>
      <c r="M785" s="357">
        <v>1</v>
      </c>
      <c r="N785" s="357">
        <v>0</v>
      </c>
      <c r="O785" s="357">
        <v>1</v>
      </c>
      <c r="P785" s="357">
        <v>0</v>
      </c>
      <c r="Q785" s="358">
        <v>0.45661605206073752</v>
      </c>
      <c r="R785" s="359">
        <v>3.7849537037037044</v>
      </c>
      <c r="S785" s="196">
        <v>2989222000</v>
      </c>
      <c r="T785" s="196">
        <v>38500000</v>
      </c>
      <c r="U785" s="200">
        <f t="shared" si="138"/>
        <v>9143750000</v>
      </c>
      <c r="V785" s="196">
        <v>204000000</v>
      </c>
      <c r="W785" s="196">
        <v>658000000</v>
      </c>
      <c r="X785" s="196">
        <v>628000000</v>
      </c>
      <c r="Y785" s="196">
        <v>1861000000</v>
      </c>
      <c r="Z785" s="196">
        <v>260000000</v>
      </c>
      <c r="AA785" s="198">
        <v>0.16</v>
      </c>
      <c r="AB785" s="198">
        <v>0.1</v>
      </c>
      <c r="AC785" s="213">
        <f t="shared" si="139"/>
        <v>16</v>
      </c>
      <c r="AD785" s="213">
        <f t="shared" si="140"/>
        <v>17</v>
      </c>
      <c r="AE785" s="213">
        <v>47.21</v>
      </c>
      <c r="AF785" s="196">
        <v>134000000</v>
      </c>
      <c r="AG785" s="104">
        <f t="shared" si="141"/>
        <v>3.4805194805194803</v>
      </c>
      <c r="AH785" s="104">
        <f t="shared" si="142"/>
        <v>0.65686274509803921</v>
      </c>
      <c r="AI785" s="195">
        <v>2.14</v>
      </c>
      <c r="AO785" s="213"/>
      <c r="AP785" s="213"/>
      <c r="AQ785" s="213"/>
      <c r="AR785" s="213"/>
      <c r="AS785" s="213"/>
      <c r="AT785" s="213"/>
      <c r="AU785" s="213"/>
      <c r="AV785" s="213"/>
    </row>
    <row r="786" spans="1:48">
      <c r="A786">
        <v>3615</v>
      </c>
      <c r="C786" s="107">
        <f>VLOOKUP(3615,收盤價!$A:$C,3,0)</f>
        <v>18.3</v>
      </c>
      <c r="D786" s="107">
        <f t="shared" si="132"/>
        <v>0</v>
      </c>
      <c r="E786" s="167">
        <f t="shared" si="133"/>
        <v>2</v>
      </c>
      <c r="F786" s="104">
        <f t="shared" si="134"/>
        <v>1.7031356900772354</v>
      </c>
      <c r="G786" s="167">
        <f>RANK(0.84,AE:AE,0)</f>
        <v>946</v>
      </c>
      <c r="H786" s="365">
        <f t="shared" si="135"/>
        <v>-0.65155807365439089</v>
      </c>
      <c r="I786" s="213">
        <f t="shared" si="136"/>
        <v>670</v>
      </c>
      <c r="J786" s="213">
        <f t="shared" si="137"/>
        <v>768</v>
      </c>
      <c r="K786">
        <f>RANK(1.08,AI:AI,0)</f>
        <v>817</v>
      </c>
      <c r="L786" s="357">
        <v>0</v>
      </c>
      <c r="M786" s="357">
        <v>1</v>
      </c>
      <c r="N786" s="357">
        <v>0</v>
      </c>
      <c r="O786" s="357">
        <v>1</v>
      </c>
      <c r="P786" s="357">
        <v>0</v>
      </c>
      <c r="Q786" s="358">
        <v>0.05</v>
      </c>
      <c r="R786" s="359">
        <v>0</v>
      </c>
      <c r="S786" s="196">
        <v>758589000</v>
      </c>
      <c r="T786" s="196">
        <v>70600000</v>
      </c>
      <c r="U786" s="200">
        <f t="shared" si="138"/>
        <v>1291980000</v>
      </c>
      <c r="V786" s="196">
        <v>-6000000</v>
      </c>
      <c r="W786" s="196">
        <v>696000000</v>
      </c>
      <c r="X786" s="196">
        <v>1759000000</v>
      </c>
      <c r="Y786" s="196">
        <v>2561000000</v>
      </c>
      <c r="Z786" s="196">
        <v>73000000</v>
      </c>
      <c r="AA786" s="198">
        <v>0</v>
      </c>
      <c r="AB786" s="198">
        <v>0</v>
      </c>
      <c r="AC786" s="213">
        <f t="shared" si="139"/>
        <v>945</v>
      </c>
      <c r="AD786" s="213">
        <f t="shared" si="140"/>
        <v>911</v>
      </c>
      <c r="AE786" s="213">
        <v>0.84</v>
      </c>
      <c r="AF786" s="196">
        <v>46000000</v>
      </c>
      <c r="AG786" s="104">
        <f t="shared" si="141"/>
        <v>0.65155807365439089</v>
      </c>
      <c r="AH786" s="104">
        <f t="shared" si="142"/>
        <v>0</v>
      </c>
      <c r="AI786" s="195">
        <v>1.08</v>
      </c>
    </row>
    <row r="787" spans="1:48">
      <c r="A787">
        <v>3617</v>
      </c>
      <c r="C787" s="107">
        <f>VLOOKUP(3617,收盤價!$A:$C,3,0)</f>
        <v>92.7</v>
      </c>
      <c r="D787" s="107">
        <f t="shared" si="132"/>
        <v>8.5783534462752389</v>
      </c>
      <c r="E787" s="167">
        <f t="shared" si="133"/>
        <v>3</v>
      </c>
      <c r="F787" s="104">
        <f t="shared" si="134"/>
        <v>1.0722962782485754</v>
      </c>
      <c r="G787" s="167">
        <f>RANK(14.04,AE:AE,0)</f>
        <v>54</v>
      </c>
      <c r="H787" s="365">
        <f t="shared" si="135"/>
        <v>-1.0517331149964824</v>
      </c>
      <c r="I787" s="213">
        <f t="shared" si="136"/>
        <v>368</v>
      </c>
      <c r="J787" s="213">
        <f t="shared" si="137"/>
        <v>711</v>
      </c>
      <c r="K787">
        <f>RANK(1.44,AI:AI,0)</f>
        <v>595</v>
      </c>
      <c r="L787" s="357">
        <v>0</v>
      </c>
      <c r="M787" s="357">
        <v>1</v>
      </c>
      <c r="N787" s="357">
        <v>2</v>
      </c>
      <c r="O787" s="357">
        <v>0</v>
      </c>
      <c r="P787" s="357">
        <v>0</v>
      </c>
      <c r="Q787" s="358">
        <v>0.46066838046272496</v>
      </c>
      <c r="R787" s="359">
        <v>2.7015673981191219</v>
      </c>
      <c r="S787" s="196">
        <v>6993804000</v>
      </c>
      <c r="T787" s="196">
        <v>80900000</v>
      </c>
      <c r="U787" s="200">
        <f t="shared" si="138"/>
        <v>7499430000</v>
      </c>
      <c r="V787" s="196">
        <v>311000000</v>
      </c>
      <c r="W787" s="196">
        <v>3051000000</v>
      </c>
      <c r="X787" s="196">
        <v>267000000</v>
      </c>
      <c r="Y787" s="196">
        <v>3732000000</v>
      </c>
      <c r="Z787" s="196">
        <v>0</v>
      </c>
      <c r="AA787" s="198">
        <v>0.09</v>
      </c>
      <c r="AB787" s="198">
        <v>0.08</v>
      </c>
      <c r="AC787" s="213">
        <f t="shared" si="139"/>
        <v>69</v>
      </c>
      <c r="AD787" s="213">
        <f t="shared" si="140"/>
        <v>42</v>
      </c>
      <c r="AE787" s="213">
        <v>14.04</v>
      </c>
      <c r="AF787" s="196">
        <v>115000000</v>
      </c>
      <c r="AG787" s="104">
        <f t="shared" si="141"/>
        <v>1.4215080346106304</v>
      </c>
      <c r="AH787" s="104">
        <f t="shared" si="142"/>
        <v>0.36977491961414793</v>
      </c>
      <c r="AI787" s="195">
        <v>1.44</v>
      </c>
    </row>
    <row r="788" spans="1:48">
      <c r="A788">
        <v>3622</v>
      </c>
      <c r="C788" s="107">
        <f>VLOOKUP(3622,收盤價!$A:$C,3,0)</f>
        <v>12.3</v>
      </c>
      <c r="D788" s="107">
        <f t="shared" si="132"/>
        <v>0</v>
      </c>
      <c r="E788" s="167">
        <f t="shared" si="133"/>
        <v>3</v>
      </c>
      <c r="F788" s="104">
        <f t="shared" si="134"/>
        <v>1.1575278902898998</v>
      </c>
      <c r="G788" s="167">
        <f>RANK(0.84,AE:AE,0)</f>
        <v>946</v>
      </c>
      <c r="H788" s="365">
        <f t="shared" si="135"/>
        <v>-0.46265697290152014</v>
      </c>
      <c r="I788" s="213">
        <f t="shared" si="136"/>
        <v>766</v>
      </c>
      <c r="J788" s="213">
        <f t="shared" si="137"/>
        <v>768</v>
      </c>
      <c r="K788">
        <f>RANK(1.02,AI:AI,0)</f>
        <v>862</v>
      </c>
      <c r="L788" s="357">
        <v>1</v>
      </c>
      <c r="M788" s="357">
        <v>1</v>
      </c>
      <c r="N788" s="357">
        <v>0</v>
      </c>
      <c r="O788" s="357">
        <v>1</v>
      </c>
      <c r="P788" s="357">
        <v>0</v>
      </c>
      <c r="Q788" s="358">
        <v>0.16519174041297935</v>
      </c>
      <c r="R788" s="359">
        <v>0</v>
      </c>
      <c r="S788" s="196">
        <v>1607728000</v>
      </c>
      <c r="T788" s="196">
        <v>151300000</v>
      </c>
      <c r="U788" s="200">
        <f t="shared" si="138"/>
        <v>1860990000</v>
      </c>
      <c r="V788" s="196">
        <v>-17000000</v>
      </c>
      <c r="W788" s="196">
        <v>2023000000</v>
      </c>
      <c r="X788" s="196">
        <v>1381000000</v>
      </c>
      <c r="Y788" s="196">
        <v>4115000000</v>
      </c>
      <c r="Z788" s="196">
        <v>0</v>
      </c>
      <c r="AA788" s="198">
        <v>0</v>
      </c>
      <c r="AB788" s="198">
        <v>0</v>
      </c>
      <c r="AC788" s="213">
        <f t="shared" si="139"/>
        <v>945</v>
      </c>
      <c r="AD788" s="213">
        <f t="shared" si="140"/>
        <v>911</v>
      </c>
      <c r="AE788" s="213">
        <v>0.84</v>
      </c>
      <c r="AF788" s="196">
        <v>70000000</v>
      </c>
      <c r="AG788" s="104">
        <f t="shared" si="141"/>
        <v>0.46265697290152014</v>
      </c>
      <c r="AH788" s="104">
        <f t="shared" si="142"/>
        <v>0</v>
      </c>
      <c r="AI788" s="195">
        <v>1.02</v>
      </c>
      <c r="AO788" s="213"/>
      <c r="AP788" s="213"/>
      <c r="AQ788" s="213"/>
      <c r="AR788" s="213"/>
      <c r="AS788" s="213"/>
      <c r="AT788" s="213"/>
      <c r="AU788" s="213"/>
      <c r="AV788" s="213"/>
    </row>
    <row r="789" spans="1:48">
      <c r="A789">
        <v>3623</v>
      </c>
      <c r="C789" s="107">
        <f>VLOOKUP(3623,收盤價!$A:$C,3,0)</f>
        <v>53.5</v>
      </c>
      <c r="D789" s="107">
        <f t="shared" si="132"/>
        <v>11.209282099936749</v>
      </c>
      <c r="E789" s="167">
        <f t="shared" si="133"/>
        <v>2</v>
      </c>
      <c r="F789" s="104">
        <f t="shared" si="134"/>
        <v>2.1165038430510368</v>
      </c>
      <c r="G789" s="167">
        <f>RANK(15.43,AE:AE,0)</f>
        <v>51</v>
      </c>
      <c r="H789" s="365">
        <f t="shared" si="135"/>
        <v>-0.47266106442577027</v>
      </c>
      <c r="I789" s="213">
        <f t="shared" si="136"/>
        <v>300</v>
      </c>
      <c r="J789" s="213">
        <f t="shared" si="137"/>
        <v>468</v>
      </c>
      <c r="K789">
        <f>RANK(2.03,AI:AI,0)</f>
        <v>328</v>
      </c>
      <c r="L789" s="357">
        <v>0</v>
      </c>
      <c r="M789" s="357">
        <v>1</v>
      </c>
      <c r="N789" s="357">
        <v>0</v>
      </c>
      <c r="O789" s="357">
        <v>1</v>
      </c>
      <c r="P789" s="357">
        <v>0</v>
      </c>
      <c r="Q789" s="358">
        <v>0.35820895522388058</v>
      </c>
      <c r="R789" s="359">
        <v>1.1932075471698114</v>
      </c>
      <c r="S789" s="196">
        <v>902408000</v>
      </c>
      <c r="T789" s="196">
        <v>35700000</v>
      </c>
      <c r="U789" s="200">
        <f t="shared" si="138"/>
        <v>1909950000</v>
      </c>
      <c r="V789" s="196">
        <v>50000000</v>
      </c>
      <c r="W789" s="196">
        <v>450000000</v>
      </c>
      <c r="X789" s="196">
        <v>113000000</v>
      </c>
      <c r="Y789" s="196">
        <v>576000000</v>
      </c>
      <c r="Z789" s="196">
        <v>0</v>
      </c>
      <c r="AA789" s="198">
        <v>0.09</v>
      </c>
      <c r="AB789" s="198">
        <v>0.09</v>
      </c>
      <c r="AC789" s="213">
        <f t="shared" si="139"/>
        <v>69</v>
      </c>
      <c r="AD789" s="213">
        <f t="shared" si="140"/>
        <v>32</v>
      </c>
      <c r="AE789" s="213">
        <v>15.43</v>
      </c>
      <c r="AF789" s="196">
        <v>59000000</v>
      </c>
      <c r="AG789" s="104">
        <f t="shared" si="141"/>
        <v>1.6526610644257702</v>
      </c>
      <c r="AH789" s="104">
        <f t="shared" si="142"/>
        <v>1.18</v>
      </c>
      <c r="AI789" s="195">
        <v>2.0299999999999998</v>
      </c>
      <c r="AO789" s="213"/>
      <c r="AP789" s="213"/>
      <c r="AS789" s="213"/>
    </row>
    <row r="790" spans="1:48">
      <c r="A790">
        <v>3624</v>
      </c>
      <c r="C790" s="107">
        <f>VLOOKUP(3624,收盤價!$A:$C,3,0)</f>
        <v>22.6</v>
      </c>
      <c r="D790" s="107">
        <f t="shared" si="132"/>
        <v>13.717361429225837</v>
      </c>
      <c r="E790" s="167">
        <f t="shared" si="133"/>
        <v>4</v>
      </c>
      <c r="F790" s="104">
        <f t="shared" si="134"/>
        <v>1.5915913391802192</v>
      </c>
      <c r="G790" s="167">
        <f>RANK(1.63,AE:AE,0)</f>
        <v>551</v>
      </c>
      <c r="H790" s="365">
        <f t="shared" si="135"/>
        <v>0.88124886447807926</v>
      </c>
      <c r="I790" s="213">
        <f t="shared" si="136"/>
        <v>538</v>
      </c>
      <c r="J790" s="213">
        <f t="shared" si="137"/>
        <v>292</v>
      </c>
      <c r="K790">
        <f>RANK(1.88,AI:AI,0)</f>
        <v>389</v>
      </c>
      <c r="L790" s="357">
        <v>0</v>
      </c>
      <c r="M790" s="357">
        <v>1</v>
      </c>
      <c r="N790" s="357">
        <v>2</v>
      </c>
      <c r="O790" s="357">
        <v>1</v>
      </c>
      <c r="P790" s="357">
        <v>0</v>
      </c>
      <c r="Q790" s="358">
        <v>0.29735682819383258</v>
      </c>
      <c r="R790" s="359">
        <v>0.41188679245283016</v>
      </c>
      <c r="S790" s="196">
        <v>1665616000</v>
      </c>
      <c r="T790" s="196">
        <v>117300000</v>
      </c>
      <c r="U790" s="200">
        <f t="shared" si="138"/>
        <v>2650980000</v>
      </c>
      <c r="V790" s="196">
        <v>61000000</v>
      </c>
      <c r="W790" s="196">
        <v>979000000</v>
      </c>
      <c r="X790" s="196">
        <v>1312000000</v>
      </c>
      <c r="Y790" s="196">
        <v>2269000000</v>
      </c>
      <c r="Z790" s="196">
        <v>348000000</v>
      </c>
      <c r="AA790" s="198">
        <v>0.03</v>
      </c>
      <c r="AB790" s="198">
        <v>0.02</v>
      </c>
      <c r="AC790" s="213">
        <f t="shared" si="139"/>
        <v>469</v>
      </c>
      <c r="AD790" s="213">
        <f t="shared" si="140"/>
        <v>487</v>
      </c>
      <c r="AE790" s="213">
        <v>1.63</v>
      </c>
      <c r="AF790" s="196">
        <v>112000000</v>
      </c>
      <c r="AG790" s="104">
        <f t="shared" si="141"/>
        <v>0.95481670929241258</v>
      </c>
      <c r="AH790" s="104">
        <f t="shared" si="142"/>
        <v>1.8360655737704918</v>
      </c>
      <c r="AI790" s="195">
        <v>1.88</v>
      </c>
    </row>
    <row r="791" spans="1:48">
      <c r="A791">
        <v>3625</v>
      </c>
      <c r="C791" s="107">
        <f>VLOOKUP(3625,收盤價!$A:$C,3,0)</f>
        <v>17.8</v>
      </c>
      <c r="D791" s="107">
        <f t="shared" si="132"/>
        <v>20.227272727272727</v>
      </c>
      <c r="E791" s="167">
        <f t="shared" si="133"/>
        <v>3</v>
      </c>
      <c r="F791" s="104">
        <f t="shared" si="134"/>
        <v>1.1354983966705328</v>
      </c>
      <c r="G791" s="167">
        <f>RANK(1.36,AE:AE,0)</f>
        <v>694</v>
      </c>
      <c r="H791" s="365">
        <f t="shared" si="135"/>
        <v>0.51693404634581108</v>
      </c>
      <c r="I791" s="213">
        <f t="shared" si="136"/>
        <v>1349</v>
      </c>
      <c r="J791" s="213">
        <f t="shared" si="137"/>
        <v>768</v>
      </c>
      <c r="K791">
        <f>RANK(0.74,AI:AI,0)</f>
        <v>1324</v>
      </c>
      <c r="L791" s="357">
        <v>1</v>
      </c>
      <c r="M791" s="357">
        <v>1</v>
      </c>
      <c r="N791" s="357">
        <v>1</v>
      </c>
      <c r="O791" s="357">
        <v>0</v>
      </c>
      <c r="P791" s="357">
        <v>0</v>
      </c>
      <c r="Q791" s="358">
        <v>0.20270270270270271</v>
      </c>
      <c r="R791" s="359">
        <v>0.22</v>
      </c>
      <c r="S791" s="196">
        <v>879420000</v>
      </c>
      <c r="T791" s="196">
        <v>56100000</v>
      </c>
      <c r="U791" s="200">
        <f t="shared" si="138"/>
        <v>998580000</v>
      </c>
      <c r="V791" s="196">
        <v>14000000</v>
      </c>
      <c r="W791" s="196">
        <v>248000000</v>
      </c>
      <c r="X791" s="196">
        <v>201000000</v>
      </c>
      <c r="Y791" s="196">
        <v>485000000</v>
      </c>
      <c r="Z791" s="196">
        <v>524000000</v>
      </c>
      <c r="AA791" s="198">
        <v>0.03</v>
      </c>
      <c r="AB791" s="198">
        <v>0.01</v>
      </c>
      <c r="AC791" s="213">
        <f t="shared" si="139"/>
        <v>469</v>
      </c>
      <c r="AD791" s="213">
        <f t="shared" si="140"/>
        <v>680</v>
      </c>
      <c r="AE791" s="213">
        <v>1.36</v>
      </c>
      <c r="AF791" s="196">
        <v>-29000000</v>
      </c>
      <c r="AG791" s="104">
        <f t="shared" si="141"/>
        <v>-0.51693404634581108</v>
      </c>
      <c r="AH791" s="104">
        <f t="shared" si="142"/>
        <v>0</v>
      </c>
      <c r="AI791" s="195">
        <v>0.74</v>
      </c>
    </row>
    <row r="792" spans="1:48">
      <c r="A792">
        <v>3628</v>
      </c>
      <c r="C792" s="107">
        <f>VLOOKUP(3628,收盤價!$A:$C,3,0)</f>
        <v>42.75</v>
      </c>
      <c r="D792" s="107">
        <f t="shared" si="132"/>
        <v>11.60444108223567</v>
      </c>
      <c r="E792" s="167">
        <f t="shared" si="133"/>
        <v>1</v>
      </c>
      <c r="F792" s="104">
        <f t="shared" si="134"/>
        <v>0.77619452251781162</v>
      </c>
      <c r="G792" s="167">
        <f>RANK(1.94,AE:AE,0)</f>
        <v>435</v>
      </c>
      <c r="H792" s="365">
        <f t="shared" si="135"/>
        <v>-1.3417190775681348E-2</v>
      </c>
      <c r="I792" s="213">
        <f t="shared" si="136"/>
        <v>1001</v>
      </c>
      <c r="J792" s="213">
        <f t="shared" si="137"/>
        <v>761</v>
      </c>
      <c r="K792">
        <f>RANK(0.88,AI:AI,0)</f>
        <v>1021</v>
      </c>
      <c r="L792" s="357">
        <v>0</v>
      </c>
      <c r="M792" s="357">
        <v>1</v>
      </c>
      <c r="N792" s="357">
        <v>0</v>
      </c>
      <c r="O792" s="357">
        <v>0</v>
      </c>
      <c r="P792" s="357">
        <v>0</v>
      </c>
      <c r="Q792" s="358">
        <v>0.22899728997289973</v>
      </c>
      <c r="R792" s="359">
        <v>0.9209836065573771</v>
      </c>
      <c r="S792" s="196">
        <v>2478438000</v>
      </c>
      <c r="T792" s="196">
        <v>45000000</v>
      </c>
      <c r="U792" s="200">
        <f t="shared" si="138"/>
        <v>1923750000</v>
      </c>
      <c r="V792" s="196">
        <v>53000000</v>
      </c>
      <c r="W792" s="196">
        <v>661000000</v>
      </c>
      <c r="X792" s="196">
        <v>896000000</v>
      </c>
      <c r="Y792" s="196">
        <v>1597000000</v>
      </c>
      <c r="Z792" s="196">
        <v>95000000</v>
      </c>
      <c r="AA792" s="198">
        <v>0.03</v>
      </c>
      <c r="AB792" s="198">
        <v>0.03</v>
      </c>
      <c r="AC792" s="213">
        <f t="shared" si="139"/>
        <v>469</v>
      </c>
      <c r="AD792" s="213">
        <f t="shared" si="140"/>
        <v>334</v>
      </c>
      <c r="AE792" s="213">
        <v>1.94</v>
      </c>
      <c r="AF792" s="196">
        <v>4000000</v>
      </c>
      <c r="AG792" s="104">
        <f t="shared" si="141"/>
        <v>8.8888888888888892E-2</v>
      </c>
      <c r="AH792" s="104">
        <f t="shared" si="142"/>
        <v>7.5471698113207544E-2</v>
      </c>
      <c r="AI792" s="195">
        <v>0.88</v>
      </c>
    </row>
    <row r="793" spans="1:48">
      <c r="A793">
        <v>3629</v>
      </c>
      <c r="C793" s="107">
        <f>VLOOKUP(3629,收盤價!$A:$C,3,0)</f>
        <v>29.4</v>
      </c>
      <c r="D793" s="107">
        <f t="shared" si="132"/>
        <v>0</v>
      </c>
      <c r="E793" s="167">
        <f t="shared" si="133"/>
        <v>0</v>
      </c>
      <c r="F793" s="104">
        <f t="shared" si="134"/>
        <v>4.1354632798104767</v>
      </c>
      <c r="G793" s="167">
        <f>RANK(0.5,AE:AE,0)</f>
        <v>1545</v>
      </c>
      <c r="H793" s="365">
        <f t="shared" si="135"/>
        <v>0.35087719298245612</v>
      </c>
      <c r="I793" s="213">
        <f t="shared" si="136"/>
        <v>1292</v>
      </c>
      <c r="J793" s="213">
        <f t="shared" si="137"/>
        <v>768</v>
      </c>
      <c r="K793">
        <f>RANK(0.76,AI:AI,0)</f>
        <v>1269</v>
      </c>
      <c r="L793" s="357">
        <v>0</v>
      </c>
      <c r="M793" s="357">
        <v>0</v>
      </c>
      <c r="N793" s="357">
        <v>0</v>
      </c>
      <c r="O793" s="357">
        <v>0</v>
      </c>
      <c r="P793" s="357">
        <v>0</v>
      </c>
      <c r="Q793" s="358">
        <v>-0.34782608695652173</v>
      </c>
      <c r="R793" s="359">
        <v>0</v>
      </c>
      <c r="S793" s="196">
        <v>121568000</v>
      </c>
      <c r="T793" s="196">
        <v>17100000</v>
      </c>
      <c r="U793" s="200">
        <f t="shared" si="138"/>
        <v>502740000</v>
      </c>
      <c r="V793" s="196">
        <v>-25000000</v>
      </c>
      <c r="W793" s="196">
        <v>20000000</v>
      </c>
      <c r="X793" s="196">
        <v>72000000</v>
      </c>
      <c r="Y793" s="196">
        <v>128000000</v>
      </c>
      <c r="Z793" s="196">
        <v>97000000</v>
      </c>
      <c r="AA793" s="198">
        <v>-0.27</v>
      </c>
      <c r="AB793" s="198">
        <v>-0.11</v>
      </c>
      <c r="AC793" s="213">
        <f t="shared" si="139"/>
        <v>1546</v>
      </c>
      <c r="AD793" s="213">
        <f t="shared" si="140"/>
        <v>1540</v>
      </c>
      <c r="AE793" s="213">
        <v>0.5</v>
      </c>
      <c r="AF793" s="196">
        <v>-6000000</v>
      </c>
      <c r="AG793" s="104">
        <f t="shared" si="141"/>
        <v>-0.35087719298245612</v>
      </c>
      <c r="AH793" s="104">
        <f t="shared" si="142"/>
        <v>0</v>
      </c>
      <c r="AI793" s="195">
        <v>0.76</v>
      </c>
    </row>
    <row r="794" spans="1:48">
      <c r="A794">
        <v>3630</v>
      </c>
      <c r="C794" s="107">
        <f>VLOOKUP(3630,收盤價!$A:$C,3,0)</f>
        <v>18.45</v>
      </c>
      <c r="D794" s="107">
        <f t="shared" si="132"/>
        <v>0</v>
      </c>
      <c r="E794" s="167">
        <f t="shared" si="133"/>
        <v>2</v>
      </c>
      <c r="F794" s="104">
        <f t="shared" si="134"/>
        <v>1.8538074098101907</v>
      </c>
      <c r="G794" s="167">
        <f>RANK(0.52,AE:AE,0)</f>
        <v>1493</v>
      </c>
      <c r="H794" s="365">
        <f t="shared" si="135"/>
        <v>0.34448818897637795</v>
      </c>
      <c r="I794" s="213">
        <f t="shared" si="136"/>
        <v>1288</v>
      </c>
      <c r="J794" s="213">
        <f t="shared" si="137"/>
        <v>768</v>
      </c>
      <c r="K794">
        <f>RANK(0.76,AI:AI,0)</f>
        <v>1269</v>
      </c>
      <c r="L794" s="357">
        <v>0</v>
      </c>
      <c r="M794" s="357">
        <v>1</v>
      </c>
      <c r="N794" s="357">
        <v>1</v>
      </c>
      <c r="O794" s="357">
        <v>0</v>
      </c>
      <c r="P794" s="357">
        <v>0</v>
      </c>
      <c r="Q794" s="358">
        <v>-0.26739926739926739</v>
      </c>
      <c r="R794" s="359">
        <v>0</v>
      </c>
      <c r="S794" s="196">
        <v>1011173000</v>
      </c>
      <c r="T794" s="196">
        <v>101600000</v>
      </c>
      <c r="U794" s="200">
        <f t="shared" si="138"/>
        <v>1874520000</v>
      </c>
      <c r="V794" s="196">
        <v>-162000000</v>
      </c>
      <c r="W794" s="196">
        <v>0</v>
      </c>
      <c r="X794" s="196">
        <v>1744000000</v>
      </c>
      <c r="Y794" s="196">
        <v>1870000000</v>
      </c>
      <c r="Z794" s="196">
        <v>1138000000</v>
      </c>
      <c r="AA794" s="198">
        <v>-0.09</v>
      </c>
      <c r="AB794" s="198">
        <v>-0.05</v>
      </c>
      <c r="AC794" s="213">
        <f t="shared" si="139"/>
        <v>1514</v>
      </c>
      <c r="AD794" s="213">
        <f t="shared" si="140"/>
        <v>1500</v>
      </c>
      <c r="AE794" s="213">
        <v>0.52</v>
      </c>
      <c r="AF794" s="196">
        <v>-35000000</v>
      </c>
      <c r="AG794" s="104">
        <f t="shared" si="141"/>
        <v>-0.34448818897637795</v>
      </c>
      <c r="AH794" s="104">
        <f t="shared" si="142"/>
        <v>0</v>
      </c>
      <c r="AI794" s="195">
        <v>0.76</v>
      </c>
    </row>
    <row r="795" spans="1:48">
      <c r="A795">
        <v>3631</v>
      </c>
      <c r="C795" s="107">
        <f>VLOOKUP(3631,收盤價!$A:$C,3,0)</f>
        <v>23</v>
      </c>
      <c r="D795" s="107">
        <f t="shared" si="132"/>
        <v>0</v>
      </c>
      <c r="E795" s="167">
        <f t="shared" si="133"/>
        <v>2</v>
      </c>
      <c r="F795" s="104">
        <f t="shared" si="134"/>
        <v>3.8288208515204234</v>
      </c>
      <c r="G795" s="167">
        <f>RANK(0.84,AE:AE,0)</f>
        <v>946</v>
      </c>
      <c r="H795" s="365">
        <f t="shared" si="135"/>
        <v>0.15018773466833543</v>
      </c>
      <c r="I795" s="213">
        <f t="shared" si="136"/>
        <v>1176</v>
      </c>
      <c r="J795" s="213">
        <f t="shared" si="137"/>
        <v>768</v>
      </c>
      <c r="K795">
        <f>RANK(0.8,AI:AI,0)</f>
        <v>1168</v>
      </c>
      <c r="L795" s="357">
        <v>0</v>
      </c>
      <c r="M795" s="357">
        <v>1</v>
      </c>
      <c r="N795" s="357">
        <v>1</v>
      </c>
      <c r="O795" s="357">
        <v>0</v>
      </c>
      <c r="P795" s="357">
        <v>0</v>
      </c>
      <c r="Q795" s="358">
        <v>5.128205128205128E-2</v>
      </c>
      <c r="R795" s="359">
        <v>0</v>
      </c>
      <c r="S795" s="196">
        <v>479965000</v>
      </c>
      <c r="T795" s="196">
        <v>79900000</v>
      </c>
      <c r="U795" s="200">
        <f t="shared" si="138"/>
        <v>1837700000</v>
      </c>
      <c r="V795" s="196">
        <v>-3000000</v>
      </c>
      <c r="W795" s="196">
        <v>844000000</v>
      </c>
      <c r="X795" s="196">
        <v>422000000</v>
      </c>
      <c r="Y795" s="196">
        <v>1214000000</v>
      </c>
      <c r="Z795" s="196">
        <v>580000000</v>
      </c>
      <c r="AA795" s="198">
        <v>0</v>
      </c>
      <c r="AB795" s="198">
        <v>0</v>
      </c>
      <c r="AC795" s="213">
        <f t="shared" si="139"/>
        <v>945</v>
      </c>
      <c r="AD795" s="213">
        <f t="shared" si="140"/>
        <v>911</v>
      </c>
      <c r="AE795" s="213">
        <v>0.84</v>
      </c>
      <c r="AF795" s="196">
        <v>-12000000</v>
      </c>
      <c r="AG795" s="104">
        <f t="shared" si="141"/>
        <v>-0.15018773466833543</v>
      </c>
      <c r="AH795" s="104">
        <f t="shared" si="142"/>
        <v>0</v>
      </c>
      <c r="AI795" s="195">
        <v>0.8</v>
      </c>
      <c r="AO795" s="213"/>
      <c r="AP795" s="213"/>
      <c r="AQ795" s="213"/>
      <c r="AR795" s="213"/>
      <c r="AS795" s="213"/>
      <c r="AT795" s="213"/>
      <c r="AU795" s="213"/>
      <c r="AV795" s="213"/>
    </row>
    <row r="796" spans="1:48">
      <c r="A796">
        <v>3632</v>
      </c>
      <c r="C796" s="107">
        <f>VLOOKUP(3632,收盤價!$A:$C,3,0)</f>
        <v>18.75</v>
      </c>
      <c r="D796" s="107">
        <f t="shared" si="132"/>
        <v>0</v>
      </c>
      <c r="E796" s="167">
        <f t="shared" si="133"/>
        <v>1</v>
      </c>
      <c r="F796" s="104">
        <f t="shared" si="134"/>
        <v>0.51896351079938352</v>
      </c>
      <c r="G796" s="167">
        <f>RANK(0.54,AE:AE,0)</f>
        <v>1453</v>
      </c>
      <c r="H796" s="365">
        <f t="shared" si="135"/>
        <v>-0.22727272727272727</v>
      </c>
      <c r="I796" s="213">
        <f t="shared" si="136"/>
        <v>911</v>
      </c>
      <c r="J796" s="213">
        <f t="shared" si="137"/>
        <v>768</v>
      </c>
      <c r="K796">
        <f>RANK(0.93,AI:AI,0)</f>
        <v>950</v>
      </c>
      <c r="L796" s="357">
        <v>0</v>
      </c>
      <c r="M796" s="357">
        <v>0</v>
      </c>
      <c r="N796" s="357">
        <v>0</v>
      </c>
      <c r="O796" s="357">
        <v>1</v>
      </c>
      <c r="P796" s="357">
        <v>0</v>
      </c>
      <c r="Q796" s="358">
        <v>0.18811881188118812</v>
      </c>
      <c r="R796" s="359">
        <v>0</v>
      </c>
      <c r="S796" s="196">
        <v>1112795000</v>
      </c>
      <c r="T796" s="196">
        <v>30800000</v>
      </c>
      <c r="U796" s="200">
        <f t="shared" si="138"/>
        <v>577500000</v>
      </c>
      <c r="V796" s="196">
        <v>-19000000</v>
      </c>
      <c r="W796" s="196">
        <v>64000000</v>
      </c>
      <c r="X796" s="196">
        <v>245000000</v>
      </c>
      <c r="Y796" s="196">
        <v>426000000</v>
      </c>
      <c r="Z796" s="196">
        <v>406000000</v>
      </c>
      <c r="AA796" s="198">
        <v>-0.06</v>
      </c>
      <c r="AB796" s="198">
        <v>-0.02</v>
      </c>
      <c r="AC796" s="213">
        <f t="shared" si="139"/>
        <v>1484</v>
      </c>
      <c r="AD796" s="213">
        <f t="shared" si="140"/>
        <v>1388</v>
      </c>
      <c r="AE796" s="213">
        <v>0.54</v>
      </c>
      <c r="AF796" s="196">
        <v>7000000</v>
      </c>
      <c r="AG796" s="104">
        <f t="shared" si="141"/>
        <v>0.22727272727272727</v>
      </c>
      <c r="AH796" s="104">
        <f t="shared" si="142"/>
        <v>0</v>
      </c>
      <c r="AI796" s="195">
        <v>0.93</v>
      </c>
      <c r="AO796" s="213"/>
      <c r="AP796" s="213"/>
      <c r="AQ796" s="213"/>
      <c r="AR796" s="213"/>
      <c r="AS796" s="213"/>
      <c r="AT796" s="213"/>
      <c r="AU796" s="213"/>
      <c r="AV796" s="213"/>
    </row>
    <row r="797" spans="1:48">
      <c r="A797">
        <v>3642</v>
      </c>
      <c r="C797" s="107">
        <f>VLOOKUP(3642,收盤價!$A:$C,3,0)</f>
        <v>28.25</v>
      </c>
      <c r="D797" s="107">
        <f t="shared" si="132"/>
        <v>0</v>
      </c>
      <c r="E797" s="167">
        <f t="shared" si="133"/>
        <v>3</v>
      </c>
      <c r="F797" s="104">
        <f t="shared" si="134"/>
        <v>1.6472998323544419</v>
      </c>
      <c r="G797" s="167">
        <f>RANK(0.53,AE:AE,0)</f>
        <v>1475</v>
      </c>
      <c r="H797" s="365">
        <f t="shared" si="135"/>
        <v>-0.32894736842105265</v>
      </c>
      <c r="I797" s="213">
        <f t="shared" si="136"/>
        <v>840</v>
      </c>
      <c r="J797" s="213">
        <f t="shared" si="137"/>
        <v>768</v>
      </c>
      <c r="K797">
        <f>RANK(0.97,AI:AI,0)</f>
        <v>912</v>
      </c>
      <c r="L797" s="357">
        <v>0</v>
      </c>
      <c r="M797" s="357">
        <v>1</v>
      </c>
      <c r="N797" s="357">
        <v>1</v>
      </c>
      <c r="O797" s="357">
        <v>1</v>
      </c>
      <c r="P797" s="357">
        <v>0</v>
      </c>
      <c r="Q797" s="358">
        <v>8.1632653061224483E-2</v>
      </c>
      <c r="R797" s="359">
        <v>0</v>
      </c>
      <c r="S797" s="196">
        <v>521338000</v>
      </c>
      <c r="T797" s="196">
        <v>30400000</v>
      </c>
      <c r="U797" s="200">
        <f t="shared" si="138"/>
        <v>858800000</v>
      </c>
      <c r="V797" s="196">
        <v>-27000000</v>
      </c>
      <c r="W797" s="196">
        <v>503000000</v>
      </c>
      <c r="X797" s="196">
        <v>117000000</v>
      </c>
      <c r="Y797" s="196">
        <v>590000000</v>
      </c>
      <c r="Z797" s="196">
        <v>0</v>
      </c>
      <c r="AA797" s="198">
        <v>-0.04</v>
      </c>
      <c r="AB797" s="198">
        <v>-0.05</v>
      </c>
      <c r="AC797" s="213">
        <f t="shared" si="139"/>
        <v>1444</v>
      </c>
      <c r="AD797" s="213">
        <f t="shared" si="140"/>
        <v>1500</v>
      </c>
      <c r="AE797" s="213">
        <v>0.53</v>
      </c>
      <c r="AF797" s="196">
        <v>10000000</v>
      </c>
      <c r="AG797" s="104">
        <f t="shared" si="141"/>
        <v>0.32894736842105265</v>
      </c>
      <c r="AH797" s="104">
        <f t="shared" si="142"/>
        <v>0</v>
      </c>
      <c r="AI797" s="195">
        <v>0.97</v>
      </c>
      <c r="AO797" s="213"/>
      <c r="AP797" s="213"/>
      <c r="AQ797" s="213"/>
      <c r="AR797" s="213"/>
      <c r="AS797" s="213"/>
      <c r="AT797" s="213"/>
      <c r="AU797" s="213"/>
      <c r="AV797" s="213"/>
    </row>
    <row r="798" spans="1:48">
      <c r="A798">
        <v>3645</v>
      </c>
      <c r="C798" s="107">
        <f>VLOOKUP(3645,收盤價!$A:$C,3,0)</f>
        <v>31.5</v>
      </c>
      <c r="D798" s="107">
        <f t="shared" si="132"/>
        <v>24.609375</v>
      </c>
      <c r="E798" s="167">
        <f t="shared" si="133"/>
        <v>4</v>
      </c>
      <c r="F798" s="104">
        <f t="shared" si="134"/>
        <v>2.4141003671970624</v>
      </c>
      <c r="G798" s="167">
        <f>RANK(0.84,AE:AE,0)</f>
        <v>946</v>
      </c>
      <c r="H798" s="365">
        <f t="shared" si="135"/>
        <v>-0.47700170357751276</v>
      </c>
      <c r="I798" s="213">
        <f t="shared" si="136"/>
        <v>754</v>
      </c>
      <c r="J798" s="213">
        <f t="shared" si="137"/>
        <v>768</v>
      </c>
      <c r="K798">
        <f>RANK(1.02,AI:AI,0)</f>
        <v>862</v>
      </c>
      <c r="L798" s="357">
        <v>0</v>
      </c>
      <c r="M798" s="357">
        <v>1</v>
      </c>
      <c r="N798" s="357">
        <v>2</v>
      </c>
      <c r="O798" s="357">
        <v>1</v>
      </c>
      <c r="P798" s="357">
        <v>0</v>
      </c>
      <c r="Q798" s="358">
        <v>0.25</v>
      </c>
      <c r="R798" s="359">
        <v>0.32</v>
      </c>
      <c r="S798" s="196">
        <v>1531875000</v>
      </c>
      <c r="T798" s="196">
        <v>117400000</v>
      </c>
      <c r="U798" s="200">
        <f t="shared" si="138"/>
        <v>3698100000</v>
      </c>
      <c r="V798" s="196">
        <v>0</v>
      </c>
      <c r="W798" s="196">
        <v>419000000</v>
      </c>
      <c r="X798" s="196">
        <v>2208000000</v>
      </c>
      <c r="Y798" s="196">
        <v>1941000000</v>
      </c>
      <c r="Z798" s="196">
        <v>482000000</v>
      </c>
      <c r="AA798" s="198">
        <v>0</v>
      </c>
      <c r="AB798" s="198">
        <v>0</v>
      </c>
      <c r="AC798" s="213">
        <f t="shared" si="139"/>
        <v>945</v>
      </c>
      <c r="AD798" s="213">
        <f t="shared" si="140"/>
        <v>911</v>
      </c>
      <c r="AE798" s="213">
        <v>0.84</v>
      </c>
      <c r="AF798" s="196">
        <v>56000000</v>
      </c>
      <c r="AG798" s="104">
        <f t="shared" si="141"/>
        <v>0.47700170357751276</v>
      </c>
      <c r="AH798" s="104">
        <f t="shared" si="142"/>
        <v>0</v>
      </c>
      <c r="AI798" s="195">
        <v>1.02</v>
      </c>
      <c r="AO798" s="213"/>
      <c r="AP798" s="213"/>
      <c r="AQ798" s="213"/>
      <c r="AR798" s="213"/>
      <c r="AS798" s="213"/>
      <c r="AT798" s="213"/>
      <c r="AU798" s="213"/>
      <c r="AV798" s="213"/>
    </row>
    <row r="799" spans="1:48">
      <c r="A799">
        <v>3646</v>
      </c>
      <c r="C799" s="107">
        <f>VLOOKUP(3646,收盤價!$A:$C,3,0)</f>
        <v>16.55</v>
      </c>
      <c r="D799" s="107">
        <f t="shared" si="132"/>
        <v>53.967391304347835</v>
      </c>
      <c r="E799" s="167">
        <f t="shared" si="133"/>
        <v>2</v>
      </c>
      <c r="F799" s="104">
        <f t="shared" si="134"/>
        <v>1.1719221519207943</v>
      </c>
      <c r="G799" s="167">
        <f>RANK(1.08,AE:AE,0)</f>
        <v>769</v>
      </c>
      <c r="H799" s="365">
        <f t="shared" si="135"/>
        <v>9.5302245250431792</v>
      </c>
      <c r="I799" s="213">
        <f t="shared" si="136"/>
        <v>608</v>
      </c>
      <c r="J799" s="213">
        <f t="shared" si="137"/>
        <v>39</v>
      </c>
      <c r="K799">
        <f>RANK(2.41,AI:AI,0)</f>
        <v>258</v>
      </c>
      <c r="L799" s="357">
        <v>0</v>
      </c>
      <c r="M799" s="357">
        <v>1</v>
      </c>
      <c r="N799" s="357">
        <v>0</v>
      </c>
      <c r="O799" s="357">
        <v>1</v>
      </c>
      <c r="P799" s="357">
        <v>0</v>
      </c>
      <c r="Q799" s="358">
        <v>0.29133858267716534</v>
      </c>
      <c r="R799" s="359">
        <v>7.6666666666666661E-2</v>
      </c>
      <c r="S799" s="196">
        <v>545113000</v>
      </c>
      <c r="T799" s="196">
        <v>38600000</v>
      </c>
      <c r="U799" s="200">
        <f t="shared" si="138"/>
        <v>638830000</v>
      </c>
      <c r="V799" s="196">
        <v>3000000</v>
      </c>
      <c r="W799" s="196">
        <v>337000000</v>
      </c>
      <c r="X799" s="196">
        <v>100000000</v>
      </c>
      <c r="Y799" s="196">
        <v>470000000</v>
      </c>
      <c r="Z799" s="196">
        <v>30000000</v>
      </c>
      <c r="AA799" s="198">
        <v>0.01</v>
      </c>
      <c r="AB799" s="198">
        <v>0.01</v>
      </c>
      <c r="AC799" s="213">
        <f t="shared" si="139"/>
        <v>769</v>
      </c>
      <c r="AD799" s="213">
        <f t="shared" si="140"/>
        <v>680</v>
      </c>
      <c r="AE799" s="213">
        <v>1.08</v>
      </c>
      <c r="AF799" s="196">
        <v>31000000</v>
      </c>
      <c r="AG799" s="104">
        <f t="shared" si="141"/>
        <v>0.80310880829015541</v>
      </c>
      <c r="AH799" s="104">
        <f t="shared" si="142"/>
        <v>10.333333333333334</v>
      </c>
      <c r="AI799" s="195">
        <v>2.41</v>
      </c>
      <c r="AO799" s="213"/>
      <c r="AP799" s="213"/>
      <c r="AQ799" s="213"/>
      <c r="AR799" s="213"/>
      <c r="AS799" s="213"/>
      <c r="AT799" s="213"/>
      <c r="AU799" s="213"/>
      <c r="AV799" s="213"/>
    </row>
    <row r="800" spans="1:48">
      <c r="A800">
        <v>3652</v>
      </c>
      <c r="C800" s="107">
        <f>VLOOKUP(3652,收盤價!$A:$C,3,0)</f>
        <v>21.95</v>
      </c>
      <c r="D800" s="107">
        <f t="shared" si="132"/>
        <v>30.288149350649348</v>
      </c>
      <c r="E800" s="167">
        <f t="shared" si="133"/>
        <v>2</v>
      </c>
      <c r="F800" s="104">
        <f t="shared" si="134"/>
        <v>0.49873575540071308</v>
      </c>
      <c r="G800" s="167">
        <f>RANK(1.08,AE:AE,0)</f>
        <v>769</v>
      </c>
      <c r="H800" s="365">
        <f t="shared" si="135"/>
        <v>1.1013431013431014</v>
      </c>
      <c r="I800" s="213">
        <f t="shared" si="136"/>
        <v>758</v>
      </c>
      <c r="J800" s="213">
        <f t="shared" si="137"/>
        <v>355</v>
      </c>
      <c r="K800">
        <f>RANK(1.4,AI:AI,0)</f>
        <v>622</v>
      </c>
      <c r="L800" s="357">
        <v>0</v>
      </c>
      <c r="M800" s="357">
        <v>1</v>
      </c>
      <c r="N800" s="357">
        <v>1</v>
      </c>
      <c r="O800" s="357">
        <v>0</v>
      </c>
      <c r="P800" s="357">
        <v>0</v>
      </c>
      <c r="Q800" s="358">
        <v>0.34423076923076923</v>
      </c>
      <c r="R800" s="359">
        <v>0.1811764705882353</v>
      </c>
      <c r="S800" s="196">
        <v>2059728000</v>
      </c>
      <c r="T800" s="196">
        <v>46800000</v>
      </c>
      <c r="U800" s="200">
        <f t="shared" si="138"/>
        <v>1027260000</v>
      </c>
      <c r="V800" s="196">
        <v>14000000</v>
      </c>
      <c r="W800" s="196">
        <v>685000000</v>
      </c>
      <c r="X800" s="196">
        <v>353000000</v>
      </c>
      <c r="Y800" s="196">
        <v>1119000000</v>
      </c>
      <c r="Z800" s="196">
        <v>0</v>
      </c>
      <c r="AA800" s="198">
        <v>0.01</v>
      </c>
      <c r="AB800" s="198">
        <v>0.01</v>
      </c>
      <c r="AC800" s="213">
        <f t="shared" si="139"/>
        <v>769</v>
      </c>
      <c r="AD800" s="213">
        <f t="shared" si="140"/>
        <v>680</v>
      </c>
      <c r="AE800" s="213">
        <v>1.08</v>
      </c>
      <c r="AF800" s="196">
        <v>22000000</v>
      </c>
      <c r="AG800" s="104">
        <f t="shared" si="141"/>
        <v>0.47008547008547008</v>
      </c>
      <c r="AH800" s="104">
        <f t="shared" si="142"/>
        <v>1.5714285714285714</v>
      </c>
      <c r="AI800" s="195">
        <v>1.4</v>
      </c>
    </row>
    <row r="801" spans="1:48">
      <c r="A801">
        <v>3653</v>
      </c>
      <c r="C801" s="107">
        <f>VLOOKUP(3653,收盤價!$A:$C,3,0)</f>
        <v>51.2</v>
      </c>
      <c r="D801" s="107">
        <f t="shared" si="132"/>
        <v>20.210526315789473</v>
      </c>
      <c r="E801" s="167">
        <f t="shared" si="133"/>
        <v>4</v>
      </c>
      <c r="F801" s="104">
        <f t="shared" si="134"/>
        <v>1.6457835143448447</v>
      </c>
      <c r="G801" s="167">
        <f>RANK(1.41,AE:AE,0)</f>
        <v>618</v>
      </c>
      <c r="H801" s="365">
        <f t="shared" si="135"/>
        <v>0.57214252116650988</v>
      </c>
      <c r="I801" s="213">
        <f t="shared" si="136"/>
        <v>275</v>
      </c>
      <c r="J801" s="213">
        <f t="shared" si="137"/>
        <v>210</v>
      </c>
      <c r="K801">
        <f>RANK(3.21,AI:AI,0)</f>
        <v>147</v>
      </c>
      <c r="L801" s="357">
        <v>0</v>
      </c>
      <c r="M801" s="357">
        <v>1</v>
      </c>
      <c r="N801" s="357">
        <v>2</v>
      </c>
      <c r="O801" s="357">
        <v>1</v>
      </c>
      <c r="P801" s="357">
        <v>0</v>
      </c>
      <c r="Q801" s="358">
        <v>0.25316455696202533</v>
      </c>
      <c r="R801" s="359">
        <v>0.63333333333333341</v>
      </c>
      <c r="S801" s="196">
        <v>3306972000</v>
      </c>
      <c r="T801" s="196">
        <v>106300000</v>
      </c>
      <c r="U801" s="200">
        <f t="shared" si="138"/>
        <v>5442560000</v>
      </c>
      <c r="V801" s="196">
        <v>80000000</v>
      </c>
      <c r="W801" s="196">
        <v>2381000000</v>
      </c>
      <c r="X801" s="196">
        <v>1722000000</v>
      </c>
      <c r="Y801" s="196">
        <v>4173000000</v>
      </c>
      <c r="Z801" s="196">
        <v>0</v>
      </c>
      <c r="AA801" s="198">
        <v>0.02</v>
      </c>
      <c r="AB801" s="198">
        <v>0.02</v>
      </c>
      <c r="AC801" s="213">
        <f t="shared" si="139"/>
        <v>616</v>
      </c>
      <c r="AD801" s="213">
        <f t="shared" si="140"/>
        <v>487</v>
      </c>
      <c r="AE801" s="213">
        <v>1.41</v>
      </c>
      <c r="AF801" s="196">
        <v>185000000</v>
      </c>
      <c r="AG801" s="104">
        <f t="shared" si="141"/>
        <v>1.7403574788334901</v>
      </c>
      <c r="AH801" s="104">
        <f t="shared" si="142"/>
        <v>2.3125</v>
      </c>
      <c r="AI801" s="195">
        <v>3.21</v>
      </c>
    </row>
    <row r="802" spans="1:48">
      <c r="A802">
        <v>3658</v>
      </c>
      <c r="C802" s="107">
        <f>VLOOKUP(3658,收盤價!$A:$C,3,0)</f>
        <v>1385</v>
      </c>
      <c r="D802" s="107">
        <f t="shared" si="132"/>
        <v>52.211158485856906</v>
      </c>
      <c r="E802" s="167">
        <f t="shared" si="133"/>
        <v>1</v>
      </c>
      <c r="F802" s="104">
        <f t="shared" si="134"/>
        <v>18.226562088750857</v>
      </c>
      <c r="G802" s="167">
        <f>RANK(3.92,AE:AE,0)</f>
        <v>209</v>
      </c>
      <c r="H802" s="365">
        <f t="shared" si="135"/>
        <v>18.028169014084508</v>
      </c>
      <c r="I802" s="213">
        <f t="shared" si="136"/>
        <v>1556</v>
      </c>
      <c r="J802" s="213">
        <f t="shared" si="137"/>
        <v>768</v>
      </c>
      <c r="K802">
        <f>RANK(0.67,AI:AI,0)</f>
        <v>1541</v>
      </c>
      <c r="L802" s="357">
        <v>0</v>
      </c>
      <c r="M802" s="357">
        <v>1</v>
      </c>
      <c r="N802" s="357">
        <v>0</v>
      </c>
      <c r="O802" s="357">
        <v>0</v>
      </c>
      <c r="P802" s="357">
        <v>0</v>
      </c>
      <c r="Q802" s="358">
        <v>0.70127260549229742</v>
      </c>
      <c r="R802" s="359">
        <v>6.6317241379310348</v>
      </c>
      <c r="S802" s="196">
        <v>5395148000</v>
      </c>
      <c r="T802" s="196">
        <v>71000000</v>
      </c>
      <c r="U802" s="200">
        <f t="shared" si="138"/>
        <v>98335000000</v>
      </c>
      <c r="V802" s="196">
        <v>600000000</v>
      </c>
      <c r="W802" s="196">
        <v>11100000000</v>
      </c>
      <c r="X802" s="196">
        <v>1035000000</v>
      </c>
      <c r="Y802" s="196">
        <v>12349000000</v>
      </c>
      <c r="Z802" s="196">
        <v>0</v>
      </c>
      <c r="AA802" s="198">
        <v>0.05</v>
      </c>
      <c r="AB802" s="198">
        <v>0.05</v>
      </c>
      <c r="AC802" s="213">
        <f t="shared" si="139"/>
        <v>247</v>
      </c>
      <c r="AD802" s="213">
        <f t="shared" si="140"/>
        <v>150</v>
      </c>
      <c r="AE802" s="213">
        <v>3.92</v>
      </c>
      <c r="AF802" s="196">
        <v>-1280000000</v>
      </c>
      <c r="AG802" s="104">
        <f t="shared" si="141"/>
        <v>-18.028169014084508</v>
      </c>
      <c r="AH802" s="104">
        <f t="shared" si="142"/>
        <v>0</v>
      </c>
      <c r="AI802" s="195">
        <v>0.67</v>
      </c>
    </row>
    <row r="803" spans="1:48">
      <c r="A803">
        <v>3661</v>
      </c>
      <c r="C803" s="107">
        <f>VLOOKUP(3661,收盤價!$A:$C,3,0)</f>
        <v>27.7</v>
      </c>
      <c r="D803" s="107">
        <f t="shared" si="132"/>
        <v>0</v>
      </c>
      <c r="E803" s="167">
        <f t="shared" si="133"/>
        <v>0</v>
      </c>
      <c r="F803" s="104">
        <f t="shared" si="134"/>
        <v>0.44485915131264891</v>
      </c>
      <c r="G803" s="167">
        <f>RANK(0.51,AE:AE,0)</f>
        <v>1523</v>
      </c>
      <c r="H803" s="365">
        <f t="shared" si="135"/>
        <v>1.4935064935064934</v>
      </c>
      <c r="I803" s="213">
        <f t="shared" si="136"/>
        <v>1479</v>
      </c>
      <c r="J803" s="213">
        <f t="shared" si="137"/>
        <v>768</v>
      </c>
      <c r="K803">
        <f>RANK(0.69,AI:AI,0)</f>
        <v>1474</v>
      </c>
      <c r="L803" s="357">
        <v>0</v>
      </c>
      <c r="M803" s="357">
        <v>0</v>
      </c>
      <c r="N803" s="357">
        <v>0</v>
      </c>
      <c r="O803" s="357">
        <v>0</v>
      </c>
      <c r="P803" s="357">
        <v>0</v>
      </c>
      <c r="Q803" s="358">
        <v>2.0884520884520884E-2</v>
      </c>
      <c r="R803" s="359">
        <v>0</v>
      </c>
      <c r="S803" s="196">
        <v>3835641000</v>
      </c>
      <c r="T803" s="196">
        <v>61600000</v>
      </c>
      <c r="U803" s="200">
        <f t="shared" si="138"/>
        <v>1706320000</v>
      </c>
      <c r="V803" s="196">
        <v>-194000000</v>
      </c>
      <c r="W803" s="196">
        <v>1254000000</v>
      </c>
      <c r="X803" s="196">
        <v>349000000</v>
      </c>
      <c r="Y803" s="196">
        <v>2557000000</v>
      </c>
      <c r="Z803" s="196">
        <v>202000000</v>
      </c>
      <c r="AA803" s="198">
        <v>-0.12</v>
      </c>
      <c r="AB803" s="198">
        <v>-7.0000000000000007E-2</v>
      </c>
      <c r="AC803" s="213">
        <f t="shared" si="139"/>
        <v>1527</v>
      </c>
      <c r="AD803" s="213">
        <f t="shared" si="140"/>
        <v>1526</v>
      </c>
      <c r="AE803" s="213">
        <v>0.51</v>
      </c>
      <c r="AF803" s="196">
        <v>-92000000</v>
      </c>
      <c r="AG803" s="104">
        <f t="shared" si="141"/>
        <v>-1.4935064935064934</v>
      </c>
      <c r="AH803" s="104">
        <f t="shared" si="142"/>
        <v>0</v>
      </c>
      <c r="AI803" s="195">
        <v>0.69</v>
      </c>
    </row>
    <row r="804" spans="1:48">
      <c r="A804">
        <v>3662</v>
      </c>
      <c r="C804" s="107">
        <f>VLOOKUP(3662,收盤價!$A:$C,3,0)</f>
        <v>17.850000000000001</v>
      </c>
      <c r="D804" s="107">
        <f t="shared" si="132"/>
        <v>16.551818181818181</v>
      </c>
      <c r="E804" s="167">
        <f t="shared" si="133"/>
        <v>2</v>
      </c>
      <c r="F804" s="104">
        <f t="shared" si="134"/>
        <v>1.114531108356613</v>
      </c>
      <c r="G804" s="167">
        <f>RANK(1.36,AE:AE,0)</f>
        <v>694</v>
      </c>
      <c r="H804" s="365">
        <f t="shared" si="135"/>
        <v>2.2268663647973974E-2</v>
      </c>
      <c r="I804" s="213">
        <f t="shared" si="136"/>
        <v>552</v>
      </c>
      <c r="J804" s="213">
        <f t="shared" si="137"/>
        <v>546</v>
      </c>
      <c r="K804">
        <f>RANK(1.42,AI:AI,0)</f>
        <v>606</v>
      </c>
      <c r="L804" s="357">
        <v>0</v>
      </c>
      <c r="M804" s="357">
        <v>1</v>
      </c>
      <c r="N804" s="357">
        <v>0</v>
      </c>
      <c r="O804" s="357">
        <v>1</v>
      </c>
      <c r="P804" s="357">
        <v>0</v>
      </c>
      <c r="Q804" s="358">
        <v>0.6405990016638935</v>
      </c>
      <c r="R804" s="359">
        <v>0.26960784313725494</v>
      </c>
      <c r="S804" s="196">
        <v>2378332000</v>
      </c>
      <c r="T804" s="196">
        <v>148500000</v>
      </c>
      <c r="U804" s="200">
        <f t="shared" si="138"/>
        <v>2650725000</v>
      </c>
      <c r="V804" s="196">
        <v>145000000</v>
      </c>
      <c r="W804" s="196">
        <v>4341000000</v>
      </c>
      <c r="X804" s="196">
        <v>141000000</v>
      </c>
      <c r="Y804" s="196">
        <v>9857000000</v>
      </c>
      <c r="Z804" s="196">
        <v>2000000000</v>
      </c>
      <c r="AA804" s="198">
        <v>0.03</v>
      </c>
      <c r="AB804" s="198">
        <v>0.01</v>
      </c>
      <c r="AC804" s="213">
        <f t="shared" si="139"/>
        <v>469</v>
      </c>
      <c r="AD804" s="213">
        <f t="shared" si="140"/>
        <v>680</v>
      </c>
      <c r="AE804" s="213">
        <v>1.36</v>
      </c>
      <c r="AF804" s="196">
        <v>137000000</v>
      </c>
      <c r="AG804" s="104">
        <f t="shared" si="141"/>
        <v>0.92255892255892258</v>
      </c>
      <c r="AH804" s="104">
        <f t="shared" si="142"/>
        <v>0.94482758620689655</v>
      </c>
      <c r="AI804" s="195">
        <v>1.42</v>
      </c>
    </row>
    <row r="805" spans="1:48">
      <c r="A805">
        <v>3663</v>
      </c>
      <c r="C805" s="107">
        <f>VLOOKUP(3663,收盤價!$A:$C,3,0)</f>
        <v>17.600000000000001</v>
      </c>
      <c r="D805" s="107">
        <f t="shared" si="132"/>
        <v>0</v>
      </c>
      <c r="E805" s="167">
        <f t="shared" si="133"/>
        <v>3</v>
      </c>
      <c r="F805" s="104">
        <f t="shared" si="134"/>
        <v>0.51088130579618851</v>
      </c>
      <c r="G805" s="167">
        <f>RANK(0.84,AE:AE,0)</f>
        <v>946</v>
      </c>
      <c r="H805" s="365">
        <f t="shared" si="135"/>
        <v>58.197278911564624</v>
      </c>
      <c r="I805" s="213">
        <f t="shared" si="136"/>
        <v>609</v>
      </c>
      <c r="J805" s="213">
        <f t="shared" si="137"/>
        <v>1</v>
      </c>
      <c r="K805">
        <f>RANK(2.55,AI:AI,0)</f>
        <v>224</v>
      </c>
      <c r="L805" s="357">
        <v>0</v>
      </c>
      <c r="M805" s="357">
        <v>1</v>
      </c>
      <c r="N805" s="357">
        <v>2</v>
      </c>
      <c r="O805" s="357">
        <v>0</v>
      </c>
      <c r="P805" s="357">
        <v>0</v>
      </c>
      <c r="Q805" s="358">
        <v>4.9342105263157895E-2</v>
      </c>
      <c r="R805" s="359">
        <v>0</v>
      </c>
      <c r="S805" s="196">
        <v>2532095000</v>
      </c>
      <c r="T805" s="196">
        <v>73500000</v>
      </c>
      <c r="U805" s="200">
        <f t="shared" si="138"/>
        <v>1293600000</v>
      </c>
      <c r="V805" s="196">
        <v>1000000</v>
      </c>
      <c r="W805" s="196">
        <v>480000000</v>
      </c>
      <c r="X805" s="196">
        <v>528000000</v>
      </c>
      <c r="Y805" s="196">
        <v>1134000000</v>
      </c>
      <c r="Z805" s="196">
        <v>284000000</v>
      </c>
      <c r="AA805" s="198">
        <v>0</v>
      </c>
      <c r="AB805" s="198">
        <v>0</v>
      </c>
      <c r="AC805" s="213">
        <f t="shared" si="139"/>
        <v>945</v>
      </c>
      <c r="AD805" s="213">
        <f t="shared" si="140"/>
        <v>911</v>
      </c>
      <c r="AE805" s="213">
        <v>0.84</v>
      </c>
      <c r="AF805" s="196">
        <v>59000000</v>
      </c>
      <c r="AG805" s="104">
        <f t="shared" si="141"/>
        <v>0.80272108843537415</v>
      </c>
      <c r="AH805" s="104">
        <f t="shared" si="142"/>
        <v>59</v>
      </c>
      <c r="AI805" s="195">
        <v>2.5499999999999998</v>
      </c>
    </row>
    <row r="806" spans="1:48">
      <c r="A806">
        <v>3664</v>
      </c>
      <c r="C806" s="107">
        <f>VLOOKUP(3664,收盤價!$A:$C,3,0)</f>
        <v>15.15</v>
      </c>
      <c r="D806" s="107">
        <f t="shared" si="132"/>
        <v>0</v>
      </c>
      <c r="E806" s="167">
        <f t="shared" si="133"/>
        <v>2</v>
      </c>
      <c r="F806" s="104">
        <f t="shared" si="134"/>
        <v>1.2985744086618674</v>
      </c>
      <c r="G806" s="167">
        <f>RANK(0.53,AE:AE,0)</f>
        <v>1475</v>
      </c>
      <c r="H806" s="365">
        <f t="shared" si="135"/>
        <v>0.48192771084337349</v>
      </c>
      <c r="I806" s="213">
        <f t="shared" si="136"/>
        <v>1341</v>
      </c>
      <c r="J806" s="213">
        <f t="shared" si="137"/>
        <v>768</v>
      </c>
      <c r="K806">
        <f>RANK(0.74,AI:AI,0)</f>
        <v>1324</v>
      </c>
      <c r="L806" s="357">
        <v>0</v>
      </c>
      <c r="M806" s="357">
        <v>1</v>
      </c>
      <c r="N806" s="357">
        <v>1</v>
      </c>
      <c r="O806" s="357">
        <v>0</v>
      </c>
      <c r="P806" s="357">
        <v>0</v>
      </c>
      <c r="Q806" s="358">
        <v>0.75369458128078815</v>
      </c>
      <c r="R806" s="359">
        <v>0</v>
      </c>
      <c r="S806" s="196">
        <v>871498000</v>
      </c>
      <c r="T806" s="196">
        <v>74700000</v>
      </c>
      <c r="U806" s="200">
        <f t="shared" si="138"/>
        <v>1131705000</v>
      </c>
      <c r="V806" s="196">
        <v>-46000000</v>
      </c>
      <c r="W806" s="196">
        <v>1028000000</v>
      </c>
      <c r="X806" s="196">
        <v>30000000</v>
      </c>
      <c r="Y806" s="196">
        <v>1119000000</v>
      </c>
      <c r="Z806" s="196">
        <v>0</v>
      </c>
      <c r="AA806" s="198">
        <v>-0.04</v>
      </c>
      <c r="AB806" s="198">
        <v>-0.04</v>
      </c>
      <c r="AC806" s="213">
        <f t="shared" si="139"/>
        <v>1444</v>
      </c>
      <c r="AD806" s="213">
        <f t="shared" si="140"/>
        <v>1483</v>
      </c>
      <c r="AE806" s="213">
        <v>0.53</v>
      </c>
      <c r="AF806" s="196">
        <v>-36000000</v>
      </c>
      <c r="AG806" s="104">
        <f t="shared" si="141"/>
        <v>-0.48192771084337349</v>
      </c>
      <c r="AH806" s="104">
        <f t="shared" si="142"/>
        <v>0</v>
      </c>
      <c r="AI806" s="195">
        <v>0.74</v>
      </c>
    </row>
    <row r="807" spans="1:48">
      <c r="A807">
        <v>3665</v>
      </c>
      <c r="C807" s="107">
        <f>VLOOKUP(3665,收盤價!$A:$C,3,0)</f>
        <v>157</v>
      </c>
      <c r="D807" s="107">
        <f t="shared" si="132"/>
        <v>19.522543901281445</v>
      </c>
      <c r="E807" s="167">
        <f t="shared" si="133"/>
        <v>4</v>
      </c>
      <c r="F807" s="104">
        <f t="shared" si="134"/>
        <v>1.6520519116099615</v>
      </c>
      <c r="G807" s="167">
        <f>RANK(3.61,AE:AE,0)</f>
        <v>249</v>
      </c>
      <c r="H807" s="365">
        <f t="shared" si="135"/>
        <v>-3.2776984609782032</v>
      </c>
      <c r="I807" s="213">
        <f t="shared" si="136"/>
        <v>36</v>
      </c>
      <c r="J807" s="213">
        <f t="shared" si="137"/>
        <v>291</v>
      </c>
      <c r="K807">
        <f>RANK(4.76,AI:AI,0)</f>
        <v>72</v>
      </c>
      <c r="L807" s="357">
        <v>0</v>
      </c>
      <c r="M807" s="357">
        <v>1</v>
      </c>
      <c r="N807" s="357">
        <v>2</v>
      </c>
      <c r="O807" s="357">
        <v>1</v>
      </c>
      <c r="P807" s="357">
        <v>0</v>
      </c>
      <c r="Q807" s="358">
        <v>0.27894736842105261</v>
      </c>
      <c r="R807" s="359">
        <v>2.0104961832061066</v>
      </c>
      <c r="S807" s="196">
        <v>8866610000</v>
      </c>
      <c r="T807" s="196">
        <v>93300000</v>
      </c>
      <c r="U807" s="200">
        <f t="shared" si="138"/>
        <v>14648100000</v>
      </c>
      <c r="V807" s="196">
        <v>259000000</v>
      </c>
      <c r="W807" s="196">
        <v>4898000000</v>
      </c>
      <c r="X807" s="196">
        <v>1686000000</v>
      </c>
      <c r="Y807" s="196">
        <v>4512000000</v>
      </c>
      <c r="Z807" s="196">
        <v>89000000</v>
      </c>
      <c r="AA807" s="198">
        <v>0.04</v>
      </c>
      <c r="AB807" s="198">
        <v>0.06</v>
      </c>
      <c r="AC807" s="213">
        <f t="shared" si="139"/>
        <v>337</v>
      </c>
      <c r="AD807" s="213">
        <f t="shared" si="140"/>
        <v>95</v>
      </c>
      <c r="AE807" s="213">
        <v>3.61</v>
      </c>
      <c r="AF807" s="196">
        <v>478000000</v>
      </c>
      <c r="AG807" s="104">
        <f t="shared" si="141"/>
        <v>5.123258306538049</v>
      </c>
      <c r="AH807" s="104">
        <f t="shared" si="142"/>
        <v>1.8455598455598456</v>
      </c>
      <c r="AI807" s="195">
        <v>4.76</v>
      </c>
      <c r="AO807" s="213"/>
      <c r="AP807" s="213"/>
      <c r="AS807" s="213"/>
    </row>
    <row r="808" spans="1:48">
      <c r="A808">
        <v>3666</v>
      </c>
      <c r="C808" s="107">
        <f>VLOOKUP(3666,收盤價!$A:$C,3,0)</f>
        <v>29.35</v>
      </c>
      <c r="D808" s="107">
        <f t="shared" si="132"/>
        <v>34.394531250000007</v>
      </c>
      <c r="E808" s="167">
        <f t="shared" si="133"/>
        <v>2</v>
      </c>
      <c r="F808" s="104">
        <f t="shared" si="134"/>
        <v>1.0620402848679271</v>
      </c>
      <c r="G808" s="167">
        <f>RANK(2.32,AE:AE,0)</f>
        <v>360</v>
      </c>
      <c r="H808" s="365">
        <f t="shared" si="135"/>
        <v>0.47035573122529639</v>
      </c>
      <c r="I808" s="213">
        <f t="shared" si="136"/>
        <v>505</v>
      </c>
      <c r="J808" s="213">
        <f t="shared" si="137"/>
        <v>385</v>
      </c>
      <c r="K808">
        <f>RANK(1.75,AI:AI,0)</f>
        <v>437</v>
      </c>
      <c r="L808" s="357">
        <v>0</v>
      </c>
      <c r="M808" s="357">
        <v>1</v>
      </c>
      <c r="N808" s="357">
        <v>0</v>
      </c>
      <c r="O808" s="357">
        <v>1</v>
      </c>
      <c r="P808" s="357">
        <v>0</v>
      </c>
      <c r="Q808" s="358">
        <v>0.19551282051282051</v>
      </c>
      <c r="R808" s="359">
        <v>0.21333333333333332</v>
      </c>
      <c r="S808" s="196">
        <v>1334794000</v>
      </c>
      <c r="T808" s="196">
        <v>48300000</v>
      </c>
      <c r="U808" s="200">
        <f t="shared" si="138"/>
        <v>1417605000</v>
      </c>
      <c r="V808" s="196">
        <v>33000000</v>
      </c>
      <c r="W808" s="196">
        <v>593000000</v>
      </c>
      <c r="X808" s="196">
        <v>290000000</v>
      </c>
      <c r="Y808" s="196">
        <v>904000000</v>
      </c>
      <c r="Z808" s="196">
        <v>223000000</v>
      </c>
      <c r="AA808" s="198">
        <v>0.04</v>
      </c>
      <c r="AB808" s="198">
        <v>0.03</v>
      </c>
      <c r="AC808" s="213">
        <f t="shared" si="139"/>
        <v>337</v>
      </c>
      <c r="AD808" s="213">
        <f t="shared" si="140"/>
        <v>334</v>
      </c>
      <c r="AE808" s="213">
        <v>2.3199999999999998</v>
      </c>
      <c r="AF808" s="196">
        <v>49000000</v>
      </c>
      <c r="AG808" s="104">
        <f t="shared" si="141"/>
        <v>1.0144927536231885</v>
      </c>
      <c r="AH808" s="104">
        <f t="shared" si="142"/>
        <v>1.4848484848484849</v>
      </c>
      <c r="AI808" s="195">
        <v>1.75</v>
      </c>
    </row>
    <row r="809" spans="1:48">
      <c r="A809">
        <v>3669</v>
      </c>
      <c r="C809" s="107">
        <f>VLOOKUP(3669,收盤價!$A:$C,3,0)</f>
        <v>20.75</v>
      </c>
      <c r="D809" s="107">
        <f t="shared" si="132"/>
        <v>12.305232558139535</v>
      </c>
      <c r="E809" s="167">
        <f t="shared" si="133"/>
        <v>4</v>
      </c>
      <c r="F809" s="104">
        <f t="shared" si="134"/>
        <v>1.1455772860159306</v>
      </c>
      <c r="G809" s="167">
        <f>RANK(1.41,AE:AE,0)</f>
        <v>618</v>
      </c>
      <c r="H809" s="365">
        <f t="shared" si="135"/>
        <v>0.89335426478283619</v>
      </c>
      <c r="I809" s="213">
        <f t="shared" si="136"/>
        <v>560</v>
      </c>
      <c r="J809" s="213">
        <f t="shared" si="137"/>
        <v>303</v>
      </c>
      <c r="K809">
        <f>RANK(1.81,AI:AI,0)</f>
        <v>410</v>
      </c>
      <c r="L809" s="357">
        <v>1</v>
      </c>
      <c r="M809" s="357">
        <v>1</v>
      </c>
      <c r="N809" s="357">
        <v>1</v>
      </c>
      <c r="O809" s="357">
        <v>1</v>
      </c>
      <c r="P809" s="357">
        <v>0</v>
      </c>
      <c r="Q809" s="358">
        <v>0.51593625498007967</v>
      </c>
      <c r="R809" s="359">
        <v>0.42156862745098039</v>
      </c>
      <c r="S809" s="196">
        <v>1766031000</v>
      </c>
      <c r="T809" s="196">
        <v>97500000</v>
      </c>
      <c r="U809" s="200">
        <f t="shared" si="138"/>
        <v>2023125000</v>
      </c>
      <c r="V809" s="196">
        <v>49000000</v>
      </c>
      <c r="W809" s="196">
        <v>949000000</v>
      </c>
      <c r="X809" s="196">
        <v>1349000000</v>
      </c>
      <c r="Y809" s="196">
        <v>2397000000</v>
      </c>
      <c r="Z809" s="196">
        <v>0</v>
      </c>
      <c r="AA809" s="198">
        <v>0.02</v>
      </c>
      <c r="AB809" s="198">
        <v>0.02</v>
      </c>
      <c r="AC809" s="213">
        <f t="shared" si="139"/>
        <v>616</v>
      </c>
      <c r="AD809" s="213">
        <f t="shared" si="140"/>
        <v>487</v>
      </c>
      <c r="AE809" s="213">
        <v>1.41</v>
      </c>
      <c r="AF809" s="196">
        <v>88000000</v>
      </c>
      <c r="AG809" s="104">
        <f t="shared" si="141"/>
        <v>0.90256410256410258</v>
      </c>
      <c r="AH809" s="104">
        <f t="shared" si="142"/>
        <v>1.7959183673469388</v>
      </c>
      <c r="AI809" s="195">
        <v>1.81</v>
      </c>
    </row>
    <row r="810" spans="1:48">
      <c r="A810">
        <v>3672</v>
      </c>
      <c r="C810" s="107">
        <f>VLOOKUP(3672,收盤價!$A:$C,3,0)</f>
        <v>31.45</v>
      </c>
      <c r="D810" s="107">
        <f t="shared" si="132"/>
        <v>13.859322033898305</v>
      </c>
      <c r="E810" s="167">
        <f t="shared" si="133"/>
        <v>2</v>
      </c>
      <c r="F810" s="104">
        <f t="shared" si="134"/>
        <v>1.0652885725411942</v>
      </c>
      <c r="G810" s="167">
        <f>RANK(3.92,AE:AE,0)</f>
        <v>209</v>
      </c>
      <c r="H810" s="365">
        <f t="shared" si="135"/>
        <v>0.32908163265306123</v>
      </c>
      <c r="I810" s="213">
        <f t="shared" si="136"/>
        <v>356</v>
      </c>
      <c r="J810" s="213">
        <f t="shared" si="137"/>
        <v>306</v>
      </c>
      <c r="K810">
        <f>RANK(2.35,AI:AI,0)</f>
        <v>268</v>
      </c>
      <c r="L810" s="357">
        <v>0</v>
      </c>
      <c r="M810" s="357">
        <v>1</v>
      </c>
      <c r="N810" s="357">
        <v>0</v>
      </c>
      <c r="O810" s="357">
        <v>1</v>
      </c>
      <c r="P810" s="357">
        <v>0</v>
      </c>
      <c r="Q810" s="358">
        <v>0.33636363636363636</v>
      </c>
      <c r="R810" s="359">
        <v>0.56730769230769229</v>
      </c>
      <c r="S810" s="196">
        <v>867962000</v>
      </c>
      <c r="T810" s="196">
        <v>29400000</v>
      </c>
      <c r="U810" s="200">
        <f t="shared" si="138"/>
        <v>924630000</v>
      </c>
      <c r="V810" s="196">
        <v>24000000</v>
      </c>
      <c r="W810" s="196">
        <v>306000000</v>
      </c>
      <c r="X810" s="196">
        <v>131000000</v>
      </c>
      <c r="Y810" s="196">
        <v>492000000</v>
      </c>
      <c r="Z810" s="196">
        <v>13000000</v>
      </c>
      <c r="AA810" s="198">
        <v>0.05</v>
      </c>
      <c r="AB810" s="198">
        <v>0.05</v>
      </c>
      <c r="AC810" s="213">
        <f t="shared" si="139"/>
        <v>247</v>
      </c>
      <c r="AD810" s="213">
        <f t="shared" si="140"/>
        <v>150</v>
      </c>
      <c r="AE810" s="213">
        <v>3.92</v>
      </c>
      <c r="AF810" s="196">
        <v>43000000</v>
      </c>
      <c r="AG810" s="104">
        <f t="shared" si="141"/>
        <v>1.4625850340136055</v>
      </c>
      <c r="AH810" s="104">
        <f t="shared" si="142"/>
        <v>1.7916666666666667</v>
      </c>
      <c r="AI810" s="195">
        <v>2.35</v>
      </c>
    </row>
    <row r="811" spans="1:48">
      <c r="A811">
        <v>3673</v>
      </c>
      <c r="C811" s="107">
        <f>VLOOKUP(3673,收盤價!$A:$C,3,0)</f>
        <v>48.7</v>
      </c>
      <c r="D811" s="107">
        <f t="shared" si="132"/>
        <v>0</v>
      </c>
      <c r="E811" s="167">
        <f t="shared" si="133"/>
        <v>2</v>
      </c>
      <c r="F811" s="104">
        <f t="shared" si="134"/>
        <v>0.16094028511703729</v>
      </c>
      <c r="G811" s="167">
        <f>RANK(0.53,AE:AE,0)</f>
        <v>1475</v>
      </c>
      <c r="H811" s="365">
        <f t="shared" si="135"/>
        <v>-0.74725908828620891</v>
      </c>
      <c r="I811" s="213">
        <f t="shared" si="136"/>
        <v>629</v>
      </c>
      <c r="J811" s="213">
        <f t="shared" si="137"/>
        <v>768</v>
      </c>
      <c r="K811">
        <f>RANK(1.12,AI:AI,0)</f>
        <v>782</v>
      </c>
      <c r="L811" s="357">
        <v>0</v>
      </c>
      <c r="M811" s="357">
        <v>0</v>
      </c>
      <c r="N811" s="357">
        <v>1</v>
      </c>
      <c r="O811" s="357">
        <v>1</v>
      </c>
      <c r="P811" s="357">
        <v>0</v>
      </c>
      <c r="Q811" s="358">
        <v>-9.2947029558091893E-2</v>
      </c>
      <c r="R811" s="359">
        <v>0</v>
      </c>
      <c r="S811" s="196">
        <v>104880018000</v>
      </c>
      <c r="T811" s="196">
        <v>346600000</v>
      </c>
      <c r="U811" s="200">
        <f t="shared" si="138"/>
        <v>16879420000.000002</v>
      </c>
      <c r="V811" s="196">
        <v>-2503000000</v>
      </c>
      <c r="W811" s="196">
        <v>0</v>
      </c>
      <c r="X811" s="196">
        <v>43871000000</v>
      </c>
      <c r="Y811" s="196">
        <v>28605000000</v>
      </c>
      <c r="Z811" s="196">
        <v>33935000000</v>
      </c>
      <c r="AA811" s="198">
        <v>-0.06</v>
      </c>
      <c r="AB811" s="198">
        <v>-0.04</v>
      </c>
      <c r="AC811" s="213">
        <f t="shared" si="139"/>
        <v>1484</v>
      </c>
      <c r="AD811" s="213">
        <f t="shared" si="140"/>
        <v>1483</v>
      </c>
      <c r="AE811" s="213">
        <v>0.53</v>
      </c>
      <c r="AF811" s="196">
        <v>259000000</v>
      </c>
      <c r="AG811" s="104">
        <f t="shared" si="141"/>
        <v>0.74725908828620891</v>
      </c>
      <c r="AH811" s="104">
        <f t="shared" si="142"/>
        <v>0</v>
      </c>
      <c r="AI811" s="195">
        <v>1.1200000000000001</v>
      </c>
    </row>
    <row r="812" spans="1:48">
      <c r="A812">
        <v>3675</v>
      </c>
      <c r="C812" s="107">
        <f>VLOOKUP(3675,收盤價!$A:$C,3,0)</f>
        <v>27.95</v>
      </c>
      <c r="D812" s="107">
        <f t="shared" si="132"/>
        <v>11.27016129032258</v>
      </c>
      <c r="E812" s="167">
        <f t="shared" si="133"/>
        <v>4</v>
      </c>
      <c r="F812" s="104">
        <f t="shared" si="134"/>
        <v>1.1846035332491403</v>
      </c>
      <c r="G812" s="167">
        <f>RANK(2.76,AE:AE,0)</f>
        <v>305</v>
      </c>
      <c r="H812" s="365">
        <f t="shared" si="135"/>
        <v>0.24699699699699695</v>
      </c>
      <c r="I812" s="213">
        <f t="shared" si="136"/>
        <v>487</v>
      </c>
      <c r="J812" s="213">
        <f t="shared" si="137"/>
        <v>428</v>
      </c>
      <c r="K812">
        <f>RANK(1.7,AI:AI,0)</f>
        <v>456</v>
      </c>
      <c r="L812" s="357">
        <v>0</v>
      </c>
      <c r="M812" s="357">
        <v>1</v>
      </c>
      <c r="N812" s="357">
        <v>2</v>
      </c>
      <c r="O812" s="357">
        <v>1</v>
      </c>
      <c r="P812" s="357">
        <v>0</v>
      </c>
      <c r="Q812" s="358">
        <v>0.21276595744680851</v>
      </c>
      <c r="R812" s="359">
        <v>0.62</v>
      </c>
      <c r="S812" s="196">
        <v>1047591000</v>
      </c>
      <c r="T812" s="196">
        <v>44400000</v>
      </c>
      <c r="U812" s="200">
        <f t="shared" si="138"/>
        <v>1240980000</v>
      </c>
      <c r="V812" s="196">
        <v>36000000</v>
      </c>
      <c r="W812" s="196">
        <v>529000000</v>
      </c>
      <c r="X812" s="196">
        <v>382000000</v>
      </c>
      <c r="Y812" s="196">
        <v>969000000</v>
      </c>
      <c r="Z812" s="196">
        <v>0</v>
      </c>
      <c r="AA812" s="198">
        <v>0.04</v>
      </c>
      <c r="AB812" s="198">
        <v>0.04</v>
      </c>
      <c r="AC812" s="213">
        <f t="shared" si="139"/>
        <v>337</v>
      </c>
      <c r="AD812" s="213">
        <f t="shared" si="140"/>
        <v>228</v>
      </c>
      <c r="AE812" s="213">
        <v>2.76</v>
      </c>
      <c r="AF812" s="196">
        <v>47000000</v>
      </c>
      <c r="AG812" s="104">
        <f t="shared" si="141"/>
        <v>1.0585585585585586</v>
      </c>
      <c r="AH812" s="104">
        <f t="shared" si="142"/>
        <v>1.3055555555555556</v>
      </c>
      <c r="AI812" s="195">
        <v>1.7</v>
      </c>
      <c r="AO812" s="213"/>
      <c r="AP812" s="213"/>
      <c r="AQ812" s="213"/>
      <c r="AR812" s="213"/>
      <c r="AS812" s="213"/>
      <c r="AT812" s="213"/>
      <c r="AU812" s="213"/>
      <c r="AV812" s="213"/>
    </row>
    <row r="813" spans="1:48">
      <c r="A813">
        <v>3679</v>
      </c>
      <c r="C813" s="107">
        <f>VLOOKUP(3679,收盤價!$A:$C,3,0)</f>
        <v>73.5</v>
      </c>
      <c r="D813" s="107">
        <f t="shared" si="132"/>
        <v>14.358974358974361</v>
      </c>
      <c r="E813" s="167">
        <f t="shared" si="133"/>
        <v>3</v>
      </c>
      <c r="F813" s="104">
        <f t="shared" si="134"/>
        <v>1.3694363060893922</v>
      </c>
      <c r="G813" s="167">
        <f>RANK(1.64,AE:AE,0)</f>
        <v>539</v>
      </c>
      <c r="H813" s="365">
        <f t="shared" si="135"/>
        <v>-3.5871393128481373</v>
      </c>
      <c r="I813" s="213">
        <f t="shared" si="136"/>
        <v>9</v>
      </c>
      <c r="J813" s="213">
        <f t="shared" si="137"/>
        <v>69</v>
      </c>
      <c r="K813">
        <f>RANK(19.97,AI:AI,0)</f>
        <v>5</v>
      </c>
      <c r="L813" s="357">
        <v>1</v>
      </c>
      <c r="M813" s="357">
        <v>1</v>
      </c>
      <c r="N813" s="357">
        <v>0</v>
      </c>
      <c r="O813" s="357">
        <v>1</v>
      </c>
      <c r="P813" s="357">
        <v>0</v>
      </c>
      <c r="Q813" s="358">
        <v>0.26579739217652959</v>
      </c>
      <c r="R813" s="359">
        <v>1.2796874999999999</v>
      </c>
      <c r="S813" s="196">
        <v>4309839000</v>
      </c>
      <c r="T813" s="196">
        <v>80300000</v>
      </c>
      <c r="U813" s="200">
        <f t="shared" si="138"/>
        <v>5902050000</v>
      </c>
      <c r="V813" s="196">
        <v>129000000</v>
      </c>
      <c r="W813" s="196">
        <v>4071000000</v>
      </c>
      <c r="X813" s="196">
        <v>1493000000</v>
      </c>
      <c r="Y813" s="196">
        <v>4598000000</v>
      </c>
      <c r="Z813" s="196">
        <v>490000000</v>
      </c>
      <c r="AA813" s="198">
        <v>0.02</v>
      </c>
      <c r="AB813" s="198">
        <v>0.03</v>
      </c>
      <c r="AC813" s="213">
        <f t="shared" si="139"/>
        <v>616</v>
      </c>
      <c r="AD813" s="213">
        <f t="shared" si="140"/>
        <v>334</v>
      </c>
      <c r="AE813" s="213">
        <v>1.64</v>
      </c>
      <c r="AF813" s="196">
        <v>763000000</v>
      </c>
      <c r="AG813" s="104">
        <f t="shared" si="141"/>
        <v>9.5018679950186797</v>
      </c>
      <c r="AH813" s="104">
        <f t="shared" si="142"/>
        <v>5.9147286821705425</v>
      </c>
      <c r="AI813" s="195">
        <v>19.97</v>
      </c>
    </row>
    <row r="814" spans="1:48">
      <c r="A814">
        <v>3680</v>
      </c>
      <c r="C814" s="107">
        <f>VLOOKUP(3680,收盤價!$A:$C,3,0)</f>
        <v>30.65</v>
      </c>
      <c r="D814" s="107">
        <f t="shared" si="132"/>
        <v>80.37587412587412</v>
      </c>
      <c r="E814" s="167">
        <f t="shared" si="133"/>
        <v>1</v>
      </c>
      <c r="F814" s="104">
        <f t="shared" si="134"/>
        <v>0.92552330567332197</v>
      </c>
      <c r="G814" s="167">
        <f>RANK(1.08,AE:AE,0)</f>
        <v>769</v>
      </c>
      <c r="H814" s="365">
        <f t="shared" si="135"/>
        <v>1.8560000000000001</v>
      </c>
      <c r="I814" s="213">
        <f t="shared" si="136"/>
        <v>1506</v>
      </c>
      <c r="J814" s="213">
        <f t="shared" si="137"/>
        <v>768</v>
      </c>
      <c r="K814">
        <f>RANK(0.69,AI:AI,0)</f>
        <v>1474</v>
      </c>
      <c r="L814" s="357">
        <v>0</v>
      </c>
      <c r="M814" s="357">
        <v>1</v>
      </c>
      <c r="N814" s="357">
        <v>0</v>
      </c>
      <c r="O814" s="357">
        <v>0</v>
      </c>
      <c r="P814" s="357">
        <v>0</v>
      </c>
      <c r="Q814" s="358">
        <v>0.20408163265306123</v>
      </c>
      <c r="R814" s="359">
        <v>9.5333333333333339E-2</v>
      </c>
      <c r="S814" s="196">
        <v>2069775000</v>
      </c>
      <c r="T814" s="196">
        <v>62500000</v>
      </c>
      <c r="U814" s="200">
        <f t="shared" si="138"/>
        <v>1915625000</v>
      </c>
      <c r="V814" s="196">
        <v>19000000</v>
      </c>
      <c r="W814" s="196">
        <v>160000000</v>
      </c>
      <c r="X814" s="196">
        <v>1904000000</v>
      </c>
      <c r="Y814" s="196">
        <v>1038000000</v>
      </c>
      <c r="Z814" s="196">
        <v>671000000</v>
      </c>
      <c r="AA814" s="198">
        <v>0.01</v>
      </c>
      <c r="AB814" s="198">
        <v>0.01</v>
      </c>
      <c r="AC814" s="213">
        <f t="shared" si="139"/>
        <v>769</v>
      </c>
      <c r="AD814" s="213">
        <f t="shared" si="140"/>
        <v>680</v>
      </c>
      <c r="AE814" s="213">
        <v>1.08</v>
      </c>
      <c r="AF814" s="196">
        <v>-116000000</v>
      </c>
      <c r="AG814" s="104">
        <f t="shared" si="141"/>
        <v>-1.8560000000000001</v>
      </c>
      <c r="AH814" s="104">
        <f t="shared" si="142"/>
        <v>0</v>
      </c>
      <c r="AI814" s="195">
        <v>0.69</v>
      </c>
    </row>
    <row r="815" spans="1:48">
      <c r="A815">
        <v>3682</v>
      </c>
      <c r="C815" s="107">
        <f>VLOOKUP(3682,收盤價!$A:$C,3,0)</f>
        <v>10.199999999999999</v>
      </c>
      <c r="D815" s="107">
        <f t="shared" si="132"/>
        <v>0</v>
      </c>
      <c r="E815" s="167">
        <f t="shared" si="133"/>
        <v>2</v>
      </c>
      <c r="F815" s="104">
        <f t="shared" si="134"/>
        <v>3.1463866252036601</v>
      </c>
      <c r="G815" s="167">
        <f>RANK(0.84,AE:AE,0)</f>
        <v>946</v>
      </c>
      <c r="H815" s="365">
        <f t="shared" si="135"/>
        <v>-0.11975073245593638</v>
      </c>
      <c r="I815" s="213">
        <f t="shared" si="136"/>
        <v>982</v>
      </c>
      <c r="J815" s="213">
        <f t="shared" si="137"/>
        <v>768</v>
      </c>
      <c r="K815">
        <f>RANK(0.89,AI:AI,0)</f>
        <v>1004</v>
      </c>
      <c r="L815" s="357">
        <v>0</v>
      </c>
      <c r="M815" s="357">
        <v>0</v>
      </c>
      <c r="N815" s="357">
        <v>1</v>
      </c>
      <c r="O815" s="357">
        <v>1</v>
      </c>
      <c r="P815" s="357">
        <v>0</v>
      </c>
      <c r="Q815" s="358">
        <v>-7.1079136690647485E-2</v>
      </c>
      <c r="R815" s="359">
        <v>-0.34</v>
      </c>
      <c r="S815" s="196">
        <v>13941745000</v>
      </c>
      <c r="T815" s="196">
        <v>4300600000</v>
      </c>
      <c r="U815" s="200">
        <f t="shared" si="138"/>
        <v>43866120000</v>
      </c>
      <c r="V815" s="196">
        <v>0</v>
      </c>
      <c r="W815" s="196">
        <v>8204000000</v>
      </c>
      <c r="X815" s="196">
        <v>11280000000</v>
      </c>
      <c r="Y815" s="196">
        <v>37882000000</v>
      </c>
      <c r="Z815" s="196">
        <v>0</v>
      </c>
      <c r="AA815" s="198">
        <v>0</v>
      </c>
      <c r="AB815" s="198">
        <v>0</v>
      </c>
      <c r="AC815" s="213">
        <f t="shared" si="139"/>
        <v>945</v>
      </c>
      <c r="AD815" s="213">
        <f t="shared" si="140"/>
        <v>911</v>
      </c>
      <c r="AE815" s="213">
        <v>0.84</v>
      </c>
      <c r="AF815" s="196">
        <v>515000000</v>
      </c>
      <c r="AG815" s="104">
        <f t="shared" si="141"/>
        <v>0.11975073245593638</v>
      </c>
      <c r="AH815" s="104">
        <f t="shared" si="142"/>
        <v>0</v>
      </c>
      <c r="AI815" s="195">
        <v>0.89</v>
      </c>
    </row>
    <row r="816" spans="1:48">
      <c r="A816">
        <v>3684</v>
      </c>
      <c r="C816" s="107">
        <f>VLOOKUP(3684,收盤價!$A:$C,3,0)</f>
        <v>38.950000000000003</v>
      </c>
      <c r="D816" s="107">
        <f t="shared" si="132"/>
        <v>12.483974358974359</v>
      </c>
      <c r="E816" s="167">
        <f t="shared" si="133"/>
        <v>1</v>
      </c>
      <c r="F816" s="104">
        <f t="shared" si="134"/>
        <v>1.334465760618107</v>
      </c>
      <c r="G816" s="167">
        <f>RANK(0.84,AE:AE,0)</f>
        <v>946</v>
      </c>
      <c r="H816" s="365">
        <f t="shared" si="135"/>
        <v>1.2149532710280373</v>
      </c>
      <c r="I816" s="213">
        <f t="shared" si="136"/>
        <v>1459</v>
      </c>
      <c r="J816" s="213">
        <f t="shared" si="137"/>
        <v>768</v>
      </c>
      <c r="K816">
        <f>RANK(0.7,AI:AI,0)</f>
        <v>1442</v>
      </c>
      <c r="L816" s="357">
        <v>0</v>
      </c>
      <c r="M816" s="357">
        <v>1</v>
      </c>
      <c r="N816" s="357">
        <v>0</v>
      </c>
      <c r="O816" s="357">
        <v>0</v>
      </c>
      <c r="P816" s="357">
        <v>0</v>
      </c>
      <c r="Q816" s="358">
        <v>0.38666666666666666</v>
      </c>
      <c r="R816" s="359">
        <v>0.78</v>
      </c>
      <c r="S816" s="196">
        <v>624617000</v>
      </c>
      <c r="T816" s="196">
        <v>21400000</v>
      </c>
      <c r="U816" s="200">
        <f t="shared" si="138"/>
        <v>833530000.00000012</v>
      </c>
      <c r="V816" s="196">
        <v>0</v>
      </c>
      <c r="W816" s="196">
        <v>294000000</v>
      </c>
      <c r="X816" s="196">
        <v>78000000</v>
      </c>
      <c r="Y816" s="196">
        <v>399000000</v>
      </c>
      <c r="Z816" s="196">
        <v>0</v>
      </c>
      <c r="AA816" s="198">
        <v>0</v>
      </c>
      <c r="AB816" s="198">
        <v>0</v>
      </c>
      <c r="AC816" s="213">
        <f t="shared" si="139"/>
        <v>945</v>
      </c>
      <c r="AD816" s="213">
        <f t="shared" si="140"/>
        <v>911</v>
      </c>
      <c r="AE816" s="213">
        <v>0.84</v>
      </c>
      <c r="AF816" s="196">
        <v>-26000000</v>
      </c>
      <c r="AG816" s="104">
        <f t="shared" si="141"/>
        <v>-1.2149532710280373</v>
      </c>
      <c r="AH816" s="104">
        <f t="shared" si="142"/>
        <v>0</v>
      </c>
      <c r="AI816" s="195">
        <v>0.7</v>
      </c>
    </row>
    <row r="817" spans="1:48">
      <c r="A817">
        <v>3685</v>
      </c>
      <c r="C817" s="107">
        <f>VLOOKUP(3685,收盤價!$A:$C,3,0)</f>
        <v>51.5</v>
      </c>
      <c r="D817" s="107">
        <f t="shared" si="132"/>
        <v>0</v>
      </c>
      <c r="E817" s="167">
        <f t="shared" si="133"/>
        <v>2</v>
      </c>
      <c r="F817" s="104">
        <f t="shared" si="134"/>
        <v>10.077045371163019</v>
      </c>
      <c r="G817" s="167">
        <f>RANK(0.58,AE:AE,0)</f>
        <v>1374</v>
      </c>
      <c r="H817" s="365">
        <f t="shared" si="135"/>
        <v>8.7499999999999994E-2</v>
      </c>
      <c r="I817" s="213">
        <f t="shared" si="136"/>
        <v>1129</v>
      </c>
      <c r="J817" s="213">
        <f t="shared" si="137"/>
        <v>768</v>
      </c>
      <c r="K817">
        <f>RANK(0.82,AI:AI,0)</f>
        <v>1121</v>
      </c>
      <c r="L817" s="357">
        <v>1</v>
      </c>
      <c r="M817" s="357">
        <v>1</v>
      </c>
      <c r="N817" s="357">
        <v>0</v>
      </c>
      <c r="O817" s="357">
        <v>0</v>
      </c>
      <c r="P817" s="357">
        <v>0</v>
      </c>
      <c r="Q817" s="358">
        <v>0.16853932584269662</v>
      </c>
      <c r="R817" s="359">
        <v>0</v>
      </c>
      <c r="S817" s="196">
        <v>408850000</v>
      </c>
      <c r="T817" s="196">
        <v>80000000</v>
      </c>
      <c r="U817" s="200">
        <f t="shared" si="138"/>
        <v>4120000000</v>
      </c>
      <c r="V817" s="196">
        <v>-18000000</v>
      </c>
      <c r="W817" s="196">
        <v>591000000</v>
      </c>
      <c r="X817" s="196">
        <v>697000000</v>
      </c>
      <c r="Y817" s="196">
        <v>1083000000</v>
      </c>
      <c r="Z817" s="196">
        <v>60000000</v>
      </c>
      <c r="AA817" s="198">
        <v>-0.01</v>
      </c>
      <c r="AB817" s="198">
        <v>-0.02</v>
      </c>
      <c r="AC817" s="213">
        <f t="shared" si="139"/>
        <v>1277</v>
      </c>
      <c r="AD817" s="213">
        <f t="shared" si="140"/>
        <v>1388</v>
      </c>
      <c r="AE817" s="213">
        <v>0.57999999999999996</v>
      </c>
      <c r="AF817" s="196">
        <v>-7000000</v>
      </c>
      <c r="AG817" s="104">
        <f t="shared" si="141"/>
        <v>-8.7499999999999994E-2</v>
      </c>
      <c r="AH817" s="104">
        <f t="shared" si="142"/>
        <v>0</v>
      </c>
      <c r="AI817" s="195">
        <v>0.82</v>
      </c>
    </row>
    <row r="818" spans="1:48">
      <c r="A818">
        <v>3686</v>
      </c>
      <c r="C818" s="107">
        <f>VLOOKUP(3686,收盤價!$A:$C,3,0)</f>
        <v>7.5</v>
      </c>
      <c r="D818" s="107">
        <f t="shared" si="132"/>
        <v>0</v>
      </c>
      <c r="E818" s="167">
        <f t="shared" si="133"/>
        <v>4</v>
      </c>
      <c r="F818" s="104">
        <f t="shared" si="134"/>
        <v>1.4933185102581641</v>
      </c>
      <c r="G818" s="167">
        <f>RANK(0.57,AE:AE,0)</f>
        <v>1389</v>
      </c>
      <c r="H818" s="365">
        <f t="shared" si="135"/>
        <v>-0.18878718535469108</v>
      </c>
      <c r="I818" s="213">
        <f t="shared" si="136"/>
        <v>940</v>
      </c>
      <c r="J818" s="213">
        <f t="shared" si="137"/>
        <v>768</v>
      </c>
      <c r="K818">
        <f>RANK(0.91,AI:AI,0)</f>
        <v>974</v>
      </c>
      <c r="L818" s="357">
        <v>0</v>
      </c>
      <c r="M818" s="357">
        <v>1</v>
      </c>
      <c r="N818" s="357">
        <v>2</v>
      </c>
      <c r="O818" s="357">
        <v>1</v>
      </c>
      <c r="P818" s="357">
        <v>0</v>
      </c>
      <c r="Q818" s="358">
        <v>-0.11563169164882227</v>
      </c>
      <c r="R818" s="359">
        <v>0</v>
      </c>
      <c r="S818" s="196">
        <v>1755821000</v>
      </c>
      <c r="T818" s="196">
        <v>349600000</v>
      </c>
      <c r="U818" s="200">
        <f t="shared" si="138"/>
        <v>2622000000</v>
      </c>
      <c r="V818" s="196">
        <v>-75000000</v>
      </c>
      <c r="W818" s="196">
        <v>995000000</v>
      </c>
      <c r="X818" s="196">
        <v>2975000000</v>
      </c>
      <c r="Y818" s="196">
        <v>4263000000</v>
      </c>
      <c r="Z818" s="196">
        <v>50000000</v>
      </c>
      <c r="AA818" s="198">
        <v>-0.02</v>
      </c>
      <c r="AB818" s="198">
        <v>-0.02</v>
      </c>
      <c r="AC818" s="213">
        <f t="shared" si="139"/>
        <v>1353</v>
      </c>
      <c r="AD818" s="213">
        <f t="shared" si="140"/>
        <v>1388</v>
      </c>
      <c r="AE818" s="213">
        <v>0.56999999999999995</v>
      </c>
      <c r="AF818" s="196">
        <v>66000000</v>
      </c>
      <c r="AG818" s="104">
        <f t="shared" si="141"/>
        <v>0.18878718535469108</v>
      </c>
      <c r="AH818" s="104">
        <f t="shared" si="142"/>
        <v>0</v>
      </c>
      <c r="AI818" s="195">
        <v>0.91</v>
      </c>
      <c r="AO818" s="213"/>
      <c r="AP818" s="213"/>
      <c r="AQ818" s="213"/>
      <c r="AR818" s="213"/>
      <c r="AS818" s="213"/>
      <c r="AT818" s="213"/>
      <c r="AU818" s="213"/>
      <c r="AV818" s="213"/>
    </row>
    <row r="819" spans="1:48">
      <c r="A819">
        <v>3687</v>
      </c>
      <c r="C819" s="107">
        <f>VLOOKUP(3687,收盤價!$A:$C,3,0)</f>
        <v>48.8</v>
      </c>
      <c r="D819" s="107">
        <f t="shared" si="132"/>
        <v>0</v>
      </c>
      <c r="E819" s="167">
        <f t="shared" si="133"/>
        <v>2</v>
      </c>
      <c r="F819" s="104">
        <f t="shared" si="134"/>
        <v>1.6152259301778322</v>
      </c>
      <c r="G819" s="167">
        <f>RANK(0.53,AE:AE,0)</f>
        <v>1475</v>
      </c>
      <c r="H819" s="365">
        <f t="shared" si="135"/>
        <v>-1.5614617940199336</v>
      </c>
      <c r="I819" s="213">
        <f t="shared" si="136"/>
        <v>328</v>
      </c>
      <c r="J819" s="213">
        <f t="shared" si="137"/>
        <v>768</v>
      </c>
      <c r="K819">
        <f>RANK(1.42,AI:AI,0)</f>
        <v>606</v>
      </c>
      <c r="L819" s="357">
        <v>0</v>
      </c>
      <c r="M819" s="357">
        <v>0</v>
      </c>
      <c r="N819" s="357">
        <v>1</v>
      </c>
      <c r="O819" s="357">
        <v>1</v>
      </c>
      <c r="P819" s="357">
        <v>0</v>
      </c>
      <c r="Q819" s="358">
        <v>0.24390243902439024</v>
      </c>
      <c r="R819" s="359">
        <v>0</v>
      </c>
      <c r="S819" s="196">
        <v>909396000</v>
      </c>
      <c r="T819" s="196">
        <v>30100000</v>
      </c>
      <c r="U819" s="200">
        <f t="shared" si="138"/>
        <v>1468880000</v>
      </c>
      <c r="V819" s="196">
        <v>-75000000</v>
      </c>
      <c r="W819" s="196">
        <v>1502000000</v>
      </c>
      <c r="X819" s="196">
        <v>57000000</v>
      </c>
      <c r="Y819" s="196">
        <v>1827000000</v>
      </c>
      <c r="Z819" s="196">
        <v>0</v>
      </c>
      <c r="AA819" s="198">
        <v>-0.05</v>
      </c>
      <c r="AB819" s="198">
        <v>-0.04</v>
      </c>
      <c r="AC819" s="213">
        <f t="shared" si="139"/>
        <v>1468</v>
      </c>
      <c r="AD819" s="213">
        <f t="shared" si="140"/>
        <v>1483</v>
      </c>
      <c r="AE819" s="213">
        <v>0.53</v>
      </c>
      <c r="AF819" s="196">
        <v>47000000</v>
      </c>
      <c r="AG819" s="104">
        <f t="shared" si="141"/>
        <v>1.5614617940199336</v>
      </c>
      <c r="AH819" s="104">
        <f t="shared" si="142"/>
        <v>0</v>
      </c>
      <c r="AI819" s="195">
        <v>1.42</v>
      </c>
      <c r="AO819" s="213"/>
      <c r="AP819" s="213"/>
      <c r="AQ819" s="213"/>
      <c r="AR819" s="213"/>
      <c r="AS819" s="213"/>
      <c r="AT819" s="213"/>
      <c r="AU819" s="213"/>
      <c r="AV819" s="213"/>
    </row>
    <row r="820" spans="1:48">
      <c r="A820">
        <v>3689</v>
      </c>
      <c r="C820" s="107">
        <f>VLOOKUP(3689,收盤價!$A:$C,3,0)</f>
        <v>31.8</v>
      </c>
      <c r="D820" s="107">
        <f t="shared" si="132"/>
        <v>27.413793103448278</v>
      </c>
      <c r="E820" s="167">
        <f t="shared" si="133"/>
        <v>3</v>
      </c>
      <c r="F820" s="104">
        <f t="shared" si="134"/>
        <v>0.4847271559047569</v>
      </c>
      <c r="G820" s="167">
        <f>RANK(0.84,AE:AE,0)</f>
        <v>946</v>
      </c>
      <c r="H820" s="365">
        <f t="shared" si="135"/>
        <v>-1.5925394548063128</v>
      </c>
      <c r="I820" s="213">
        <f t="shared" si="136"/>
        <v>317</v>
      </c>
      <c r="J820" s="213">
        <f t="shared" si="137"/>
        <v>768</v>
      </c>
      <c r="K820">
        <f>RANK(1.44,AI:AI,0)</f>
        <v>595</v>
      </c>
      <c r="L820" s="357">
        <v>0</v>
      </c>
      <c r="M820" s="357">
        <v>1</v>
      </c>
      <c r="N820" s="357">
        <v>1</v>
      </c>
      <c r="O820" s="357">
        <v>1</v>
      </c>
      <c r="P820" s="357">
        <v>0</v>
      </c>
      <c r="Q820" s="358">
        <v>0.18563432835820895</v>
      </c>
      <c r="R820" s="359">
        <v>0.28999999999999998</v>
      </c>
      <c r="S820" s="196">
        <v>4572593000</v>
      </c>
      <c r="T820" s="196">
        <v>69700000</v>
      </c>
      <c r="U820" s="200">
        <f t="shared" si="138"/>
        <v>2216460000</v>
      </c>
      <c r="V820" s="196">
        <v>0</v>
      </c>
      <c r="W820" s="196">
        <v>1041000000</v>
      </c>
      <c r="X820" s="196">
        <v>1042000000</v>
      </c>
      <c r="Y820" s="196">
        <v>2537000000</v>
      </c>
      <c r="Z820" s="196">
        <v>731000000</v>
      </c>
      <c r="AA820" s="198">
        <v>0</v>
      </c>
      <c r="AB820" s="198">
        <v>0</v>
      </c>
      <c r="AC820" s="213">
        <f t="shared" si="139"/>
        <v>945</v>
      </c>
      <c r="AD820" s="213">
        <f t="shared" si="140"/>
        <v>911</v>
      </c>
      <c r="AE820" s="213">
        <v>0.84</v>
      </c>
      <c r="AF820" s="196">
        <v>111000000</v>
      </c>
      <c r="AG820" s="104">
        <f t="shared" si="141"/>
        <v>1.5925394548063128</v>
      </c>
      <c r="AH820" s="104">
        <f t="shared" si="142"/>
        <v>0</v>
      </c>
      <c r="AI820" s="195">
        <v>1.44</v>
      </c>
    </row>
    <row r="821" spans="1:48">
      <c r="A821">
        <v>3691</v>
      </c>
      <c r="C821" s="107">
        <f>VLOOKUP(3691,收盤價!$A:$C,3,0)</f>
        <v>404</v>
      </c>
      <c r="D821" s="107">
        <f t="shared" si="132"/>
        <v>12.251507442999813</v>
      </c>
      <c r="E821" s="167">
        <f t="shared" si="133"/>
        <v>2</v>
      </c>
      <c r="F821" s="104">
        <f t="shared" si="134"/>
        <v>1.348796585996838</v>
      </c>
      <c r="G821" s="167">
        <f>RANK(8.85,AE:AE,0)</f>
        <v>89</v>
      </c>
      <c r="H821" s="365">
        <f t="shared" si="135"/>
        <v>-5.2430817146825479</v>
      </c>
      <c r="I821" s="213">
        <f t="shared" si="136"/>
        <v>27</v>
      </c>
      <c r="J821" s="213">
        <f t="shared" si="137"/>
        <v>693</v>
      </c>
      <c r="K821">
        <f>RANK(2.16,AI:AI,0)</f>
        <v>302</v>
      </c>
      <c r="L821" s="357">
        <v>0</v>
      </c>
      <c r="M821" s="357">
        <v>0</v>
      </c>
      <c r="N821" s="357">
        <v>1</v>
      </c>
      <c r="O821" s="357">
        <v>1</v>
      </c>
      <c r="P821" s="357">
        <v>0</v>
      </c>
      <c r="Q821" s="358">
        <v>0.2186421173762946</v>
      </c>
      <c r="R821" s="359">
        <v>8.2438834951456297</v>
      </c>
      <c r="S821" s="196">
        <v>18271102000</v>
      </c>
      <c r="T821" s="196">
        <v>61000000</v>
      </c>
      <c r="U821" s="200">
        <f t="shared" si="138"/>
        <v>24644000000</v>
      </c>
      <c r="V821" s="196">
        <v>779000000</v>
      </c>
      <c r="W821" s="196">
        <v>8223000000</v>
      </c>
      <c r="X821" s="196">
        <v>3651000000</v>
      </c>
      <c r="Y821" s="196">
        <v>7068000000</v>
      </c>
      <c r="Z821" s="196">
        <v>2977000000</v>
      </c>
      <c r="AA821" s="198">
        <v>7.0000000000000007E-2</v>
      </c>
      <c r="AB821" s="198">
        <v>0.08</v>
      </c>
      <c r="AC821" s="213">
        <f t="shared" si="139"/>
        <v>134</v>
      </c>
      <c r="AD821" s="213">
        <f t="shared" si="140"/>
        <v>42</v>
      </c>
      <c r="AE821" s="213">
        <v>8.85</v>
      </c>
      <c r="AF821" s="196">
        <v>347000000</v>
      </c>
      <c r="AG821" s="104">
        <f t="shared" si="141"/>
        <v>5.6885245901639347</v>
      </c>
      <c r="AH821" s="104">
        <f t="shared" si="142"/>
        <v>0.44544287548138639</v>
      </c>
      <c r="AI821" s="195">
        <v>2.16</v>
      </c>
    </row>
    <row r="822" spans="1:48">
      <c r="A822">
        <v>3693</v>
      </c>
      <c r="C822" s="107">
        <f>VLOOKUP(3693,收盤價!$A:$C,3,0)</f>
        <v>65.099999999999994</v>
      </c>
      <c r="D822" s="107">
        <f t="shared" si="132"/>
        <v>80.599999999999994</v>
      </c>
      <c r="E822" s="167">
        <f t="shared" si="133"/>
        <v>2</v>
      </c>
      <c r="F822" s="104">
        <f t="shared" si="134"/>
        <v>0.73397179376574229</v>
      </c>
      <c r="G822" s="167">
        <f>RANK(1.08,AE:AE,0)</f>
        <v>769</v>
      </c>
      <c r="H822" s="365">
        <f t="shared" si="135"/>
        <v>6.779220779220779</v>
      </c>
      <c r="I822" s="213">
        <f t="shared" si="136"/>
        <v>1547</v>
      </c>
      <c r="J822" s="213">
        <f t="shared" si="137"/>
        <v>768</v>
      </c>
      <c r="K822">
        <f>RANK(0.67,AI:AI,0)</f>
        <v>1541</v>
      </c>
      <c r="L822" s="357">
        <v>0</v>
      </c>
      <c r="M822" s="357">
        <v>0</v>
      </c>
      <c r="N822" s="357">
        <v>2</v>
      </c>
      <c r="O822" s="357">
        <v>0</v>
      </c>
      <c r="P822" s="357">
        <v>0</v>
      </c>
      <c r="Q822" s="358">
        <v>0.17472852912142153</v>
      </c>
      <c r="R822" s="359">
        <v>0.20192307692307693</v>
      </c>
      <c r="S822" s="196">
        <v>3414777000</v>
      </c>
      <c r="T822" s="196">
        <v>38500000</v>
      </c>
      <c r="U822" s="200">
        <f t="shared" si="138"/>
        <v>2506350000</v>
      </c>
      <c r="V822" s="196">
        <v>24000000</v>
      </c>
      <c r="W822" s="196">
        <v>1525000000</v>
      </c>
      <c r="X822" s="196">
        <v>593000000</v>
      </c>
      <c r="Y822" s="196">
        <v>1687000000</v>
      </c>
      <c r="Z822" s="196">
        <v>0</v>
      </c>
      <c r="AA822" s="198">
        <v>0.01</v>
      </c>
      <c r="AB822" s="198">
        <v>0.01</v>
      </c>
      <c r="AC822" s="213">
        <f t="shared" si="139"/>
        <v>769</v>
      </c>
      <c r="AD822" s="213">
        <f t="shared" si="140"/>
        <v>680</v>
      </c>
      <c r="AE822" s="213">
        <v>1.08</v>
      </c>
      <c r="AF822" s="196">
        <v>-261000000</v>
      </c>
      <c r="AG822" s="104">
        <f t="shared" si="141"/>
        <v>-6.779220779220779</v>
      </c>
      <c r="AH822" s="104">
        <f t="shared" si="142"/>
        <v>0</v>
      </c>
      <c r="AI822" s="195">
        <v>0.67</v>
      </c>
    </row>
    <row r="823" spans="1:48">
      <c r="A823">
        <v>3694</v>
      </c>
      <c r="C823" s="107">
        <f>VLOOKUP(3694,收盤價!$A:$C,3,0)</f>
        <v>14.8</v>
      </c>
      <c r="D823" s="107">
        <f t="shared" si="132"/>
        <v>34.687500000000007</v>
      </c>
      <c r="E823" s="167">
        <f t="shared" si="133"/>
        <v>4</v>
      </c>
      <c r="F823" s="104">
        <f t="shared" si="134"/>
        <v>0.26893649381031959</v>
      </c>
      <c r="G823" s="167">
        <f>RANK(1.08,AE:AE,0)</f>
        <v>769</v>
      </c>
      <c r="H823" s="365">
        <f t="shared" si="135"/>
        <v>9.2550482523720703</v>
      </c>
      <c r="I823" s="213">
        <f t="shared" si="136"/>
        <v>319</v>
      </c>
      <c r="J823" s="213">
        <f t="shared" si="137"/>
        <v>33</v>
      </c>
      <c r="K823">
        <f>RANK(4.43,AI:AI,0)</f>
        <v>86</v>
      </c>
      <c r="L823" s="357">
        <v>0</v>
      </c>
      <c r="M823" s="357">
        <v>1</v>
      </c>
      <c r="N823" s="357">
        <v>2</v>
      </c>
      <c r="O823" s="357">
        <v>1</v>
      </c>
      <c r="P823" s="357">
        <v>0</v>
      </c>
      <c r="Q823" s="358">
        <v>0.14336158192090395</v>
      </c>
      <c r="R823" s="359">
        <v>0.10666666666666666</v>
      </c>
      <c r="S823" s="196">
        <v>7143099000</v>
      </c>
      <c r="T823" s="196">
        <v>129800000</v>
      </c>
      <c r="U823" s="200">
        <f t="shared" si="138"/>
        <v>1921040000</v>
      </c>
      <c r="V823" s="196">
        <v>19000000</v>
      </c>
      <c r="W823" s="196">
        <v>663000000</v>
      </c>
      <c r="X823" s="196">
        <v>762000000</v>
      </c>
      <c r="Y823" s="196">
        <v>1559000000</v>
      </c>
      <c r="Z823" s="196">
        <v>261000000</v>
      </c>
      <c r="AA823" s="198">
        <v>0.01</v>
      </c>
      <c r="AB823" s="198">
        <v>0.01</v>
      </c>
      <c r="AC823" s="213">
        <f t="shared" si="139"/>
        <v>769</v>
      </c>
      <c r="AD823" s="213">
        <f t="shared" si="140"/>
        <v>680</v>
      </c>
      <c r="AE823" s="213">
        <v>1.08</v>
      </c>
      <c r="AF823" s="196">
        <v>206000000</v>
      </c>
      <c r="AG823" s="104">
        <f t="shared" si="141"/>
        <v>1.5870570107858244</v>
      </c>
      <c r="AH823" s="104">
        <f t="shared" si="142"/>
        <v>10.842105263157896</v>
      </c>
      <c r="AI823" s="195">
        <v>4.43</v>
      </c>
    </row>
    <row r="824" spans="1:48">
      <c r="A824">
        <v>3698</v>
      </c>
      <c r="C824" s="107">
        <f>VLOOKUP(3698,收盤價!$A:$C,3,0)</f>
        <v>13.2</v>
      </c>
      <c r="D824" s="107">
        <f t="shared" si="132"/>
        <v>0</v>
      </c>
      <c r="E824" s="167">
        <f t="shared" si="133"/>
        <v>3</v>
      </c>
      <c r="F824" s="104">
        <f t="shared" si="134"/>
        <v>0.5464632155314727</v>
      </c>
      <c r="G824" s="167">
        <f>RANK(0.61,AE:AE,0)</f>
        <v>1295</v>
      </c>
      <c r="H824" s="365">
        <f t="shared" si="135"/>
        <v>-0.47545485753518707</v>
      </c>
      <c r="I824" s="213">
        <f t="shared" si="136"/>
        <v>756</v>
      </c>
      <c r="J824" s="213">
        <f t="shared" si="137"/>
        <v>768</v>
      </c>
      <c r="K824">
        <f>RANK(1.02,AI:AI,0)</f>
        <v>862</v>
      </c>
      <c r="L824" s="357">
        <v>0</v>
      </c>
      <c r="M824" s="357">
        <v>0</v>
      </c>
      <c r="N824" s="357">
        <v>2</v>
      </c>
      <c r="O824" s="357">
        <v>1</v>
      </c>
      <c r="P824" s="357">
        <v>0</v>
      </c>
      <c r="Q824" s="358">
        <v>7.5833333333333336E-2</v>
      </c>
      <c r="R824" s="359">
        <v>0</v>
      </c>
      <c r="S824" s="196">
        <v>14072896000</v>
      </c>
      <c r="T824" s="196">
        <v>582600000</v>
      </c>
      <c r="U824" s="200">
        <f t="shared" si="138"/>
        <v>7690320000</v>
      </c>
      <c r="V824" s="196">
        <v>-88000000</v>
      </c>
      <c r="W824" s="196">
        <v>5079000000</v>
      </c>
      <c r="X824" s="196">
        <v>7050000000</v>
      </c>
      <c r="Y824" s="196">
        <v>13089000000</v>
      </c>
      <c r="Z824" s="196">
        <v>1884000000</v>
      </c>
      <c r="AA824" s="198">
        <v>-0.01</v>
      </c>
      <c r="AB824" s="198">
        <v>-0.01</v>
      </c>
      <c r="AC824" s="213">
        <f t="shared" si="139"/>
        <v>1277</v>
      </c>
      <c r="AD824" s="213">
        <f t="shared" si="140"/>
        <v>1294</v>
      </c>
      <c r="AE824" s="213">
        <v>0.61</v>
      </c>
      <c r="AF824" s="196">
        <v>277000000</v>
      </c>
      <c r="AG824" s="104">
        <f t="shared" si="141"/>
        <v>0.47545485753518707</v>
      </c>
      <c r="AH824" s="104">
        <f t="shared" si="142"/>
        <v>0</v>
      </c>
      <c r="AI824" s="195">
        <v>1.02</v>
      </c>
    </row>
    <row r="825" spans="1:48">
      <c r="A825">
        <v>3701</v>
      </c>
      <c r="C825" s="107" t="e">
        <f>VLOOKUP(3701,收盤價!$A:$C,3,0)</f>
        <v>#N/A</v>
      </c>
      <c r="D825" s="107">
        <f t="shared" si="132"/>
        <v>0</v>
      </c>
      <c r="E825" s="167">
        <f t="shared" si="133"/>
        <v>4</v>
      </c>
      <c r="F825" s="104">
        <f t="shared" si="134"/>
        <v>0</v>
      </c>
      <c r="G825" s="167">
        <f>RANK(0.93,AE:AE,0)</f>
        <v>920</v>
      </c>
      <c r="H825" s="365">
        <f t="shared" si="135"/>
        <v>12.915857139430573</v>
      </c>
      <c r="I825" s="213">
        <f t="shared" si="136"/>
        <v>719</v>
      </c>
      <c r="J825" s="213">
        <f t="shared" si="137"/>
        <v>23</v>
      </c>
      <c r="K825">
        <f>RANK(2.1,AI:AI,0)</f>
        <v>309</v>
      </c>
      <c r="L825" s="357">
        <v>1</v>
      </c>
      <c r="M825" s="357">
        <v>1</v>
      </c>
      <c r="N825" s="357">
        <v>1</v>
      </c>
      <c r="O825" s="357">
        <v>1</v>
      </c>
      <c r="P825" s="357">
        <v>0</v>
      </c>
      <c r="Q825" s="358">
        <v>0.13167013167013167</v>
      </c>
      <c r="R825" s="359">
        <v>0</v>
      </c>
      <c r="S825" s="196">
        <v>12783099000</v>
      </c>
      <c r="T825" s="196">
        <v>320700000</v>
      </c>
      <c r="U825" s="200" t="e">
        <f t="shared" si="138"/>
        <v>#N/A</v>
      </c>
      <c r="V825" s="196">
        <v>13000000</v>
      </c>
      <c r="W825" s="196">
        <v>0</v>
      </c>
      <c r="X825" s="196">
        <v>1750000000</v>
      </c>
      <c r="Y825" s="196">
        <v>3141000000</v>
      </c>
      <c r="Z825" s="196">
        <v>3995000000</v>
      </c>
      <c r="AA825" s="198">
        <v>0.01</v>
      </c>
      <c r="AB825" s="198">
        <v>0</v>
      </c>
      <c r="AC825" s="213">
        <f t="shared" si="139"/>
        <v>769</v>
      </c>
      <c r="AD825" s="213">
        <f t="shared" si="140"/>
        <v>911</v>
      </c>
      <c r="AE825" s="213">
        <v>0.93</v>
      </c>
      <c r="AF825" s="196">
        <v>175000000</v>
      </c>
      <c r="AG825" s="104">
        <f t="shared" si="141"/>
        <v>0.545681322107889</v>
      </c>
      <c r="AH825" s="104">
        <f t="shared" si="142"/>
        <v>13.461538461538462</v>
      </c>
      <c r="AI825" s="195">
        <v>2.1</v>
      </c>
      <c r="AO825" s="213"/>
      <c r="AP825" s="213"/>
      <c r="AQ825" s="213"/>
      <c r="AR825" s="213"/>
      <c r="AS825" s="213"/>
      <c r="AT825" s="213"/>
      <c r="AU825" s="213"/>
      <c r="AV825" s="213"/>
    </row>
    <row r="826" spans="1:48">
      <c r="A826">
        <v>3702</v>
      </c>
      <c r="C826" s="107">
        <f>VLOOKUP(3702,收盤價!$A:$C,3,0)</f>
        <v>36.85</v>
      </c>
      <c r="D826" s="107">
        <f t="shared" si="132"/>
        <v>9.8005319148936181</v>
      </c>
      <c r="E826" s="167">
        <f t="shared" si="133"/>
        <v>4</v>
      </c>
      <c r="F826" s="104">
        <f t="shared" si="134"/>
        <v>0.11301754676766831</v>
      </c>
      <c r="G826" s="167">
        <f>RANK(0.84,AE:AE,0)</f>
        <v>946</v>
      </c>
      <c r="H826" s="365">
        <f t="shared" si="135"/>
        <v>-9.9051760584646972E-2</v>
      </c>
      <c r="I826" s="213">
        <f t="shared" si="136"/>
        <v>990</v>
      </c>
      <c r="J826" s="213">
        <f t="shared" si="137"/>
        <v>768</v>
      </c>
      <c r="K826">
        <f>RANK(0.89,AI:AI,0)</f>
        <v>1004</v>
      </c>
      <c r="L826" s="357">
        <v>0</v>
      </c>
      <c r="M826" s="357">
        <v>1</v>
      </c>
      <c r="N826" s="357">
        <v>2</v>
      </c>
      <c r="O826" s="357">
        <v>1</v>
      </c>
      <c r="P826" s="357">
        <v>0</v>
      </c>
      <c r="Q826" s="358">
        <v>4.2756001465321956E-2</v>
      </c>
      <c r="R826" s="359">
        <v>0.94</v>
      </c>
      <c r="S826" s="196">
        <v>539850198000</v>
      </c>
      <c r="T826" s="196">
        <v>1655700000</v>
      </c>
      <c r="U826" s="200">
        <f t="shared" si="138"/>
        <v>61012545000</v>
      </c>
      <c r="V826" s="196">
        <v>0</v>
      </c>
      <c r="W826" s="196">
        <v>48020000000</v>
      </c>
      <c r="X826" s="196">
        <v>4633000000</v>
      </c>
      <c r="Y826" s="196">
        <v>46133000000</v>
      </c>
      <c r="Z826" s="196">
        <v>48094000000</v>
      </c>
      <c r="AA826" s="198">
        <v>0</v>
      </c>
      <c r="AB826" s="198">
        <v>0</v>
      </c>
      <c r="AC826" s="213">
        <f t="shared" si="139"/>
        <v>945</v>
      </c>
      <c r="AD826" s="213">
        <f t="shared" si="140"/>
        <v>911</v>
      </c>
      <c r="AE826" s="213">
        <v>0.84</v>
      </c>
      <c r="AF826" s="196">
        <v>164000000</v>
      </c>
      <c r="AG826" s="104">
        <f t="shared" si="141"/>
        <v>9.9051760584646972E-2</v>
      </c>
      <c r="AH826" s="104">
        <f t="shared" si="142"/>
        <v>0</v>
      </c>
      <c r="AI826" s="195">
        <v>0.89</v>
      </c>
      <c r="AO826" s="213"/>
      <c r="AP826" s="213"/>
      <c r="AQ826" s="213"/>
      <c r="AR826" s="213"/>
      <c r="AS826" s="213"/>
      <c r="AT826" s="213"/>
      <c r="AU826" s="213"/>
      <c r="AV826" s="213"/>
    </row>
    <row r="827" spans="1:48">
      <c r="A827">
        <v>3703</v>
      </c>
      <c r="C827" s="107">
        <f>VLOOKUP(3703,收盤價!$A:$C,3,0)</f>
        <v>10.1</v>
      </c>
      <c r="D827" s="107">
        <f t="shared" si="132"/>
        <v>0</v>
      </c>
      <c r="E827" s="167">
        <f t="shared" si="133"/>
        <v>1</v>
      </c>
      <c r="F827" s="104">
        <f t="shared" si="134"/>
        <v>0.39753204925000152</v>
      </c>
      <c r="G827" s="167">
        <f>RANK(0.55,AE:AE,0)</f>
        <v>1436</v>
      </c>
      <c r="H827" s="365">
        <f t="shared" si="135"/>
        <v>0.38265306122448978</v>
      </c>
      <c r="I827" s="213">
        <f t="shared" si="136"/>
        <v>1306</v>
      </c>
      <c r="J827" s="213">
        <f t="shared" si="137"/>
        <v>768</v>
      </c>
      <c r="K827">
        <f>RANK(0.75,AI:AI,0)</f>
        <v>1296</v>
      </c>
      <c r="L827" s="357">
        <v>0</v>
      </c>
      <c r="M827" s="357">
        <v>0</v>
      </c>
      <c r="N827" s="357">
        <v>1</v>
      </c>
      <c r="O827" s="357">
        <v>0</v>
      </c>
      <c r="P827" s="357">
        <v>0</v>
      </c>
      <c r="Q827" s="358">
        <v>-4.4713906782872299E-2</v>
      </c>
      <c r="R827" s="359">
        <v>0</v>
      </c>
      <c r="S827" s="196">
        <v>20914842000</v>
      </c>
      <c r="T827" s="196">
        <v>823200000</v>
      </c>
      <c r="U827" s="200">
        <f t="shared" si="138"/>
        <v>8314320000</v>
      </c>
      <c r="V827" s="196">
        <v>-495000000</v>
      </c>
      <c r="W827" s="196">
        <v>8719000000</v>
      </c>
      <c r="X827" s="196">
        <v>2771000000</v>
      </c>
      <c r="Y827" s="196">
        <v>21137000000</v>
      </c>
      <c r="Z827" s="196">
        <v>11463000000</v>
      </c>
      <c r="AA827" s="198">
        <v>-0.04</v>
      </c>
      <c r="AB827" s="198">
        <v>-0.02</v>
      </c>
      <c r="AC827" s="213">
        <f t="shared" si="139"/>
        <v>1444</v>
      </c>
      <c r="AD827" s="213">
        <f t="shared" si="140"/>
        <v>1388</v>
      </c>
      <c r="AE827" s="213">
        <v>0.55000000000000004</v>
      </c>
      <c r="AF827" s="196">
        <v>-315000000</v>
      </c>
      <c r="AG827" s="104">
        <f t="shared" si="141"/>
        <v>-0.38265306122448978</v>
      </c>
      <c r="AH827" s="104">
        <f t="shared" si="142"/>
        <v>0</v>
      </c>
      <c r="AI827" s="195">
        <v>0.75</v>
      </c>
    </row>
    <row r="828" spans="1:48">
      <c r="A828">
        <v>3704</v>
      </c>
      <c r="C828" s="107">
        <f>VLOOKUP(3704,收盤價!$A:$C,3,0)</f>
        <v>14.2</v>
      </c>
      <c r="D828" s="107">
        <f t="shared" si="132"/>
        <v>37.007722007722002</v>
      </c>
      <c r="E828" s="167">
        <f t="shared" si="133"/>
        <v>3</v>
      </c>
      <c r="F828" s="104">
        <f t="shared" si="134"/>
        <v>0.26811918863928264</v>
      </c>
      <c r="G828" s="167">
        <f>RANK(1.41,AE:AE,0)</f>
        <v>618</v>
      </c>
      <c r="H828" s="365">
        <f t="shared" si="135"/>
        <v>0.48385702676168146</v>
      </c>
      <c r="I828" s="213">
        <f t="shared" si="136"/>
        <v>815</v>
      </c>
      <c r="J828" s="213">
        <f t="shared" si="137"/>
        <v>575</v>
      </c>
      <c r="K828">
        <f>RANK(1.12,AI:AI,0)</f>
        <v>782</v>
      </c>
      <c r="L828" s="357">
        <v>0</v>
      </c>
      <c r="M828" s="357">
        <v>1</v>
      </c>
      <c r="N828" s="357">
        <v>1</v>
      </c>
      <c r="O828" s="357">
        <v>1</v>
      </c>
      <c r="P828" s="357">
        <v>0</v>
      </c>
      <c r="Q828" s="358">
        <v>0.24590993422162252</v>
      </c>
      <c r="R828" s="359">
        <v>9.5925925925925942E-2</v>
      </c>
      <c r="S828" s="196">
        <v>23366623000</v>
      </c>
      <c r="T828" s="196">
        <v>441200000</v>
      </c>
      <c r="U828" s="200">
        <f t="shared" si="138"/>
        <v>6265040000</v>
      </c>
      <c r="V828" s="196">
        <v>193000000</v>
      </c>
      <c r="W828" s="196">
        <v>6082000000</v>
      </c>
      <c r="X828" s="196">
        <v>2070000000</v>
      </c>
      <c r="Y828" s="196">
        <v>8707000000</v>
      </c>
      <c r="Z828" s="196">
        <v>1788000000</v>
      </c>
      <c r="AA828" s="198">
        <v>0.02</v>
      </c>
      <c r="AB828" s="198">
        <v>0.02</v>
      </c>
      <c r="AC828" s="213">
        <f t="shared" si="139"/>
        <v>616</v>
      </c>
      <c r="AD828" s="213">
        <f t="shared" si="140"/>
        <v>487</v>
      </c>
      <c r="AE828" s="213">
        <v>1.41</v>
      </c>
      <c r="AF828" s="196">
        <v>166000000</v>
      </c>
      <c r="AG828" s="104">
        <f t="shared" si="141"/>
        <v>0.37624660018132366</v>
      </c>
      <c r="AH828" s="104">
        <f t="shared" si="142"/>
        <v>0.86010362694300513</v>
      </c>
      <c r="AI828" s="195">
        <v>1.1200000000000001</v>
      </c>
    </row>
    <row r="829" spans="1:48">
      <c r="A829">
        <v>3705</v>
      </c>
      <c r="C829" s="107">
        <f>VLOOKUP(3705,收盤價!$A:$C,3,0)</f>
        <v>46.95</v>
      </c>
      <c r="D829" s="107">
        <f t="shared" si="132"/>
        <v>24.461714085001759</v>
      </c>
      <c r="E829" s="167">
        <f t="shared" si="133"/>
        <v>4</v>
      </c>
      <c r="F829" s="104">
        <f t="shared" si="134"/>
        <v>2.044168492379403</v>
      </c>
      <c r="G829" s="167">
        <f>RANK(1.63,AE:AE,0)</f>
        <v>551</v>
      </c>
      <c r="H829" s="365">
        <f t="shared" si="135"/>
        <v>0.6136521136521137</v>
      </c>
      <c r="I829" s="213">
        <f t="shared" si="136"/>
        <v>577</v>
      </c>
      <c r="J829" s="213">
        <f t="shared" si="137"/>
        <v>386</v>
      </c>
      <c r="K829">
        <f>RANK(1.62,AI:AI,0)</f>
        <v>493</v>
      </c>
      <c r="L829" s="357">
        <v>1</v>
      </c>
      <c r="M829" s="357">
        <v>1</v>
      </c>
      <c r="N829" s="357">
        <v>1</v>
      </c>
      <c r="O829" s="357">
        <v>1</v>
      </c>
      <c r="P829" s="357">
        <v>0</v>
      </c>
      <c r="Q829" s="358">
        <v>0.42370744010088274</v>
      </c>
      <c r="R829" s="359">
        <v>0.47983146067415727</v>
      </c>
      <c r="S829" s="196">
        <v>6118615000</v>
      </c>
      <c r="T829" s="196">
        <v>266400000</v>
      </c>
      <c r="U829" s="200">
        <f t="shared" si="138"/>
        <v>12507480000</v>
      </c>
      <c r="V829" s="196">
        <v>156000000</v>
      </c>
      <c r="W829" s="196">
        <v>1332000000</v>
      </c>
      <c r="X829" s="196">
        <v>3836000000</v>
      </c>
      <c r="Y829" s="196">
        <v>5996000000</v>
      </c>
      <c r="Z829" s="196">
        <v>1736000000</v>
      </c>
      <c r="AA829" s="198">
        <v>0.03</v>
      </c>
      <c r="AB829" s="198">
        <v>0.02</v>
      </c>
      <c r="AC829" s="213">
        <f t="shared" si="139"/>
        <v>469</v>
      </c>
      <c r="AD829" s="213">
        <f t="shared" si="140"/>
        <v>487</v>
      </c>
      <c r="AE829" s="213">
        <v>1.63</v>
      </c>
      <c r="AF829" s="196">
        <v>231000000</v>
      </c>
      <c r="AG829" s="104">
        <f t="shared" si="141"/>
        <v>0.86711711711711714</v>
      </c>
      <c r="AH829" s="104">
        <f t="shared" si="142"/>
        <v>1.4807692307692308</v>
      </c>
      <c r="AI829" s="195">
        <v>1.62</v>
      </c>
    </row>
    <row r="830" spans="1:48">
      <c r="A830">
        <v>3706</v>
      </c>
      <c r="C830" s="107">
        <f>VLOOKUP(3706,收盤價!$A:$C,3,0)</f>
        <v>29.55</v>
      </c>
      <c r="D830" s="107">
        <f t="shared" si="132"/>
        <v>9.1203703703703702</v>
      </c>
      <c r="E830" s="167">
        <f t="shared" si="133"/>
        <v>4</v>
      </c>
      <c r="F830" s="104">
        <f t="shared" si="134"/>
        <v>0.56082366356857827</v>
      </c>
      <c r="G830" s="167">
        <f>RANK(0.84,AE:AE,0)</f>
        <v>946</v>
      </c>
      <c r="H830" s="365">
        <f t="shared" si="135"/>
        <v>-0.79297975915962082</v>
      </c>
      <c r="I830" s="213">
        <f t="shared" si="136"/>
        <v>611</v>
      </c>
      <c r="J830" s="213">
        <f t="shared" si="137"/>
        <v>768</v>
      </c>
      <c r="K830">
        <f>RANK(1.13,AI:AI,0)</f>
        <v>777</v>
      </c>
      <c r="L830" s="357">
        <v>1</v>
      </c>
      <c r="M830" s="357">
        <v>1</v>
      </c>
      <c r="N830" s="357">
        <v>2</v>
      </c>
      <c r="O830" s="357">
        <v>0</v>
      </c>
      <c r="P830" s="357">
        <v>0</v>
      </c>
      <c r="Q830" s="358">
        <v>0.12786292405717237</v>
      </c>
      <c r="R830" s="359">
        <v>0.81</v>
      </c>
      <c r="S830" s="196">
        <v>41130094000</v>
      </c>
      <c r="T830" s="196">
        <v>780600000</v>
      </c>
      <c r="U830" s="200">
        <f t="shared" si="138"/>
        <v>23066730000</v>
      </c>
      <c r="V830" s="196">
        <v>0</v>
      </c>
      <c r="W830" s="196">
        <v>9412000000</v>
      </c>
      <c r="X830" s="196">
        <v>5573000000</v>
      </c>
      <c r="Y830" s="196">
        <v>32770000000</v>
      </c>
      <c r="Z830" s="196">
        <v>1919000000</v>
      </c>
      <c r="AA830" s="198">
        <v>0</v>
      </c>
      <c r="AB830" s="198">
        <v>0</v>
      </c>
      <c r="AC830" s="213">
        <f t="shared" si="139"/>
        <v>945</v>
      </c>
      <c r="AD830" s="213">
        <f t="shared" si="140"/>
        <v>911</v>
      </c>
      <c r="AE830" s="213">
        <v>0.84</v>
      </c>
      <c r="AF830" s="196">
        <v>619000000</v>
      </c>
      <c r="AG830" s="104">
        <f t="shared" si="141"/>
        <v>0.79297975915962082</v>
      </c>
      <c r="AH830" s="104">
        <f t="shared" si="142"/>
        <v>0</v>
      </c>
      <c r="AI830" s="195">
        <v>1.1299999999999999</v>
      </c>
    </row>
    <row r="831" spans="1:48">
      <c r="A831">
        <v>3707</v>
      </c>
      <c r="C831" s="107">
        <f>VLOOKUP(3707,收盤價!$A:$C,3,0)</f>
        <v>10.050000000000001</v>
      </c>
      <c r="D831" s="107">
        <f t="shared" si="132"/>
        <v>0</v>
      </c>
      <c r="E831" s="167">
        <f t="shared" si="133"/>
        <v>2</v>
      </c>
      <c r="F831" s="104">
        <f t="shared" si="134"/>
        <v>0.43716810399211786</v>
      </c>
      <c r="G831" s="167">
        <f>RANK(0.59,AE:AE,0)</f>
        <v>1348</v>
      </c>
      <c r="H831" s="365">
        <f t="shared" si="135"/>
        <v>-0.21441334127456821</v>
      </c>
      <c r="I831" s="213">
        <f t="shared" si="136"/>
        <v>921</v>
      </c>
      <c r="J831" s="213">
        <f t="shared" si="137"/>
        <v>768</v>
      </c>
      <c r="K831">
        <f>RANK(0.92,AI:AI,0)</f>
        <v>958</v>
      </c>
      <c r="L831" s="357">
        <v>0</v>
      </c>
      <c r="M831" s="357">
        <v>1</v>
      </c>
      <c r="N831" s="357">
        <v>0</v>
      </c>
      <c r="O831" s="357">
        <v>1</v>
      </c>
      <c r="P831" s="357">
        <v>0</v>
      </c>
      <c r="Q831" s="358">
        <v>6.1206896551724135E-2</v>
      </c>
      <c r="R831" s="359">
        <v>0</v>
      </c>
      <c r="S831" s="196">
        <v>3859831000</v>
      </c>
      <c r="T831" s="196">
        <v>167900000</v>
      </c>
      <c r="U831" s="200">
        <f t="shared" si="138"/>
        <v>1687395000.0000002</v>
      </c>
      <c r="V831" s="196">
        <v>-56000000</v>
      </c>
      <c r="W831" s="196">
        <v>1436000000</v>
      </c>
      <c r="X831" s="196">
        <v>2194000000</v>
      </c>
      <c r="Y831" s="196">
        <v>3513000000</v>
      </c>
      <c r="Z831" s="196">
        <v>722000000</v>
      </c>
      <c r="AA831" s="198">
        <v>-0.02</v>
      </c>
      <c r="AB831" s="198">
        <v>-0.01</v>
      </c>
      <c r="AC831" s="213">
        <f t="shared" si="139"/>
        <v>1353</v>
      </c>
      <c r="AD831" s="213">
        <f t="shared" si="140"/>
        <v>1294</v>
      </c>
      <c r="AE831" s="213">
        <v>0.59</v>
      </c>
      <c r="AF831" s="196">
        <v>36000000</v>
      </c>
      <c r="AG831" s="104">
        <f t="shared" si="141"/>
        <v>0.21441334127456821</v>
      </c>
      <c r="AH831" s="104">
        <f t="shared" si="142"/>
        <v>0</v>
      </c>
      <c r="AI831" s="195">
        <v>0.92</v>
      </c>
    </row>
    <row r="832" spans="1:48">
      <c r="A832">
        <v>4102</v>
      </c>
      <c r="C832" s="107">
        <f>VLOOKUP(4102,收盤價!$A:$C,3,0)</f>
        <v>17.600000000000001</v>
      </c>
      <c r="D832" s="107">
        <f t="shared" si="132"/>
        <v>0</v>
      </c>
      <c r="E832" s="167">
        <f t="shared" si="133"/>
        <v>3</v>
      </c>
      <c r="F832" s="104">
        <f t="shared" si="134"/>
        <v>2.486911256486052</v>
      </c>
      <c r="G832" s="167">
        <f>RANK(0.54,AE:AE,0)</f>
        <v>1453</v>
      </c>
      <c r="H832" s="365">
        <f t="shared" si="135"/>
        <v>-0.23584905660377359</v>
      </c>
      <c r="I832" s="213">
        <f t="shared" si="136"/>
        <v>903</v>
      </c>
      <c r="J832" s="213">
        <f t="shared" si="137"/>
        <v>768</v>
      </c>
      <c r="K832">
        <f>RANK(0.93,AI:AI,0)</f>
        <v>950</v>
      </c>
      <c r="L832" s="357">
        <v>0</v>
      </c>
      <c r="M832" s="357">
        <v>0</v>
      </c>
      <c r="N832" s="357">
        <v>2</v>
      </c>
      <c r="O832" s="357">
        <v>1</v>
      </c>
      <c r="P832" s="357">
        <v>0</v>
      </c>
      <c r="Q832" s="358">
        <v>2.4691358024691357E-2</v>
      </c>
      <c r="R832" s="359">
        <v>0</v>
      </c>
      <c r="S832" s="196">
        <v>300067000</v>
      </c>
      <c r="T832" s="196">
        <v>42400000</v>
      </c>
      <c r="U832" s="200">
        <f t="shared" si="138"/>
        <v>746240000.00000012</v>
      </c>
      <c r="V832" s="196">
        <v>-17000000</v>
      </c>
      <c r="W832" s="196">
        <v>124000000</v>
      </c>
      <c r="X832" s="196">
        <v>288000000</v>
      </c>
      <c r="Y832" s="196">
        <v>490000000</v>
      </c>
      <c r="Z832" s="196">
        <v>40000000</v>
      </c>
      <c r="AA832" s="198">
        <v>-0.04</v>
      </c>
      <c r="AB832" s="198">
        <v>-0.03</v>
      </c>
      <c r="AC832" s="213">
        <f t="shared" si="139"/>
        <v>1444</v>
      </c>
      <c r="AD832" s="213">
        <f t="shared" si="140"/>
        <v>1444</v>
      </c>
      <c r="AE832" s="213">
        <v>0.54</v>
      </c>
      <c r="AF832" s="196">
        <v>10000000</v>
      </c>
      <c r="AG832" s="104">
        <f t="shared" si="141"/>
        <v>0.23584905660377359</v>
      </c>
      <c r="AH832" s="104">
        <f t="shared" si="142"/>
        <v>0</v>
      </c>
      <c r="AI832" s="195">
        <v>0.93</v>
      </c>
      <c r="AO832" s="213"/>
      <c r="AP832" s="213"/>
      <c r="AQ832" s="213"/>
      <c r="AR832" s="213"/>
      <c r="AS832" s="213"/>
      <c r="AT832" s="213"/>
      <c r="AU832" s="213"/>
      <c r="AV832" s="213"/>
    </row>
    <row r="833" spans="1:48">
      <c r="A833">
        <v>4103</v>
      </c>
      <c r="C833" s="107">
        <f>VLOOKUP(4103,收盤價!$A:$C,3,0)</f>
        <v>73.2</v>
      </c>
      <c r="D833" s="107">
        <f t="shared" si="132"/>
        <v>24.49367088607595</v>
      </c>
      <c r="E833" s="167">
        <f t="shared" si="133"/>
        <v>2</v>
      </c>
      <c r="F833" s="104">
        <f t="shared" si="134"/>
        <v>1.3331061821060792</v>
      </c>
      <c r="G833" s="167">
        <f>RANK(2.76,AE:AE,0)</f>
        <v>305</v>
      </c>
      <c r="H833" s="365">
        <f t="shared" si="135"/>
        <v>3.2181818181818183</v>
      </c>
      <c r="I833" s="213">
        <f t="shared" si="136"/>
        <v>1537</v>
      </c>
      <c r="J833" s="213">
        <f t="shared" si="137"/>
        <v>768</v>
      </c>
      <c r="K833">
        <f>RANK(0.68,AI:AI,0)</f>
        <v>1507</v>
      </c>
      <c r="L833" s="357">
        <v>0</v>
      </c>
      <c r="M833" s="357">
        <v>1</v>
      </c>
      <c r="N833" s="357">
        <v>1</v>
      </c>
      <c r="O833" s="357">
        <v>0</v>
      </c>
      <c r="P833" s="357">
        <v>0</v>
      </c>
      <c r="Q833" s="358">
        <v>0.43887147335423199</v>
      </c>
      <c r="R833" s="359">
        <v>0.74713178294573646</v>
      </c>
      <c r="S833" s="196">
        <v>6040029000</v>
      </c>
      <c r="T833" s="196">
        <v>110000000</v>
      </c>
      <c r="U833" s="200">
        <f t="shared" si="138"/>
        <v>8052000000</v>
      </c>
      <c r="V833" s="196">
        <v>121000000</v>
      </c>
      <c r="W833" s="196">
        <v>2869000000</v>
      </c>
      <c r="X833" s="196">
        <v>370000000</v>
      </c>
      <c r="Y833" s="196">
        <v>3151000000</v>
      </c>
      <c r="Z833" s="196">
        <v>0</v>
      </c>
      <c r="AA833" s="198">
        <v>0.04</v>
      </c>
      <c r="AB833" s="198">
        <v>0.04</v>
      </c>
      <c r="AC833" s="213">
        <f t="shared" si="139"/>
        <v>337</v>
      </c>
      <c r="AD833" s="213">
        <f t="shared" si="140"/>
        <v>228</v>
      </c>
      <c r="AE833" s="213">
        <v>2.76</v>
      </c>
      <c r="AF833" s="196">
        <v>-354000000</v>
      </c>
      <c r="AG833" s="104">
        <f t="shared" si="141"/>
        <v>-3.2181818181818183</v>
      </c>
      <c r="AH833" s="104">
        <f t="shared" si="142"/>
        <v>0</v>
      </c>
      <c r="AI833" s="195">
        <v>0.68</v>
      </c>
      <c r="AO833" s="213"/>
      <c r="AP833" s="213"/>
      <c r="AQ833" s="213"/>
      <c r="AR833" s="213"/>
      <c r="AS833" s="213"/>
      <c r="AT833" s="213"/>
      <c r="AU833" s="213"/>
      <c r="AV833" s="213"/>
    </row>
    <row r="834" spans="1:48">
      <c r="A834">
        <v>4104</v>
      </c>
      <c r="C834" s="107">
        <f>VLOOKUP(4104,收盤價!$A:$C,3,0)</f>
        <v>45.25</v>
      </c>
      <c r="D834" s="107">
        <f t="shared" ref="D834:D897" si="143">IF(AND(ISNUMBER(C834),R834&gt;0),C834/(R834*4),0)</f>
        <v>25.59308719560094</v>
      </c>
      <c r="E834" s="167">
        <f t="shared" ref="E834:E897" si="144">SUM(L834:P834)</f>
        <v>2</v>
      </c>
      <c r="F834" s="104">
        <f t="shared" ref="F834:F897" si="145">IF(AND(ISNUMBER(U834),ISNUMBER(S834)),U834/S834,0)</f>
        <v>0.92409942824660773</v>
      </c>
      <c r="G834" s="167">
        <f>RANK(1.2,AE:AE,0)</f>
        <v>710</v>
      </c>
      <c r="H834" s="365">
        <f t="shared" ref="H834:H897" si="146">AH834-AG834</f>
        <v>2.0541401273885351</v>
      </c>
      <c r="I834" s="213">
        <f t="shared" ref="I834:I897" si="147">RANK(AG834,AG:AG)</f>
        <v>1515</v>
      </c>
      <c r="J834" s="213">
        <f t="shared" ref="J834:J897" si="148">RANK(AH834,AH:AH)</f>
        <v>768</v>
      </c>
      <c r="K834">
        <f>RANK(0.68,AI:AI,0)</f>
        <v>1507</v>
      </c>
      <c r="L834" s="357">
        <v>0</v>
      </c>
      <c r="M834" s="357">
        <v>0</v>
      </c>
      <c r="N834" s="357">
        <v>2</v>
      </c>
      <c r="O834" s="357">
        <v>0</v>
      </c>
      <c r="P834" s="357">
        <v>0</v>
      </c>
      <c r="Q834" s="358">
        <v>0.20089571337172105</v>
      </c>
      <c r="R834" s="359">
        <v>0.44201388888888893</v>
      </c>
      <c r="S834" s="196">
        <v>6150204000</v>
      </c>
      <c r="T834" s="196">
        <v>125600000</v>
      </c>
      <c r="U834" s="200">
        <f t="shared" ref="U834:U897" si="149">C834*T834</f>
        <v>5683400000</v>
      </c>
      <c r="V834" s="196">
        <v>106000000</v>
      </c>
      <c r="W834" s="196">
        <v>4593000000</v>
      </c>
      <c r="X834" s="196">
        <v>290000000</v>
      </c>
      <c r="Y834" s="196">
        <v>8131000000</v>
      </c>
      <c r="Z834" s="196">
        <v>1234000000</v>
      </c>
      <c r="AA834" s="198">
        <v>0.02</v>
      </c>
      <c r="AB834" s="198">
        <v>0.01</v>
      </c>
      <c r="AC834" s="213">
        <f t="shared" ref="AC834:AC897" si="150">RANK(AA834,AA:AA)</f>
        <v>616</v>
      </c>
      <c r="AD834" s="213">
        <f t="shared" ref="AD834:AD897" si="151">RANK(AB834,AB:AB)</f>
        <v>680</v>
      </c>
      <c r="AE834" s="213">
        <v>1.2</v>
      </c>
      <c r="AF834" s="196">
        <v>-258000000</v>
      </c>
      <c r="AG834" s="104">
        <f t="shared" ref="AG834:AG897" si="152">AF834/T834</f>
        <v>-2.0541401273885351</v>
      </c>
      <c r="AH834" s="104">
        <f t="shared" ref="AH834:AH897" si="153">IF(AND(AF834&gt;0,V834&gt;0),AF834/V834,0)</f>
        <v>0</v>
      </c>
      <c r="AI834" s="195">
        <v>0.68</v>
      </c>
    </row>
    <row r="835" spans="1:48">
      <c r="A835">
        <v>4105</v>
      </c>
      <c r="C835" s="107">
        <f>VLOOKUP(4105,收盤價!$A:$C,3,0)</f>
        <v>126</v>
      </c>
      <c r="D835" s="107">
        <f t="shared" si="143"/>
        <v>30.305564001216176</v>
      </c>
      <c r="E835" s="167">
        <f t="shared" si="144"/>
        <v>4</v>
      </c>
      <c r="F835" s="104">
        <f t="shared" si="145"/>
        <v>8.5134950097370989</v>
      </c>
      <c r="G835" s="167">
        <f>RANK(6.31,AE:AE,0)</f>
        <v>125</v>
      </c>
      <c r="H835" s="365">
        <f t="shared" si="146"/>
        <v>-0.3392727549109027</v>
      </c>
      <c r="I835" s="213">
        <f t="shared" si="147"/>
        <v>373</v>
      </c>
      <c r="J835" s="213">
        <f t="shared" si="148"/>
        <v>513</v>
      </c>
      <c r="K835">
        <f>RANK(1.76,AI:AI,0)</f>
        <v>428</v>
      </c>
      <c r="L835" s="357">
        <v>0</v>
      </c>
      <c r="M835" s="357">
        <v>1</v>
      </c>
      <c r="N835" s="357">
        <v>2</v>
      </c>
      <c r="O835" s="357">
        <v>1</v>
      </c>
      <c r="P835" s="357">
        <v>0</v>
      </c>
      <c r="Q835" s="358">
        <v>0.68437499999999996</v>
      </c>
      <c r="R835" s="359">
        <v>1.0394130925507901</v>
      </c>
      <c r="S835" s="196">
        <v>3680768000</v>
      </c>
      <c r="T835" s="196">
        <v>248700000</v>
      </c>
      <c r="U835" s="200">
        <f t="shared" si="149"/>
        <v>31336200000</v>
      </c>
      <c r="V835" s="196">
        <v>328000000</v>
      </c>
      <c r="W835" s="196">
        <v>1674000000</v>
      </c>
      <c r="X835" s="196">
        <v>2287000000</v>
      </c>
      <c r="Y835" s="196">
        <v>5348000000</v>
      </c>
      <c r="Z835" s="196">
        <v>1299000000</v>
      </c>
      <c r="AA835" s="198">
        <v>0.08</v>
      </c>
      <c r="AB835" s="198">
        <v>0.05</v>
      </c>
      <c r="AC835" s="213">
        <f t="shared" si="150"/>
        <v>97</v>
      </c>
      <c r="AD835" s="213">
        <f t="shared" si="151"/>
        <v>150</v>
      </c>
      <c r="AE835" s="213">
        <v>6.31</v>
      </c>
      <c r="AF835" s="196">
        <v>349000000</v>
      </c>
      <c r="AG835" s="104">
        <f t="shared" si="152"/>
        <v>1.4032971451548051</v>
      </c>
      <c r="AH835" s="104">
        <f t="shared" si="153"/>
        <v>1.0640243902439024</v>
      </c>
      <c r="AI835" s="195">
        <v>1.76</v>
      </c>
    </row>
    <row r="836" spans="1:48">
      <c r="A836">
        <v>4106</v>
      </c>
      <c r="C836" s="107">
        <f>VLOOKUP(4106,收盤價!$A:$C,3,0)</f>
        <v>34.299999999999997</v>
      </c>
      <c r="D836" s="107">
        <f t="shared" si="143"/>
        <v>22.723749999999995</v>
      </c>
      <c r="E836" s="167">
        <f t="shared" si="144"/>
        <v>2</v>
      </c>
      <c r="F836" s="104">
        <f t="shared" si="145"/>
        <v>1.4417059647987518</v>
      </c>
      <c r="G836" s="167">
        <f>RANK(2.36,AE:AE,0)</f>
        <v>355</v>
      </c>
      <c r="H836" s="365">
        <f t="shared" si="146"/>
        <v>0.72403615569083191</v>
      </c>
      <c r="I836" s="213">
        <f t="shared" si="147"/>
        <v>432</v>
      </c>
      <c r="J836" s="213">
        <f t="shared" si="148"/>
        <v>279</v>
      </c>
      <c r="K836">
        <f>RANK(2.19,AI:AI,0)</f>
        <v>296</v>
      </c>
      <c r="L836" s="357">
        <v>0</v>
      </c>
      <c r="M836" s="357">
        <v>0</v>
      </c>
      <c r="N836" s="357">
        <v>1</v>
      </c>
      <c r="O836" s="357">
        <v>1</v>
      </c>
      <c r="P836" s="357">
        <v>0</v>
      </c>
      <c r="Q836" s="358">
        <v>0.45627376425855515</v>
      </c>
      <c r="R836" s="359">
        <v>0.37735849056603776</v>
      </c>
      <c r="S836" s="196">
        <v>1984191000</v>
      </c>
      <c r="T836" s="196">
        <v>83400000</v>
      </c>
      <c r="U836" s="200">
        <f t="shared" si="149"/>
        <v>2860620000</v>
      </c>
      <c r="V836" s="196">
        <v>52000000</v>
      </c>
      <c r="W836" s="196">
        <v>204000000</v>
      </c>
      <c r="X836" s="196">
        <v>640000000</v>
      </c>
      <c r="Y836" s="196">
        <v>1581000000</v>
      </c>
      <c r="Z836" s="196">
        <v>571000000</v>
      </c>
      <c r="AA836" s="198">
        <v>0.06</v>
      </c>
      <c r="AB836" s="198">
        <v>0.02</v>
      </c>
      <c r="AC836" s="213">
        <f t="shared" si="150"/>
        <v>174</v>
      </c>
      <c r="AD836" s="213">
        <f t="shared" si="151"/>
        <v>487</v>
      </c>
      <c r="AE836" s="213">
        <v>2.36</v>
      </c>
      <c r="AF836" s="196">
        <v>100000000</v>
      </c>
      <c r="AG836" s="104">
        <f t="shared" si="152"/>
        <v>1.1990407673860912</v>
      </c>
      <c r="AH836" s="104">
        <f t="shared" si="153"/>
        <v>1.9230769230769231</v>
      </c>
      <c r="AI836" s="195">
        <v>2.19</v>
      </c>
    </row>
    <row r="837" spans="1:48">
      <c r="A837">
        <v>4107</v>
      </c>
      <c r="C837" s="107">
        <f>VLOOKUP(4107,收盤價!$A:$C,3,0)</f>
        <v>142</v>
      </c>
      <c r="D837" s="107">
        <f t="shared" si="143"/>
        <v>25.099971022891918</v>
      </c>
      <c r="E837" s="167">
        <f t="shared" si="144"/>
        <v>5</v>
      </c>
      <c r="F837" s="104">
        <f t="shared" si="145"/>
        <v>7.1331800952917357</v>
      </c>
      <c r="G837" s="167">
        <f>RANK(5.79,AE:AE,0)</f>
        <v>129</v>
      </c>
      <c r="H837" s="365">
        <f t="shared" si="146"/>
        <v>-0.42067099567099575</v>
      </c>
      <c r="I837" s="213">
        <f t="shared" si="147"/>
        <v>517</v>
      </c>
      <c r="J837" s="213">
        <f t="shared" si="148"/>
        <v>658</v>
      </c>
      <c r="K837">
        <f>RANK(1.33,AI:AI,0)</f>
        <v>662</v>
      </c>
      <c r="L837" s="357">
        <v>1</v>
      </c>
      <c r="M837" s="357">
        <v>1</v>
      </c>
      <c r="N837" s="357">
        <v>2</v>
      </c>
      <c r="O837" s="357">
        <v>1</v>
      </c>
      <c r="P837" s="357">
        <v>0</v>
      </c>
      <c r="Q837" s="358">
        <v>0.45504087193460491</v>
      </c>
      <c r="R837" s="359">
        <v>1.4143442622950819</v>
      </c>
      <c r="S837" s="196">
        <v>1379553000</v>
      </c>
      <c r="T837" s="196">
        <v>69300000</v>
      </c>
      <c r="U837" s="200">
        <f t="shared" si="149"/>
        <v>9840600000</v>
      </c>
      <c r="V837" s="196">
        <v>120000000</v>
      </c>
      <c r="W837" s="196">
        <v>916000000</v>
      </c>
      <c r="X837" s="196">
        <v>951000000</v>
      </c>
      <c r="Y837" s="196">
        <v>1912000000</v>
      </c>
      <c r="Z837" s="196">
        <v>131000000</v>
      </c>
      <c r="AA837" s="198">
        <v>0.06</v>
      </c>
      <c r="AB837" s="198">
        <v>0.06</v>
      </c>
      <c r="AC837" s="213">
        <f t="shared" si="150"/>
        <v>174</v>
      </c>
      <c r="AD837" s="213">
        <f t="shared" si="151"/>
        <v>95</v>
      </c>
      <c r="AE837" s="213">
        <v>5.79</v>
      </c>
      <c r="AF837" s="196">
        <v>69000000</v>
      </c>
      <c r="AG837" s="104">
        <f t="shared" si="152"/>
        <v>0.99567099567099571</v>
      </c>
      <c r="AH837" s="104">
        <f t="shared" si="153"/>
        <v>0.57499999999999996</v>
      </c>
      <c r="AI837" s="195">
        <v>1.33</v>
      </c>
      <c r="AO837" s="213"/>
      <c r="AP837" s="213"/>
      <c r="AQ837" s="213"/>
      <c r="AR837" s="213"/>
      <c r="AS837" s="213"/>
      <c r="AT837" s="213"/>
      <c r="AU837" s="213"/>
      <c r="AV837" s="213"/>
    </row>
    <row r="838" spans="1:48">
      <c r="A838">
        <v>4108</v>
      </c>
      <c r="C838" s="107">
        <f>VLOOKUP(4108,收盤價!$A:$C,3,0)</f>
        <v>29.85</v>
      </c>
      <c r="D838" s="107">
        <f t="shared" si="143"/>
        <v>0</v>
      </c>
      <c r="E838" s="167">
        <f t="shared" si="144"/>
        <v>3</v>
      </c>
      <c r="F838" s="104">
        <f t="shared" si="145"/>
        <v>242.35533498759304</v>
      </c>
      <c r="G838" s="167">
        <f>RANK(0.55,AE:AE,0)</f>
        <v>1436</v>
      </c>
      <c r="H838" s="365">
        <f t="shared" si="146"/>
        <v>1.3569682151589242</v>
      </c>
      <c r="I838" s="213">
        <f t="shared" si="147"/>
        <v>1468</v>
      </c>
      <c r="J838" s="213">
        <f t="shared" si="148"/>
        <v>768</v>
      </c>
      <c r="K838">
        <f>RANK(0.7,AI:AI,0)</f>
        <v>1442</v>
      </c>
      <c r="L838" s="357">
        <v>0</v>
      </c>
      <c r="M838" s="357">
        <v>1</v>
      </c>
      <c r="N838" s="357">
        <v>1</v>
      </c>
      <c r="O838" s="357">
        <v>1</v>
      </c>
      <c r="P838" s="357">
        <v>0</v>
      </c>
      <c r="Q838" s="358">
        <v>0.66666666666666663</v>
      </c>
      <c r="R838" s="359">
        <v>0</v>
      </c>
      <c r="S838" s="196">
        <v>20150000</v>
      </c>
      <c r="T838" s="196">
        <v>163600000</v>
      </c>
      <c r="U838" s="200">
        <f t="shared" si="149"/>
        <v>4883460000</v>
      </c>
      <c r="V838" s="196">
        <v>-63000000</v>
      </c>
      <c r="W838" s="196">
        <v>1458000000</v>
      </c>
      <c r="X838" s="196">
        <v>470000000</v>
      </c>
      <c r="Y838" s="196">
        <v>2409000000</v>
      </c>
      <c r="Z838" s="196">
        <v>0</v>
      </c>
      <c r="AA838" s="198">
        <v>-0.03</v>
      </c>
      <c r="AB838" s="198">
        <v>-0.03</v>
      </c>
      <c r="AC838" s="213">
        <f t="shared" si="150"/>
        <v>1405</v>
      </c>
      <c r="AD838" s="213">
        <f t="shared" si="151"/>
        <v>1444</v>
      </c>
      <c r="AE838" s="213">
        <v>0.55000000000000004</v>
      </c>
      <c r="AF838" s="196">
        <v>-222000000</v>
      </c>
      <c r="AG838" s="104">
        <f t="shared" si="152"/>
        <v>-1.3569682151589242</v>
      </c>
      <c r="AH838" s="104">
        <f t="shared" si="153"/>
        <v>0</v>
      </c>
      <c r="AI838" s="195">
        <v>0.7</v>
      </c>
    </row>
    <row r="839" spans="1:48">
      <c r="A839">
        <v>4109</v>
      </c>
      <c r="C839" s="107">
        <f>VLOOKUP(4109,收盤價!$A:$C,3,0)</f>
        <v>20.75</v>
      </c>
      <c r="D839" s="107">
        <f t="shared" si="143"/>
        <v>162.109375</v>
      </c>
      <c r="E839" s="167">
        <f t="shared" si="144"/>
        <v>0</v>
      </c>
      <c r="F839" s="104">
        <f t="shared" si="145"/>
        <v>1.9814895453746781</v>
      </c>
      <c r="G839" s="167">
        <f>RANK(1.41,AE:AE,0)</f>
        <v>618</v>
      </c>
      <c r="H839" s="365">
        <f t="shared" si="146"/>
        <v>0.29555555555555557</v>
      </c>
      <c r="I839" s="213">
        <f t="shared" si="147"/>
        <v>994</v>
      </c>
      <c r="J839" s="213">
        <f t="shared" si="148"/>
        <v>705</v>
      </c>
      <c r="K839">
        <f>RANK(0.92,AI:AI,0)</f>
        <v>958</v>
      </c>
      <c r="L839" s="357">
        <v>0</v>
      </c>
      <c r="M839" s="357">
        <v>0</v>
      </c>
      <c r="N839" s="357">
        <v>0</v>
      </c>
      <c r="O839" s="357">
        <v>0</v>
      </c>
      <c r="P839" s="357">
        <v>0</v>
      </c>
      <c r="Q839" s="358">
        <v>0.35465116279069769</v>
      </c>
      <c r="R839" s="359">
        <v>3.2000000000000001E-2</v>
      </c>
      <c r="S839" s="196">
        <v>785394000</v>
      </c>
      <c r="T839" s="196">
        <v>75000000</v>
      </c>
      <c r="U839" s="200">
        <f t="shared" si="149"/>
        <v>1556250000</v>
      </c>
      <c r="V839" s="196">
        <v>18000000</v>
      </c>
      <c r="W839" s="196">
        <v>79000000</v>
      </c>
      <c r="X839" s="196">
        <v>772000000</v>
      </c>
      <c r="Y839" s="196">
        <v>966000000</v>
      </c>
      <c r="Z839" s="196">
        <v>179000000</v>
      </c>
      <c r="AA839" s="198">
        <v>0.02</v>
      </c>
      <c r="AB839" s="198">
        <v>0.02</v>
      </c>
      <c r="AC839" s="213">
        <f t="shared" si="150"/>
        <v>616</v>
      </c>
      <c r="AD839" s="213">
        <f t="shared" si="151"/>
        <v>487</v>
      </c>
      <c r="AE839" s="213">
        <v>1.41</v>
      </c>
      <c r="AF839" s="196">
        <v>7000000</v>
      </c>
      <c r="AG839" s="104">
        <f t="shared" si="152"/>
        <v>9.3333333333333338E-2</v>
      </c>
      <c r="AH839" s="104">
        <f t="shared" si="153"/>
        <v>0.3888888888888889</v>
      </c>
      <c r="AI839" s="195">
        <v>0.92</v>
      </c>
    </row>
    <row r="840" spans="1:48">
      <c r="A840">
        <v>4111</v>
      </c>
      <c r="C840" s="107">
        <f>VLOOKUP(4111,收盤價!$A:$C,3,0)</f>
        <v>22.7</v>
      </c>
      <c r="D840" s="107">
        <f t="shared" si="143"/>
        <v>21.743295019157088</v>
      </c>
      <c r="E840" s="167">
        <f t="shared" si="144"/>
        <v>3</v>
      </c>
      <c r="F840" s="104">
        <f t="shared" si="145"/>
        <v>1.3789156665025482</v>
      </c>
      <c r="G840" s="167">
        <f>RANK(1.41,AE:AE,0)</f>
        <v>618</v>
      </c>
      <c r="H840" s="365">
        <f t="shared" si="146"/>
        <v>0.19005847953216376</v>
      </c>
      <c r="I840" s="213">
        <f t="shared" si="147"/>
        <v>1002</v>
      </c>
      <c r="J840" s="213">
        <f t="shared" si="148"/>
        <v>728</v>
      </c>
      <c r="K840">
        <f>RANK(0.9,AI:AI,0)</f>
        <v>988</v>
      </c>
      <c r="L840" s="357">
        <v>0</v>
      </c>
      <c r="M840" s="357">
        <v>1</v>
      </c>
      <c r="N840" s="357">
        <v>2</v>
      </c>
      <c r="O840" s="357">
        <v>0</v>
      </c>
      <c r="P840" s="357">
        <v>0</v>
      </c>
      <c r="Q840" s="358">
        <v>0.32067510548523209</v>
      </c>
      <c r="R840" s="359">
        <v>0.26100000000000001</v>
      </c>
      <c r="S840" s="196">
        <v>938346000</v>
      </c>
      <c r="T840" s="196">
        <v>57000000</v>
      </c>
      <c r="U840" s="200">
        <f t="shared" si="149"/>
        <v>1293900000</v>
      </c>
      <c r="V840" s="196">
        <v>18000000</v>
      </c>
      <c r="W840" s="196">
        <v>164000000</v>
      </c>
      <c r="X840" s="196">
        <v>816000000</v>
      </c>
      <c r="Y840" s="196">
        <v>985000000</v>
      </c>
      <c r="Z840" s="196">
        <v>10000000</v>
      </c>
      <c r="AA840" s="198">
        <v>0.02</v>
      </c>
      <c r="AB840" s="198">
        <v>0.02</v>
      </c>
      <c r="AC840" s="213">
        <f t="shared" si="150"/>
        <v>616</v>
      </c>
      <c r="AD840" s="213">
        <f t="shared" si="151"/>
        <v>487</v>
      </c>
      <c r="AE840" s="213">
        <v>1.41</v>
      </c>
      <c r="AF840" s="196">
        <v>5000000</v>
      </c>
      <c r="AG840" s="104">
        <f t="shared" si="152"/>
        <v>8.771929824561403E-2</v>
      </c>
      <c r="AH840" s="104">
        <f t="shared" si="153"/>
        <v>0.27777777777777779</v>
      </c>
      <c r="AI840" s="195">
        <v>0.9</v>
      </c>
    </row>
    <row r="841" spans="1:48">
      <c r="A841">
        <v>4113</v>
      </c>
      <c r="C841" s="107">
        <f>VLOOKUP(4113,收盤價!$A:$C,3,0)</f>
        <v>9.35</v>
      </c>
      <c r="D841" s="107">
        <f t="shared" si="143"/>
        <v>18.952702702702702</v>
      </c>
      <c r="E841" s="167">
        <f t="shared" si="144"/>
        <v>1</v>
      </c>
      <c r="F841" s="104">
        <f t="shared" si="145"/>
        <v>1.958653332315444</v>
      </c>
      <c r="G841" s="167">
        <f>RANK(1.08,AE:AE,0)</f>
        <v>769</v>
      </c>
      <c r="H841" s="365">
        <f t="shared" si="146"/>
        <v>0.56851311953352768</v>
      </c>
      <c r="I841" s="213">
        <f t="shared" si="147"/>
        <v>1369</v>
      </c>
      <c r="J841" s="213">
        <f t="shared" si="148"/>
        <v>768</v>
      </c>
      <c r="K841">
        <f>RANK(0.73,AI:AI,0)</f>
        <v>1352</v>
      </c>
      <c r="L841" s="357">
        <v>0</v>
      </c>
      <c r="M841" s="357">
        <v>0</v>
      </c>
      <c r="N841" s="357">
        <v>1</v>
      </c>
      <c r="O841" s="357">
        <v>0</v>
      </c>
      <c r="P841" s="357">
        <v>0</v>
      </c>
      <c r="Q841" s="358">
        <v>0.32768361581920902</v>
      </c>
      <c r="R841" s="359">
        <v>0.12333333333333334</v>
      </c>
      <c r="S841" s="196">
        <v>982425000</v>
      </c>
      <c r="T841" s="196">
        <v>205800000</v>
      </c>
      <c r="U841" s="200">
        <f t="shared" si="149"/>
        <v>1924230000</v>
      </c>
      <c r="V841" s="196">
        <v>45000000</v>
      </c>
      <c r="W841" s="196">
        <v>3327000000</v>
      </c>
      <c r="X841" s="196">
        <v>8000000</v>
      </c>
      <c r="Y841" s="196">
        <v>3557000000</v>
      </c>
      <c r="Z841" s="196">
        <v>2692000000</v>
      </c>
      <c r="AA841" s="198">
        <v>0.01</v>
      </c>
      <c r="AB841" s="198">
        <v>0.01</v>
      </c>
      <c r="AC841" s="213">
        <f t="shared" si="150"/>
        <v>769</v>
      </c>
      <c r="AD841" s="213">
        <f t="shared" si="151"/>
        <v>680</v>
      </c>
      <c r="AE841" s="213">
        <v>1.08</v>
      </c>
      <c r="AF841" s="196">
        <v>-117000000</v>
      </c>
      <c r="AG841" s="104">
        <f t="shared" si="152"/>
        <v>-0.56851311953352768</v>
      </c>
      <c r="AH841" s="104">
        <f t="shared" si="153"/>
        <v>0</v>
      </c>
      <c r="AI841" s="195">
        <v>0.73</v>
      </c>
    </row>
    <row r="842" spans="1:48">
      <c r="A842">
        <v>4114</v>
      </c>
      <c r="C842" s="107">
        <f>VLOOKUP(4114,收盤價!$A:$C,3,0)</f>
        <v>29.2</v>
      </c>
      <c r="D842" s="107">
        <f t="shared" si="143"/>
        <v>0</v>
      </c>
      <c r="E842" s="167">
        <f t="shared" si="144"/>
        <v>3</v>
      </c>
      <c r="F842" s="104">
        <f t="shared" si="145"/>
        <v>2.0337143035745915</v>
      </c>
      <c r="G842" s="167">
        <f>RANK(0.84,AE:AE,0)</f>
        <v>946</v>
      </c>
      <c r="H842" s="365">
        <f t="shared" si="146"/>
        <v>6.9065071054599851</v>
      </c>
      <c r="I842" s="213">
        <f t="shared" si="147"/>
        <v>606</v>
      </c>
      <c r="J842" s="213">
        <f t="shared" si="148"/>
        <v>50</v>
      </c>
      <c r="K842">
        <f>RANK(2.38,AI:AI,0)</f>
        <v>261</v>
      </c>
      <c r="L842" s="357">
        <v>0</v>
      </c>
      <c r="M842" s="357">
        <v>0</v>
      </c>
      <c r="N842" s="357">
        <v>2</v>
      </c>
      <c r="O842" s="357">
        <v>1</v>
      </c>
      <c r="P842" s="357">
        <v>0</v>
      </c>
      <c r="Q842" s="358">
        <v>0.44315992292870904</v>
      </c>
      <c r="R842" s="359">
        <v>0</v>
      </c>
      <c r="S842" s="196">
        <v>1919660000</v>
      </c>
      <c r="T842" s="196">
        <v>133700000</v>
      </c>
      <c r="U842" s="200">
        <f t="shared" si="149"/>
        <v>3904040000</v>
      </c>
      <c r="V842" s="196">
        <v>14000000</v>
      </c>
      <c r="W842" s="196">
        <v>526000000</v>
      </c>
      <c r="X842" s="196">
        <v>3568000000</v>
      </c>
      <c r="Y842" s="196">
        <v>3981000000</v>
      </c>
      <c r="Z842" s="196">
        <v>837000000</v>
      </c>
      <c r="AA842" s="198">
        <v>0</v>
      </c>
      <c r="AB842" s="198">
        <v>0</v>
      </c>
      <c r="AC842" s="213">
        <f t="shared" si="150"/>
        <v>945</v>
      </c>
      <c r="AD842" s="213">
        <f t="shared" si="151"/>
        <v>911</v>
      </c>
      <c r="AE842" s="213">
        <v>0.84</v>
      </c>
      <c r="AF842" s="196">
        <v>108000000</v>
      </c>
      <c r="AG842" s="104">
        <f t="shared" si="152"/>
        <v>0.80777860882572927</v>
      </c>
      <c r="AH842" s="104">
        <f t="shared" si="153"/>
        <v>7.7142857142857144</v>
      </c>
      <c r="AI842" s="195">
        <v>2.38</v>
      </c>
    </row>
    <row r="843" spans="1:48">
      <c r="A843">
        <v>4116</v>
      </c>
      <c r="C843" s="107">
        <f>VLOOKUP(4116,收盤價!$A:$C,3,0)</f>
        <v>43.75</v>
      </c>
      <c r="D843" s="107">
        <f t="shared" si="143"/>
        <v>58.023872679045091</v>
      </c>
      <c r="E843" s="167">
        <f t="shared" si="144"/>
        <v>1</v>
      </c>
      <c r="F843" s="104">
        <f t="shared" si="145"/>
        <v>2.1142729689039239</v>
      </c>
      <c r="G843" s="167">
        <f>RANK(1.08,AE:AE,0)</f>
        <v>769</v>
      </c>
      <c r="H843" s="365">
        <f t="shared" si="146"/>
        <v>0.24886877828054299</v>
      </c>
      <c r="I843" s="213">
        <f t="shared" si="147"/>
        <v>1243</v>
      </c>
      <c r="J843" s="213">
        <f t="shared" si="148"/>
        <v>768</v>
      </c>
      <c r="K843">
        <f>RANK(0.77,AI:AI,0)</f>
        <v>1243</v>
      </c>
      <c r="L843" s="357">
        <v>0</v>
      </c>
      <c r="M843" s="357">
        <v>1</v>
      </c>
      <c r="N843" s="357">
        <v>0</v>
      </c>
      <c r="O843" s="357">
        <v>0</v>
      </c>
      <c r="P843" s="357">
        <v>0</v>
      </c>
      <c r="Q843" s="358">
        <v>0.34361233480176212</v>
      </c>
      <c r="R843" s="359">
        <v>0.1885</v>
      </c>
      <c r="S843" s="196">
        <v>914617000</v>
      </c>
      <c r="T843" s="196">
        <v>44200000</v>
      </c>
      <c r="U843" s="200">
        <f t="shared" si="149"/>
        <v>1933750000</v>
      </c>
      <c r="V843" s="196">
        <v>14000000</v>
      </c>
      <c r="W843" s="196">
        <v>357000000</v>
      </c>
      <c r="X843" s="196">
        <v>586000000</v>
      </c>
      <c r="Y843" s="196">
        <v>982000000</v>
      </c>
      <c r="Z843" s="196">
        <v>65000000</v>
      </c>
      <c r="AA843" s="198">
        <v>0.01</v>
      </c>
      <c r="AB843" s="198">
        <v>0.01</v>
      </c>
      <c r="AC843" s="213">
        <f t="shared" si="150"/>
        <v>769</v>
      </c>
      <c r="AD843" s="213">
        <f t="shared" si="151"/>
        <v>680</v>
      </c>
      <c r="AE843" s="213">
        <v>1.08</v>
      </c>
      <c r="AF843" s="196">
        <v>-11000000</v>
      </c>
      <c r="AG843" s="104">
        <f t="shared" si="152"/>
        <v>-0.24886877828054299</v>
      </c>
      <c r="AH843" s="104">
        <f t="shared" si="153"/>
        <v>0</v>
      </c>
      <c r="AI843" s="195">
        <v>0.77</v>
      </c>
      <c r="AO843" s="213"/>
      <c r="AP843" s="213"/>
      <c r="AQ843" s="213"/>
      <c r="AR843" s="213"/>
      <c r="AS843" s="213"/>
      <c r="AT843" s="213"/>
      <c r="AU843" s="213"/>
      <c r="AV843" s="213"/>
    </row>
    <row r="844" spans="1:48">
      <c r="A844">
        <v>4119</v>
      </c>
      <c r="C844" s="107">
        <f>VLOOKUP(4119,收盤價!$A:$C,3,0)</f>
        <v>82.2</v>
      </c>
      <c r="D844" s="107">
        <f t="shared" si="143"/>
        <v>11.874375802539593</v>
      </c>
      <c r="E844" s="167">
        <f t="shared" si="144"/>
        <v>2</v>
      </c>
      <c r="F844" s="104">
        <f t="shared" si="145"/>
        <v>3.3036609359272862</v>
      </c>
      <c r="G844" s="167">
        <f>RANK(5.79,AE:AE,0)</f>
        <v>129</v>
      </c>
      <c r="H844" s="365">
        <f t="shared" si="146"/>
        <v>-1.0420447205733092</v>
      </c>
      <c r="I844" s="213">
        <f t="shared" si="147"/>
        <v>228</v>
      </c>
      <c r="J844" s="213">
        <f t="shared" si="148"/>
        <v>537</v>
      </c>
      <c r="K844">
        <f>RANK(2.04,AI:AI,0)</f>
        <v>323</v>
      </c>
      <c r="L844" s="357">
        <v>0</v>
      </c>
      <c r="M844" s="357">
        <v>1</v>
      </c>
      <c r="N844" s="357">
        <v>0</v>
      </c>
      <c r="O844" s="357">
        <v>1</v>
      </c>
      <c r="P844" s="357">
        <v>0</v>
      </c>
      <c r="Q844" s="358">
        <v>0.43212237093690248</v>
      </c>
      <c r="R844" s="359">
        <v>1.7306172839506173</v>
      </c>
      <c r="S844" s="196">
        <v>1973102000</v>
      </c>
      <c r="T844" s="196">
        <v>79300000</v>
      </c>
      <c r="U844" s="200">
        <f t="shared" si="149"/>
        <v>6518460000</v>
      </c>
      <c r="V844" s="196">
        <v>164000000</v>
      </c>
      <c r="W844" s="196">
        <v>1010000000</v>
      </c>
      <c r="X844" s="196">
        <v>1787000000</v>
      </c>
      <c r="Y844" s="196">
        <v>2932000000</v>
      </c>
      <c r="Z844" s="196">
        <v>30000000</v>
      </c>
      <c r="AA844" s="198">
        <v>0.06</v>
      </c>
      <c r="AB844" s="198">
        <v>0.06</v>
      </c>
      <c r="AC844" s="213">
        <f t="shared" si="150"/>
        <v>174</v>
      </c>
      <c r="AD844" s="213">
        <f t="shared" si="151"/>
        <v>95</v>
      </c>
      <c r="AE844" s="213">
        <v>5.79</v>
      </c>
      <c r="AF844" s="196">
        <v>160000000</v>
      </c>
      <c r="AG844" s="104">
        <f t="shared" si="152"/>
        <v>2.0176544766708702</v>
      </c>
      <c r="AH844" s="104">
        <f t="shared" si="153"/>
        <v>0.97560975609756095</v>
      </c>
      <c r="AI844" s="195">
        <v>2.04</v>
      </c>
    </row>
    <row r="845" spans="1:48">
      <c r="A845">
        <v>4120</v>
      </c>
      <c r="C845" s="107">
        <f>VLOOKUP(4120,收盤價!$A:$C,3,0)</f>
        <v>58.2</v>
      </c>
      <c r="D845" s="107">
        <f t="shared" si="143"/>
        <v>16.25081327260898</v>
      </c>
      <c r="E845" s="167">
        <f t="shared" si="144"/>
        <v>3</v>
      </c>
      <c r="F845" s="104">
        <f t="shared" si="145"/>
        <v>1.0199507240301104</v>
      </c>
      <c r="G845" s="167">
        <f>RANK(1.94,AE:AE,0)</f>
        <v>435</v>
      </c>
      <c r="H845" s="365">
        <f t="shared" si="146"/>
        <v>-0.22720981440704624</v>
      </c>
      <c r="I845" s="213">
        <f t="shared" si="147"/>
        <v>483</v>
      </c>
      <c r="J845" s="213">
        <f t="shared" si="148"/>
        <v>580</v>
      </c>
      <c r="K845">
        <f>RANK(1.47,AI:AI,0)</f>
        <v>572</v>
      </c>
      <c r="L845" s="357">
        <v>0</v>
      </c>
      <c r="M845" s="357">
        <v>1</v>
      </c>
      <c r="N845" s="357">
        <v>1</v>
      </c>
      <c r="O845" s="357">
        <v>1</v>
      </c>
      <c r="P845" s="357">
        <v>0</v>
      </c>
      <c r="Q845" s="358">
        <v>0.46553059643687067</v>
      </c>
      <c r="R845" s="359">
        <v>0.89533980582524275</v>
      </c>
      <c r="S845" s="196">
        <v>4947239000</v>
      </c>
      <c r="T845" s="196">
        <v>86700000</v>
      </c>
      <c r="U845" s="200">
        <f t="shared" si="149"/>
        <v>5045940000</v>
      </c>
      <c r="V845" s="196">
        <v>110000000</v>
      </c>
      <c r="W845" s="196">
        <v>2333000000</v>
      </c>
      <c r="X845" s="196">
        <v>1792000000</v>
      </c>
      <c r="Y845" s="196">
        <v>3805000000</v>
      </c>
      <c r="Z845" s="196">
        <v>483000000</v>
      </c>
      <c r="AA845" s="198">
        <v>0.03</v>
      </c>
      <c r="AB845" s="198">
        <v>0.03</v>
      </c>
      <c r="AC845" s="213">
        <f t="shared" si="150"/>
        <v>469</v>
      </c>
      <c r="AD845" s="213">
        <f t="shared" si="151"/>
        <v>334</v>
      </c>
      <c r="AE845" s="213">
        <v>1.94</v>
      </c>
      <c r="AF845" s="196">
        <v>93000000</v>
      </c>
      <c r="AG845" s="104">
        <f t="shared" si="152"/>
        <v>1.0726643598615917</v>
      </c>
      <c r="AH845" s="104">
        <f t="shared" si="153"/>
        <v>0.84545454545454546</v>
      </c>
      <c r="AI845" s="195">
        <v>1.47</v>
      </c>
    </row>
    <row r="846" spans="1:48">
      <c r="A846">
        <v>4121</v>
      </c>
      <c r="C846" s="107">
        <f>VLOOKUP(4121,收盤價!$A:$C,3,0)</f>
        <v>11.9</v>
      </c>
      <c r="D846" s="107">
        <f t="shared" si="143"/>
        <v>0</v>
      </c>
      <c r="E846" s="167">
        <f t="shared" si="144"/>
        <v>2</v>
      </c>
      <c r="F846" s="104">
        <f t="shared" si="145"/>
        <v>0.26531015102485389</v>
      </c>
      <c r="G846" s="167">
        <f>RANK(0.59,AE:AE,0)</f>
        <v>1348</v>
      </c>
      <c r="H846" s="365">
        <f t="shared" si="146"/>
        <v>9.5497953615279671E-2</v>
      </c>
      <c r="I846" s="213">
        <f t="shared" si="147"/>
        <v>1134</v>
      </c>
      <c r="J846" s="213">
        <f t="shared" si="148"/>
        <v>768</v>
      </c>
      <c r="K846">
        <f>RANK(0.82,AI:AI,0)</f>
        <v>1121</v>
      </c>
      <c r="L846" s="357">
        <v>0</v>
      </c>
      <c r="M846" s="357">
        <v>0</v>
      </c>
      <c r="N846" s="357">
        <v>2</v>
      </c>
      <c r="O846" s="357">
        <v>0</v>
      </c>
      <c r="P846" s="357">
        <v>0</v>
      </c>
      <c r="Q846" s="358">
        <v>0.29016189290161892</v>
      </c>
      <c r="R846" s="359">
        <v>0</v>
      </c>
      <c r="S846" s="196">
        <v>3287737000</v>
      </c>
      <c r="T846" s="196">
        <v>73300000</v>
      </c>
      <c r="U846" s="200">
        <f t="shared" si="149"/>
        <v>872270000</v>
      </c>
      <c r="V846" s="196">
        <v>-23000000</v>
      </c>
      <c r="W846" s="196">
        <v>783000000</v>
      </c>
      <c r="X846" s="196">
        <v>585000000</v>
      </c>
      <c r="Y846" s="196">
        <v>1355000000</v>
      </c>
      <c r="Z846" s="196">
        <v>346000000</v>
      </c>
      <c r="AA846" s="198">
        <v>-0.02</v>
      </c>
      <c r="AB846" s="198">
        <v>-0.01</v>
      </c>
      <c r="AC846" s="213">
        <f t="shared" si="150"/>
        <v>1353</v>
      </c>
      <c r="AD846" s="213">
        <f t="shared" si="151"/>
        <v>1294</v>
      </c>
      <c r="AE846" s="213">
        <v>0.59</v>
      </c>
      <c r="AF846" s="196">
        <v>-7000000</v>
      </c>
      <c r="AG846" s="104">
        <f t="shared" si="152"/>
        <v>-9.5497953615279671E-2</v>
      </c>
      <c r="AH846" s="104">
        <f t="shared" si="153"/>
        <v>0</v>
      </c>
      <c r="AI846" s="195">
        <v>0.82</v>
      </c>
    </row>
    <row r="847" spans="1:48">
      <c r="A847">
        <v>4123</v>
      </c>
      <c r="C847" s="107">
        <f>VLOOKUP(4123,收盤價!$A:$C,3,0)</f>
        <v>66.2</v>
      </c>
      <c r="D847" s="107">
        <f t="shared" si="143"/>
        <v>0</v>
      </c>
      <c r="E847" s="167">
        <f t="shared" si="144"/>
        <v>3</v>
      </c>
      <c r="F847" s="104">
        <f t="shared" si="145"/>
        <v>1.2839366396240264</v>
      </c>
      <c r="G847" s="167">
        <f>RANK(1.08,AE:AE,0)</f>
        <v>769</v>
      </c>
      <c r="H847" s="365">
        <f t="shared" si="146"/>
        <v>0.49411873241385673</v>
      </c>
      <c r="I847" s="213">
        <f t="shared" si="147"/>
        <v>618</v>
      </c>
      <c r="J847" s="213">
        <f t="shared" si="148"/>
        <v>433</v>
      </c>
      <c r="K847">
        <f>RANK(1.48,AI:AI,0)</f>
        <v>569</v>
      </c>
      <c r="L847" s="357">
        <v>0</v>
      </c>
      <c r="M847" s="357">
        <v>1</v>
      </c>
      <c r="N847" s="357">
        <v>1</v>
      </c>
      <c r="O847" s="357">
        <v>1</v>
      </c>
      <c r="P847" s="357">
        <v>0</v>
      </c>
      <c r="Q847" s="358">
        <v>0.40186666666666665</v>
      </c>
      <c r="R847" s="359">
        <v>0</v>
      </c>
      <c r="S847" s="196">
        <v>13715007000</v>
      </c>
      <c r="T847" s="196">
        <v>266000000</v>
      </c>
      <c r="U847" s="200">
        <f t="shared" si="149"/>
        <v>17609200000</v>
      </c>
      <c r="V847" s="196">
        <v>163000000</v>
      </c>
      <c r="W847" s="196">
        <v>7779000000</v>
      </c>
      <c r="X847" s="196">
        <v>4696000000</v>
      </c>
      <c r="Y847" s="196">
        <v>15792000000</v>
      </c>
      <c r="Z847" s="196">
        <v>3811000000</v>
      </c>
      <c r="AA847" s="198">
        <v>0.01</v>
      </c>
      <c r="AB847" s="198">
        <v>0.01</v>
      </c>
      <c r="AC847" s="213">
        <f t="shared" si="150"/>
        <v>769</v>
      </c>
      <c r="AD847" s="213">
        <f t="shared" si="151"/>
        <v>680</v>
      </c>
      <c r="AE847" s="213">
        <v>1.08</v>
      </c>
      <c r="AF847" s="196">
        <v>208000000</v>
      </c>
      <c r="AG847" s="104">
        <f t="shared" si="152"/>
        <v>0.78195488721804507</v>
      </c>
      <c r="AH847" s="104">
        <f t="shared" si="153"/>
        <v>1.2760736196319018</v>
      </c>
      <c r="AI847" s="195">
        <v>1.48</v>
      </c>
    </row>
    <row r="848" spans="1:48">
      <c r="A848">
        <v>4126</v>
      </c>
      <c r="C848" s="107">
        <f>VLOOKUP(4126,收盤價!$A:$C,3,0)</f>
        <v>94.5</v>
      </c>
      <c r="D848" s="107">
        <f t="shared" si="143"/>
        <v>18.908470995005761</v>
      </c>
      <c r="E848" s="167">
        <f t="shared" si="144"/>
        <v>3</v>
      </c>
      <c r="F848" s="104">
        <f t="shared" si="145"/>
        <v>3.4544772783792479</v>
      </c>
      <c r="G848" s="167">
        <f>RANK(4.56,AE:AE,0)</f>
        <v>194</v>
      </c>
      <c r="H848" s="365">
        <f t="shared" si="146"/>
        <v>-0.79744816586921852</v>
      </c>
      <c r="I848" s="213">
        <f t="shared" si="147"/>
        <v>247</v>
      </c>
      <c r="J848" s="213">
        <f t="shared" si="148"/>
        <v>506</v>
      </c>
      <c r="K848">
        <f>RANK(2.07,AI:AI,0)</f>
        <v>317</v>
      </c>
      <c r="L848" s="357">
        <v>0</v>
      </c>
      <c r="M848" s="357">
        <v>1</v>
      </c>
      <c r="N848" s="357">
        <v>1</v>
      </c>
      <c r="O848" s="357">
        <v>1</v>
      </c>
      <c r="P848" s="357">
        <v>0</v>
      </c>
      <c r="Q848" s="358">
        <v>0.37610619469026546</v>
      </c>
      <c r="R848" s="359">
        <v>1.2494400000000001</v>
      </c>
      <c r="S848" s="196">
        <v>1805483000</v>
      </c>
      <c r="T848" s="196">
        <v>66000000</v>
      </c>
      <c r="U848" s="200">
        <f t="shared" si="149"/>
        <v>6237000000</v>
      </c>
      <c r="V848" s="196">
        <v>114000000</v>
      </c>
      <c r="W848" s="196">
        <v>530000000</v>
      </c>
      <c r="X848" s="196">
        <v>1692000000</v>
      </c>
      <c r="Y848" s="196">
        <v>2052000000</v>
      </c>
      <c r="Z848" s="196">
        <v>9000000</v>
      </c>
      <c r="AA848" s="198">
        <v>0.05</v>
      </c>
      <c r="AB848" s="198">
        <v>0.06</v>
      </c>
      <c r="AC848" s="213">
        <f t="shared" si="150"/>
        <v>247</v>
      </c>
      <c r="AD848" s="213">
        <f t="shared" si="151"/>
        <v>95</v>
      </c>
      <c r="AE848" s="213">
        <v>4.5599999999999996</v>
      </c>
      <c r="AF848" s="196">
        <v>125000000</v>
      </c>
      <c r="AG848" s="104">
        <f t="shared" si="152"/>
        <v>1.893939393939394</v>
      </c>
      <c r="AH848" s="104">
        <f t="shared" si="153"/>
        <v>1.0964912280701755</v>
      </c>
      <c r="AI848" s="195">
        <v>2.0699999999999998</v>
      </c>
    </row>
    <row r="849" spans="1:48">
      <c r="A849">
        <v>4127</v>
      </c>
      <c r="C849" s="107">
        <f>VLOOKUP(4127,收盤價!$A:$C,3,0)</f>
        <v>17.5</v>
      </c>
      <c r="D849" s="107">
        <f t="shared" si="143"/>
        <v>0</v>
      </c>
      <c r="E849" s="167">
        <f t="shared" si="144"/>
        <v>0</v>
      </c>
      <c r="F849" s="104">
        <f t="shared" si="145"/>
        <v>1.0307912721623338</v>
      </c>
      <c r="G849" s="167">
        <f>RANK(0.84,AE:AE,0)</f>
        <v>946</v>
      </c>
      <c r="H849" s="365">
        <f t="shared" si="146"/>
        <v>4.3668122270742356E-2</v>
      </c>
      <c r="I849" s="213">
        <f t="shared" si="147"/>
        <v>1100</v>
      </c>
      <c r="J849" s="213">
        <f t="shared" si="148"/>
        <v>768</v>
      </c>
      <c r="K849">
        <f>RANK(0.83,AI:AI,0)</f>
        <v>1098</v>
      </c>
      <c r="L849" s="357">
        <v>0</v>
      </c>
      <c r="M849" s="357">
        <v>0</v>
      </c>
      <c r="N849" s="357">
        <v>0</v>
      </c>
      <c r="O849" s="357">
        <v>0</v>
      </c>
      <c r="P849" s="357">
        <v>0</v>
      </c>
      <c r="Q849" s="358">
        <v>0.59278350515463918</v>
      </c>
      <c r="R849" s="359">
        <v>0</v>
      </c>
      <c r="S849" s="196">
        <v>777558000</v>
      </c>
      <c r="T849" s="196">
        <v>45800000</v>
      </c>
      <c r="U849" s="200">
        <f t="shared" si="149"/>
        <v>801500000</v>
      </c>
      <c r="V849" s="196">
        <v>-2000000</v>
      </c>
      <c r="W849" s="196">
        <v>0</v>
      </c>
      <c r="X849" s="196">
        <v>780000000</v>
      </c>
      <c r="Y849" s="196">
        <v>813000000</v>
      </c>
      <c r="Z849" s="196">
        <v>276000000</v>
      </c>
      <c r="AA849" s="198">
        <v>0</v>
      </c>
      <c r="AB849" s="198">
        <v>0</v>
      </c>
      <c r="AC849" s="213">
        <f t="shared" si="150"/>
        <v>945</v>
      </c>
      <c r="AD849" s="213">
        <f t="shared" si="151"/>
        <v>911</v>
      </c>
      <c r="AE849" s="213">
        <v>0.84</v>
      </c>
      <c r="AF849" s="196">
        <v>-2000000</v>
      </c>
      <c r="AG849" s="104">
        <f t="shared" si="152"/>
        <v>-4.3668122270742356E-2</v>
      </c>
      <c r="AH849" s="104">
        <f t="shared" si="153"/>
        <v>0</v>
      </c>
      <c r="AI849" s="195">
        <v>0.83</v>
      </c>
      <c r="AO849" s="213"/>
      <c r="AP849" s="213"/>
      <c r="AQ849" s="213"/>
      <c r="AR849" s="213"/>
      <c r="AS849" s="213"/>
      <c r="AT849" s="213"/>
      <c r="AU849" s="213"/>
      <c r="AV849" s="213"/>
    </row>
    <row r="850" spans="1:48">
      <c r="A850">
        <v>4128</v>
      </c>
      <c r="C850" s="107">
        <f>VLOOKUP(4128,收盤價!$A:$C,3,0)</f>
        <v>23.55</v>
      </c>
      <c r="D850" s="107">
        <f t="shared" si="143"/>
        <v>0</v>
      </c>
      <c r="E850" s="167">
        <f t="shared" si="144"/>
        <v>4</v>
      </c>
      <c r="F850" s="104">
        <f t="shared" si="145"/>
        <v>6.5160591686796607</v>
      </c>
      <c r="G850" s="167">
        <f>RANK(0.59,AE:AE,0)</f>
        <v>1348</v>
      </c>
      <c r="H850" s="365">
        <f t="shared" si="146"/>
        <v>-2.3512814483893723E-3</v>
      </c>
      <c r="I850" s="213">
        <f t="shared" si="147"/>
        <v>1066</v>
      </c>
      <c r="J850" s="213">
        <f t="shared" si="148"/>
        <v>768</v>
      </c>
      <c r="K850">
        <f>RANK(0.85,AI:AI,0)</f>
        <v>1059</v>
      </c>
      <c r="L850" s="357">
        <v>0</v>
      </c>
      <c r="M850" s="357">
        <v>1</v>
      </c>
      <c r="N850" s="357">
        <v>2</v>
      </c>
      <c r="O850" s="357">
        <v>1</v>
      </c>
      <c r="P850" s="357">
        <v>0</v>
      </c>
      <c r="Q850" s="358">
        <v>0.38481012658227848</v>
      </c>
      <c r="R850" s="359">
        <v>0</v>
      </c>
      <c r="S850" s="196">
        <v>1537097000</v>
      </c>
      <c r="T850" s="196">
        <v>425300000</v>
      </c>
      <c r="U850" s="200">
        <f t="shared" si="149"/>
        <v>10015815000</v>
      </c>
      <c r="V850" s="196">
        <v>-73000000</v>
      </c>
      <c r="W850" s="196">
        <v>3681000000</v>
      </c>
      <c r="X850" s="196">
        <v>1101000000</v>
      </c>
      <c r="Y850" s="196">
        <v>8606000000</v>
      </c>
      <c r="Z850" s="196">
        <v>520000000</v>
      </c>
      <c r="AA850" s="198">
        <v>-0.02</v>
      </c>
      <c r="AB850" s="198">
        <v>-0.01</v>
      </c>
      <c r="AC850" s="213">
        <f t="shared" si="150"/>
        <v>1353</v>
      </c>
      <c r="AD850" s="213">
        <f t="shared" si="151"/>
        <v>1294</v>
      </c>
      <c r="AE850" s="213">
        <v>0.59</v>
      </c>
      <c r="AF850" s="196">
        <v>1000000</v>
      </c>
      <c r="AG850" s="104">
        <f t="shared" si="152"/>
        <v>2.3512814483893723E-3</v>
      </c>
      <c r="AH850" s="104">
        <f t="shared" si="153"/>
        <v>0</v>
      </c>
      <c r="AI850" s="195">
        <v>0.85</v>
      </c>
      <c r="AO850" s="213"/>
      <c r="AP850" s="213"/>
      <c r="AQ850" s="213"/>
      <c r="AR850" s="213"/>
      <c r="AS850" s="213"/>
      <c r="AT850" s="213"/>
      <c r="AU850" s="213"/>
      <c r="AV850" s="213"/>
    </row>
    <row r="851" spans="1:48">
      <c r="A851">
        <v>4129</v>
      </c>
      <c r="C851" s="107">
        <f>VLOOKUP(4129,收盤價!$A:$C,3,0)</f>
        <v>68.7</v>
      </c>
      <c r="D851" s="107">
        <f t="shared" si="143"/>
        <v>28.051617873651772</v>
      </c>
      <c r="E851" s="167">
        <f t="shared" si="144"/>
        <v>0</v>
      </c>
      <c r="F851" s="104">
        <f t="shared" si="145"/>
        <v>3.5479045150918416</v>
      </c>
      <c r="G851" s="167">
        <f>RANK(2.32,AE:AE,0)</f>
        <v>360</v>
      </c>
      <c r="H851" s="365">
        <f t="shared" si="146"/>
        <v>0.32078103207810321</v>
      </c>
      <c r="I851" s="213">
        <f t="shared" si="147"/>
        <v>1275</v>
      </c>
      <c r="J851" s="213">
        <f t="shared" si="148"/>
        <v>768</v>
      </c>
      <c r="K851">
        <f>RANK(0.76,AI:AI,0)</f>
        <v>1269</v>
      </c>
      <c r="L851" s="357">
        <v>0</v>
      </c>
      <c r="M851" s="357">
        <v>0</v>
      </c>
      <c r="N851" s="357">
        <v>0</v>
      </c>
      <c r="O851" s="357">
        <v>0</v>
      </c>
      <c r="P851" s="357">
        <v>0</v>
      </c>
      <c r="Q851" s="358">
        <v>0.69080779944289694</v>
      </c>
      <c r="R851" s="359">
        <v>0.61226415094339626</v>
      </c>
      <c r="S851" s="196">
        <v>1388366000</v>
      </c>
      <c r="T851" s="196">
        <v>71700000</v>
      </c>
      <c r="U851" s="200">
        <f t="shared" si="149"/>
        <v>4925790000</v>
      </c>
      <c r="V851" s="196">
        <v>60000000</v>
      </c>
      <c r="W851" s="196">
        <v>852000000</v>
      </c>
      <c r="X851" s="196">
        <v>761000000</v>
      </c>
      <c r="Y851" s="196">
        <v>1769000000</v>
      </c>
      <c r="Z851" s="196">
        <v>211000000</v>
      </c>
      <c r="AA851" s="198">
        <v>0.04</v>
      </c>
      <c r="AB851" s="198">
        <v>0.03</v>
      </c>
      <c r="AC851" s="213">
        <f t="shared" si="150"/>
        <v>337</v>
      </c>
      <c r="AD851" s="213">
        <f t="shared" si="151"/>
        <v>334</v>
      </c>
      <c r="AE851" s="213">
        <v>2.3199999999999998</v>
      </c>
      <c r="AF851" s="196">
        <v>-23000000</v>
      </c>
      <c r="AG851" s="104">
        <f t="shared" si="152"/>
        <v>-0.32078103207810321</v>
      </c>
      <c r="AH851" s="104">
        <f t="shared" si="153"/>
        <v>0</v>
      </c>
      <c r="AI851" s="195">
        <v>0.76</v>
      </c>
    </row>
    <row r="852" spans="1:48">
      <c r="A852">
        <v>4130</v>
      </c>
      <c r="C852" s="107">
        <f>VLOOKUP(4130,收盤價!$A:$C,3,0)</f>
        <v>39</v>
      </c>
      <c r="D852" s="107">
        <f t="shared" si="143"/>
        <v>243.74999999999994</v>
      </c>
      <c r="E852" s="167">
        <f t="shared" si="144"/>
        <v>2</v>
      </c>
      <c r="F852" s="104">
        <f t="shared" si="145"/>
        <v>8.7915036933171429</v>
      </c>
      <c r="G852" s="167">
        <f>RANK(0.84,AE:AE,0)</f>
        <v>946</v>
      </c>
      <c r="H852" s="365">
        <f t="shared" si="146"/>
        <v>2.9781746031746028</v>
      </c>
      <c r="I852" s="213">
        <f t="shared" si="147"/>
        <v>941</v>
      </c>
      <c r="J852" s="213">
        <f t="shared" si="148"/>
        <v>148</v>
      </c>
      <c r="K852">
        <f>RANK(1.43,AI:AI,0)</f>
        <v>601</v>
      </c>
      <c r="L852" s="357">
        <v>0</v>
      </c>
      <c r="M852" s="357">
        <v>0</v>
      </c>
      <c r="N852" s="357">
        <v>1</v>
      </c>
      <c r="O852" s="357">
        <v>1</v>
      </c>
      <c r="P852" s="357">
        <v>0</v>
      </c>
      <c r="Q852" s="358">
        <v>0.38383838383838381</v>
      </c>
      <c r="R852" s="359">
        <v>4.0000000000000008E-2</v>
      </c>
      <c r="S852" s="196">
        <v>447159000</v>
      </c>
      <c r="T852" s="196">
        <v>100800000</v>
      </c>
      <c r="U852" s="200">
        <f t="shared" si="149"/>
        <v>3931200000</v>
      </c>
      <c r="V852" s="196">
        <v>6000000</v>
      </c>
      <c r="W852" s="196">
        <v>830000000</v>
      </c>
      <c r="X852" s="196">
        <v>423000000</v>
      </c>
      <c r="Y852" s="196">
        <v>2577000000</v>
      </c>
      <c r="Z852" s="196">
        <v>0</v>
      </c>
      <c r="AA852" s="198">
        <v>0</v>
      </c>
      <c r="AB852" s="198">
        <v>0</v>
      </c>
      <c r="AC852" s="213">
        <f t="shared" si="150"/>
        <v>945</v>
      </c>
      <c r="AD852" s="213">
        <f t="shared" si="151"/>
        <v>911</v>
      </c>
      <c r="AE852" s="213">
        <v>0.84</v>
      </c>
      <c r="AF852" s="196">
        <v>19000000</v>
      </c>
      <c r="AG852" s="104">
        <f t="shared" si="152"/>
        <v>0.18849206349206349</v>
      </c>
      <c r="AH852" s="104">
        <f t="shared" si="153"/>
        <v>3.1666666666666665</v>
      </c>
      <c r="AI852" s="195">
        <v>1.43</v>
      </c>
    </row>
    <row r="853" spans="1:48">
      <c r="A853">
        <v>4131</v>
      </c>
      <c r="C853" s="107">
        <f>VLOOKUP(4131,收盤價!$A:$C,3,0)</f>
        <v>6.45</v>
      </c>
      <c r="D853" s="107">
        <f t="shared" si="143"/>
        <v>0</v>
      </c>
      <c r="E853" s="167">
        <f t="shared" si="144"/>
        <v>0</v>
      </c>
      <c r="F853" s="104">
        <f t="shared" si="145"/>
        <v>14.067251295484311</v>
      </c>
      <c r="G853" s="167">
        <f>RANK(0.54,AE:AE,0)</f>
        <v>1453</v>
      </c>
      <c r="H853" s="365">
        <f t="shared" si="146"/>
        <v>0.20887728459530025</v>
      </c>
      <c r="I853" s="213">
        <f t="shared" si="147"/>
        <v>1212</v>
      </c>
      <c r="J853" s="213">
        <f t="shared" si="148"/>
        <v>768</v>
      </c>
      <c r="K853">
        <f>RANK(0.79,AI:AI,0)</f>
        <v>1192</v>
      </c>
      <c r="L853" s="357">
        <v>0</v>
      </c>
      <c r="M853" s="357">
        <v>0</v>
      </c>
      <c r="N853" s="357">
        <v>0</v>
      </c>
      <c r="O853" s="357">
        <v>0</v>
      </c>
      <c r="P853" s="357">
        <v>0</v>
      </c>
      <c r="Q853" s="358">
        <v>0.5</v>
      </c>
      <c r="R853" s="359">
        <v>0</v>
      </c>
      <c r="S853" s="196">
        <v>17561000</v>
      </c>
      <c r="T853" s="196">
        <v>38300000</v>
      </c>
      <c r="U853" s="200">
        <f t="shared" si="149"/>
        <v>247035000</v>
      </c>
      <c r="V853" s="196">
        <v>-5000000</v>
      </c>
      <c r="W853" s="196">
        <v>14000000</v>
      </c>
      <c r="X853" s="196">
        <v>85000000</v>
      </c>
      <c r="Y853" s="196">
        <v>155000000</v>
      </c>
      <c r="Z853" s="196">
        <v>0</v>
      </c>
      <c r="AA853" s="198">
        <v>-0.05</v>
      </c>
      <c r="AB853" s="198">
        <v>-0.03</v>
      </c>
      <c r="AC853" s="213">
        <f t="shared" si="150"/>
        <v>1468</v>
      </c>
      <c r="AD853" s="213">
        <f t="shared" si="151"/>
        <v>1444</v>
      </c>
      <c r="AE853" s="213">
        <v>0.54</v>
      </c>
      <c r="AF853" s="196">
        <v>-8000000</v>
      </c>
      <c r="AG853" s="104">
        <f t="shared" si="152"/>
        <v>-0.20887728459530025</v>
      </c>
      <c r="AH853" s="104">
        <f t="shared" si="153"/>
        <v>0</v>
      </c>
      <c r="AI853" s="195">
        <v>0.79</v>
      </c>
      <c r="AO853" s="213"/>
      <c r="AP853" s="213"/>
      <c r="AQ853" s="213"/>
      <c r="AR853" s="213"/>
      <c r="AS853" s="213"/>
      <c r="AT853" s="213"/>
      <c r="AU853" s="213"/>
      <c r="AV853" s="213"/>
    </row>
    <row r="854" spans="1:48">
      <c r="A854">
        <v>4133</v>
      </c>
      <c r="C854" s="107">
        <f>VLOOKUP(4133,收盤價!$A:$C,3,0)</f>
        <v>36</v>
      </c>
      <c r="D854" s="107">
        <f t="shared" si="143"/>
        <v>39.130434782608695</v>
      </c>
      <c r="E854" s="167">
        <f t="shared" si="144"/>
        <v>0</v>
      </c>
      <c r="F854" s="104">
        <f t="shared" si="145"/>
        <v>4.6657028385260135</v>
      </c>
      <c r="G854" s="167">
        <f>RANK(1.08,AE:AE,0)</f>
        <v>769</v>
      </c>
      <c r="H854" s="365">
        <f t="shared" si="146"/>
        <v>2.0474137931034484</v>
      </c>
      <c r="I854" s="213">
        <f t="shared" si="147"/>
        <v>843</v>
      </c>
      <c r="J854" s="213">
        <f t="shared" si="148"/>
        <v>200</v>
      </c>
      <c r="K854">
        <f>RANK(1.49,AI:AI,0)</f>
        <v>567</v>
      </c>
      <c r="L854" s="357">
        <v>0</v>
      </c>
      <c r="M854" s="357">
        <v>0</v>
      </c>
      <c r="N854" s="357">
        <v>0</v>
      </c>
      <c r="O854" s="357">
        <v>0</v>
      </c>
      <c r="P854" s="357">
        <v>0</v>
      </c>
      <c r="Q854" s="358">
        <v>0.4642857142857143</v>
      </c>
      <c r="R854" s="359">
        <v>0.23</v>
      </c>
      <c r="S854" s="196">
        <v>447521000</v>
      </c>
      <c r="T854" s="196">
        <v>58000000</v>
      </c>
      <c r="U854" s="200">
        <f t="shared" si="149"/>
        <v>2088000000</v>
      </c>
      <c r="V854" s="196">
        <v>8000000</v>
      </c>
      <c r="W854" s="196">
        <v>844000000</v>
      </c>
      <c r="X854" s="196">
        <v>171000000</v>
      </c>
      <c r="Y854" s="196">
        <v>1155000000</v>
      </c>
      <c r="Z854" s="196">
        <v>0</v>
      </c>
      <c r="AA854" s="198">
        <v>0.01</v>
      </c>
      <c r="AB854" s="198">
        <v>0.01</v>
      </c>
      <c r="AC854" s="213">
        <f t="shared" si="150"/>
        <v>769</v>
      </c>
      <c r="AD854" s="213">
        <f t="shared" si="151"/>
        <v>680</v>
      </c>
      <c r="AE854" s="213">
        <v>1.08</v>
      </c>
      <c r="AF854" s="196">
        <v>19000000</v>
      </c>
      <c r="AG854" s="104">
        <f t="shared" si="152"/>
        <v>0.32758620689655171</v>
      </c>
      <c r="AH854" s="104">
        <f t="shared" si="153"/>
        <v>2.375</v>
      </c>
      <c r="AI854" s="195">
        <v>1.49</v>
      </c>
      <c r="AO854" s="213"/>
      <c r="AP854" s="213"/>
      <c r="AQ854" s="213"/>
      <c r="AR854" s="213"/>
      <c r="AS854" s="213"/>
      <c r="AT854" s="213"/>
      <c r="AU854" s="213"/>
      <c r="AV854" s="213"/>
    </row>
    <row r="855" spans="1:48">
      <c r="A855">
        <v>4137</v>
      </c>
      <c r="C855" s="107">
        <f>VLOOKUP(4137,收盤價!$A:$C,3,0)</f>
        <v>141</v>
      </c>
      <c r="D855" s="107">
        <f t="shared" si="143"/>
        <v>20.958973923384015</v>
      </c>
      <c r="E855" s="167">
        <f t="shared" si="144"/>
        <v>1</v>
      </c>
      <c r="F855" s="104">
        <f t="shared" si="145"/>
        <v>2.6332171314741037</v>
      </c>
      <c r="G855" s="167">
        <f>RANK(3.92,AE:AE,0)</f>
        <v>209</v>
      </c>
      <c r="H855" s="365">
        <f t="shared" si="146"/>
        <v>-2.489997323698649</v>
      </c>
      <c r="I855" s="213">
        <f t="shared" si="147"/>
        <v>59</v>
      </c>
      <c r="J855" s="213">
        <f t="shared" si="148"/>
        <v>294</v>
      </c>
      <c r="K855">
        <f>RANK(4.41,AI:AI,0)</f>
        <v>88</v>
      </c>
      <c r="L855" s="357">
        <v>0</v>
      </c>
      <c r="M855" s="357">
        <v>0</v>
      </c>
      <c r="N855" s="357">
        <v>0</v>
      </c>
      <c r="O855" s="357">
        <v>1</v>
      </c>
      <c r="P855" s="357">
        <v>0</v>
      </c>
      <c r="Q855" s="358">
        <v>0.85068493150684932</v>
      </c>
      <c r="R855" s="359">
        <v>1.6818571428571427</v>
      </c>
      <c r="S855" s="196">
        <v>4256960000</v>
      </c>
      <c r="T855" s="196">
        <v>79500000</v>
      </c>
      <c r="U855" s="200">
        <f t="shared" si="149"/>
        <v>11209500000</v>
      </c>
      <c r="V855" s="196">
        <v>188000000</v>
      </c>
      <c r="W855" s="196">
        <v>2886000000</v>
      </c>
      <c r="X855" s="196">
        <v>1015000000</v>
      </c>
      <c r="Y855" s="196">
        <v>3511000000</v>
      </c>
      <c r="Z855" s="196">
        <v>0</v>
      </c>
      <c r="AA855" s="198">
        <v>0.05</v>
      </c>
      <c r="AB855" s="198">
        <v>0.05</v>
      </c>
      <c r="AC855" s="213">
        <f t="shared" si="150"/>
        <v>247</v>
      </c>
      <c r="AD855" s="213">
        <f t="shared" si="151"/>
        <v>150</v>
      </c>
      <c r="AE855" s="213">
        <v>3.92</v>
      </c>
      <c r="AF855" s="196">
        <v>343000000</v>
      </c>
      <c r="AG855" s="104">
        <f t="shared" si="152"/>
        <v>4.3144654088050318</v>
      </c>
      <c r="AH855" s="104">
        <f t="shared" si="153"/>
        <v>1.824468085106383</v>
      </c>
      <c r="AI855" s="195">
        <v>4.41</v>
      </c>
    </row>
    <row r="856" spans="1:48">
      <c r="A856">
        <v>4138</v>
      </c>
      <c r="C856" s="107">
        <f>VLOOKUP(4138,收盤價!$A:$C,3,0)</f>
        <v>54</v>
      </c>
      <c r="D856" s="107">
        <f t="shared" si="143"/>
        <v>11.741504854368932</v>
      </c>
      <c r="E856" s="167">
        <f t="shared" si="144"/>
        <v>2</v>
      </c>
      <c r="F856" s="104">
        <f t="shared" si="145"/>
        <v>1.2961026513299854</v>
      </c>
      <c r="G856" s="167">
        <f>RANK(2.76,AE:AE,0)</f>
        <v>305</v>
      </c>
      <c r="H856" s="365">
        <f t="shared" si="146"/>
        <v>-0.7884353741496597</v>
      </c>
      <c r="I856" s="213">
        <f t="shared" si="147"/>
        <v>221</v>
      </c>
      <c r="J856" s="213">
        <f t="shared" si="148"/>
        <v>445</v>
      </c>
      <c r="K856">
        <f>RANK(2.34,AI:AI,0)</f>
        <v>269</v>
      </c>
      <c r="L856" s="357">
        <v>0</v>
      </c>
      <c r="M856" s="357">
        <v>0</v>
      </c>
      <c r="N856" s="357">
        <v>2</v>
      </c>
      <c r="O856" s="357">
        <v>0</v>
      </c>
      <c r="P856" s="357">
        <v>0</v>
      </c>
      <c r="Q856" s="358">
        <v>0.31750741839762614</v>
      </c>
      <c r="R856" s="359">
        <v>1.1497674418604651</v>
      </c>
      <c r="S856" s="196">
        <v>1249901000</v>
      </c>
      <c r="T856" s="196">
        <v>30000000</v>
      </c>
      <c r="U856" s="200">
        <f t="shared" si="149"/>
        <v>1620000000</v>
      </c>
      <c r="V856" s="196">
        <v>49000000</v>
      </c>
      <c r="W856" s="196">
        <v>1106000000</v>
      </c>
      <c r="X856" s="196">
        <v>63000000</v>
      </c>
      <c r="Y856" s="196">
        <v>1364000000</v>
      </c>
      <c r="Z856" s="196">
        <v>0</v>
      </c>
      <c r="AA856" s="198">
        <v>0.04</v>
      </c>
      <c r="AB856" s="198">
        <v>0.04</v>
      </c>
      <c r="AC856" s="213">
        <f t="shared" si="150"/>
        <v>337</v>
      </c>
      <c r="AD856" s="213">
        <f t="shared" si="151"/>
        <v>228</v>
      </c>
      <c r="AE856" s="213">
        <v>2.76</v>
      </c>
      <c r="AF856" s="196">
        <v>61000000</v>
      </c>
      <c r="AG856" s="104">
        <f t="shared" si="152"/>
        <v>2.0333333333333332</v>
      </c>
      <c r="AH856" s="104">
        <f t="shared" si="153"/>
        <v>1.2448979591836735</v>
      </c>
      <c r="AI856" s="195">
        <v>2.34</v>
      </c>
      <c r="AO856" s="213"/>
      <c r="AP856" s="213"/>
      <c r="AQ856" s="213"/>
      <c r="AR856" s="213"/>
      <c r="AS856" s="213"/>
      <c r="AT856" s="213"/>
      <c r="AU856" s="213"/>
      <c r="AV856" s="213"/>
    </row>
    <row r="857" spans="1:48">
      <c r="A857">
        <v>4139</v>
      </c>
      <c r="C857" s="107">
        <f>VLOOKUP(4139,收盤價!$A:$C,3,0)</f>
        <v>40</v>
      </c>
      <c r="D857" s="107">
        <f t="shared" si="143"/>
        <v>0</v>
      </c>
      <c r="E857" s="167">
        <f t="shared" si="144"/>
        <v>1</v>
      </c>
      <c r="F857" s="104">
        <f t="shared" si="145"/>
        <v>1.3648695556405595</v>
      </c>
      <c r="G857" s="167">
        <f>RANK(0.55,AE:AE,0)</f>
        <v>1436</v>
      </c>
      <c r="H857" s="365">
        <f t="shared" si="146"/>
        <v>1.095100864553314</v>
      </c>
      <c r="I857" s="213">
        <f t="shared" si="147"/>
        <v>1448</v>
      </c>
      <c r="J857" s="213">
        <f t="shared" si="148"/>
        <v>768</v>
      </c>
      <c r="K857">
        <f>RANK(0.7,AI:AI,0)</f>
        <v>1442</v>
      </c>
      <c r="L857" s="357">
        <v>0</v>
      </c>
      <c r="M857" s="357">
        <v>1</v>
      </c>
      <c r="N857" s="357">
        <v>0</v>
      </c>
      <c r="O857" s="357">
        <v>0</v>
      </c>
      <c r="P857" s="357">
        <v>0</v>
      </c>
      <c r="Q857" s="358">
        <v>9.012875536480687E-2</v>
      </c>
      <c r="R857" s="359">
        <v>0</v>
      </c>
      <c r="S857" s="196">
        <v>1016947000</v>
      </c>
      <c r="T857" s="196">
        <v>34700000</v>
      </c>
      <c r="U857" s="200">
        <f t="shared" si="149"/>
        <v>1388000000</v>
      </c>
      <c r="V857" s="196">
        <v>-13000000</v>
      </c>
      <c r="W857" s="196">
        <v>9000000</v>
      </c>
      <c r="X857" s="196">
        <v>307000000</v>
      </c>
      <c r="Y857" s="196">
        <v>549000000</v>
      </c>
      <c r="Z857" s="196">
        <v>218000000</v>
      </c>
      <c r="AA857" s="198">
        <v>-0.04</v>
      </c>
      <c r="AB857" s="198">
        <v>-0.02</v>
      </c>
      <c r="AC857" s="213">
        <f t="shared" si="150"/>
        <v>1444</v>
      </c>
      <c r="AD857" s="213">
        <f t="shared" si="151"/>
        <v>1388</v>
      </c>
      <c r="AE857" s="213">
        <v>0.55000000000000004</v>
      </c>
      <c r="AF857" s="196">
        <v>-38000000</v>
      </c>
      <c r="AG857" s="104">
        <f t="shared" si="152"/>
        <v>-1.095100864553314</v>
      </c>
      <c r="AH857" s="104">
        <f t="shared" si="153"/>
        <v>0</v>
      </c>
      <c r="AI857" s="195">
        <v>0.7</v>
      </c>
    </row>
    <row r="858" spans="1:48">
      <c r="A858">
        <v>4141</v>
      </c>
      <c r="C858" s="107">
        <f>VLOOKUP(4141,收盤價!$A:$C,3,0)</f>
        <v>37.15</v>
      </c>
      <c r="D858" s="107">
        <f t="shared" si="143"/>
        <v>0</v>
      </c>
      <c r="E858" s="167">
        <f t="shared" si="144"/>
        <v>2</v>
      </c>
      <c r="F858" s="104">
        <f t="shared" si="145"/>
        <v>0.5384391891569541</v>
      </c>
      <c r="G858" s="167">
        <f>RANK(2.24,AE:AE,0)</f>
        <v>416</v>
      </c>
      <c r="H858" s="365">
        <f t="shared" si="146"/>
        <v>-1.2027649769585249</v>
      </c>
      <c r="I858" s="213">
        <f t="shared" si="147"/>
        <v>33</v>
      </c>
      <c r="J858" s="213">
        <f t="shared" si="148"/>
        <v>106</v>
      </c>
      <c r="K858">
        <f>RANK(11.21,AI:AI,0)</f>
        <v>11</v>
      </c>
      <c r="L858" s="357">
        <v>0</v>
      </c>
      <c r="M858" s="357">
        <v>0</v>
      </c>
      <c r="N858" s="357">
        <v>1</v>
      </c>
      <c r="O858" s="357">
        <v>1</v>
      </c>
      <c r="P858" s="357">
        <v>0</v>
      </c>
      <c r="Q858" s="358">
        <v>0.38379612019779386</v>
      </c>
      <c r="R858" s="359">
        <v>0</v>
      </c>
      <c r="S858" s="196">
        <v>10480450000</v>
      </c>
      <c r="T858" s="196">
        <v>151900000</v>
      </c>
      <c r="U858" s="200">
        <f t="shared" si="149"/>
        <v>5643085000</v>
      </c>
      <c r="V858" s="196">
        <v>196000000</v>
      </c>
      <c r="W858" s="196">
        <v>0</v>
      </c>
      <c r="X858" s="196">
        <v>1184000000</v>
      </c>
      <c r="Y858" s="196">
        <v>6566000000</v>
      </c>
      <c r="Z858" s="196">
        <v>7258000000</v>
      </c>
      <c r="AA858" s="198">
        <v>0.17</v>
      </c>
      <c r="AB858" s="198">
        <v>0.01</v>
      </c>
      <c r="AC858" s="213">
        <f t="shared" si="150"/>
        <v>15</v>
      </c>
      <c r="AD858" s="213">
        <f t="shared" si="151"/>
        <v>680</v>
      </c>
      <c r="AE858" s="213">
        <v>2.2400000000000002</v>
      </c>
      <c r="AF858" s="196">
        <v>812000000</v>
      </c>
      <c r="AG858" s="104">
        <f t="shared" si="152"/>
        <v>5.3456221198156681</v>
      </c>
      <c r="AH858" s="104">
        <f t="shared" si="153"/>
        <v>4.1428571428571432</v>
      </c>
      <c r="AI858" s="195">
        <v>11.21</v>
      </c>
    </row>
    <row r="859" spans="1:48">
      <c r="A859">
        <v>4142</v>
      </c>
      <c r="C859" s="107">
        <f>VLOOKUP(4142,收盤價!$A:$C,3,0)</f>
        <v>23</v>
      </c>
      <c r="D859" s="107">
        <f t="shared" si="143"/>
        <v>0</v>
      </c>
      <c r="E859" s="167">
        <f t="shared" si="144"/>
        <v>1</v>
      </c>
      <c r="F859" s="104">
        <f t="shared" si="145"/>
        <v>13.359931938862323</v>
      </c>
      <c r="G859" s="167">
        <f>RANK(0.55,AE:AE,0)</f>
        <v>1436</v>
      </c>
      <c r="H859" s="365">
        <f t="shared" si="146"/>
        <v>0.98484848484848486</v>
      </c>
      <c r="I859" s="213">
        <f t="shared" si="147"/>
        <v>1437</v>
      </c>
      <c r="J859" s="213">
        <f t="shared" si="148"/>
        <v>768</v>
      </c>
      <c r="K859">
        <f>RANK(0.71,AI:AI,0)</f>
        <v>1412</v>
      </c>
      <c r="L859" s="357">
        <v>0</v>
      </c>
      <c r="M859" s="357">
        <v>1</v>
      </c>
      <c r="N859" s="357">
        <v>0</v>
      </c>
      <c r="O859" s="357">
        <v>0</v>
      </c>
      <c r="P859" s="357">
        <v>0</v>
      </c>
      <c r="Q859" s="358">
        <v>-0.18018018018018017</v>
      </c>
      <c r="R859" s="359">
        <v>0</v>
      </c>
      <c r="S859" s="196">
        <v>409044000</v>
      </c>
      <c r="T859" s="196">
        <v>237600000</v>
      </c>
      <c r="U859" s="200">
        <f t="shared" si="149"/>
        <v>5464800000</v>
      </c>
      <c r="V859" s="196">
        <v>-122000000</v>
      </c>
      <c r="W859" s="196">
        <v>942000000</v>
      </c>
      <c r="X859" s="196">
        <v>2872000000</v>
      </c>
      <c r="Y859" s="196">
        <v>3410000000</v>
      </c>
      <c r="Z859" s="196">
        <v>600000000</v>
      </c>
      <c r="AA859" s="198">
        <v>-0.03</v>
      </c>
      <c r="AB859" s="198">
        <v>-0.03</v>
      </c>
      <c r="AC859" s="213">
        <f t="shared" si="150"/>
        <v>1405</v>
      </c>
      <c r="AD859" s="213">
        <f t="shared" si="151"/>
        <v>1444</v>
      </c>
      <c r="AE859" s="213">
        <v>0.55000000000000004</v>
      </c>
      <c r="AF859" s="196">
        <v>-234000000</v>
      </c>
      <c r="AG859" s="104">
        <f t="shared" si="152"/>
        <v>-0.98484848484848486</v>
      </c>
      <c r="AH859" s="104">
        <f t="shared" si="153"/>
        <v>0</v>
      </c>
      <c r="AI859" s="195">
        <v>0.71</v>
      </c>
    </row>
    <row r="860" spans="1:48">
      <c r="A860">
        <v>4144</v>
      </c>
      <c r="C860" s="107">
        <f>VLOOKUP(4144,收盤價!$A:$C,3,0)</f>
        <v>46.8</v>
      </c>
      <c r="D860" s="107">
        <f t="shared" si="143"/>
        <v>16.027397260273972</v>
      </c>
      <c r="E860" s="167">
        <f t="shared" si="144"/>
        <v>3</v>
      </c>
      <c r="F860" s="104">
        <f t="shared" si="145"/>
        <v>1.2198364086666229</v>
      </c>
      <c r="G860" s="167">
        <f>RANK(0.84,AE:AE,0)</f>
        <v>946</v>
      </c>
      <c r="H860" s="365">
        <f t="shared" si="146"/>
        <v>-2.5608194622279128E-2</v>
      </c>
      <c r="I860" s="213">
        <f t="shared" si="147"/>
        <v>1051</v>
      </c>
      <c r="J860" s="213">
        <f t="shared" si="148"/>
        <v>768</v>
      </c>
      <c r="K860">
        <f>RANK(0.86,AI:AI,0)</f>
        <v>1045</v>
      </c>
      <c r="L860" s="357">
        <v>0</v>
      </c>
      <c r="M860" s="357">
        <v>0</v>
      </c>
      <c r="N860" s="357">
        <v>2</v>
      </c>
      <c r="O860" s="357">
        <v>1</v>
      </c>
      <c r="P860" s="357">
        <v>0</v>
      </c>
      <c r="Q860" s="358">
        <v>0.49513381995133821</v>
      </c>
      <c r="R860" s="359">
        <v>0.73</v>
      </c>
      <c r="S860" s="196">
        <v>2996369000</v>
      </c>
      <c r="T860" s="196">
        <v>78100000</v>
      </c>
      <c r="U860" s="200">
        <f t="shared" si="149"/>
        <v>3655080000</v>
      </c>
      <c r="V860" s="196">
        <v>0</v>
      </c>
      <c r="W860" s="196">
        <v>872000000</v>
      </c>
      <c r="X860" s="196">
        <v>241000000</v>
      </c>
      <c r="Y860" s="196">
        <v>3223000000</v>
      </c>
      <c r="Z860" s="196">
        <v>623000000</v>
      </c>
      <c r="AA860" s="198">
        <v>0</v>
      </c>
      <c r="AB860" s="198">
        <v>0</v>
      </c>
      <c r="AC860" s="213">
        <f t="shared" si="150"/>
        <v>945</v>
      </c>
      <c r="AD860" s="213">
        <f t="shared" si="151"/>
        <v>911</v>
      </c>
      <c r="AE860" s="213">
        <v>0.84</v>
      </c>
      <c r="AF860" s="196">
        <v>2000000</v>
      </c>
      <c r="AG860" s="104">
        <f t="shared" si="152"/>
        <v>2.5608194622279128E-2</v>
      </c>
      <c r="AH860" s="104">
        <f t="shared" si="153"/>
        <v>0</v>
      </c>
      <c r="AI860" s="195">
        <v>0.86</v>
      </c>
      <c r="AO860" s="213"/>
      <c r="AP860" s="213"/>
      <c r="AQ860" s="213"/>
      <c r="AR860" s="213"/>
      <c r="AS860" s="213"/>
      <c r="AT860" s="213"/>
      <c r="AU860" s="213"/>
      <c r="AV860" s="213"/>
    </row>
    <row r="861" spans="1:48">
      <c r="A861">
        <v>4147</v>
      </c>
      <c r="C861" s="107">
        <f>VLOOKUP(4147,收盤價!$A:$C,3,0)</f>
        <v>205</v>
      </c>
      <c r="D861" s="107">
        <f t="shared" si="143"/>
        <v>0</v>
      </c>
      <c r="E861" s="167">
        <f t="shared" si="144"/>
        <v>0</v>
      </c>
      <c r="F861" s="104">
        <f t="shared" si="145"/>
        <v>48983.173076923078</v>
      </c>
      <c r="G861" s="167">
        <f>RANK(0.57,AE:AE,0)</f>
        <v>1389</v>
      </c>
      <c r="H861" s="365">
        <f t="shared" si="146"/>
        <v>0.25352112676056338</v>
      </c>
      <c r="I861" s="213">
        <f t="shared" si="147"/>
        <v>1248</v>
      </c>
      <c r="J861" s="213">
        <f t="shared" si="148"/>
        <v>768</v>
      </c>
      <c r="K861">
        <f>RANK(0.77,AI:AI,0)</f>
        <v>1243</v>
      </c>
      <c r="L861" s="357">
        <v>0</v>
      </c>
      <c r="M861" s="357">
        <v>0</v>
      </c>
      <c r="N861" s="357">
        <v>0</v>
      </c>
      <c r="O861" s="357">
        <v>0</v>
      </c>
      <c r="P861" s="357">
        <v>0</v>
      </c>
      <c r="Q861" s="358">
        <v>1</v>
      </c>
      <c r="R861" s="359">
        <v>0</v>
      </c>
      <c r="S861" s="196">
        <v>1040000</v>
      </c>
      <c r="T861" s="196">
        <v>248500000</v>
      </c>
      <c r="U861" s="200">
        <f t="shared" si="149"/>
        <v>50942500000</v>
      </c>
      <c r="V861" s="196">
        <v>-77000000</v>
      </c>
      <c r="W861" s="196">
        <v>4499000000</v>
      </c>
      <c r="X861" s="196">
        <v>15000000</v>
      </c>
      <c r="Y861" s="196">
        <v>4820000000</v>
      </c>
      <c r="Z861" s="196">
        <v>0</v>
      </c>
      <c r="AA861" s="198">
        <v>-0.02</v>
      </c>
      <c r="AB861" s="198">
        <v>-0.02</v>
      </c>
      <c r="AC861" s="213">
        <f t="shared" si="150"/>
        <v>1353</v>
      </c>
      <c r="AD861" s="213">
        <f t="shared" si="151"/>
        <v>1388</v>
      </c>
      <c r="AE861" s="213">
        <v>0.56999999999999995</v>
      </c>
      <c r="AF861" s="196">
        <v>-63000000</v>
      </c>
      <c r="AG861" s="104">
        <f t="shared" si="152"/>
        <v>-0.25352112676056338</v>
      </c>
      <c r="AH861" s="104">
        <f t="shared" si="153"/>
        <v>0</v>
      </c>
      <c r="AI861" s="195">
        <v>0.77</v>
      </c>
    </row>
    <row r="862" spans="1:48">
      <c r="A862">
        <v>4152</v>
      </c>
      <c r="C862" s="107">
        <f>VLOOKUP(4152,收盤價!$A:$C,3,0)</f>
        <v>129</v>
      </c>
      <c r="D862" s="107">
        <f t="shared" si="143"/>
        <v>0</v>
      </c>
      <c r="E862" s="167">
        <f t="shared" si="144"/>
        <v>2</v>
      </c>
      <c r="F862" s="104">
        <f t="shared" si="145"/>
        <v>178.858935105668</v>
      </c>
      <c r="G862" s="167">
        <f>RANK(0.84,AE:AE,0)</f>
        <v>946</v>
      </c>
      <c r="H862" s="365">
        <f t="shared" si="146"/>
        <v>2.1184919210053859</v>
      </c>
      <c r="I862" s="213">
        <f t="shared" si="147"/>
        <v>1517</v>
      </c>
      <c r="J862" s="213">
        <f t="shared" si="148"/>
        <v>768</v>
      </c>
      <c r="K862">
        <f>RANK(0.68,AI:AI,0)</f>
        <v>1507</v>
      </c>
      <c r="L862" s="357">
        <v>0</v>
      </c>
      <c r="M862" s="357">
        <v>1</v>
      </c>
      <c r="N862" s="357">
        <v>1</v>
      </c>
      <c r="O862" s="357">
        <v>0</v>
      </c>
      <c r="P862" s="357">
        <v>0</v>
      </c>
      <c r="Q862" s="358">
        <v>1</v>
      </c>
      <c r="R862" s="359">
        <v>-2.75</v>
      </c>
      <c r="S862" s="196">
        <v>40173000</v>
      </c>
      <c r="T862" s="196">
        <v>55700000</v>
      </c>
      <c r="U862" s="200">
        <f t="shared" si="149"/>
        <v>7185300000</v>
      </c>
      <c r="V862" s="196">
        <v>0</v>
      </c>
      <c r="W862" s="196">
        <v>2041000000</v>
      </c>
      <c r="X862" s="196">
        <v>203000000</v>
      </c>
      <c r="Y862" s="196">
        <v>2262000000</v>
      </c>
      <c r="Z862" s="196">
        <v>74000000</v>
      </c>
      <c r="AA862" s="198">
        <v>0</v>
      </c>
      <c r="AB862" s="198">
        <v>0</v>
      </c>
      <c r="AC862" s="213">
        <f t="shared" si="150"/>
        <v>945</v>
      </c>
      <c r="AD862" s="213">
        <f t="shared" si="151"/>
        <v>911</v>
      </c>
      <c r="AE862" s="213">
        <v>0.84</v>
      </c>
      <c r="AF862" s="196">
        <v>-118000000</v>
      </c>
      <c r="AG862" s="104">
        <f t="shared" si="152"/>
        <v>-2.1184919210053859</v>
      </c>
      <c r="AH862" s="104">
        <f t="shared" si="153"/>
        <v>0</v>
      </c>
      <c r="AI862" s="195">
        <v>0.68</v>
      </c>
    </row>
    <row r="863" spans="1:48">
      <c r="A863">
        <v>4153</v>
      </c>
      <c r="C863" s="107">
        <f>VLOOKUP(4153,收盤價!$A:$C,3,0)</f>
        <v>38.6</v>
      </c>
      <c r="D863" s="107">
        <f t="shared" si="143"/>
        <v>0</v>
      </c>
      <c r="E863" s="167">
        <f t="shared" si="144"/>
        <v>1</v>
      </c>
      <c r="F863" s="104">
        <f t="shared" si="145"/>
        <v>1.2658939497577841</v>
      </c>
      <c r="G863" s="167">
        <f>RANK(1.36,AE:AE,0)</f>
        <v>694</v>
      </c>
      <c r="H863" s="365">
        <f t="shared" si="146"/>
        <v>2.2077922077922079</v>
      </c>
      <c r="I863" s="213">
        <f t="shared" si="147"/>
        <v>1519</v>
      </c>
      <c r="J863" s="213">
        <f t="shared" si="148"/>
        <v>768</v>
      </c>
      <c r="K863">
        <f>RANK(0.68,AI:AI,0)</f>
        <v>1507</v>
      </c>
      <c r="L863" s="357">
        <v>0</v>
      </c>
      <c r="M863" s="357">
        <v>1</v>
      </c>
      <c r="N863" s="357">
        <v>0</v>
      </c>
      <c r="O863" s="357">
        <v>0</v>
      </c>
      <c r="P863" s="357">
        <v>0</v>
      </c>
      <c r="Q863" s="358">
        <v>0.27137546468401486</v>
      </c>
      <c r="R863" s="359">
        <v>0</v>
      </c>
      <c r="S863" s="196">
        <v>1173953000</v>
      </c>
      <c r="T863" s="196">
        <v>38500000</v>
      </c>
      <c r="U863" s="200">
        <f t="shared" si="149"/>
        <v>1486100000</v>
      </c>
      <c r="V863" s="196">
        <v>16000000</v>
      </c>
      <c r="W863" s="196">
        <v>339000000</v>
      </c>
      <c r="X863" s="196">
        <v>254000000</v>
      </c>
      <c r="Y863" s="196">
        <v>939000000</v>
      </c>
      <c r="Z863" s="196">
        <v>442000000</v>
      </c>
      <c r="AA863" s="198">
        <v>0.03</v>
      </c>
      <c r="AB863" s="198">
        <v>0.01</v>
      </c>
      <c r="AC863" s="213">
        <f t="shared" si="150"/>
        <v>469</v>
      </c>
      <c r="AD863" s="213">
        <f t="shared" si="151"/>
        <v>680</v>
      </c>
      <c r="AE863" s="213">
        <v>1.36</v>
      </c>
      <c r="AF863" s="196">
        <v>-85000000</v>
      </c>
      <c r="AG863" s="104">
        <f t="shared" si="152"/>
        <v>-2.2077922077922079</v>
      </c>
      <c r="AH863" s="104">
        <f t="shared" si="153"/>
        <v>0</v>
      </c>
      <c r="AI863" s="195">
        <v>0.68</v>
      </c>
    </row>
    <row r="864" spans="1:48">
      <c r="A864">
        <v>4154</v>
      </c>
      <c r="C864" s="107">
        <f>VLOOKUP(4154,收盤價!$A:$C,3,0)</f>
        <v>18.899999999999999</v>
      </c>
      <c r="D864" s="107">
        <f t="shared" si="143"/>
        <v>0</v>
      </c>
      <c r="E864" s="167">
        <f t="shared" si="144"/>
        <v>2</v>
      </c>
      <c r="F864" s="104">
        <f t="shared" si="145"/>
        <v>0.68367744448772882</v>
      </c>
      <c r="G864" s="167">
        <f>RANK(0.54,AE:AE,0)</f>
        <v>1453</v>
      </c>
      <c r="H864" s="365">
        <f t="shared" si="146"/>
        <v>0.25641025641025639</v>
      </c>
      <c r="I864" s="213">
        <f t="shared" si="147"/>
        <v>1250</v>
      </c>
      <c r="J864" s="213">
        <f t="shared" si="148"/>
        <v>768</v>
      </c>
      <c r="K864">
        <f>RANK(0.77,AI:AI,0)</f>
        <v>1243</v>
      </c>
      <c r="L864" s="357">
        <v>0</v>
      </c>
      <c r="M864" s="357">
        <v>0</v>
      </c>
      <c r="N864" s="357">
        <v>2</v>
      </c>
      <c r="O864" s="357">
        <v>0</v>
      </c>
      <c r="P864" s="357">
        <v>0</v>
      </c>
      <c r="Q864" s="358">
        <v>0.64748201438848918</v>
      </c>
      <c r="R864" s="359">
        <v>0</v>
      </c>
      <c r="S864" s="196">
        <v>539070000</v>
      </c>
      <c r="T864" s="196">
        <v>19500000</v>
      </c>
      <c r="U864" s="200">
        <f t="shared" si="149"/>
        <v>368550000</v>
      </c>
      <c r="V864" s="196">
        <v>-8000000</v>
      </c>
      <c r="W864" s="196">
        <v>181000000</v>
      </c>
      <c r="X864" s="196">
        <v>25000000</v>
      </c>
      <c r="Y864" s="196">
        <v>227000000</v>
      </c>
      <c r="Z864" s="196">
        <v>34000000</v>
      </c>
      <c r="AA864" s="198">
        <v>-0.04</v>
      </c>
      <c r="AB864" s="198">
        <v>-0.03</v>
      </c>
      <c r="AC864" s="213">
        <f t="shared" si="150"/>
        <v>1444</v>
      </c>
      <c r="AD864" s="213">
        <f t="shared" si="151"/>
        <v>1444</v>
      </c>
      <c r="AE864" s="213">
        <v>0.54</v>
      </c>
      <c r="AF864" s="196">
        <v>-5000000</v>
      </c>
      <c r="AG864" s="104">
        <f t="shared" si="152"/>
        <v>-0.25641025641025639</v>
      </c>
      <c r="AH864" s="104">
        <f t="shared" si="153"/>
        <v>0</v>
      </c>
      <c r="AI864" s="195">
        <v>0.77</v>
      </c>
    </row>
    <row r="865" spans="1:48">
      <c r="A865">
        <v>4157</v>
      </c>
      <c r="C865" s="107">
        <f>VLOOKUP(4157,收盤價!$A:$C,3,0)</f>
        <v>30</v>
      </c>
      <c r="D865" s="107">
        <f t="shared" si="143"/>
        <v>0</v>
      </c>
      <c r="E865" s="167">
        <f t="shared" si="144"/>
        <v>4</v>
      </c>
      <c r="F865" s="104">
        <f t="shared" si="145"/>
        <v>0.59787044242412735</v>
      </c>
      <c r="G865" s="167">
        <f>RANK(0.52,AE:AE,0)</f>
        <v>1493</v>
      </c>
      <c r="H865" s="365">
        <f t="shared" si="146"/>
        <v>35.714285714285715</v>
      </c>
      <c r="I865" s="213">
        <f t="shared" si="147"/>
        <v>1557</v>
      </c>
      <c r="J865" s="213">
        <f t="shared" si="148"/>
        <v>768</v>
      </c>
      <c r="K865">
        <f>RANK(0.67,AI:AI,0)</f>
        <v>1541</v>
      </c>
      <c r="L865" s="357">
        <v>1</v>
      </c>
      <c r="M865" s="357">
        <v>1</v>
      </c>
      <c r="N865" s="357">
        <v>2</v>
      </c>
      <c r="O865" s="357">
        <v>0</v>
      </c>
      <c r="P865" s="357">
        <v>0</v>
      </c>
      <c r="Q865" s="358">
        <v>0.91836734693877553</v>
      </c>
      <c r="R865" s="359">
        <v>0</v>
      </c>
      <c r="S865" s="196">
        <v>105374000</v>
      </c>
      <c r="T865" s="196">
        <v>2100000</v>
      </c>
      <c r="U865" s="200">
        <f t="shared" si="149"/>
        <v>63000000</v>
      </c>
      <c r="V865" s="196">
        <v>-37000000</v>
      </c>
      <c r="W865" s="196">
        <v>708000000</v>
      </c>
      <c r="X865" s="196">
        <v>11000000</v>
      </c>
      <c r="Y865" s="196">
        <v>795000000</v>
      </c>
      <c r="Z865" s="196">
        <v>0</v>
      </c>
      <c r="AA865" s="198">
        <v>-0.05</v>
      </c>
      <c r="AB865" s="198">
        <v>-0.05</v>
      </c>
      <c r="AC865" s="213">
        <f t="shared" si="150"/>
        <v>1468</v>
      </c>
      <c r="AD865" s="213">
        <f t="shared" si="151"/>
        <v>1500</v>
      </c>
      <c r="AE865" s="213">
        <v>0.52</v>
      </c>
      <c r="AF865" s="196">
        <v>-75000000</v>
      </c>
      <c r="AG865" s="104">
        <f t="shared" si="152"/>
        <v>-35.714285714285715</v>
      </c>
      <c r="AH865" s="104">
        <f t="shared" si="153"/>
        <v>0</v>
      </c>
      <c r="AI865" s="195">
        <v>0.67</v>
      </c>
      <c r="AO865" s="213"/>
      <c r="AP865" s="213"/>
      <c r="AQ865" s="213"/>
      <c r="AR865" s="213"/>
      <c r="AS865" s="213"/>
      <c r="AT865" s="213"/>
      <c r="AU865" s="213"/>
      <c r="AV865" s="213"/>
    </row>
    <row r="866" spans="1:48">
      <c r="A866">
        <v>4160</v>
      </c>
      <c r="C866" s="107">
        <f>VLOOKUP(4160,收盤價!$A:$C,3,0)</f>
        <v>29</v>
      </c>
      <c r="D866" s="107">
        <f t="shared" si="143"/>
        <v>0</v>
      </c>
      <c r="E866" s="167">
        <f t="shared" si="144"/>
        <v>1</v>
      </c>
      <c r="F866" s="104">
        <f t="shared" si="145"/>
        <v>2.2885653258547878</v>
      </c>
      <c r="G866" s="167">
        <f>RANK(0.59,AE:AE,0)</f>
        <v>1348</v>
      </c>
      <c r="H866" s="365">
        <f t="shared" si="146"/>
        <v>-0.53719008264462809</v>
      </c>
      <c r="I866" s="213">
        <f t="shared" si="147"/>
        <v>723</v>
      </c>
      <c r="J866" s="213">
        <f t="shared" si="148"/>
        <v>768</v>
      </c>
      <c r="K866">
        <f>RANK(1.04,AI:AI,0)</f>
        <v>843</v>
      </c>
      <c r="L866" s="357">
        <v>0</v>
      </c>
      <c r="M866" s="357">
        <v>0</v>
      </c>
      <c r="N866" s="357">
        <v>0</v>
      </c>
      <c r="O866" s="357">
        <v>1</v>
      </c>
      <c r="P866" s="357">
        <v>0</v>
      </c>
      <c r="Q866" s="358">
        <v>0.24691358024691357</v>
      </c>
      <c r="R866" s="359">
        <v>0</v>
      </c>
      <c r="S866" s="196">
        <v>306655000</v>
      </c>
      <c r="T866" s="196">
        <v>24200000</v>
      </c>
      <c r="U866" s="200">
        <f t="shared" si="149"/>
        <v>701800000</v>
      </c>
      <c r="V866" s="196">
        <v>-4000000</v>
      </c>
      <c r="W866" s="196">
        <v>239000000</v>
      </c>
      <c r="X866" s="196">
        <v>11000000</v>
      </c>
      <c r="Y866" s="196">
        <v>308000000</v>
      </c>
      <c r="Z866" s="196">
        <v>0</v>
      </c>
      <c r="AA866" s="198">
        <v>-0.02</v>
      </c>
      <c r="AB866" s="198">
        <v>-0.01</v>
      </c>
      <c r="AC866" s="213">
        <f t="shared" si="150"/>
        <v>1353</v>
      </c>
      <c r="AD866" s="213">
        <f t="shared" si="151"/>
        <v>1294</v>
      </c>
      <c r="AE866" s="213">
        <v>0.59</v>
      </c>
      <c r="AF866" s="196">
        <v>13000000</v>
      </c>
      <c r="AG866" s="104">
        <f t="shared" si="152"/>
        <v>0.53719008264462809</v>
      </c>
      <c r="AH866" s="104">
        <f t="shared" si="153"/>
        <v>0</v>
      </c>
      <c r="AI866" s="195">
        <v>1.04</v>
      </c>
    </row>
    <row r="867" spans="1:48">
      <c r="A867">
        <v>4161</v>
      </c>
      <c r="C867" s="107">
        <f>VLOOKUP(4161,收盤價!$A:$C,3,0)</f>
        <v>59.5</v>
      </c>
      <c r="D867" s="107">
        <f t="shared" si="143"/>
        <v>63.749999999999993</v>
      </c>
      <c r="E867" s="167">
        <f t="shared" si="144"/>
        <v>3</v>
      </c>
      <c r="F867" s="104">
        <f t="shared" si="145"/>
        <v>6.8341176103960857</v>
      </c>
      <c r="G867" s="167">
        <f>RANK(1.2,AE:AE,0)</f>
        <v>710</v>
      </c>
      <c r="H867" s="365">
        <f t="shared" si="146"/>
        <v>0.46511627906976744</v>
      </c>
      <c r="I867" s="213">
        <f t="shared" si="147"/>
        <v>1335</v>
      </c>
      <c r="J867" s="213">
        <f t="shared" si="148"/>
        <v>768</v>
      </c>
      <c r="K867">
        <f>RANK(0.74,AI:AI,0)</f>
        <v>1324</v>
      </c>
      <c r="L867" s="357">
        <v>1</v>
      </c>
      <c r="M867" s="357">
        <v>1</v>
      </c>
      <c r="N867" s="357">
        <v>1</v>
      </c>
      <c r="O867" s="357">
        <v>0</v>
      </c>
      <c r="P867" s="357">
        <v>0</v>
      </c>
      <c r="Q867" s="358">
        <v>0.34782608695652173</v>
      </c>
      <c r="R867" s="359">
        <v>0.23333333333333336</v>
      </c>
      <c r="S867" s="196">
        <v>449246000</v>
      </c>
      <c r="T867" s="196">
        <v>51600000</v>
      </c>
      <c r="U867" s="200">
        <f t="shared" si="149"/>
        <v>3070200000</v>
      </c>
      <c r="V867" s="196">
        <v>15000000</v>
      </c>
      <c r="W867" s="196">
        <v>453000000</v>
      </c>
      <c r="X867" s="196">
        <v>495000000</v>
      </c>
      <c r="Y867" s="196">
        <v>1008000000</v>
      </c>
      <c r="Z867" s="196">
        <v>353000000</v>
      </c>
      <c r="AA867" s="198">
        <v>0.02</v>
      </c>
      <c r="AB867" s="198">
        <v>0.01</v>
      </c>
      <c r="AC867" s="213">
        <f t="shared" si="150"/>
        <v>616</v>
      </c>
      <c r="AD867" s="213">
        <f t="shared" si="151"/>
        <v>680</v>
      </c>
      <c r="AE867" s="213">
        <v>1.2</v>
      </c>
      <c r="AF867" s="196">
        <v>-24000000</v>
      </c>
      <c r="AG867" s="104">
        <f t="shared" si="152"/>
        <v>-0.46511627906976744</v>
      </c>
      <c r="AH867" s="104">
        <f t="shared" si="153"/>
        <v>0</v>
      </c>
      <c r="AI867" s="195">
        <v>0.74</v>
      </c>
    </row>
    <row r="868" spans="1:48">
      <c r="A868">
        <v>4162</v>
      </c>
      <c r="C868" s="107">
        <f>VLOOKUP(4162,收盤價!$A:$C,3,0)</f>
        <v>225</v>
      </c>
      <c r="D868" s="107">
        <f t="shared" si="143"/>
        <v>28.722426470588236</v>
      </c>
      <c r="E868" s="167">
        <f t="shared" si="144"/>
        <v>4</v>
      </c>
      <c r="F868" s="104">
        <f t="shared" si="145"/>
        <v>69.731546068807262</v>
      </c>
      <c r="G868" s="167">
        <f>RANK(11.21,AE:AE,0)</f>
        <v>64</v>
      </c>
      <c r="H868" s="365">
        <f t="shared" si="146"/>
        <v>-1.3844025465230168</v>
      </c>
      <c r="I868" s="213">
        <f t="shared" si="147"/>
        <v>173</v>
      </c>
      <c r="J868" s="213">
        <f t="shared" si="148"/>
        <v>525</v>
      </c>
      <c r="K868">
        <f>RANK(2.23,AI:AI,0)</f>
        <v>290</v>
      </c>
      <c r="L868" s="357">
        <v>0</v>
      </c>
      <c r="M868" s="357">
        <v>1</v>
      </c>
      <c r="N868" s="357">
        <v>2</v>
      </c>
      <c r="O868" s="357">
        <v>1</v>
      </c>
      <c r="P868" s="357">
        <v>0</v>
      </c>
      <c r="Q868" s="358">
        <v>1</v>
      </c>
      <c r="R868" s="359">
        <v>1.9583999999999999</v>
      </c>
      <c r="S868" s="196">
        <v>329442000</v>
      </c>
      <c r="T868" s="196">
        <v>102100000</v>
      </c>
      <c r="U868" s="200">
        <f t="shared" si="149"/>
        <v>22972500000</v>
      </c>
      <c r="V868" s="196">
        <v>240000000</v>
      </c>
      <c r="W868" s="196">
        <v>3116000000</v>
      </c>
      <c r="X868" s="196">
        <v>11000000</v>
      </c>
      <c r="Y868" s="196">
        <v>3147000000</v>
      </c>
      <c r="Z868" s="196">
        <v>0</v>
      </c>
      <c r="AA868" s="198">
        <v>0.08</v>
      </c>
      <c r="AB868" s="198">
        <v>0.08</v>
      </c>
      <c r="AC868" s="213">
        <f t="shared" si="150"/>
        <v>97</v>
      </c>
      <c r="AD868" s="213">
        <f t="shared" si="151"/>
        <v>42</v>
      </c>
      <c r="AE868" s="213">
        <v>11.21</v>
      </c>
      <c r="AF868" s="196">
        <v>246000000</v>
      </c>
      <c r="AG868" s="104">
        <f t="shared" si="152"/>
        <v>2.4094025465230167</v>
      </c>
      <c r="AH868" s="104">
        <f t="shared" si="153"/>
        <v>1.0249999999999999</v>
      </c>
      <c r="AI868" s="195">
        <v>2.23</v>
      </c>
      <c r="AO868" s="213"/>
      <c r="AP868" s="213"/>
      <c r="AQ868" s="213"/>
      <c r="AR868" s="213"/>
      <c r="AS868" s="213"/>
      <c r="AT868" s="213"/>
      <c r="AU868" s="213"/>
      <c r="AV868" s="213"/>
    </row>
    <row r="869" spans="1:48">
      <c r="A869">
        <v>4163</v>
      </c>
      <c r="C869" s="107">
        <f>VLOOKUP(4163,收盤價!$A:$C,3,0)</f>
        <v>155.5</v>
      </c>
      <c r="D869" s="107">
        <f t="shared" si="143"/>
        <v>13.438930860805861</v>
      </c>
      <c r="E869" s="167">
        <f t="shared" si="144"/>
        <v>5</v>
      </c>
      <c r="F869" s="104">
        <f t="shared" si="145"/>
        <v>3.0657239303609707</v>
      </c>
      <c r="G869" s="167">
        <f>RANK(19,AE:AE,0)</f>
        <v>40</v>
      </c>
      <c r="H869" s="365">
        <f t="shared" si="146"/>
        <v>-2.83550557073786</v>
      </c>
      <c r="I869" s="213">
        <f t="shared" si="147"/>
        <v>68</v>
      </c>
      <c r="J869" s="213">
        <f t="shared" si="148"/>
        <v>498</v>
      </c>
      <c r="K869">
        <f>RANK(2.75,AI:AI,0)</f>
        <v>192</v>
      </c>
      <c r="L869" s="357">
        <v>1</v>
      </c>
      <c r="M869" s="357">
        <v>1</v>
      </c>
      <c r="N869" s="357">
        <v>2</v>
      </c>
      <c r="O869" s="357">
        <v>1</v>
      </c>
      <c r="P869" s="357">
        <v>0</v>
      </c>
      <c r="Q869" s="358">
        <v>0.43383584589614738</v>
      </c>
      <c r="R869" s="359">
        <v>2.8927152317880793</v>
      </c>
      <c r="S869" s="196">
        <v>2039029000</v>
      </c>
      <c r="T869" s="196">
        <v>40200000</v>
      </c>
      <c r="U869" s="200">
        <f t="shared" si="149"/>
        <v>6251100000</v>
      </c>
      <c r="V869" s="196">
        <v>142000000</v>
      </c>
      <c r="W869" s="196">
        <v>433000000</v>
      </c>
      <c r="X869" s="196">
        <v>869000000</v>
      </c>
      <c r="Y869" s="196">
        <v>1396000000</v>
      </c>
      <c r="Z869" s="196">
        <v>471000000</v>
      </c>
      <c r="AA869" s="198">
        <v>0.11</v>
      </c>
      <c r="AB869" s="198">
        <v>0.08</v>
      </c>
      <c r="AC869" s="213">
        <f t="shared" si="150"/>
        <v>40</v>
      </c>
      <c r="AD869" s="213">
        <f t="shared" si="151"/>
        <v>42</v>
      </c>
      <c r="AE869" s="213">
        <v>19</v>
      </c>
      <c r="AF869" s="196">
        <v>159000000</v>
      </c>
      <c r="AG869" s="104">
        <f t="shared" si="152"/>
        <v>3.955223880597015</v>
      </c>
      <c r="AH869" s="104">
        <f t="shared" si="153"/>
        <v>1.119718309859155</v>
      </c>
      <c r="AI869" s="195">
        <v>2.75</v>
      </c>
      <c r="AO869" s="213"/>
      <c r="AP869" s="213"/>
      <c r="AQ869" s="213"/>
      <c r="AR869" s="213"/>
      <c r="AS869" s="213"/>
      <c r="AT869" s="213"/>
      <c r="AU869" s="213"/>
      <c r="AV869" s="213"/>
    </row>
    <row r="870" spans="1:48">
      <c r="A870">
        <v>4164</v>
      </c>
      <c r="C870" s="107">
        <f>VLOOKUP(4164,收盤價!$A:$C,3,0)</f>
        <v>43.9</v>
      </c>
      <c r="D870" s="107">
        <f t="shared" si="143"/>
        <v>99.772727272727266</v>
      </c>
      <c r="E870" s="167">
        <f t="shared" si="144"/>
        <v>3</v>
      </c>
      <c r="F870" s="104">
        <f t="shared" si="145"/>
        <v>2.5937374707969121</v>
      </c>
      <c r="G870" s="167">
        <f>RANK(0.84,AE:AE,0)</f>
        <v>946</v>
      </c>
      <c r="H870" s="365">
        <f t="shared" si="146"/>
        <v>-1.5962777380100215</v>
      </c>
      <c r="I870" s="213">
        <f t="shared" si="147"/>
        <v>315</v>
      </c>
      <c r="J870" s="213">
        <f t="shared" si="148"/>
        <v>768</v>
      </c>
      <c r="K870">
        <f>RANK(1.44,AI:AI,0)</f>
        <v>595</v>
      </c>
      <c r="L870" s="357">
        <v>0</v>
      </c>
      <c r="M870" s="357">
        <v>1</v>
      </c>
      <c r="N870" s="357">
        <v>1</v>
      </c>
      <c r="O870" s="357">
        <v>1</v>
      </c>
      <c r="P870" s="357">
        <v>0</v>
      </c>
      <c r="Q870" s="358">
        <v>0.20187793427230047</v>
      </c>
      <c r="R870" s="359">
        <v>0.11</v>
      </c>
      <c r="S870" s="196">
        <v>2364476000</v>
      </c>
      <c r="T870" s="196">
        <v>139700000</v>
      </c>
      <c r="U870" s="200">
        <f t="shared" si="149"/>
        <v>6132830000</v>
      </c>
      <c r="V870" s="196">
        <v>0</v>
      </c>
      <c r="W870" s="196">
        <v>1160000000</v>
      </c>
      <c r="X870" s="196">
        <v>4560000000</v>
      </c>
      <c r="Y870" s="196">
        <v>4841000000</v>
      </c>
      <c r="Z870" s="196">
        <v>451000000</v>
      </c>
      <c r="AA870" s="198">
        <v>0</v>
      </c>
      <c r="AB870" s="198">
        <v>0</v>
      </c>
      <c r="AC870" s="213">
        <f t="shared" si="150"/>
        <v>945</v>
      </c>
      <c r="AD870" s="213">
        <f t="shared" si="151"/>
        <v>911</v>
      </c>
      <c r="AE870" s="213">
        <v>0.84</v>
      </c>
      <c r="AF870" s="196">
        <v>223000000</v>
      </c>
      <c r="AG870" s="104">
        <f t="shared" si="152"/>
        <v>1.5962777380100215</v>
      </c>
      <c r="AH870" s="104">
        <f t="shared" si="153"/>
        <v>0</v>
      </c>
      <c r="AI870" s="195">
        <v>1.44</v>
      </c>
      <c r="AO870" s="213"/>
      <c r="AP870" s="213"/>
      <c r="AQ870" s="213"/>
      <c r="AR870" s="213"/>
      <c r="AS870" s="213"/>
      <c r="AT870" s="213"/>
      <c r="AU870" s="213"/>
      <c r="AV870" s="213"/>
    </row>
    <row r="871" spans="1:48">
      <c r="A871">
        <v>4167</v>
      </c>
      <c r="C871" s="107">
        <f>VLOOKUP(4167,收盤價!$A:$C,3,0)</f>
        <v>26.05</v>
      </c>
      <c r="D871" s="107">
        <f t="shared" si="143"/>
        <v>0</v>
      </c>
      <c r="E871" s="167">
        <f t="shared" si="144"/>
        <v>3</v>
      </c>
      <c r="F871" s="104">
        <f t="shared" si="145"/>
        <v>5.2353125232322455</v>
      </c>
      <c r="G871" s="167">
        <f>RANK(0.59,AE:AE,0)</f>
        <v>1348</v>
      </c>
      <c r="H871" s="365">
        <f t="shared" si="146"/>
        <v>0.12195121951219512</v>
      </c>
      <c r="I871" s="213">
        <f t="shared" si="147"/>
        <v>1152</v>
      </c>
      <c r="J871" s="213">
        <f t="shared" si="148"/>
        <v>768</v>
      </c>
      <c r="K871">
        <f>RANK(0.81,AI:AI,0)</f>
        <v>1144</v>
      </c>
      <c r="L871" s="357">
        <v>1</v>
      </c>
      <c r="M871" s="357">
        <v>1</v>
      </c>
      <c r="N871" s="357">
        <v>1</v>
      </c>
      <c r="O871" s="357">
        <v>0</v>
      </c>
      <c r="P871" s="357">
        <v>0</v>
      </c>
      <c r="Q871" s="358">
        <v>0.11781609195402298</v>
      </c>
      <c r="R871" s="359">
        <v>0</v>
      </c>
      <c r="S871" s="196">
        <v>1224053000</v>
      </c>
      <c r="T871" s="196">
        <v>246000000</v>
      </c>
      <c r="U871" s="200">
        <f t="shared" si="149"/>
        <v>6408300000</v>
      </c>
      <c r="V871" s="196">
        <v>-42000000</v>
      </c>
      <c r="W871" s="196">
        <v>336000000</v>
      </c>
      <c r="X871" s="196">
        <v>1975000000</v>
      </c>
      <c r="Y871" s="196">
        <v>2136000000</v>
      </c>
      <c r="Z871" s="196">
        <v>726000000</v>
      </c>
      <c r="AA871" s="198">
        <v>-0.02</v>
      </c>
      <c r="AB871" s="198">
        <v>-0.01</v>
      </c>
      <c r="AC871" s="213">
        <f t="shared" si="150"/>
        <v>1353</v>
      </c>
      <c r="AD871" s="213">
        <f t="shared" si="151"/>
        <v>1294</v>
      </c>
      <c r="AE871" s="213">
        <v>0.59</v>
      </c>
      <c r="AF871" s="196">
        <v>-30000000</v>
      </c>
      <c r="AG871" s="104">
        <f t="shared" si="152"/>
        <v>-0.12195121951219512</v>
      </c>
      <c r="AH871" s="104">
        <f t="shared" si="153"/>
        <v>0</v>
      </c>
      <c r="AI871" s="195">
        <v>0.81</v>
      </c>
      <c r="AO871" s="213"/>
      <c r="AP871" s="213"/>
      <c r="AQ871" s="213"/>
      <c r="AR871" s="213"/>
      <c r="AS871" s="213"/>
      <c r="AT871" s="213"/>
      <c r="AU871" s="213"/>
      <c r="AV871" s="213"/>
    </row>
    <row r="872" spans="1:48">
      <c r="A872">
        <v>4168</v>
      </c>
      <c r="C872" s="107">
        <f>VLOOKUP(4168,收盤價!$A:$C,3,0)</f>
        <v>34.25</v>
      </c>
      <c r="D872" s="107">
        <f t="shared" si="143"/>
        <v>0</v>
      </c>
      <c r="E872" s="167">
        <f t="shared" si="144"/>
        <v>0</v>
      </c>
      <c r="F872" s="104">
        <f t="shared" si="145"/>
        <v>1649.3120700437773</v>
      </c>
      <c r="G872" s="167">
        <f>RANK(0.61,AE:AE,0)</f>
        <v>1295</v>
      </c>
      <c r="H872" s="365">
        <f t="shared" si="146"/>
        <v>0.18181818181818182</v>
      </c>
      <c r="I872" s="213">
        <f t="shared" si="147"/>
        <v>1200</v>
      </c>
      <c r="J872" s="213">
        <f t="shared" si="148"/>
        <v>768</v>
      </c>
      <c r="K872">
        <f>RANK(0.79,AI:AI,0)</f>
        <v>1192</v>
      </c>
      <c r="L872" s="357">
        <v>0</v>
      </c>
      <c r="M872" s="357">
        <v>0</v>
      </c>
      <c r="N872" s="357">
        <v>0</v>
      </c>
      <c r="O872" s="357">
        <v>0</v>
      </c>
      <c r="P872" s="357">
        <v>0</v>
      </c>
      <c r="Q872" s="358">
        <v>0</v>
      </c>
      <c r="R872" s="359">
        <v>0</v>
      </c>
      <c r="S872" s="196">
        <v>1599000</v>
      </c>
      <c r="T872" s="196">
        <v>77000000</v>
      </c>
      <c r="U872" s="200">
        <f t="shared" si="149"/>
        <v>2637250000</v>
      </c>
      <c r="V872" s="196">
        <v>-27000000</v>
      </c>
      <c r="W872" s="196">
        <v>1023000000</v>
      </c>
      <c r="X872" s="196">
        <v>914000000</v>
      </c>
      <c r="Y872" s="196">
        <v>2049000000</v>
      </c>
      <c r="Z872" s="196">
        <v>0</v>
      </c>
      <c r="AA872" s="198">
        <v>-0.01</v>
      </c>
      <c r="AB872" s="198">
        <v>-0.01</v>
      </c>
      <c r="AC872" s="213">
        <f t="shared" si="150"/>
        <v>1277</v>
      </c>
      <c r="AD872" s="213">
        <f t="shared" si="151"/>
        <v>1294</v>
      </c>
      <c r="AE872" s="213">
        <v>0.61</v>
      </c>
      <c r="AF872" s="196">
        <v>-14000000</v>
      </c>
      <c r="AG872" s="104">
        <f t="shared" si="152"/>
        <v>-0.18181818181818182</v>
      </c>
      <c r="AH872" s="104">
        <f t="shared" si="153"/>
        <v>0</v>
      </c>
      <c r="AI872" s="195">
        <v>0.79</v>
      </c>
    </row>
    <row r="873" spans="1:48">
      <c r="A873">
        <v>4171</v>
      </c>
      <c r="C873" s="107">
        <f>VLOOKUP(4171,收盤價!$A:$C,3,0)</f>
        <v>22.4</v>
      </c>
      <c r="D873" s="107">
        <f t="shared" si="143"/>
        <v>0</v>
      </c>
      <c r="E873" s="167">
        <f t="shared" si="144"/>
        <v>4</v>
      </c>
      <c r="F873" s="104">
        <f t="shared" si="145"/>
        <v>5.0103360352664223</v>
      </c>
      <c r="G873" s="167">
        <f>RANK(0.61,AE:AE,0)</f>
        <v>1295</v>
      </c>
      <c r="H873" s="365">
        <f t="shared" si="146"/>
        <v>-0.11661807580174927</v>
      </c>
      <c r="I873" s="213">
        <f t="shared" si="147"/>
        <v>983</v>
      </c>
      <c r="J873" s="213">
        <f t="shared" si="148"/>
        <v>768</v>
      </c>
      <c r="K873">
        <f>RANK(0.89,AI:AI,0)</f>
        <v>1004</v>
      </c>
      <c r="L873" s="357">
        <v>0</v>
      </c>
      <c r="M873" s="357">
        <v>1</v>
      </c>
      <c r="N873" s="357">
        <v>2</v>
      </c>
      <c r="O873" s="357">
        <v>1</v>
      </c>
      <c r="P873" s="357">
        <v>0</v>
      </c>
      <c r="Q873" s="358">
        <v>0.77500000000000002</v>
      </c>
      <c r="R873" s="359">
        <v>0</v>
      </c>
      <c r="S873" s="196">
        <v>153347000</v>
      </c>
      <c r="T873" s="196">
        <v>34300000</v>
      </c>
      <c r="U873" s="200">
        <f t="shared" si="149"/>
        <v>768320000</v>
      </c>
      <c r="V873" s="196">
        <v>-2000000</v>
      </c>
      <c r="W873" s="196">
        <v>121000000</v>
      </c>
      <c r="X873" s="196">
        <v>213000000</v>
      </c>
      <c r="Y873" s="196">
        <v>329000000</v>
      </c>
      <c r="Z873" s="196">
        <v>59000000</v>
      </c>
      <c r="AA873" s="198">
        <v>-0.01</v>
      </c>
      <c r="AB873" s="198">
        <v>-0.01</v>
      </c>
      <c r="AC873" s="213">
        <f t="shared" si="150"/>
        <v>1277</v>
      </c>
      <c r="AD873" s="213">
        <f t="shared" si="151"/>
        <v>1294</v>
      </c>
      <c r="AE873" s="213">
        <v>0.61</v>
      </c>
      <c r="AF873" s="196">
        <v>4000000</v>
      </c>
      <c r="AG873" s="104">
        <f t="shared" si="152"/>
        <v>0.11661807580174927</v>
      </c>
      <c r="AH873" s="104">
        <f t="shared" si="153"/>
        <v>0</v>
      </c>
      <c r="AI873" s="195">
        <v>0.89</v>
      </c>
      <c r="AO873" s="213"/>
      <c r="AP873" s="213"/>
      <c r="AQ873" s="213"/>
      <c r="AR873" s="213"/>
      <c r="AS873" s="213"/>
      <c r="AT873" s="213"/>
      <c r="AU873" s="213"/>
      <c r="AV873" s="213"/>
    </row>
    <row r="874" spans="1:48">
      <c r="A874">
        <v>4173</v>
      </c>
      <c r="C874" s="107">
        <f>VLOOKUP(4173,收盤價!$A:$C,3,0)</f>
        <v>19.45</v>
      </c>
      <c r="D874" s="107">
        <f t="shared" si="143"/>
        <v>22.903079710144922</v>
      </c>
      <c r="E874" s="167">
        <f t="shared" si="144"/>
        <v>2</v>
      </c>
      <c r="F874" s="104">
        <f t="shared" si="145"/>
        <v>0.67167010449767406</v>
      </c>
      <c r="G874" s="167">
        <f>RANK(1.2,AE:AE,0)</f>
        <v>710</v>
      </c>
      <c r="H874" s="365">
        <f t="shared" si="146"/>
        <v>7.3991031390134525</v>
      </c>
      <c r="I874" s="213">
        <f t="shared" si="147"/>
        <v>1549</v>
      </c>
      <c r="J874" s="213">
        <f t="shared" si="148"/>
        <v>768</v>
      </c>
      <c r="K874">
        <f>RANK(0.67,AI:AI,0)</f>
        <v>1541</v>
      </c>
      <c r="L874" s="357">
        <v>1</v>
      </c>
      <c r="M874" s="357">
        <v>1</v>
      </c>
      <c r="N874" s="357">
        <v>0</v>
      </c>
      <c r="O874" s="357">
        <v>0</v>
      </c>
      <c r="P874" s="357">
        <v>0</v>
      </c>
      <c r="Q874" s="358">
        <v>0.17125382262996941</v>
      </c>
      <c r="R874" s="359">
        <v>0.21230769230769234</v>
      </c>
      <c r="S874" s="196">
        <v>1291512000</v>
      </c>
      <c r="T874" s="196">
        <v>44600000</v>
      </c>
      <c r="U874" s="200">
        <f t="shared" si="149"/>
        <v>867470000</v>
      </c>
      <c r="V874" s="196">
        <v>18000000</v>
      </c>
      <c r="W874" s="196">
        <v>819000000</v>
      </c>
      <c r="X874" s="196">
        <v>26000000</v>
      </c>
      <c r="Y874" s="196">
        <v>1061000000</v>
      </c>
      <c r="Z874" s="196">
        <v>1220000000</v>
      </c>
      <c r="AA874" s="198">
        <v>0.02</v>
      </c>
      <c r="AB874" s="198">
        <v>0.01</v>
      </c>
      <c r="AC874" s="213">
        <f t="shared" si="150"/>
        <v>616</v>
      </c>
      <c r="AD874" s="213">
        <f t="shared" si="151"/>
        <v>680</v>
      </c>
      <c r="AE874" s="213">
        <v>1.2</v>
      </c>
      <c r="AF874" s="196">
        <v>-330000000</v>
      </c>
      <c r="AG874" s="104">
        <f t="shared" si="152"/>
        <v>-7.3991031390134525</v>
      </c>
      <c r="AH874" s="104">
        <f t="shared" si="153"/>
        <v>0</v>
      </c>
      <c r="AI874" s="195">
        <v>0.67</v>
      </c>
      <c r="AO874" s="213"/>
      <c r="AP874" s="213"/>
      <c r="AQ874" s="213"/>
      <c r="AR874" s="213"/>
      <c r="AS874" s="213"/>
      <c r="AT874" s="213"/>
      <c r="AU874" s="213"/>
      <c r="AV874" s="213"/>
    </row>
    <row r="875" spans="1:48">
      <c r="A875">
        <v>4174</v>
      </c>
      <c r="C875" s="107">
        <f>VLOOKUP(4174,收盤價!$A:$C,3,0)</f>
        <v>325</v>
      </c>
      <c r="D875" s="107">
        <f t="shared" si="143"/>
        <v>0</v>
      </c>
      <c r="E875" s="167">
        <f t="shared" si="144"/>
        <v>0</v>
      </c>
      <c r="F875" s="104">
        <f t="shared" si="145"/>
        <v>602.25575303617427</v>
      </c>
      <c r="G875" s="167">
        <f>RANK(0.53,AE:AE,0)</f>
        <v>1475</v>
      </c>
      <c r="H875" s="365">
        <f t="shared" si="146"/>
        <v>0.8469626168224299</v>
      </c>
      <c r="I875" s="213">
        <f t="shared" si="147"/>
        <v>1420</v>
      </c>
      <c r="J875" s="213">
        <f t="shared" si="148"/>
        <v>768</v>
      </c>
      <c r="K875">
        <f>RANK(0.71,AI:AI,0)</f>
        <v>1412</v>
      </c>
      <c r="L875" s="357">
        <v>0</v>
      </c>
      <c r="M875" s="357">
        <v>0</v>
      </c>
      <c r="N875" s="357">
        <v>0</v>
      </c>
      <c r="O875" s="357">
        <v>0</v>
      </c>
      <c r="P875" s="357">
        <v>0</v>
      </c>
      <c r="Q875" s="358">
        <v>1</v>
      </c>
      <c r="R875" s="359">
        <v>0</v>
      </c>
      <c r="S875" s="196">
        <v>92386000</v>
      </c>
      <c r="T875" s="196">
        <v>171200000</v>
      </c>
      <c r="U875" s="200">
        <f t="shared" si="149"/>
        <v>55640000000</v>
      </c>
      <c r="V875" s="196">
        <v>-154000000</v>
      </c>
      <c r="W875" s="196">
        <v>1244000000</v>
      </c>
      <c r="X875" s="196">
        <v>92000000</v>
      </c>
      <c r="Y875" s="196">
        <v>6590000000</v>
      </c>
      <c r="Z875" s="196">
        <v>0</v>
      </c>
      <c r="AA875" s="198">
        <v>-0.12</v>
      </c>
      <c r="AB875" s="198">
        <v>-0.02</v>
      </c>
      <c r="AC875" s="213">
        <f t="shared" si="150"/>
        <v>1527</v>
      </c>
      <c r="AD875" s="213">
        <f t="shared" si="151"/>
        <v>1388</v>
      </c>
      <c r="AE875" s="213">
        <v>0.53</v>
      </c>
      <c r="AF875" s="196">
        <v>-145000000</v>
      </c>
      <c r="AG875" s="104">
        <f t="shared" si="152"/>
        <v>-0.8469626168224299</v>
      </c>
      <c r="AH875" s="104">
        <f t="shared" si="153"/>
        <v>0</v>
      </c>
      <c r="AI875" s="195">
        <v>0.71</v>
      </c>
    </row>
    <row r="876" spans="1:48">
      <c r="A876">
        <v>4175</v>
      </c>
      <c r="C876" s="107">
        <f>VLOOKUP(4175,收盤價!$A:$C,3,0)</f>
        <v>81.8</v>
      </c>
      <c r="D876" s="107">
        <f t="shared" si="143"/>
        <v>21.385620915032678</v>
      </c>
      <c r="E876" s="167">
        <f t="shared" si="144"/>
        <v>1</v>
      </c>
      <c r="F876" s="104">
        <f t="shared" si="145"/>
        <v>0.51216636114317626</v>
      </c>
      <c r="G876" s="167">
        <f>RANK(3.92,AE:AE,0)</f>
        <v>209</v>
      </c>
      <c r="H876" s="365">
        <f t="shared" si="146"/>
        <v>-0.62857142857142856</v>
      </c>
      <c r="I876" s="213">
        <f t="shared" si="147"/>
        <v>73</v>
      </c>
      <c r="J876" s="213">
        <f t="shared" si="148"/>
        <v>140</v>
      </c>
      <c r="K876">
        <f>RANK(7.31,AI:AI,0)</f>
        <v>29</v>
      </c>
      <c r="L876" s="357">
        <v>0</v>
      </c>
      <c r="M876" s="357">
        <v>0</v>
      </c>
      <c r="N876" s="357">
        <v>0</v>
      </c>
      <c r="O876" s="357">
        <v>1</v>
      </c>
      <c r="P876" s="357">
        <v>0</v>
      </c>
      <c r="Q876" s="358">
        <v>0.29458128078817736</v>
      </c>
      <c r="R876" s="359">
        <v>0.95625000000000004</v>
      </c>
      <c r="S876" s="196">
        <v>4024786000</v>
      </c>
      <c r="T876" s="196">
        <v>25200000</v>
      </c>
      <c r="U876" s="200">
        <f t="shared" si="149"/>
        <v>2061360000</v>
      </c>
      <c r="V876" s="196">
        <v>30000000</v>
      </c>
      <c r="W876" s="196">
        <v>160000000</v>
      </c>
      <c r="X876" s="196">
        <v>456000000</v>
      </c>
      <c r="Y876" s="196">
        <v>619000000</v>
      </c>
      <c r="Z876" s="196">
        <v>15000000</v>
      </c>
      <c r="AA876" s="198">
        <v>0.05</v>
      </c>
      <c r="AB876" s="198">
        <v>0.05</v>
      </c>
      <c r="AC876" s="213">
        <f t="shared" si="150"/>
        <v>247</v>
      </c>
      <c r="AD876" s="213">
        <f t="shared" si="151"/>
        <v>150</v>
      </c>
      <c r="AE876" s="213">
        <v>3.92</v>
      </c>
      <c r="AF876" s="196">
        <v>99000000</v>
      </c>
      <c r="AG876" s="104">
        <f t="shared" si="152"/>
        <v>3.9285714285714284</v>
      </c>
      <c r="AH876" s="104">
        <f t="shared" si="153"/>
        <v>3.3</v>
      </c>
      <c r="AI876" s="195">
        <v>7.31</v>
      </c>
      <c r="AO876" s="213"/>
      <c r="AP876" s="213"/>
      <c r="AQ876" s="213"/>
      <c r="AR876" s="213"/>
      <c r="AS876" s="213"/>
      <c r="AT876" s="213"/>
      <c r="AU876" s="213"/>
      <c r="AV876" s="213"/>
    </row>
    <row r="877" spans="1:48">
      <c r="A877">
        <v>4180</v>
      </c>
      <c r="C877" s="107">
        <f>VLOOKUP(4180,收盤價!$A:$C,3,0)</f>
        <v>106</v>
      </c>
      <c r="D877" s="107">
        <f t="shared" si="143"/>
        <v>0</v>
      </c>
      <c r="E877" s="167">
        <f t="shared" si="144"/>
        <v>3</v>
      </c>
      <c r="F877" s="104">
        <f t="shared" si="145"/>
        <v>20.478153138808771</v>
      </c>
      <c r="G877" s="167">
        <f>RANK(0.54,AE:AE,0)</f>
        <v>1453</v>
      </c>
      <c r="H877" s="365">
        <f t="shared" si="146"/>
        <v>1.1145996860282574</v>
      </c>
      <c r="I877" s="213">
        <f t="shared" si="147"/>
        <v>1450</v>
      </c>
      <c r="J877" s="213">
        <f t="shared" si="148"/>
        <v>768</v>
      </c>
      <c r="K877">
        <f>RANK(0.7,AI:AI,0)</f>
        <v>1442</v>
      </c>
      <c r="L877" s="357">
        <v>0</v>
      </c>
      <c r="M877" s="357">
        <v>1</v>
      </c>
      <c r="N877" s="357">
        <v>2</v>
      </c>
      <c r="O877" s="357">
        <v>0</v>
      </c>
      <c r="P877" s="357">
        <v>0</v>
      </c>
      <c r="Q877" s="358">
        <v>0.25698324022346369</v>
      </c>
      <c r="R877" s="359">
        <v>0</v>
      </c>
      <c r="S877" s="196">
        <v>659454000</v>
      </c>
      <c r="T877" s="196">
        <v>127400000</v>
      </c>
      <c r="U877" s="200">
        <f t="shared" si="149"/>
        <v>13504400000</v>
      </c>
      <c r="V877" s="196">
        <v>-206000000</v>
      </c>
      <c r="W877" s="196">
        <v>4524000000</v>
      </c>
      <c r="X877" s="196">
        <v>1276000000</v>
      </c>
      <c r="Y877" s="196">
        <v>6551000000</v>
      </c>
      <c r="Z877" s="196">
        <v>0</v>
      </c>
      <c r="AA877" s="198">
        <v>-0.04</v>
      </c>
      <c r="AB877" s="198">
        <v>-0.03</v>
      </c>
      <c r="AC877" s="213">
        <f t="shared" si="150"/>
        <v>1444</v>
      </c>
      <c r="AD877" s="213">
        <f t="shared" si="151"/>
        <v>1444</v>
      </c>
      <c r="AE877" s="213">
        <v>0.54</v>
      </c>
      <c r="AF877" s="196">
        <v>-142000000</v>
      </c>
      <c r="AG877" s="104">
        <f t="shared" si="152"/>
        <v>-1.1145996860282574</v>
      </c>
      <c r="AH877" s="104">
        <f t="shared" si="153"/>
        <v>0</v>
      </c>
      <c r="AI877" s="195">
        <v>0.7</v>
      </c>
    </row>
    <row r="878" spans="1:48">
      <c r="A878">
        <v>4188</v>
      </c>
      <c r="C878" s="107">
        <f>VLOOKUP(4188,收盤價!$A:$C,3,0)</f>
        <v>29.2</v>
      </c>
      <c r="D878" s="107">
        <f t="shared" si="143"/>
        <v>0</v>
      </c>
      <c r="E878" s="167">
        <f t="shared" si="144"/>
        <v>0</v>
      </c>
      <c r="F878" s="104">
        <f t="shared" si="145"/>
        <v>328.32088756133987</v>
      </c>
      <c r="G878" s="167">
        <f>RANK(0.84,AE:AE,0)</f>
        <v>946</v>
      </c>
      <c r="H878" s="365">
        <f t="shared" si="146"/>
        <v>1.8595825426944972</v>
      </c>
      <c r="I878" s="213">
        <f t="shared" si="147"/>
        <v>1507</v>
      </c>
      <c r="J878" s="213">
        <f t="shared" si="148"/>
        <v>768</v>
      </c>
      <c r="K878">
        <f>RANK(0.68,AI:AI,0)</f>
        <v>1507</v>
      </c>
      <c r="L878" s="357">
        <v>0</v>
      </c>
      <c r="M878" s="357">
        <v>0</v>
      </c>
      <c r="N878" s="357">
        <v>0</v>
      </c>
      <c r="O878" s="357">
        <v>0</v>
      </c>
      <c r="P878" s="357">
        <v>0</v>
      </c>
      <c r="Q878" s="358">
        <v>1</v>
      </c>
      <c r="R878" s="359">
        <v>-0.36</v>
      </c>
      <c r="S878" s="196">
        <v>4687000</v>
      </c>
      <c r="T878" s="196">
        <v>52700000</v>
      </c>
      <c r="U878" s="200">
        <f t="shared" si="149"/>
        <v>1538840000</v>
      </c>
      <c r="V878" s="196">
        <v>0</v>
      </c>
      <c r="W878" s="196">
        <v>687000000</v>
      </c>
      <c r="X878" s="196">
        <v>2000000</v>
      </c>
      <c r="Y878" s="196">
        <v>701000000</v>
      </c>
      <c r="Z878" s="196">
        <v>0</v>
      </c>
      <c r="AA878" s="198">
        <v>0</v>
      </c>
      <c r="AB878" s="198">
        <v>0</v>
      </c>
      <c r="AC878" s="213">
        <f t="shared" si="150"/>
        <v>945</v>
      </c>
      <c r="AD878" s="213">
        <f t="shared" si="151"/>
        <v>911</v>
      </c>
      <c r="AE878" s="213">
        <v>0.84</v>
      </c>
      <c r="AF878" s="196">
        <v>-98000000</v>
      </c>
      <c r="AG878" s="104">
        <f t="shared" si="152"/>
        <v>-1.8595825426944972</v>
      </c>
      <c r="AH878" s="104">
        <f t="shared" si="153"/>
        <v>0</v>
      </c>
      <c r="AI878" s="195">
        <v>0.68</v>
      </c>
      <c r="AO878" s="213"/>
      <c r="AP878" s="213"/>
      <c r="AQ878" s="213"/>
      <c r="AR878" s="213"/>
      <c r="AS878" s="213"/>
      <c r="AT878" s="213"/>
      <c r="AU878" s="213"/>
      <c r="AV878" s="213"/>
    </row>
    <row r="879" spans="1:48">
      <c r="A879">
        <v>4190</v>
      </c>
      <c r="C879" s="107">
        <f>VLOOKUP(4190,收盤價!$A:$C,3,0)</f>
        <v>97.2</v>
      </c>
      <c r="D879" s="107">
        <f t="shared" si="143"/>
        <v>24.003329633740289</v>
      </c>
      <c r="E879" s="167">
        <f t="shared" si="144"/>
        <v>1</v>
      </c>
      <c r="F879" s="104">
        <f t="shared" si="145"/>
        <v>3.5067789585861875</v>
      </c>
      <c r="G879" s="167">
        <f>RANK(5.79,AE:AE,0)</f>
        <v>129</v>
      </c>
      <c r="H879" s="365">
        <f t="shared" si="146"/>
        <v>-0.28778280542986434</v>
      </c>
      <c r="I879" s="213">
        <f t="shared" si="147"/>
        <v>551</v>
      </c>
      <c r="J879" s="213">
        <f t="shared" si="148"/>
        <v>648</v>
      </c>
      <c r="K879">
        <f>RANK(1.3,AI:AI,0)</f>
        <v>676</v>
      </c>
      <c r="L879" s="357">
        <v>0</v>
      </c>
      <c r="M879" s="357">
        <v>0</v>
      </c>
      <c r="N879" s="357">
        <v>0</v>
      </c>
      <c r="O879" s="357">
        <v>1</v>
      </c>
      <c r="P879" s="357">
        <v>0</v>
      </c>
      <c r="Q879" s="358">
        <v>0.69124423963133641</v>
      </c>
      <c r="R879" s="359">
        <v>1.0123595505617977</v>
      </c>
      <c r="S879" s="196">
        <v>1621488000</v>
      </c>
      <c r="T879" s="196">
        <v>58500000</v>
      </c>
      <c r="U879" s="200">
        <f t="shared" si="149"/>
        <v>5686200000</v>
      </c>
      <c r="V879" s="196">
        <v>85000000</v>
      </c>
      <c r="W879" s="196">
        <v>0</v>
      </c>
      <c r="X879" s="196">
        <v>1523000000</v>
      </c>
      <c r="Y879" s="196">
        <v>1339000000</v>
      </c>
      <c r="Z879" s="196">
        <v>0</v>
      </c>
      <c r="AA879" s="198">
        <v>0.06</v>
      </c>
      <c r="AB879" s="198">
        <v>0.06</v>
      </c>
      <c r="AC879" s="213">
        <f t="shared" si="150"/>
        <v>174</v>
      </c>
      <c r="AD879" s="213">
        <f t="shared" si="151"/>
        <v>95</v>
      </c>
      <c r="AE879" s="213">
        <v>5.79</v>
      </c>
      <c r="AF879" s="196">
        <v>54000000</v>
      </c>
      <c r="AG879" s="104">
        <f t="shared" si="152"/>
        <v>0.92307692307692313</v>
      </c>
      <c r="AH879" s="104">
        <f t="shared" si="153"/>
        <v>0.63529411764705879</v>
      </c>
      <c r="AI879" s="195">
        <v>1.3</v>
      </c>
      <c r="AO879" s="213"/>
      <c r="AP879" s="213"/>
      <c r="AQ879" s="213"/>
      <c r="AR879" s="213"/>
      <c r="AS879" s="213"/>
      <c r="AT879" s="213"/>
      <c r="AU879" s="213"/>
      <c r="AV879" s="213"/>
    </row>
    <row r="880" spans="1:48">
      <c r="A880">
        <v>4192</v>
      </c>
      <c r="C880" s="107">
        <f>VLOOKUP(4192,收盤價!$A:$C,3,0)</f>
        <v>29</v>
      </c>
      <c r="D880" s="107">
        <f t="shared" si="143"/>
        <v>0</v>
      </c>
      <c r="E880" s="167">
        <f t="shared" si="144"/>
        <v>4</v>
      </c>
      <c r="F880" s="104">
        <f t="shared" si="145"/>
        <v>248.0738245202871</v>
      </c>
      <c r="G880" s="167">
        <f>RANK(0.51,AE:AE,0)</f>
        <v>1523</v>
      </c>
      <c r="H880" s="365">
        <f t="shared" si="146"/>
        <v>0.8047945205479452</v>
      </c>
      <c r="I880" s="213">
        <f t="shared" si="147"/>
        <v>1410</v>
      </c>
      <c r="J880" s="213">
        <f t="shared" si="148"/>
        <v>768</v>
      </c>
      <c r="K880">
        <f>RANK(0.72,AI:AI,0)</f>
        <v>1381</v>
      </c>
      <c r="L880" s="357">
        <v>0</v>
      </c>
      <c r="M880" s="357">
        <v>1</v>
      </c>
      <c r="N880" s="357">
        <v>2</v>
      </c>
      <c r="O880" s="357">
        <v>1</v>
      </c>
      <c r="P880" s="357">
        <v>0</v>
      </c>
      <c r="Q880" s="358">
        <v>0.5</v>
      </c>
      <c r="R880" s="359">
        <v>0</v>
      </c>
      <c r="S880" s="196">
        <v>6827000</v>
      </c>
      <c r="T880" s="196">
        <v>58400000</v>
      </c>
      <c r="U880" s="200">
        <f t="shared" si="149"/>
        <v>1693600000</v>
      </c>
      <c r="V880" s="196">
        <v>-68000000</v>
      </c>
      <c r="W880" s="196">
        <v>278000000</v>
      </c>
      <c r="X880" s="196">
        <v>16000000</v>
      </c>
      <c r="Y880" s="196">
        <v>673000000</v>
      </c>
      <c r="Z880" s="196">
        <v>36000000</v>
      </c>
      <c r="AA880" s="198">
        <v>-0.23</v>
      </c>
      <c r="AB880" s="198">
        <v>-0.1</v>
      </c>
      <c r="AC880" s="213">
        <f t="shared" si="150"/>
        <v>1541</v>
      </c>
      <c r="AD880" s="213">
        <f t="shared" si="151"/>
        <v>1538</v>
      </c>
      <c r="AE880" s="213">
        <v>0.51</v>
      </c>
      <c r="AF880" s="196">
        <v>-47000000</v>
      </c>
      <c r="AG880" s="104">
        <f t="shared" si="152"/>
        <v>-0.8047945205479452</v>
      </c>
      <c r="AH880" s="104">
        <f t="shared" si="153"/>
        <v>0</v>
      </c>
      <c r="AI880" s="195">
        <v>0.72</v>
      </c>
      <c r="AO880" s="213"/>
      <c r="AP880" s="213"/>
      <c r="AQ880" s="213"/>
      <c r="AR880" s="213"/>
      <c r="AS880" s="213"/>
      <c r="AT880" s="213"/>
      <c r="AU880" s="213"/>
      <c r="AV880" s="213"/>
    </row>
    <row r="881" spans="1:48">
      <c r="A881">
        <v>4198</v>
      </c>
      <c r="C881" s="107">
        <f>VLOOKUP(4198,收盤價!$A:$C,3,0)</f>
        <v>15.05</v>
      </c>
      <c r="D881" s="107">
        <f t="shared" si="143"/>
        <v>0</v>
      </c>
      <c r="E881" s="167">
        <f t="shared" si="144"/>
        <v>3</v>
      </c>
      <c r="F881" s="104">
        <f t="shared" si="145"/>
        <v>4.0084109218017181</v>
      </c>
      <c r="G881" s="167">
        <f>RANK(0.51,AE:AE,0)</f>
        <v>1523</v>
      </c>
      <c r="H881" s="365">
        <f t="shared" si="146"/>
        <v>0.8110014104372355</v>
      </c>
      <c r="I881" s="213">
        <f t="shared" si="147"/>
        <v>1412</v>
      </c>
      <c r="J881" s="213">
        <f t="shared" si="148"/>
        <v>768</v>
      </c>
      <c r="K881">
        <f>RANK(0.71,AI:AI,0)</f>
        <v>1412</v>
      </c>
      <c r="L881" s="357">
        <v>0</v>
      </c>
      <c r="M881" s="357">
        <v>1</v>
      </c>
      <c r="N881" s="357">
        <v>2</v>
      </c>
      <c r="O881" s="357">
        <v>0</v>
      </c>
      <c r="P881" s="357">
        <v>0</v>
      </c>
      <c r="Q881" s="358">
        <v>0.15328467153284672</v>
      </c>
      <c r="R881" s="359">
        <v>0</v>
      </c>
      <c r="S881" s="196">
        <v>532403000</v>
      </c>
      <c r="T881" s="196">
        <v>141800000</v>
      </c>
      <c r="U881" s="200">
        <f t="shared" si="149"/>
        <v>2134090000</v>
      </c>
      <c r="V881" s="196">
        <v>-117000000</v>
      </c>
      <c r="W881" s="196">
        <v>982000000</v>
      </c>
      <c r="X881" s="196">
        <v>240000000</v>
      </c>
      <c r="Y881" s="196">
        <v>1120000000</v>
      </c>
      <c r="Z881" s="196">
        <v>2000000</v>
      </c>
      <c r="AA881" s="198">
        <v>-0.1</v>
      </c>
      <c r="AB881" s="198">
        <v>-0.1</v>
      </c>
      <c r="AC881" s="213">
        <f t="shared" si="150"/>
        <v>1519</v>
      </c>
      <c r="AD881" s="213">
        <f t="shared" si="151"/>
        <v>1538</v>
      </c>
      <c r="AE881" s="213">
        <v>0.51</v>
      </c>
      <c r="AF881" s="196">
        <v>-115000000</v>
      </c>
      <c r="AG881" s="104">
        <f t="shared" si="152"/>
        <v>-0.8110014104372355</v>
      </c>
      <c r="AH881" s="104">
        <f t="shared" si="153"/>
        <v>0</v>
      </c>
      <c r="AI881" s="195">
        <v>0.71</v>
      </c>
      <c r="AO881" s="213"/>
      <c r="AP881" s="213"/>
      <c r="AQ881" s="213"/>
      <c r="AR881" s="213"/>
      <c r="AS881" s="213"/>
      <c r="AT881" s="213"/>
      <c r="AU881" s="213"/>
      <c r="AV881" s="213"/>
    </row>
    <row r="882" spans="1:48">
      <c r="A882">
        <v>4205</v>
      </c>
      <c r="C882" s="107">
        <f>VLOOKUP(4205,收盤價!$A:$C,3,0)</f>
        <v>44.5</v>
      </c>
      <c r="D882" s="107">
        <f t="shared" si="143"/>
        <v>15.268686655405403</v>
      </c>
      <c r="E882" s="167">
        <f t="shared" si="144"/>
        <v>3</v>
      </c>
      <c r="F882" s="104">
        <f t="shared" si="145"/>
        <v>2.3623924558833624</v>
      </c>
      <c r="G882" s="167">
        <f>RANK(3.92,AE:AE,0)</f>
        <v>209</v>
      </c>
      <c r="H882" s="365">
        <f t="shared" si="146"/>
        <v>0.12527940165061902</v>
      </c>
      <c r="I882" s="213">
        <f t="shared" si="147"/>
        <v>553</v>
      </c>
      <c r="J882" s="213">
        <f t="shared" si="148"/>
        <v>519</v>
      </c>
      <c r="K882">
        <f>RANK(1.45,AI:AI,0)</f>
        <v>582</v>
      </c>
      <c r="L882" s="357">
        <v>0</v>
      </c>
      <c r="M882" s="357">
        <v>1</v>
      </c>
      <c r="N882" s="357">
        <v>1</v>
      </c>
      <c r="O882" s="357">
        <v>1</v>
      </c>
      <c r="P882" s="357">
        <v>0</v>
      </c>
      <c r="Q882" s="358">
        <v>0.37237237237237236</v>
      </c>
      <c r="R882" s="359">
        <v>0.72861538461538466</v>
      </c>
      <c r="S882" s="196">
        <v>1369438000</v>
      </c>
      <c r="T882" s="196">
        <v>72700000</v>
      </c>
      <c r="U882" s="200">
        <f t="shared" si="149"/>
        <v>3235150000</v>
      </c>
      <c r="V882" s="196">
        <v>64000000</v>
      </c>
      <c r="W882" s="196">
        <v>571000000</v>
      </c>
      <c r="X882" s="196">
        <v>673000000</v>
      </c>
      <c r="Y882" s="196">
        <v>1192000000</v>
      </c>
      <c r="Z882" s="196">
        <v>0</v>
      </c>
      <c r="AA882" s="198">
        <v>0.05</v>
      </c>
      <c r="AB882" s="198">
        <v>0.05</v>
      </c>
      <c r="AC882" s="213">
        <f t="shared" si="150"/>
        <v>247</v>
      </c>
      <c r="AD882" s="213">
        <f t="shared" si="151"/>
        <v>150</v>
      </c>
      <c r="AE882" s="213">
        <v>3.92</v>
      </c>
      <c r="AF882" s="196">
        <v>67000000</v>
      </c>
      <c r="AG882" s="104">
        <f t="shared" si="152"/>
        <v>0.92159559834938098</v>
      </c>
      <c r="AH882" s="104">
        <f t="shared" si="153"/>
        <v>1.046875</v>
      </c>
      <c r="AI882" s="195">
        <v>1.45</v>
      </c>
    </row>
    <row r="883" spans="1:48">
      <c r="A883">
        <v>4207</v>
      </c>
      <c r="C883" s="107">
        <f>VLOOKUP(4207,收盤價!$A:$C,3,0)</f>
        <v>12.25</v>
      </c>
      <c r="D883" s="107">
        <f t="shared" si="143"/>
        <v>11.778846153846153</v>
      </c>
      <c r="E883" s="167">
        <f t="shared" si="144"/>
        <v>4</v>
      </c>
      <c r="F883" s="104">
        <f t="shared" si="145"/>
        <v>0.63292533171585086</v>
      </c>
      <c r="G883" s="167">
        <f>RANK(1.63,AE:AE,0)</f>
        <v>551</v>
      </c>
      <c r="H883" s="365">
        <f t="shared" si="146"/>
        <v>0</v>
      </c>
      <c r="I883" s="213">
        <f t="shared" si="147"/>
        <v>1067</v>
      </c>
      <c r="J883" s="213">
        <f t="shared" si="148"/>
        <v>768</v>
      </c>
      <c r="K883">
        <f>RANK(0.85,AI:AI,0)</f>
        <v>1059</v>
      </c>
      <c r="L883" s="357">
        <v>1</v>
      </c>
      <c r="M883" s="357">
        <v>1</v>
      </c>
      <c r="N883" s="357">
        <v>1</v>
      </c>
      <c r="O883" s="357">
        <v>0</v>
      </c>
      <c r="P883" s="357">
        <v>1</v>
      </c>
      <c r="Q883" s="358">
        <v>0.15417558886509636</v>
      </c>
      <c r="R883" s="359">
        <v>0.26</v>
      </c>
      <c r="S883" s="196">
        <v>3359954000</v>
      </c>
      <c r="T883" s="196">
        <v>173600000</v>
      </c>
      <c r="U883" s="200">
        <f t="shared" si="149"/>
        <v>2126600000</v>
      </c>
      <c r="V883" s="196">
        <v>71000000</v>
      </c>
      <c r="W883" s="196">
        <v>420000000</v>
      </c>
      <c r="X883" s="196">
        <v>1961000000</v>
      </c>
      <c r="Y883" s="196">
        <v>2370000000</v>
      </c>
      <c r="Z883" s="196">
        <v>1125000000</v>
      </c>
      <c r="AA883" s="198">
        <v>0.03</v>
      </c>
      <c r="AB883" s="198">
        <v>0.02</v>
      </c>
      <c r="AC883" s="213">
        <f t="shared" si="150"/>
        <v>469</v>
      </c>
      <c r="AD883" s="213">
        <f t="shared" si="151"/>
        <v>487</v>
      </c>
      <c r="AE883" s="213">
        <v>1.63</v>
      </c>
      <c r="AF883" s="196">
        <v>0</v>
      </c>
      <c r="AG883" s="104">
        <f t="shared" si="152"/>
        <v>0</v>
      </c>
      <c r="AH883" s="104">
        <f t="shared" si="153"/>
        <v>0</v>
      </c>
      <c r="AI883" s="195">
        <v>0.85</v>
      </c>
    </row>
    <row r="884" spans="1:48">
      <c r="A884">
        <v>4303</v>
      </c>
      <c r="C884" s="107">
        <f>VLOOKUP(4303,收盤價!$A:$C,3,0)</f>
        <v>14.05</v>
      </c>
      <c r="D884" s="107">
        <f t="shared" si="143"/>
        <v>0</v>
      </c>
      <c r="E884" s="167">
        <f t="shared" si="144"/>
        <v>1</v>
      </c>
      <c r="F884" s="104">
        <f t="shared" si="145"/>
        <v>1.8168690521263733</v>
      </c>
      <c r="G884" s="167">
        <f>RANK(0.84,AE:AE,0)</f>
        <v>946</v>
      </c>
      <c r="H884" s="365">
        <f t="shared" si="146"/>
        <v>10.688826025459688</v>
      </c>
      <c r="I884" s="213">
        <f t="shared" si="147"/>
        <v>855</v>
      </c>
      <c r="J884" s="213">
        <f t="shared" si="148"/>
        <v>31</v>
      </c>
      <c r="K884">
        <f>RANK(1.76,AI:AI,0)</f>
        <v>428</v>
      </c>
      <c r="L884" s="357">
        <v>0</v>
      </c>
      <c r="M884" s="357">
        <v>0</v>
      </c>
      <c r="N884" s="357">
        <v>0</v>
      </c>
      <c r="O884" s="357">
        <v>1</v>
      </c>
      <c r="P884" s="357">
        <v>0</v>
      </c>
      <c r="Q884" s="358">
        <v>0.16923076923076924</v>
      </c>
      <c r="R884" s="359">
        <v>0</v>
      </c>
      <c r="S884" s="196">
        <v>546729000</v>
      </c>
      <c r="T884" s="196">
        <v>70700000</v>
      </c>
      <c r="U884" s="200">
        <f t="shared" si="149"/>
        <v>993335000</v>
      </c>
      <c r="V884" s="196">
        <v>2000000</v>
      </c>
      <c r="W884" s="196">
        <v>254000000</v>
      </c>
      <c r="X884" s="196">
        <v>440000000</v>
      </c>
      <c r="Y884" s="196">
        <v>745000000</v>
      </c>
      <c r="Z884" s="196">
        <v>40000000</v>
      </c>
      <c r="AA884" s="198">
        <v>0</v>
      </c>
      <c r="AB884" s="198">
        <v>0</v>
      </c>
      <c r="AC884" s="213">
        <f t="shared" si="150"/>
        <v>945</v>
      </c>
      <c r="AD884" s="213">
        <f t="shared" si="151"/>
        <v>911</v>
      </c>
      <c r="AE884" s="213">
        <v>0.84</v>
      </c>
      <c r="AF884" s="196">
        <v>22000000</v>
      </c>
      <c r="AG884" s="104">
        <f t="shared" si="152"/>
        <v>0.31117397454031115</v>
      </c>
      <c r="AH884" s="104">
        <f t="shared" si="153"/>
        <v>11</v>
      </c>
      <c r="AI884" s="195">
        <v>1.76</v>
      </c>
    </row>
    <row r="885" spans="1:48">
      <c r="A885">
        <v>4304</v>
      </c>
      <c r="C885" s="107">
        <f>VLOOKUP(4304,收盤價!$A:$C,3,0)</f>
        <v>8.9700000000000006</v>
      </c>
      <c r="D885" s="107">
        <f t="shared" si="143"/>
        <v>0</v>
      </c>
      <c r="E885" s="167">
        <f t="shared" si="144"/>
        <v>2</v>
      </c>
      <c r="F885" s="104">
        <f t="shared" si="145"/>
        <v>1.1601506659708201</v>
      </c>
      <c r="G885" s="167">
        <f>RANK(0.57,AE:AE,0)</f>
        <v>1389</v>
      </c>
      <c r="H885" s="365">
        <f t="shared" si="146"/>
        <v>0.66276803118908378</v>
      </c>
      <c r="I885" s="213">
        <f t="shared" si="147"/>
        <v>1385</v>
      </c>
      <c r="J885" s="213">
        <f t="shared" si="148"/>
        <v>768</v>
      </c>
      <c r="K885">
        <f>RANK(0.72,AI:AI,0)</f>
        <v>1381</v>
      </c>
      <c r="L885" s="357">
        <v>0</v>
      </c>
      <c r="M885" s="357">
        <v>1</v>
      </c>
      <c r="N885" s="357">
        <v>1</v>
      </c>
      <c r="O885" s="357">
        <v>0</v>
      </c>
      <c r="P885" s="357">
        <v>0</v>
      </c>
      <c r="Q885" s="358">
        <v>0.12621359223300971</v>
      </c>
      <c r="R885" s="359">
        <v>0</v>
      </c>
      <c r="S885" s="196">
        <v>396639000</v>
      </c>
      <c r="T885" s="196">
        <v>51300000</v>
      </c>
      <c r="U885" s="200">
        <f t="shared" si="149"/>
        <v>460161000.00000006</v>
      </c>
      <c r="V885" s="196">
        <v>-7000000</v>
      </c>
      <c r="W885" s="196">
        <v>0</v>
      </c>
      <c r="X885" s="196">
        <v>175000000</v>
      </c>
      <c r="Y885" s="196">
        <v>399000000</v>
      </c>
      <c r="Z885" s="196">
        <v>316000000</v>
      </c>
      <c r="AA885" s="198">
        <v>-0.04</v>
      </c>
      <c r="AB885" s="198">
        <v>-0.01</v>
      </c>
      <c r="AC885" s="213">
        <f t="shared" si="150"/>
        <v>1444</v>
      </c>
      <c r="AD885" s="213">
        <f t="shared" si="151"/>
        <v>1294</v>
      </c>
      <c r="AE885" s="213">
        <v>0.56999999999999995</v>
      </c>
      <c r="AF885" s="196">
        <v>-34000000</v>
      </c>
      <c r="AG885" s="104">
        <f t="shared" si="152"/>
        <v>-0.66276803118908378</v>
      </c>
      <c r="AH885" s="104">
        <f t="shared" si="153"/>
        <v>0</v>
      </c>
      <c r="AI885" s="195">
        <v>0.72</v>
      </c>
    </row>
    <row r="886" spans="1:48">
      <c r="A886">
        <v>4305</v>
      </c>
      <c r="C886" s="107">
        <f>VLOOKUP(4305,收盤價!$A:$C,3,0)</f>
        <v>0</v>
      </c>
      <c r="D886" s="107">
        <f t="shared" si="143"/>
        <v>0</v>
      </c>
      <c r="E886" s="167">
        <f t="shared" si="144"/>
        <v>5</v>
      </c>
      <c r="F886" s="104">
        <f t="shared" si="145"/>
        <v>0</v>
      </c>
      <c r="G886" s="167">
        <f>RANK(5.79,AE:AE,0)</f>
        <v>129</v>
      </c>
      <c r="H886" s="365">
        <f t="shared" si="146"/>
        <v>-6.9029275808936696E-2</v>
      </c>
      <c r="I886" s="213">
        <f t="shared" si="147"/>
        <v>504</v>
      </c>
      <c r="J886" s="213">
        <f t="shared" si="148"/>
        <v>543</v>
      </c>
      <c r="K886">
        <f>RANK(1.49,AI:AI,0)</f>
        <v>567</v>
      </c>
      <c r="L886" s="357">
        <v>1</v>
      </c>
      <c r="M886" s="357">
        <v>1</v>
      </c>
      <c r="N886" s="357">
        <v>2</v>
      </c>
      <c r="O886" s="357">
        <v>1</v>
      </c>
      <c r="P886" s="357">
        <v>0</v>
      </c>
      <c r="Q886" s="358">
        <v>0.24773413897280966</v>
      </c>
      <c r="R886" s="359">
        <v>0.87187500000000007</v>
      </c>
      <c r="S886" s="196">
        <v>1197160000</v>
      </c>
      <c r="T886" s="196">
        <v>55000000</v>
      </c>
      <c r="U886" s="200">
        <f t="shared" si="149"/>
        <v>0</v>
      </c>
      <c r="V886" s="196">
        <v>59000000</v>
      </c>
      <c r="W886" s="196">
        <v>619000000</v>
      </c>
      <c r="X886" s="196">
        <v>298000000</v>
      </c>
      <c r="Y886" s="196">
        <v>913000000</v>
      </c>
      <c r="Z886" s="196">
        <v>10000000</v>
      </c>
      <c r="AA886" s="198">
        <v>0.06</v>
      </c>
      <c r="AB886" s="198">
        <v>0.06</v>
      </c>
      <c r="AC886" s="213">
        <f t="shared" si="150"/>
        <v>174</v>
      </c>
      <c r="AD886" s="213">
        <f t="shared" si="151"/>
        <v>95</v>
      </c>
      <c r="AE886" s="213">
        <v>5.79</v>
      </c>
      <c r="AF886" s="196">
        <v>56000000</v>
      </c>
      <c r="AG886" s="104">
        <f t="shared" si="152"/>
        <v>1.0181818181818181</v>
      </c>
      <c r="AH886" s="104">
        <f t="shared" si="153"/>
        <v>0.94915254237288138</v>
      </c>
      <c r="AI886" s="195">
        <v>1.49</v>
      </c>
      <c r="AO886" s="213"/>
      <c r="AP886" s="213"/>
      <c r="AQ886" s="213"/>
      <c r="AR886" s="213"/>
      <c r="AS886" s="213"/>
      <c r="AT886" s="213"/>
      <c r="AU886" s="213"/>
      <c r="AV886" s="213"/>
    </row>
    <row r="887" spans="1:48">
      <c r="A887">
        <v>4306</v>
      </c>
      <c r="C887" s="107">
        <f>VLOOKUP(4306,收盤價!$A:$C,3,0)</f>
        <v>12.15</v>
      </c>
      <c r="D887" s="107">
        <f t="shared" si="143"/>
        <v>0</v>
      </c>
      <c r="E887" s="167">
        <f t="shared" si="144"/>
        <v>1</v>
      </c>
      <c r="F887" s="104">
        <f t="shared" si="145"/>
        <v>0.30939058524826285</v>
      </c>
      <c r="G887" s="167">
        <f>RANK(1.08,AE:AE,0)</f>
        <v>769</v>
      </c>
      <c r="H887" s="365">
        <f t="shared" si="146"/>
        <v>0.35674717482827389</v>
      </c>
      <c r="I887" s="213">
        <f t="shared" si="147"/>
        <v>1294</v>
      </c>
      <c r="J887" s="213">
        <f t="shared" si="148"/>
        <v>768</v>
      </c>
      <c r="K887">
        <f>RANK(0.76,AI:AI,0)</f>
        <v>1269</v>
      </c>
      <c r="L887" s="357">
        <v>0</v>
      </c>
      <c r="M887" s="357">
        <v>0</v>
      </c>
      <c r="N887" s="357">
        <v>1</v>
      </c>
      <c r="O887" s="357">
        <v>0</v>
      </c>
      <c r="P887" s="357">
        <v>0</v>
      </c>
      <c r="Q887" s="358">
        <v>0.12581344902386118</v>
      </c>
      <c r="R887" s="359">
        <v>0</v>
      </c>
      <c r="S887" s="196">
        <v>17722889000</v>
      </c>
      <c r="T887" s="196">
        <v>451300000</v>
      </c>
      <c r="U887" s="200">
        <f t="shared" si="149"/>
        <v>5483295000</v>
      </c>
      <c r="V887" s="196">
        <v>235000000</v>
      </c>
      <c r="W887" s="196">
        <v>0</v>
      </c>
      <c r="X887" s="196">
        <v>16281000000</v>
      </c>
      <c r="Y887" s="196">
        <v>11066000000</v>
      </c>
      <c r="Z887" s="196">
        <v>13566000000</v>
      </c>
      <c r="AA887" s="198">
        <v>0.01</v>
      </c>
      <c r="AB887" s="198">
        <v>0.01</v>
      </c>
      <c r="AC887" s="213">
        <f t="shared" si="150"/>
        <v>769</v>
      </c>
      <c r="AD887" s="213">
        <f t="shared" si="151"/>
        <v>680</v>
      </c>
      <c r="AE887" s="213">
        <v>1.08</v>
      </c>
      <c r="AF887" s="196">
        <v>-161000000</v>
      </c>
      <c r="AG887" s="104">
        <f t="shared" si="152"/>
        <v>-0.35674717482827389</v>
      </c>
      <c r="AH887" s="104">
        <f t="shared" si="153"/>
        <v>0</v>
      </c>
      <c r="AI887" s="195">
        <v>0.76</v>
      </c>
    </row>
    <row r="888" spans="1:48">
      <c r="A888">
        <v>4401</v>
      </c>
      <c r="C888" s="107">
        <f>VLOOKUP(4401,收盤價!$A:$C,3,0)</f>
        <v>93.5</v>
      </c>
      <c r="D888" s="107">
        <f t="shared" si="143"/>
        <v>20.558385093167704</v>
      </c>
      <c r="E888" s="167">
        <f t="shared" si="144"/>
        <v>1</v>
      </c>
      <c r="F888" s="104">
        <f t="shared" si="145"/>
        <v>2.5220063583515642</v>
      </c>
      <c r="G888" s="167">
        <f>RANK(5.49,AE:AE,0)</f>
        <v>154</v>
      </c>
      <c r="H888" s="365">
        <f t="shared" si="146"/>
        <v>-0.68966782299372631</v>
      </c>
      <c r="I888" s="213">
        <f t="shared" si="147"/>
        <v>209</v>
      </c>
      <c r="J888" s="213">
        <f t="shared" si="148"/>
        <v>402</v>
      </c>
      <c r="K888">
        <f>RANK(2.55,AI:AI,0)</f>
        <v>224</v>
      </c>
      <c r="L888" s="357">
        <v>0</v>
      </c>
      <c r="M888" s="357">
        <v>0</v>
      </c>
      <c r="N888" s="357">
        <v>0</v>
      </c>
      <c r="O888" s="357">
        <v>1</v>
      </c>
      <c r="P888" s="357">
        <v>0</v>
      </c>
      <c r="Q888" s="358">
        <v>0.21478873239436619</v>
      </c>
      <c r="R888" s="359">
        <v>1.1370056497175141</v>
      </c>
      <c r="S888" s="196">
        <v>4459961000</v>
      </c>
      <c r="T888" s="196">
        <v>120300000</v>
      </c>
      <c r="U888" s="200">
        <f t="shared" si="149"/>
        <v>11248050000</v>
      </c>
      <c r="V888" s="196">
        <v>179000000</v>
      </c>
      <c r="W888" s="196">
        <v>148000000</v>
      </c>
      <c r="X888" s="196">
        <v>2498000000</v>
      </c>
      <c r="Y888" s="196">
        <v>2382000000</v>
      </c>
      <c r="Z888" s="196">
        <v>890000000</v>
      </c>
      <c r="AA888" s="198">
        <v>7.0000000000000007E-2</v>
      </c>
      <c r="AB888" s="198">
        <v>0.05</v>
      </c>
      <c r="AC888" s="213">
        <f t="shared" si="150"/>
        <v>134</v>
      </c>
      <c r="AD888" s="213">
        <f t="shared" si="151"/>
        <v>150</v>
      </c>
      <c r="AE888" s="213">
        <v>5.49</v>
      </c>
      <c r="AF888" s="196">
        <v>253000000</v>
      </c>
      <c r="AG888" s="104">
        <f t="shared" si="152"/>
        <v>2.1030756442227765</v>
      </c>
      <c r="AH888" s="104">
        <f t="shared" si="153"/>
        <v>1.4134078212290502</v>
      </c>
      <c r="AI888" s="195">
        <v>2.5499999999999998</v>
      </c>
    </row>
    <row r="889" spans="1:48">
      <c r="A889">
        <v>4402</v>
      </c>
      <c r="C889" s="107">
        <f>VLOOKUP(4402,收盤價!$A:$C,3,0)</f>
        <v>5.49</v>
      </c>
      <c r="D889" s="107">
        <f t="shared" si="143"/>
        <v>0</v>
      </c>
      <c r="E889" s="167">
        <f t="shared" si="144"/>
        <v>0</v>
      </c>
      <c r="F889" s="104">
        <f t="shared" si="145"/>
        <v>0.4340883268502555</v>
      </c>
      <c r="G889" s="167">
        <f>RANK(0.55,AE:AE,0)</f>
        <v>1436</v>
      </c>
      <c r="H889" s="365">
        <f t="shared" si="146"/>
        <v>6.5217391304347824E-2</v>
      </c>
      <c r="I889" s="213">
        <f t="shared" si="147"/>
        <v>1107</v>
      </c>
      <c r="J889" s="213">
        <f t="shared" si="148"/>
        <v>768</v>
      </c>
      <c r="K889">
        <f>RANK(0.83,AI:AI,0)</f>
        <v>1098</v>
      </c>
      <c r="L889" s="357">
        <v>0</v>
      </c>
      <c r="M889" s="357">
        <v>0</v>
      </c>
      <c r="N889" s="357">
        <v>0</v>
      </c>
      <c r="O889" s="357">
        <v>0</v>
      </c>
      <c r="P889" s="357">
        <v>0</v>
      </c>
      <c r="Q889" s="358">
        <v>-8.3333333333333329E-2</v>
      </c>
      <c r="R889" s="359">
        <v>0</v>
      </c>
      <c r="S889" s="196">
        <v>581771000</v>
      </c>
      <c r="T889" s="196">
        <v>46000000</v>
      </c>
      <c r="U889" s="200">
        <f t="shared" si="149"/>
        <v>252540000</v>
      </c>
      <c r="V889" s="196">
        <v>-16000000</v>
      </c>
      <c r="W889" s="196">
        <v>0</v>
      </c>
      <c r="X889" s="196">
        <v>755000000</v>
      </c>
      <c r="Y889" s="196">
        <v>80000000</v>
      </c>
      <c r="Z889" s="196">
        <v>268000000</v>
      </c>
      <c r="AA889" s="198">
        <v>-0.02</v>
      </c>
      <c r="AB889" s="198">
        <v>-0.05</v>
      </c>
      <c r="AC889" s="213">
        <f t="shared" si="150"/>
        <v>1353</v>
      </c>
      <c r="AD889" s="213">
        <f t="shared" si="151"/>
        <v>1500</v>
      </c>
      <c r="AE889" s="213">
        <v>0.55000000000000004</v>
      </c>
      <c r="AF889" s="196">
        <v>-3000000</v>
      </c>
      <c r="AG889" s="104">
        <f t="shared" si="152"/>
        <v>-6.5217391304347824E-2</v>
      </c>
      <c r="AH889" s="104">
        <f t="shared" si="153"/>
        <v>0</v>
      </c>
      <c r="AI889" s="195">
        <v>0.83</v>
      </c>
      <c r="AO889" s="213"/>
      <c r="AP889" s="213"/>
      <c r="AQ889" s="213"/>
      <c r="AR889" s="213"/>
      <c r="AS889" s="213"/>
      <c r="AT889" s="213"/>
      <c r="AU889" s="213"/>
      <c r="AV889" s="213"/>
    </row>
    <row r="890" spans="1:48">
      <c r="A890">
        <v>4406</v>
      </c>
      <c r="C890" s="107">
        <f>VLOOKUP(4406,收盤價!$A:$C,3,0)</f>
        <v>10.25</v>
      </c>
      <c r="D890" s="107">
        <f t="shared" si="143"/>
        <v>44.416666666666664</v>
      </c>
      <c r="E890" s="167">
        <f t="shared" si="144"/>
        <v>2</v>
      </c>
      <c r="F890" s="104">
        <f t="shared" si="145"/>
        <v>0.76407830159817647</v>
      </c>
      <c r="G890" s="167">
        <f>RANK(1.08,AE:AE,0)</f>
        <v>769</v>
      </c>
      <c r="H890" s="365">
        <f t="shared" si="146"/>
        <v>10.364161849710982</v>
      </c>
      <c r="I890" s="213">
        <f t="shared" si="147"/>
        <v>678</v>
      </c>
      <c r="J890" s="213">
        <f t="shared" si="148"/>
        <v>31</v>
      </c>
      <c r="K890">
        <f>RANK(2.2,AI:AI,0)</f>
        <v>294</v>
      </c>
      <c r="L890" s="357">
        <v>0</v>
      </c>
      <c r="M890" s="357">
        <v>1</v>
      </c>
      <c r="N890" s="357">
        <v>0</v>
      </c>
      <c r="O890" s="357">
        <v>1</v>
      </c>
      <c r="P890" s="357">
        <v>0</v>
      </c>
      <c r="Q890" s="358">
        <v>5.9523809523809521E-2</v>
      </c>
      <c r="R890" s="359">
        <v>5.7692307692307696E-2</v>
      </c>
      <c r="S890" s="196">
        <v>696231000</v>
      </c>
      <c r="T890" s="196">
        <v>51900000</v>
      </c>
      <c r="U890" s="200">
        <f t="shared" si="149"/>
        <v>531975000</v>
      </c>
      <c r="V890" s="196">
        <v>3000000</v>
      </c>
      <c r="W890" s="196">
        <v>291000000</v>
      </c>
      <c r="X890" s="196">
        <v>275000000</v>
      </c>
      <c r="Y890" s="196">
        <v>584000000</v>
      </c>
      <c r="Z890" s="196">
        <v>0</v>
      </c>
      <c r="AA890" s="198">
        <v>0.01</v>
      </c>
      <c r="AB890" s="198">
        <v>0.01</v>
      </c>
      <c r="AC890" s="213">
        <f t="shared" si="150"/>
        <v>769</v>
      </c>
      <c r="AD890" s="213">
        <f t="shared" si="151"/>
        <v>680</v>
      </c>
      <c r="AE890" s="213">
        <v>1.08</v>
      </c>
      <c r="AF890" s="196">
        <v>33000000</v>
      </c>
      <c r="AG890" s="104">
        <f t="shared" si="152"/>
        <v>0.63583815028901736</v>
      </c>
      <c r="AH890" s="104">
        <f t="shared" si="153"/>
        <v>11</v>
      </c>
      <c r="AI890" s="195">
        <v>2.2000000000000002</v>
      </c>
    </row>
    <row r="891" spans="1:48">
      <c r="A891">
        <v>4413</v>
      </c>
      <c r="C891" s="107">
        <f>VLOOKUP(4413,收盤價!$A:$C,3,0)</f>
        <v>0</v>
      </c>
      <c r="D891" s="107">
        <f t="shared" si="143"/>
        <v>0</v>
      </c>
      <c r="E891" s="167">
        <f t="shared" si="144"/>
        <v>2</v>
      </c>
      <c r="F891" s="104">
        <f t="shared" si="145"/>
        <v>0</v>
      </c>
      <c r="G891" s="167">
        <f>RANK(0.84,AE:AE,0)</f>
        <v>946</v>
      </c>
      <c r="H891" s="365">
        <f t="shared" si="146"/>
        <v>0.56994818652849744</v>
      </c>
      <c r="I891" s="213">
        <f t="shared" si="147"/>
        <v>1370</v>
      </c>
      <c r="J891" s="213">
        <f t="shared" si="148"/>
        <v>768</v>
      </c>
      <c r="K891">
        <f>RANK(0.73,AI:AI,0)</f>
        <v>1352</v>
      </c>
      <c r="L891" s="357">
        <v>0</v>
      </c>
      <c r="M891" s="357">
        <v>1</v>
      </c>
      <c r="N891" s="357">
        <v>1</v>
      </c>
      <c r="O891" s="357">
        <v>0</v>
      </c>
      <c r="P891" s="357">
        <v>0</v>
      </c>
      <c r="Q891" s="358">
        <v>6.9306930693069313E-2</v>
      </c>
      <c r="R891" s="359">
        <v>0</v>
      </c>
      <c r="S891" s="196">
        <v>323951000</v>
      </c>
      <c r="T891" s="196">
        <v>19300000</v>
      </c>
      <c r="U891" s="200">
        <f t="shared" si="149"/>
        <v>0</v>
      </c>
      <c r="V891" s="196">
        <v>0</v>
      </c>
      <c r="W891" s="196">
        <v>40000000</v>
      </c>
      <c r="X891" s="196">
        <v>3000000</v>
      </c>
      <c r="Y891" s="196">
        <v>36000000</v>
      </c>
      <c r="Z891" s="196">
        <v>0</v>
      </c>
      <c r="AA891" s="198">
        <v>0</v>
      </c>
      <c r="AB891" s="198">
        <v>0</v>
      </c>
      <c r="AC891" s="213">
        <f t="shared" si="150"/>
        <v>945</v>
      </c>
      <c r="AD891" s="213">
        <f t="shared" si="151"/>
        <v>911</v>
      </c>
      <c r="AE891" s="213">
        <v>0.84</v>
      </c>
      <c r="AF891" s="196">
        <v>-11000000</v>
      </c>
      <c r="AG891" s="104">
        <f t="shared" si="152"/>
        <v>-0.56994818652849744</v>
      </c>
      <c r="AH891" s="104">
        <f t="shared" si="153"/>
        <v>0</v>
      </c>
      <c r="AI891" s="195">
        <v>0.73</v>
      </c>
    </row>
    <row r="892" spans="1:48">
      <c r="A892">
        <v>4414</v>
      </c>
      <c r="C892" s="107">
        <f>VLOOKUP(4414,收盤價!$A:$C,3,0)</f>
        <v>21.35</v>
      </c>
      <c r="D892" s="107">
        <f t="shared" si="143"/>
        <v>0</v>
      </c>
      <c r="E892" s="167">
        <f t="shared" si="144"/>
        <v>3</v>
      </c>
      <c r="F892" s="104">
        <f t="shared" si="145"/>
        <v>1.1899530438429466</v>
      </c>
      <c r="G892" s="167">
        <f>RANK(0.84,AE:AE,0)</f>
        <v>946</v>
      </c>
      <c r="H892" s="365">
        <f t="shared" si="146"/>
        <v>0.99803020354563365</v>
      </c>
      <c r="I892" s="213">
        <f t="shared" si="147"/>
        <v>1438</v>
      </c>
      <c r="J892" s="213">
        <f t="shared" si="148"/>
        <v>768</v>
      </c>
      <c r="K892">
        <f>RANK(0.71,AI:AI,0)</f>
        <v>1412</v>
      </c>
      <c r="L892" s="357">
        <v>1</v>
      </c>
      <c r="M892" s="357">
        <v>1</v>
      </c>
      <c r="N892" s="357">
        <v>0</v>
      </c>
      <c r="O892" s="357">
        <v>0</v>
      </c>
      <c r="P892" s="357">
        <v>1</v>
      </c>
      <c r="Q892" s="358">
        <v>0.10112359550561797</v>
      </c>
      <c r="R892" s="359">
        <v>0</v>
      </c>
      <c r="S892" s="196">
        <v>2732549000</v>
      </c>
      <c r="T892" s="196">
        <v>152300000</v>
      </c>
      <c r="U892" s="200">
        <f t="shared" si="149"/>
        <v>3251605000</v>
      </c>
      <c r="V892" s="196">
        <v>5000000</v>
      </c>
      <c r="W892" s="196">
        <v>744000000</v>
      </c>
      <c r="X892" s="196">
        <v>679000000</v>
      </c>
      <c r="Y892" s="196">
        <v>1374000000</v>
      </c>
      <c r="Z892" s="196">
        <v>624000000</v>
      </c>
      <c r="AA892" s="198">
        <v>0</v>
      </c>
      <c r="AB892" s="198">
        <v>0</v>
      </c>
      <c r="AC892" s="213">
        <f t="shared" si="150"/>
        <v>945</v>
      </c>
      <c r="AD892" s="213">
        <f t="shared" si="151"/>
        <v>911</v>
      </c>
      <c r="AE892" s="213">
        <v>0.84</v>
      </c>
      <c r="AF892" s="196">
        <v>-152000000</v>
      </c>
      <c r="AG892" s="104">
        <f t="shared" si="152"/>
        <v>-0.99803020354563365</v>
      </c>
      <c r="AH892" s="104">
        <f t="shared" si="153"/>
        <v>0</v>
      </c>
      <c r="AI892" s="195">
        <v>0.71</v>
      </c>
      <c r="AO892" s="213"/>
      <c r="AP892" s="213"/>
      <c r="AQ892" s="213"/>
      <c r="AR892" s="213"/>
      <c r="AS892" s="213"/>
      <c r="AT892" s="213"/>
      <c r="AU892" s="213"/>
      <c r="AV892" s="213"/>
    </row>
    <row r="893" spans="1:48">
      <c r="A893">
        <v>4415</v>
      </c>
      <c r="C893" s="107">
        <f>VLOOKUP(4415,收盤價!$A:$C,3,0)</f>
        <v>9.5</v>
      </c>
      <c r="D893" s="107">
        <f t="shared" si="143"/>
        <v>0</v>
      </c>
      <c r="E893" s="167">
        <f t="shared" si="144"/>
        <v>1</v>
      </c>
      <c r="F893" s="104">
        <f t="shared" si="145"/>
        <v>8.0270965299965482</v>
      </c>
      <c r="G893" s="167">
        <f>RANK(0.5,AE:AE,0)</f>
        <v>1545</v>
      </c>
      <c r="H893" s="365">
        <f t="shared" si="146"/>
        <v>6.5876152832674575E-2</v>
      </c>
      <c r="I893" s="213">
        <f t="shared" si="147"/>
        <v>1111</v>
      </c>
      <c r="J893" s="213">
        <f t="shared" si="148"/>
        <v>768</v>
      </c>
      <c r="K893">
        <f>RANK(0.83,AI:AI,0)</f>
        <v>1098</v>
      </c>
      <c r="L893" s="357">
        <v>0</v>
      </c>
      <c r="M893" s="357">
        <v>0</v>
      </c>
      <c r="N893" s="357">
        <v>1</v>
      </c>
      <c r="O893" s="357">
        <v>0</v>
      </c>
      <c r="P893" s="357">
        <v>0</v>
      </c>
      <c r="Q893" s="358">
        <v>1</v>
      </c>
      <c r="R893" s="359">
        <v>0</v>
      </c>
      <c r="S893" s="196">
        <v>89827000</v>
      </c>
      <c r="T893" s="196">
        <v>75900000</v>
      </c>
      <c r="U893" s="200">
        <f t="shared" si="149"/>
        <v>721050000</v>
      </c>
      <c r="V893" s="196">
        <v>-9000000</v>
      </c>
      <c r="W893" s="196">
        <v>30000000</v>
      </c>
      <c r="X893" s="196">
        <v>3000000</v>
      </c>
      <c r="Y893" s="196">
        <v>2000000</v>
      </c>
      <c r="Z893" s="196">
        <v>25000000</v>
      </c>
      <c r="AA893" s="198">
        <v>-0.27</v>
      </c>
      <c r="AB893" s="198">
        <v>-0.33</v>
      </c>
      <c r="AC893" s="213">
        <f t="shared" si="150"/>
        <v>1546</v>
      </c>
      <c r="AD893" s="213">
        <f t="shared" si="151"/>
        <v>1556</v>
      </c>
      <c r="AE893" s="213">
        <v>0.5</v>
      </c>
      <c r="AF893" s="196">
        <v>-5000000</v>
      </c>
      <c r="AG893" s="104">
        <f t="shared" si="152"/>
        <v>-6.5876152832674575E-2</v>
      </c>
      <c r="AH893" s="104">
        <f t="shared" si="153"/>
        <v>0</v>
      </c>
      <c r="AI893" s="195">
        <v>0.83</v>
      </c>
    </row>
    <row r="894" spans="1:48">
      <c r="A894">
        <v>4416</v>
      </c>
      <c r="C894" s="107">
        <f>VLOOKUP(4416,收盤價!$A:$C,3,0)</f>
        <v>76</v>
      </c>
      <c r="D894" s="107">
        <f t="shared" si="143"/>
        <v>0</v>
      </c>
      <c r="E894" s="167">
        <f t="shared" si="144"/>
        <v>0</v>
      </c>
      <c r="F894" s="104">
        <f t="shared" si="145"/>
        <v>46.568627450980394</v>
      </c>
      <c r="G894" s="167">
        <f>RANK(0.93,AE:AE,0)</f>
        <v>920</v>
      </c>
      <c r="H894" s="365">
        <f t="shared" si="146"/>
        <v>16.283333333333335</v>
      </c>
      <c r="I894" s="213">
        <f t="shared" si="147"/>
        <v>1555</v>
      </c>
      <c r="J894" s="213">
        <f t="shared" si="148"/>
        <v>768</v>
      </c>
      <c r="K894">
        <f>RANK(0.67,AI:AI,0)</f>
        <v>1541</v>
      </c>
      <c r="L894" s="357">
        <v>0</v>
      </c>
      <c r="M894" s="357">
        <v>0</v>
      </c>
      <c r="N894" s="357">
        <v>0</v>
      </c>
      <c r="O894" s="357">
        <v>0</v>
      </c>
      <c r="P894" s="357">
        <v>0</v>
      </c>
      <c r="Q894" s="358">
        <v>0.54166666666666663</v>
      </c>
      <c r="R894" s="359">
        <v>0</v>
      </c>
      <c r="S894" s="196">
        <v>97920000</v>
      </c>
      <c r="T894" s="196">
        <v>60000000</v>
      </c>
      <c r="U894" s="200">
        <f t="shared" si="149"/>
        <v>4560000000</v>
      </c>
      <c r="V894" s="196">
        <v>12000000</v>
      </c>
      <c r="W894" s="196">
        <v>1785000000</v>
      </c>
      <c r="X894" s="196">
        <v>3000000</v>
      </c>
      <c r="Y894" s="196">
        <v>3652000000</v>
      </c>
      <c r="Z894" s="196">
        <v>3137000000</v>
      </c>
      <c r="AA894" s="198">
        <v>0.01</v>
      </c>
      <c r="AB894" s="198">
        <v>0</v>
      </c>
      <c r="AC894" s="213">
        <f t="shared" si="150"/>
        <v>769</v>
      </c>
      <c r="AD894" s="213">
        <f t="shared" si="151"/>
        <v>911</v>
      </c>
      <c r="AE894" s="213">
        <v>0.93</v>
      </c>
      <c r="AF894" s="196">
        <v>-977000000</v>
      </c>
      <c r="AG894" s="104">
        <f t="shared" si="152"/>
        <v>-16.283333333333335</v>
      </c>
      <c r="AH894" s="104">
        <f t="shared" si="153"/>
        <v>0</v>
      </c>
      <c r="AI894" s="195">
        <v>0.67</v>
      </c>
    </row>
    <row r="895" spans="1:48">
      <c r="A895">
        <v>4417</v>
      </c>
      <c r="C895" s="107">
        <f>VLOOKUP(4417,收盤價!$A:$C,3,0)</f>
        <v>36.6</v>
      </c>
      <c r="D895" s="107">
        <f t="shared" si="143"/>
        <v>8.6982668067226889</v>
      </c>
      <c r="E895" s="167">
        <f t="shared" si="144"/>
        <v>4</v>
      </c>
      <c r="F895" s="104">
        <f t="shared" si="145"/>
        <v>1.1579509030477815</v>
      </c>
      <c r="G895" s="167">
        <f>RANK(3.28,AE:AE,0)</f>
        <v>256</v>
      </c>
      <c r="H895" s="365">
        <f t="shared" si="146"/>
        <v>-0.88216864324232058</v>
      </c>
      <c r="I895" s="213">
        <f t="shared" si="147"/>
        <v>139</v>
      </c>
      <c r="J895" s="213">
        <f t="shared" si="148"/>
        <v>286</v>
      </c>
      <c r="K895">
        <f>RANK(3.67,AI:AI,0)</f>
        <v>115</v>
      </c>
      <c r="L895" s="357">
        <v>1</v>
      </c>
      <c r="M895" s="357">
        <v>1</v>
      </c>
      <c r="N895" s="357">
        <v>1</v>
      </c>
      <c r="O895" s="357">
        <v>1</v>
      </c>
      <c r="P895" s="357">
        <v>0</v>
      </c>
      <c r="Q895" s="358">
        <v>0.28688524590163933</v>
      </c>
      <c r="R895" s="359">
        <v>1.0519337016574586</v>
      </c>
      <c r="S895" s="196">
        <v>2601302000</v>
      </c>
      <c r="T895" s="196">
        <v>82300000</v>
      </c>
      <c r="U895" s="200">
        <f t="shared" si="149"/>
        <v>3012180000</v>
      </c>
      <c r="V895" s="196">
        <v>121000000</v>
      </c>
      <c r="W895" s="196">
        <v>1052000000</v>
      </c>
      <c r="X895" s="196">
        <v>1176000000</v>
      </c>
      <c r="Y895" s="196">
        <v>2207000000</v>
      </c>
      <c r="Z895" s="196">
        <v>678000000</v>
      </c>
      <c r="AA895" s="198">
        <v>0.05</v>
      </c>
      <c r="AB895" s="198">
        <v>0.04</v>
      </c>
      <c r="AC895" s="213">
        <f t="shared" si="150"/>
        <v>247</v>
      </c>
      <c r="AD895" s="213">
        <f t="shared" si="151"/>
        <v>228</v>
      </c>
      <c r="AE895" s="213">
        <v>3.28</v>
      </c>
      <c r="AF895" s="196">
        <v>227000000</v>
      </c>
      <c r="AG895" s="104">
        <f t="shared" si="152"/>
        <v>2.7582017010935602</v>
      </c>
      <c r="AH895" s="104">
        <f t="shared" si="153"/>
        <v>1.8760330578512396</v>
      </c>
      <c r="AI895" s="195">
        <v>3.67</v>
      </c>
    </row>
    <row r="896" spans="1:48">
      <c r="A896">
        <v>4419</v>
      </c>
      <c r="C896" s="107">
        <f>VLOOKUP(4419,收盤價!$A:$C,3,0)</f>
        <v>0</v>
      </c>
      <c r="D896" s="107">
        <f t="shared" si="143"/>
        <v>0</v>
      </c>
      <c r="E896" s="167">
        <f t="shared" si="144"/>
        <v>1</v>
      </c>
      <c r="F896" s="104">
        <f t="shared" si="145"/>
        <v>0</v>
      </c>
      <c r="G896" s="167">
        <f>RANK(0.52,AE:AE,0)</f>
        <v>1493</v>
      </c>
      <c r="H896" s="365">
        <f t="shared" si="146"/>
        <v>6.7567567567567571E-2</v>
      </c>
      <c r="I896" s="213">
        <f t="shared" si="147"/>
        <v>1114</v>
      </c>
      <c r="J896" s="213">
        <f t="shared" si="148"/>
        <v>768</v>
      </c>
      <c r="K896">
        <f>RANK(0.83,AI:AI,0)</f>
        <v>1098</v>
      </c>
      <c r="L896" s="357">
        <v>0</v>
      </c>
      <c r="M896" s="357">
        <v>1</v>
      </c>
      <c r="N896" s="357">
        <v>0</v>
      </c>
      <c r="O896" s="357">
        <v>0</v>
      </c>
      <c r="P896" s="357">
        <v>0</v>
      </c>
      <c r="Q896" s="358">
        <v>-0.2</v>
      </c>
      <c r="R896" s="359">
        <v>0</v>
      </c>
      <c r="S896" s="196">
        <v>37403000</v>
      </c>
      <c r="T896" s="196">
        <v>29600000</v>
      </c>
      <c r="U896" s="200">
        <f t="shared" si="149"/>
        <v>0</v>
      </c>
      <c r="V896" s="196">
        <v>-5000000</v>
      </c>
      <c r="W896" s="196">
        <v>36000000</v>
      </c>
      <c r="X896" s="196">
        <v>22000000</v>
      </c>
      <c r="Y896" s="196">
        <v>79000000</v>
      </c>
      <c r="Z896" s="196">
        <v>35000000</v>
      </c>
      <c r="AA896" s="198">
        <v>-0.09</v>
      </c>
      <c r="AB896" s="198">
        <v>-0.04</v>
      </c>
      <c r="AC896" s="213">
        <f t="shared" si="150"/>
        <v>1514</v>
      </c>
      <c r="AD896" s="213">
        <f t="shared" si="151"/>
        <v>1483</v>
      </c>
      <c r="AE896" s="213">
        <v>0.52</v>
      </c>
      <c r="AF896" s="196">
        <v>-2000000</v>
      </c>
      <c r="AG896" s="104">
        <f t="shared" si="152"/>
        <v>-6.7567567567567571E-2</v>
      </c>
      <c r="AH896" s="104">
        <f t="shared" si="153"/>
        <v>0</v>
      </c>
      <c r="AI896" s="195">
        <v>0.83</v>
      </c>
      <c r="AO896" s="213"/>
      <c r="AP896" s="213"/>
      <c r="AQ896" s="213"/>
      <c r="AR896" s="213"/>
      <c r="AS896" s="213"/>
      <c r="AT896" s="213"/>
      <c r="AU896" s="213"/>
      <c r="AV896" s="213"/>
    </row>
    <row r="897" spans="1:48">
      <c r="A897">
        <v>4420</v>
      </c>
      <c r="C897" s="107">
        <f>VLOOKUP(4420,收盤價!$A:$C,3,0)</f>
        <v>28.2</v>
      </c>
      <c r="D897" s="107">
        <f t="shared" si="143"/>
        <v>75.535714285714278</v>
      </c>
      <c r="E897" s="167">
        <f t="shared" si="144"/>
        <v>0</v>
      </c>
      <c r="F897" s="104">
        <f t="shared" si="145"/>
        <v>1.197679515600979</v>
      </c>
      <c r="G897" s="167">
        <f>RANK(1.08,AE:AE,0)</f>
        <v>769</v>
      </c>
      <c r="H897" s="365">
        <f t="shared" si="146"/>
        <v>1.4320987654320987</v>
      </c>
      <c r="I897" s="213">
        <f t="shared" si="147"/>
        <v>1473</v>
      </c>
      <c r="J897" s="213">
        <f t="shared" si="148"/>
        <v>768</v>
      </c>
      <c r="K897">
        <f>RANK(0.7,AI:AI,0)</f>
        <v>1442</v>
      </c>
      <c r="L897" s="357">
        <v>0</v>
      </c>
      <c r="M897" s="357">
        <v>0</v>
      </c>
      <c r="N897" s="357">
        <v>0</v>
      </c>
      <c r="O897" s="357">
        <v>0</v>
      </c>
      <c r="P897" s="357">
        <v>0</v>
      </c>
      <c r="Q897" s="358">
        <v>7.8512396694214878E-2</v>
      </c>
      <c r="R897" s="359">
        <v>9.3333333333333338E-2</v>
      </c>
      <c r="S897" s="196">
        <v>953594000</v>
      </c>
      <c r="T897" s="196">
        <v>40500000</v>
      </c>
      <c r="U897" s="200">
        <f t="shared" si="149"/>
        <v>1142100000</v>
      </c>
      <c r="V897" s="196">
        <v>8000000</v>
      </c>
      <c r="W897" s="196">
        <v>299000000</v>
      </c>
      <c r="X897" s="196">
        <v>302000000</v>
      </c>
      <c r="Y897" s="196">
        <v>846000000</v>
      </c>
      <c r="Z897" s="196">
        <v>21000000</v>
      </c>
      <c r="AA897" s="198">
        <v>0.01</v>
      </c>
      <c r="AB897" s="198">
        <v>0.01</v>
      </c>
      <c r="AC897" s="213">
        <f t="shared" si="150"/>
        <v>769</v>
      </c>
      <c r="AD897" s="213">
        <f t="shared" si="151"/>
        <v>680</v>
      </c>
      <c r="AE897" s="213">
        <v>1.08</v>
      </c>
      <c r="AF897" s="196">
        <v>-58000000</v>
      </c>
      <c r="AG897" s="104">
        <f t="shared" si="152"/>
        <v>-1.4320987654320987</v>
      </c>
      <c r="AH897" s="104">
        <f t="shared" si="153"/>
        <v>0</v>
      </c>
      <c r="AI897" s="195">
        <v>0.7</v>
      </c>
    </row>
    <row r="898" spans="1:48">
      <c r="A898">
        <v>4426</v>
      </c>
      <c r="C898" s="107">
        <f>VLOOKUP(4426,收盤價!$A:$C,3,0)</f>
        <v>124.5</v>
      </c>
      <c r="D898" s="107">
        <f t="shared" ref="D898:D961" si="154">IF(AND(ISNUMBER(C898),R898&gt;0),C898/(R898*4),0)</f>
        <v>33.111702127659576</v>
      </c>
      <c r="E898" s="167">
        <f t="shared" ref="E898:E961" si="155">SUM(L898:P898)</f>
        <v>2</v>
      </c>
      <c r="F898" s="104">
        <f t="shared" ref="F898:F961" si="156">IF(AND(ISNUMBER(U898),ISNUMBER(S898)),U898/S898,0)</f>
        <v>4.5735424612718703</v>
      </c>
      <c r="G898" s="167">
        <f>RANK(0.84,AE:AE,0)</f>
        <v>946</v>
      </c>
      <c r="H898" s="365">
        <f t="shared" ref="H898:H961" si="157">AH898-AG898</f>
        <v>-2.5219298245614037</v>
      </c>
      <c r="I898" s="213">
        <f t="shared" ref="I898:I961" si="158">RANK(AG898,AG:AG)</f>
        <v>166</v>
      </c>
      <c r="J898" s="213">
        <f t="shared" ref="J898:J961" si="159">RANK(AH898,AH:AH)</f>
        <v>768</v>
      </c>
      <c r="K898">
        <f>RANK(1.67,AI:AI,0)</f>
        <v>471</v>
      </c>
      <c r="L898" s="357">
        <v>0</v>
      </c>
      <c r="M898" s="357">
        <v>0</v>
      </c>
      <c r="N898" s="357">
        <v>0</v>
      </c>
      <c r="O898" s="357">
        <v>1</v>
      </c>
      <c r="P898" s="357">
        <v>1</v>
      </c>
      <c r="Q898" s="358">
        <v>0.43253234750462105</v>
      </c>
      <c r="R898" s="359">
        <v>0.94</v>
      </c>
      <c r="S898" s="196">
        <v>2482627000</v>
      </c>
      <c r="T898" s="196">
        <v>91200000</v>
      </c>
      <c r="U898" s="200">
        <f t="shared" ref="U898:U961" si="160">C898*T898</f>
        <v>11354400000</v>
      </c>
      <c r="V898" s="196">
        <v>0</v>
      </c>
      <c r="W898" s="196">
        <v>369000000</v>
      </c>
      <c r="X898" s="196">
        <v>2043000000</v>
      </c>
      <c r="Y898" s="196">
        <v>2277000000</v>
      </c>
      <c r="Z898" s="196">
        <v>220000000</v>
      </c>
      <c r="AA898" s="198">
        <v>0</v>
      </c>
      <c r="AB898" s="198">
        <v>0</v>
      </c>
      <c r="AC898" s="213">
        <f t="shared" ref="AC898:AC961" si="161">RANK(AA898,AA:AA)</f>
        <v>945</v>
      </c>
      <c r="AD898" s="213">
        <f t="shared" ref="AD898:AD961" si="162">RANK(AB898,AB:AB)</f>
        <v>911</v>
      </c>
      <c r="AE898" s="213">
        <v>0.84</v>
      </c>
      <c r="AF898" s="196">
        <v>230000000</v>
      </c>
      <c r="AG898" s="104">
        <f t="shared" ref="AG898:AG961" si="163">AF898/T898</f>
        <v>2.5219298245614037</v>
      </c>
      <c r="AH898" s="104">
        <f t="shared" ref="AH898:AH961" si="164">IF(AND(AF898&gt;0,V898&gt;0),AF898/V898,0)</f>
        <v>0</v>
      </c>
      <c r="AI898" s="195">
        <v>1.67</v>
      </c>
    </row>
    <row r="899" spans="1:48">
      <c r="A899">
        <v>4429</v>
      </c>
      <c r="C899" s="107">
        <f>VLOOKUP(4429,收盤價!$A:$C,3,0)</f>
        <v>22.7</v>
      </c>
      <c r="D899" s="107">
        <f t="shared" si="154"/>
        <v>0</v>
      </c>
      <c r="E899" s="167">
        <f t="shared" si="155"/>
        <v>1</v>
      </c>
      <c r="F899" s="104">
        <f t="shared" si="156"/>
        <v>0.88681038761045661</v>
      </c>
      <c r="G899" s="167">
        <f>RANK(1.08,AE:AE,0)</f>
        <v>769</v>
      </c>
      <c r="H899" s="365">
        <f t="shared" si="157"/>
        <v>2.2697674418604654</v>
      </c>
      <c r="I899" s="213">
        <f t="shared" si="158"/>
        <v>545</v>
      </c>
      <c r="J899" s="213">
        <f t="shared" si="159"/>
        <v>144</v>
      </c>
      <c r="K899">
        <f>RANK(2.26,AI:AI,0)</f>
        <v>285</v>
      </c>
      <c r="L899" s="357">
        <v>0</v>
      </c>
      <c r="M899" s="357">
        <v>0</v>
      </c>
      <c r="N899" s="357">
        <v>0</v>
      </c>
      <c r="O899" s="357">
        <v>1</v>
      </c>
      <c r="P899" s="357">
        <v>0</v>
      </c>
      <c r="Q899" s="358">
        <v>0.16822429906542055</v>
      </c>
      <c r="R899" s="359">
        <v>0</v>
      </c>
      <c r="S899" s="196">
        <v>880549000</v>
      </c>
      <c r="T899" s="196">
        <v>34400000</v>
      </c>
      <c r="U899" s="200">
        <f t="shared" si="160"/>
        <v>780880000</v>
      </c>
      <c r="V899" s="196">
        <v>10000000</v>
      </c>
      <c r="W899" s="196">
        <v>332000000</v>
      </c>
      <c r="X899" s="196">
        <v>759000000</v>
      </c>
      <c r="Y899" s="196">
        <v>1046000000</v>
      </c>
      <c r="Z899" s="196">
        <v>46000000</v>
      </c>
      <c r="AA899" s="198">
        <v>0.01</v>
      </c>
      <c r="AB899" s="198">
        <v>0.01</v>
      </c>
      <c r="AC899" s="213">
        <f t="shared" si="161"/>
        <v>769</v>
      </c>
      <c r="AD899" s="213">
        <f t="shared" si="162"/>
        <v>680</v>
      </c>
      <c r="AE899" s="213">
        <v>1.08</v>
      </c>
      <c r="AF899" s="196">
        <v>32000000</v>
      </c>
      <c r="AG899" s="104">
        <f t="shared" si="163"/>
        <v>0.93023255813953487</v>
      </c>
      <c r="AH899" s="104">
        <f t="shared" si="164"/>
        <v>3.2</v>
      </c>
      <c r="AI899" s="195">
        <v>2.2599999999999998</v>
      </c>
      <c r="AO899" s="213"/>
      <c r="AP899" s="213"/>
      <c r="AQ899" s="213"/>
      <c r="AR899" s="213"/>
      <c r="AS899" s="213"/>
      <c r="AT899" s="213"/>
      <c r="AU899" s="213"/>
      <c r="AV899" s="213"/>
    </row>
    <row r="900" spans="1:48">
      <c r="A900">
        <v>4430</v>
      </c>
      <c r="C900" s="107">
        <f>VLOOKUP(4430,收盤價!$A:$C,3,0)</f>
        <v>24</v>
      </c>
      <c r="D900" s="107">
        <f t="shared" si="154"/>
        <v>46.428571428571416</v>
      </c>
      <c r="E900" s="167">
        <f t="shared" si="155"/>
        <v>2</v>
      </c>
      <c r="F900" s="104">
        <f t="shared" si="156"/>
        <v>0.76280802777542556</v>
      </c>
      <c r="G900" s="167">
        <f>RANK(1.08,AE:AE,0)</f>
        <v>769</v>
      </c>
      <c r="H900" s="365">
        <f t="shared" si="157"/>
        <v>4.9909921339761487</v>
      </c>
      <c r="I900" s="213">
        <f t="shared" si="158"/>
        <v>302</v>
      </c>
      <c r="J900" s="213">
        <f t="shared" si="159"/>
        <v>63</v>
      </c>
      <c r="K900">
        <f>RANK(4.27,AI:AI,0)</f>
        <v>92</v>
      </c>
      <c r="L900" s="357">
        <v>0</v>
      </c>
      <c r="M900" s="357">
        <v>0</v>
      </c>
      <c r="N900" s="357">
        <v>1</v>
      </c>
      <c r="O900" s="357">
        <v>1</v>
      </c>
      <c r="P900" s="357">
        <v>0</v>
      </c>
      <c r="Q900" s="358">
        <v>0.25117370892018781</v>
      </c>
      <c r="R900" s="359">
        <v>0.12923076923076926</v>
      </c>
      <c r="S900" s="196">
        <v>1771350000</v>
      </c>
      <c r="T900" s="196">
        <v>56300000</v>
      </c>
      <c r="U900" s="200">
        <f t="shared" si="160"/>
        <v>1351200000</v>
      </c>
      <c r="V900" s="196">
        <v>14000000</v>
      </c>
      <c r="W900" s="196">
        <v>386000000</v>
      </c>
      <c r="X900" s="196">
        <v>1420000000</v>
      </c>
      <c r="Y900" s="196">
        <v>1886000000</v>
      </c>
      <c r="Z900" s="196">
        <v>464000000</v>
      </c>
      <c r="AA900" s="198">
        <v>0.01</v>
      </c>
      <c r="AB900" s="198">
        <v>0.01</v>
      </c>
      <c r="AC900" s="213">
        <f t="shared" si="161"/>
        <v>769</v>
      </c>
      <c r="AD900" s="213">
        <f t="shared" si="162"/>
        <v>680</v>
      </c>
      <c r="AE900" s="213">
        <v>1.08</v>
      </c>
      <c r="AF900" s="196">
        <v>93000000</v>
      </c>
      <c r="AG900" s="104">
        <f t="shared" si="163"/>
        <v>1.6518650088809947</v>
      </c>
      <c r="AH900" s="104">
        <f t="shared" si="164"/>
        <v>6.6428571428571432</v>
      </c>
      <c r="AI900" s="195">
        <v>4.2699999999999996</v>
      </c>
    </row>
    <row r="901" spans="1:48">
      <c r="A901" s="213">
        <v>4432</v>
      </c>
      <c r="C901" s="107">
        <f>VLOOKUP(4432,收盤價!$A:$C,3,0)</f>
        <v>58.3</v>
      </c>
      <c r="D901" s="107">
        <f t="shared" si="154"/>
        <v>16.146246693121689</v>
      </c>
      <c r="E901" s="167">
        <f t="shared" si="155"/>
        <v>1</v>
      </c>
      <c r="F901" s="104">
        <f t="shared" si="156"/>
        <v>1.1696907673501011</v>
      </c>
      <c r="G901" s="167">
        <f>RANK(3.92,AE:AE,0)</f>
        <v>209</v>
      </c>
      <c r="H901" s="365">
        <f t="shared" si="157"/>
        <v>2.3517786561264824</v>
      </c>
      <c r="I901" s="213">
        <f t="shared" si="158"/>
        <v>1525</v>
      </c>
      <c r="J901" s="213">
        <f t="shared" si="159"/>
        <v>768</v>
      </c>
      <c r="K901" s="213">
        <f>RANK(0.68,AI:AI,0)</f>
        <v>1507</v>
      </c>
      <c r="L901" s="357">
        <v>0</v>
      </c>
      <c r="M901" s="357">
        <v>1</v>
      </c>
      <c r="N901" s="357">
        <v>0</v>
      </c>
      <c r="O901" s="357">
        <v>0</v>
      </c>
      <c r="P901" s="357">
        <v>0</v>
      </c>
      <c r="Q901" s="358">
        <v>0.18798151001540833</v>
      </c>
      <c r="R901" s="359">
        <v>0.90268656716417917</v>
      </c>
      <c r="S901" s="196">
        <v>2522017000</v>
      </c>
      <c r="T901" s="196">
        <v>50600000</v>
      </c>
      <c r="U901" s="200">
        <f t="shared" si="160"/>
        <v>2949980000</v>
      </c>
      <c r="V901" s="196">
        <v>63000000</v>
      </c>
      <c r="W901" s="196">
        <v>1022000000</v>
      </c>
      <c r="X901" s="196">
        <v>314000000</v>
      </c>
      <c r="Y901" s="196">
        <v>1398000000</v>
      </c>
      <c r="Z901" s="196">
        <v>0</v>
      </c>
      <c r="AA901" s="198">
        <v>0.05</v>
      </c>
      <c r="AB901" s="198">
        <v>0.05</v>
      </c>
      <c r="AC901" s="213">
        <f t="shared" si="161"/>
        <v>247</v>
      </c>
      <c r="AD901" s="213">
        <f t="shared" si="162"/>
        <v>150</v>
      </c>
      <c r="AE901" s="213">
        <v>3.92</v>
      </c>
      <c r="AF901" s="196">
        <v>-119000000</v>
      </c>
      <c r="AG901" s="104">
        <f t="shared" si="163"/>
        <v>-2.3517786561264824</v>
      </c>
      <c r="AH901" s="104">
        <f t="shared" si="164"/>
        <v>0</v>
      </c>
      <c r="AI901" s="195">
        <v>0.68</v>
      </c>
      <c r="AO901" s="213"/>
      <c r="AP901" s="213"/>
      <c r="AQ901" s="213"/>
      <c r="AR901" s="213"/>
      <c r="AS901" s="213"/>
      <c r="AT901" s="213"/>
      <c r="AU901" s="213"/>
      <c r="AV901" s="213"/>
    </row>
    <row r="902" spans="1:48">
      <c r="A902">
        <v>4433</v>
      </c>
      <c r="C902" s="107">
        <f>VLOOKUP(4433,收盤價!$A:$C,3,0)</f>
        <v>29.35</v>
      </c>
      <c r="D902" s="107">
        <f t="shared" si="154"/>
        <v>12.885365853658538</v>
      </c>
      <c r="E902" s="167">
        <f t="shared" si="155"/>
        <v>4</v>
      </c>
      <c r="F902" s="104">
        <f t="shared" si="156"/>
        <v>0.58849428029877804</v>
      </c>
      <c r="G902" s="167">
        <f>RANK(2.32,AE:AE,0)</f>
        <v>360</v>
      </c>
      <c r="H902" s="365">
        <f t="shared" si="157"/>
        <v>0.47572815533980561</v>
      </c>
      <c r="I902" s="213">
        <f t="shared" si="158"/>
        <v>163</v>
      </c>
      <c r="J902" s="213">
        <f t="shared" si="159"/>
        <v>157</v>
      </c>
      <c r="K902">
        <f>RANK(4.87,AI:AI,0)</f>
        <v>67</v>
      </c>
      <c r="L902" s="357">
        <v>0</v>
      </c>
      <c r="M902" s="357">
        <v>1</v>
      </c>
      <c r="N902" s="357">
        <v>2</v>
      </c>
      <c r="O902" s="357">
        <v>1</v>
      </c>
      <c r="P902" s="357">
        <v>0</v>
      </c>
      <c r="Q902" s="358">
        <v>0.24726477024070023</v>
      </c>
      <c r="R902" s="359">
        <v>0.56944444444444442</v>
      </c>
      <c r="S902" s="196">
        <v>1541077000</v>
      </c>
      <c r="T902" s="196">
        <v>30900000</v>
      </c>
      <c r="U902" s="200">
        <f t="shared" si="160"/>
        <v>906915000</v>
      </c>
      <c r="V902" s="196">
        <v>26000000</v>
      </c>
      <c r="W902" s="196">
        <v>247000000</v>
      </c>
      <c r="X902" s="196">
        <v>375000000</v>
      </c>
      <c r="Y902" s="196">
        <v>767000000</v>
      </c>
      <c r="Z902" s="196">
        <v>96000000</v>
      </c>
      <c r="AA902" s="198">
        <v>0.04</v>
      </c>
      <c r="AB902" s="198">
        <v>0.03</v>
      </c>
      <c r="AC902" s="213">
        <f t="shared" si="161"/>
        <v>337</v>
      </c>
      <c r="AD902" s="213">
        <f t="shared" si="162"/>
        <v>334</v>
      </c>
      <c r="AE902" s="213">
        <v>2.3199999999999998</v>
      </c>
      <c r="AF902" s="196">
        <v>78000000</v>
      </c>
      <c r="AG902" s="104">
        <f t="shared" si="163"/>
        <v>2.5242718446601944</v>
      </c>
      <c r="AH902" s="104">
        <f t="shared" si="164"/>
        <v>3</v>
      </c>
      <c r="AI902" s="195">
        <v>4.87</v>
      </c>
    </row>
    <row r="903" spans="1:48">
      <c r="A903">
        <v>4502</v>
      </c>
      <c r="C903" s="107">
        <f>VLOOKUP(4502,收盤價!$A:$C,3,0)</f>
        <v>44.85</v>
      </c>
      <c r="D903" s="107">
        <f t="shared" si="154"/>
        <v>0</v>
      </c>
      <c r="E903" s="167">
        <f t="shared" si="155"/>
        <v>1</v>
      </c>
      <c r="F903" s="104">
        <f t="shared" si="156"/>
        <v>0.89929830103538189</v>
      </c>
      <c r="G903" s="167">
        <f>RANK(1.41,AE:AE,0)</f>
        <v>618</v>
      </c>
      <c r="H903" s="365">
        <f t="shared" si="157"/>
        <v>0.660377358490566</v>
      </c>
      <c r="I903" s="213">
        <f t="shared" si="158"/>
        <v>1384</v>
      </c>
      <c r="J903" s="213">
        <f t="shared" si="159"/>
        <v>768</v>
      </c>
      <c r="K903">
        <f>RANK(0.72,AI:AI,0)</f>
        <v>1381</v>
      </c>
      <c r="L903" s="357">
        <v>0</v>
      </c>
      <c r="M903" s="357">
        <v>1</v>
      </c>
      <c r="N903" s="357">
        <v>0</v>
      </c>
      <c r="O903" s="357">
        <v>0</v>
      </c>
      <c r="P903" s="357">
        <v>0</v>
      </c>
      <c r="Q903" s="358">
        <v>0.10833333333333334</v>
      </c>
      <c r="R903" s="359">
        <v>0</v>
      </c>
      <c r="S903" s="196">
        <v>2114582000</v>
      </c>
      <c r="T903" s="196">
        <v>42400000</v>
      </c>
      <c r="U903" s="200">
        <f t="shared" si="160"/>
        <v>1901640000</v>
      </c>
      <c r="V903" s="196">
        <v>24000000</v>
      </c>
      <c r="W903" s="196">
        <v>0</v>
      </c>
      <c r="X903" s="196">
        <v>1110000000</v>
      </c>
      <c r="Y903" s="196">
        <v>546000000</v>
      </c>
      <c r="Z903" s="196">
        <v>901000000</v>
      </c>
      <c r="AA903" s="198">
        <v>0.02</v>
      </c>
      <c r="AB903" s="198">
        <v>0.02</v>
      </c>
      <c r="AC903" s="213">
        <f t="shared" si="161"/>
        <v>616</v>
      </c>
      <c r="AD903" s="213">
        <f t="shared" si="162"/>
        <v>487</v>
      </c>
      <c r="AE903" s="213">
        <v>1.41</v>
      </c>
      <c r="AF903" s="196">
        <v>-28000000</v>
      </c>
      <c r="AG903" s="104">
        <f t="shared" si="163"/>
        <v>-0.660377358490566</v>
      </c>
      <c r="AH903" s="104">
        <f t="shared" si="164"/>
        <v>0</v>
      </c>
      <c r="AI903" s="195">
        <v>0.72</v>
      </c>
      <c r="AO903" s="213"/>
      <c r="AP903" s="213"/>
      <c r="AQ903" s="213"/>
      <c r="AR903" s="213"/>
      <c r="AS903" s="213"/>
      <c r="AT903" s="213"/>
      <c r="AU903" s="213"/>
      <c r="AV903" s="213"/>
    </row>
    <row r="904" spans="1:48">
      <c r="A904">
        <v>4503</v>
      </c>
      <c r="C904" s="107">
        <f>VLOOKUP(4503,收盤價!$A:$C,3,0)</f>
        <v>23.4</v>
      </c>
      <c r="D904" s="107">
        <f t="shared" si="154"/>
        <v>32.5</v>
      </c>
      <c r="E904" s="167">
        <f t="shared" si="155"/>
        <v>4</v>
      </c>
      <c r="F904" s="104">
        <f t="shared" si="156"/>
        <v>4.0211435190060021</v>
      </c>
      <c r="G904" s="167">
        <f>RANK(1.63,AE:AE,0)</f>
        <v>551</v>
      </c>
      <c r="H904" s="365">
        <f t="shared" si="157"/>
        <v>0.44117647058823528</v>
      </c>
      <c r="I904" s="213">
        <f t="shared" si="158"/>
        <v>1333</v>
      </c>
      <c r="J904" s="213">
        <f t="shared" si="159"/>
        <v>768</v>
      </c>
      <c r="K904">
        <f>RANK(0.74,AI:AI,0)</f>
        <v>1324</v>
      </c>
      <c r="L904" s="357">
        <v>1</v>
      </c>
      <c r="M904" s="357">
        <v>1</v>
      </c>
      <c r="N904" s="357">
        <v>2</v>
      </c>
      <c r="O904" s="357">
        <v>0</v>
      </c>
      <c r="P904" s="357">
        <v>0</v>
      </c>
      <c r="Q904" s="358">
        <v>0.20588235294117646</v>
      </c>
      <c r="R904" s="359">
        <v>0.18</v>
      </c>
      <c r="S904" s="196">
        <v>237425000</v>
      </c>
      <c r="T904" s="196">
        <v>40800000</v>
      </c>
      <c r="U904" s="200">
        <f t="shared" si="160"/>
        <v>954720000</v>
      </c>
      <c r="V904" s="196">
        <v>7000000</v>
      </c>
      <c r="W904" s="196">
        <v>60000000</v>
      </c>
      <c r="X904" s="196">
        <v>190000000</v>
      </c>
      <c r="Y904" s="196">
        <v>253000000</v>
      </c>
      <c r="Z904" s="196">
        <v>48000000</v>
      </c>
      <c r="AA904" s="198">
        <v>0.03</v>
      </c>
      <c r="AB904" s="198">
        <v>0.02</v>
      </c>
      <c r="AC904" s="213">
        <f t="shared" si="161"/>
        <v>469</v>
      </c>
      <c r="AD904" s="213">
        <f t="shared" si="162"/>
        <v>487</v>
      </c>
      <c r="AE904" s="213">
        <v>1.63</v>
      </c>
      <c r="AF904" s="196">
        <v>-18000000</v>
      </c>
      <c r="AG904" s="104">
        <f t="shared" si="163"/>
        <v>-0.44117647058823528</v>
      </c>
      <c r="AH904" s="104">
        <f t="shared" si="164"/>
        <v>0</v>
      </c>
      <c r="AI904" s="195">
        <v>0.74</v>
      </c>
    </row>
    <row r="905" spans="1:48">
      <c r="A905">
        <v>4506</v>
      </c>
      <c r="C905" s="107">
        <f>VLOOKUP(4506,收盤價!$A:$C,3,0)</f>
        <v>34.950000000000003</v>
      </c>
      <c r="D905" s="107">
        <f t="shared" si="154"/>
        <v>9.4771825396825395</v>
      </c>
      <c r="E905" s="167">
        <f t="shared" si="155"/>
        <v>2</v>
      </c>
      <c r="F905" s="104">
        <f t="shared" si="156"/>
        <v>1.6648330411963943</v>
      </c>
      <c r="G905" s="167">
        <f>RANK(7.11,AE:AE,0)</f>
        <v>108</v>
      </c>
      <c r="H905" s="365">
        <f t="shared" si="157"/>
        <v>-7.1665899666776722E-2</v>
      </c>
      <c r="I905" s="213">
        <f t="shared" si="158"/>
        <v>488</v>
      </c>
      <c r="J905" s="213">
        <f t="shared" si="159"/>
        <v>534</v>
      </c>
      <c r="K905">
        <f>RANK(1.52,AI:AI,0)</f>
        <v>548</v>
      </c>
      <c r="L905" s="357">
        <v>0</v>
      </c>
      <c r="M905" s="357">
        <v>1</v>
      </c>
      <c r="N905" s="357">
        <v>0</v>
      </c>
      <c r="O905" s="357">
        <v>1</v>
      </c>
      <c r="P905" s="357">
        <v>0</v>
      </c>
      <c r="Q905" s="358">
        <v>0.30407239819004522</v>
      </c>
      <c r="R905" s="359">
        <v>0.92195121951219516</v>
      </c>
      <c r="S905" s="196">
        <v>4129342000</v>
      </c>
      <c r="T905" s="196">
        <v>196700000</v>
      </c>
      <c r="U905" s="200">
        <f t="shared" si="160"/>
        <v>6874665000.000001</v>
      </c>
      <c r="V905" s="196">
        <v>211000000</v>
      </c>
      <c r="W905" s="196">
        <v>1249000000</v>
      </c>
      <c r="X905" s="196">
        <v>1044000000</v>
      </c>
      <c r="Y905" s="196">
        <v>3494000000</v>
      </c>
      <c r="Z905" s="196">
        <v>423000000</v>
      </c>
      <c r="AA905" s="198">
        <v>0.09</v>
      </c>
      <c r="AB905" s="198">
        <v>0.05</v>
      </c>
      <c r="AC905" s="213">
        <f t="shared" si="161"/>
        <v>69</v>
      </c>
      <c r="AD905" s="213">
        <f t="shared" si="162"/>
        <v>150</v>
      </c>
      <c r="AE905" s="213">
        <v>7.11</v>
      </c>
      <c r="AF905" s="196">
        <v>208000000</v>
      </c>
      <c r="AG905" s="104">
        <f t="shared" si="163"/>
        <v>1.0574478901881037</v>
      </c>
      <c r="AH905" s="104">
        <f t="shared" si="164"/>
        <v>0.98578199052132698</v>
      </c>
      <c r="AI905" s="195">
        <v>1.52</v>
      </c>
    </row>
    <row r="906" spans="1:48">
      <c r="A906">
        <v>4510</v>
      </c>
      <c r="C906" s="107">
        <f>VLOOKUP(4510,收盤價!$A:$C,3,0)</f>
        <v>17.100000000000001</v>
      </c>
      <c r="D906" s="107">
        <f t="shared" si="154"/>
        <v>12.666666666666666</v>
      </c>
      <c r="E906" s="167">
        <f t="shared" si="155"/>
        <v>3</v>
      </c>
      <c r="F906" s="104">
        <f t="shared" si="156"/>
        <v>0.88916193069659699</v>
      </c>
      <c r="G906" s="167">
        <f>RANK(1.41,AE:AE,0)</f>
        <v>618</v>
      </c>
      <c r="H906" s="365">
        <f t="shared" si="157"/>
        <v>0.27941176470588236</v>
      </c>
      <c r="I906" s="213">
        <f t="shared" si="158"/>
        <v>892</v>
      </c>
      <c r="J906" s="213">
        <f t="shared" si="159"/>
        <v>666</v>
      </c>
      <c r="K906">
        <f>RANK(1,AI:AI,0)</f>
        <v>884</v>
      </c>
      <c r="L906" s="357">
        <v>0</v>
      </c>
      <c r="M906" s="357">
        <v>1</v>
      </c>
      <c r="N906" s="357">
        <v>2</v>
      </c>
      <c r="O906" s="357">
        <v>0</v>
      </c>
      <c r="P906" s="357">
        <v>0</v>
      </c>
      <c r="Q906" s="358">
        <v>0.2483108108108108</v>
      </c>
      <c r="R906" s="359">
        <v>0.33750000000000002</v>
      </c>
      <c r="S906" s="196">
        <v>2077012000</v>
      </c>
      <c r="T906" s="196">
        <v>108000000</v>
      </c>
      <c r="U906" s="200">
        <f t="shared" si="160"/>
        <v>1846800000.0000002</v>
      </c>
      <c r="V906" s="196">
        <v>51000000</v>
      </c>
      <c r="W906" s="196">
        <v>1184000000</v>
      </c>
      <c r="X906" s="196">
        <v>1632000000</v>
      </c>
      <c r="Y906" s="196">
        <v>2292000000</v>
      </c>
      <c r="Z906" s="196">
        <v>852000000</v>
      </c>
      <c r="AA906" s="198">
        <v>0.02</v>
      </c>
      <c r="AB906" s="198">
        <v>0.02</v>
      </c>
      <c r="AC906" s="213">
        <f t="shared" si="161"/>
        <v>616</v>
      </c>
      <c r="AD906" s="213">
        <f t="shared" si="162"/>
        <v>487</v>
      </c>
      <c r="AE906" s="213">
        <v>1.41</v>
      </c>
      <c r="AF906" s="196">
        <v>27000000</v>
      </c>
      <c r="AG906" s="104">
        <f t="shared" si="163"/>
        <v>0.25</v>
      </c>
      <c r="AH906" s="104">
        <f t="shared" si="164"/>
        <v>0.52941176470588236</v>
      </c>
      <c r="AI906" s="195">
        <v>1</v>
      </c>
    </row>
    <row r="907" spans="1:48">
      <c r="A907">
        <v>4513</v>
      </c>
      <c r="C907" s="107">
        <f>VLOOKUP(4513,收盤價!$A:$C,3,0)</f>
        <v>0</v>
      </c>
      <c r="D907" s="107">
        <f t="shared" si="154"/>
        <v>0</v>
      </c>
      <c r="E907" s="167">
        <f t="shared" si="155"/>
        <v>3</v>
      </c>
      <c r="F907" s="104">
        <f t="shared" si="156"/>
        <v>0</v>
      </c>
      <c r="G907" s="167">
        <f>RANK(0.84,AE:AE,0)</f>
        <v>946</v>
      </c>
      <c r="H907" s="365">
        <f t="shared" si="157"/>
        <v>-2.0286085825747726</v>
      </c>
      <c r="I907" s="213">
        <f t="shared" si="158"/>
        <v>222</v>
      </c>
      <c r="J907" s="213">
        <f t="shared" si="159"/>
        <v>768</v>
      </c>
      <c r="K907">
        <f>RANK(1.57,AI:AI,0)</f>
        <v>517</v>
      </c>
      <c r="L907" s="357">
        <v>0</v>
      </c>
      <c r="M907" s="357">
        <v>1</v>
      </c>
      <c r="N907" s="357">
        <v>1</v>
      </c>
      <c r="O907" s="357">
        <v>1</v>
      </c>
      <c r="P907" s="357">
        <v>0</v>
      </c>
      <c r="Q907" s="358">
        <v>0.26145552560646901</v>
      </c>
      <c r="R907" s="359">
        <v>0</v>
      </c>
      <c r="S907" s="196">
        <v>1722387000</v>
      </c>
      <c r="T907" s="196">
        <v>76900000</v>
      </c>
      <c r="U907" s="200">
        <f t="shared" si="160"/>
        <v>0</v>
      </c>
      <c r="V907" s="196">
        <v>-3000000</v>
      </c>
      <c r="W907" s="196">
        <v>680000000</v>
      </c>
      <c r="X907" s="196">
        <v>581000000</v>
      </c>
      <c r="Y907" s="196">
        <v>889000000</v>
      </c>
      <c r="Z907" s="196">
        <v>491000000</v>
      </c>
      <c r="AA907" s="198">
        <v>0</v>
      </c>
      <c r="AB907" s="198">
        <v>0</v>
      </c>
      <c r="AC907" s="213">
        <f t="shared" si="161"/>
        <v>945</v>
      </c>
      <c r="AD907" s="213">
        <f t="shared" si="162"/>
        <v>911</v>
      </c>
      <c r="AE907" s="213">
        <v>0.84</v>
      </c>
      <c r="AF907" s="196">
        <v>156000000</v>
      </c>
      <c r="AG907" s="104">
        <f t="shared" si="163"/>
        <v>2.0286085825747726</v>
      </c>
      <c r="AH907" s="104">
        <f t="shared" si="164"/>
        <v>0</v>
      </c>
      <c r="AI907" s="195">
        <v>1.57</v>
      </c>
    </row>
    <row r="908" spans="1:48">
      <c r="A908">
        <v>4523</v>
      </c>
      <c r="C908" s="107">
        <f>VLOOKUP(4523,收盤價!$A:$C,3,0)</f>
        <v>18.649999999999999</v>
      </c>
      <c r="D908" s="107">
        <f t="shared" si="154"/>
        <v>0</v>
      </c>
      <c r="E908" s="167">
        <f t="shared" si="155"/>
        <v>3</v>
      </c>
      <c r="F908" s="104">
        <f t="shared" si="156"/>
        <v>0.68739723739565362</v>
      </c>
      <c r="G908" s="167">
        <f>RANK(0.71,AE:AE,0)</f>
        <v>1276</v>
      </c>
      <c r="H908" s="365">
        <f t="shared" si="157"/>
        <v>-0.125</v>
      </c>
      <c r="I908" s="213">
        <f t="shared" si="158"/>
        <v>979</v>
      </c>
      <c r="J908" s="213">
        <f t="shared" si="159"/>
        <v>768</v>
      </c>
      <c r="K908">
        <f>RANK(0.89,AI:AI,0)</f>
        <v>1004</v>
      </c>
      <c r="L908" s="357">
        <v>0</v>
      </c>
      <c r="M908" s="357">
        <v>1</v>
      </c>
      <c r="N908" s="357">
        <v>1</v>
      </c>
      <c r="O908" s="357">
        <v>1</v>
      </c>
      <c r="P908" s="357">
        <v>0</v>
      </c>
      <c r="Q908" s="358">
        <v>0.17494600431965443</v>
      </c>
      <c r="R908" s="359">
        <v>0</v>
      </c>
      <c r="S908" s="196">
        <v>1736405000</v>
      </c>
      <c r="T908" s="196">
        <v>64000000</v>
      </c>
      <c r="U908" s="200">
        <f t="shared" si="160"/>
        <v>1193600000</v>
      </c>
      <c r="V908" s="196">
        <v>-9000000</v>
      </c>
      <c r="W908" s="196">
        <v>433000000</v>
      </c>
      <c r="X908" s="196">
        <v>635000000</v>
      </c>
      <c r="Y908" s="196">
        <v>1890000000</v>
      </c>
      <c r="Z908" s="196">
        <v>402000000</v>
      </c>
      <c r="AA908" s="198">
        <v>-0.01</v>
      </c>
      <c r="AB908" s="198">
        <v>0</v>
      </c>
      <c r="AC908" s="213">
        <f t="shared" si="161"/>
        <v>1277</v>
      </c>
      <c r="AD908" s="213">
        <f t="shared" si="162"/>
        <v>911</v>
      </c>
      <c r="AE908" s="213">
        <v>0.71</v>
      </c>
      <c r="AF908" s="196">
        <v>8000000</v>
      </c>
      <c r="AG908" s="104">
        <f t="shared" si="163"/>
        <v>0.125</v>
      </c>
      <c r="AH908" s="104">
        <f t="shared" si="164"/>
        <v>0</v>
      </c>
      <c r="AI908" s="195">
        <v>0.89</v>
      </c>
    </row>
    <row r="909" spans="1:48">
      <c r="A909">
        <v>4526</v>
      </c>
      <c r="C909" s="107">
        <f>VLOOKUP(4526,收盤價!$A:$C,3,0)</f>
        <v>22.55</v>
      </c>
      <c r="D909" s="107">
        <f t="shared" si="154"/>
        <v>0</v>
      </c>
      <c r="E909" s="167">
        <f t="shared" si="155"/>
        <v>4</v>
      </c>
      <c r="F909" s="104">
        <f t="shared" si="156"/>
        <v>0.59899351491569386</v>
      </c>
      <c r="G909" s="167">
        <f>RANK(0.93,AE:AE,0)</f>
        <v>920</v>
      </c>
      <c r="H909" s="365">
        <f t="shared" si="157"/>
        <v>0.734375</v>
      </c>
      <c r="I909" s="213">
        <f t="shared" si="158"/>
        <v>1395</v>
      </c>
      <c r="J909" s="213">
        <f t="shared" si="159"/>
        <v>768</v>
      </c>
      <c r="K909">
        <f>RANK(0.72,AI:AI,0)</f>
        <v>1381</v>
      </c>
      <c r="L909" s="357">
        <v>0</v>
      </c>
      <c r="M909" s="357">
        <v>1</v>
      </c>
      <c r="N909" s="357">
        <v>2</v>
      </c>
      <c r="O909" s="357">
        <v>0</v>
      </c>
      <c r="P909" s="357">
        <v>1</v>
      </c>
      <c r="Q909" s="358">
        <v>0.16089385474860335</v>
      </c>
      <c r="R909" s="359">
        <v>0</v>
      </c>
      <c r="S909" s="196">
        <v>9637500000</v>
      </c>
      <c r="T909" s="196">
        <v>256000000</v>
      </c>
      <c r="U909" s="200">
        <f t="shared" si="160"/>
        <v>5772800000</v>
      </c>
      <c r="V909" s="196">
        <v>36000000</v>
      </c>
      <c r="W909" s="196">
        <v>3841000000</v>
      </c>
      <c r="X909" s="196">
        <v>3293000000</v>
      </c>
      <c r="Y909" s="196">
        <v>6160000000</v>
      </c>
      <c r="Z909" s="196">
        <v>2804000000</v>
      </c>
      <c r="AA909" s="198">
        <v>0.01</v>
      </c>
      <c r="AB909" s="198">
        <v>0</v>
      </c>
      <c r="AC909" s="213">
        <f t="shared" si="161"/>
        <v>769</v>
      </c>
      <c r="AD909" s="213">
        <f t="shared" si="162"/>
        <v>911</v>
      </c>
      <c r="AE909" s="213">
        <v>0.93</v>
      </c>
      <c r="AF909" s="196">
        <v>-188000000</v>
      </c>
      <c r="AG909" s="104">
        <f t="shared" si="163"/>
        <v>-0.734375</v>
      </c>
      <c r="AH909" s="104">
        <f t="shared" si="164"/>
        <v>0</v>
      </c>
      <c r="AI909" s="195">
        <v>0.72</v>
      </c>
    </row>
    <row r="910" spans="1:48">
      <c r="A910">
        <v>4527</v>
      </c>
      <c r="C910" s="107">
        <f>VLOOKUP(4527,收盤價!$A:$C,3,0)</f>
        <v>27.15</v>
      </c>
      <c r="D910" s="107">
        <f t="shared" si="154"/>
        <v>10.28409090909091</v>
      </c>
      <c r="E910" s="167">
        <f t="shared" si="155"/>
        <v>3</v>
      </c>
      <c r="F910" s="104">
        <f t="shared" si="156"/>
        <v>0.85552441670481483</v>
      </c>
      <c r="G910" s="167">
        <f>RANK(3.92,AE:AE,0)</f>
        <v>209</v>
      </c>
      <c r="H910" s="365">
        <f t="shared" si="157"/>
        <v>6.6674501508207029E-2</v>
      </c>
      <c r="I910" s="213">
        <f t="shared" si="158"/>
        <v>750</v>
      </c>
      <c r="J910" s="213">
        <f t="shared" si="159"/>
        <v>661</v>
      </c>
      <c r="K910">
        <f>RANK(1.1,AI:AI,0)</f>
        <v>795</v>
      </c>
      <c r="L910" s="357">
        <v>0</v>
      </c>
      <c r="M910" s="357">
        <v>1</v>
      </c>
      <c r="N910" s="357">
        <v>2</v>
      </c>
      <c r="O910" s="357">
        <v>0</v>
      </c>
      <c r="P910" s="357">
        <v>0</v>
      </c>
      <c r="Q910" s="358">
        <v>0.26282051282051283</v>
      </c>
      <c r="R910" s="359">
        <v>0.65999999999999992</v>
      </c>
      <c r="S910" s="196">
        <v>2418201000</v>
      </c>
      <c r="T910" s="196">
        <v>76200000</v>
      </c>
      <c r="U910" s="200">
        <f t="shared" si="160"/>
        <v>2068830000</v>
      </c>
      <c r="V910" s="196">
        <v>67000000</v>
      </c>
      <c r="W910" s="196">
        <v>750000000</v>
      </c>
      <c r="X910" s="196">
        <v>517000000</v>
      </c>
      <c r="Y910" s="196">
        <v>1287000000</v>
      </c>
      <c r="Z910" s="196">
        <v>108000000</v>
      </c>
      <c r="AA910" s="198">
        <v>0.05</v>
      </c>
      <c r="AB910" s="198">
        <v>0.05</v>
      </c>
      <c r="AC910" s="213">
        <f t="shared" si="161"/>
        <v>247</v>
      </c>
      <c r="AD910" s="213">
        <f t="shared" si="162"/>
        <v>150</v>
      </c>
      <c r="AE910" s="213">
        <v>3.92</v>
      </c>
      <c r="AF910" s="196">
        <v>37000000</v>
      </c>
      <c r="AG910" s="104">
        <f t="shared" si="163"/>
        <v>0.48556430446194226</v>
      </c>
      <c r="AH910" s="104">
        <f t="shared" si="164"/>
        <v>0.55223880597014929</v>
      </c>
      <c r="AI910" s="195">
        <v>1.1000000000000001</v>
      </c>
    </row>
    <row r="911" spans="1:48">
      <c r="A911">
        <v>4528</v>
      </c>
      <c r="C911" s="107">
        <f>VLOOKUP(4528,收盤價!$A:$C,3,0)</f>
        <v>43.2</v>
      </c>
      <c r="D911" s="107">
        <f t="shared" si="154"/>
        <v>14.776119402985074</v>
      </c>
      <c r="E911" s="167">
        <f t="shared" si="155"/>
        <v>2</v>
      </c>
      <c r="F911" s="104">
        <f t="shared" si="156"/>
        <v>1.5160557960646224</v>
      </c>
      <c r="G911" s="167">
        <f>RANK(3.28,AE:AE,0)</f>
        <v>256</v>
      </c>
      <c r="H911" s="365">
        <f t="shared" si="157"/>
        <v>-0.13153594771241828</v>
      </c>
      <c r="I911" s="213">
        <f t="shared" si="158"/>
        <v>509</v>
      </c>
      <c r="J911" s="213">
        <f t="shared" si="159"/>
        <v>568</v>
      </c>
      <c r="K911">
        <f>RANK(1.45,AI:AI,0)</f>
        <v>582</v>
      </c>
      <c r="L911" s="357">
        <v>0</v>
      </c>
      <c r="M911" s="357">
        <v>0</v>
      </c>
      <c r="N911" s="357">
        <v>1</v>
      </c>
      <c r="O911" s="357">
        <v>1</v>
      </c>
      <c r="P911" s="357">
        <v>0</v>
      </c>
      <c r="Q911" s="358">
        <v>0.25577264653641207</v>
      </c>
      <c r="R911" s="359">
        <v>0.73090909090909095</v>
      </c>
      <c r="S911" s="196">
        <v>2179867000</v>
      </c>
      <c r="T911" s="196">
        <v>76500000</v>
      </c>
      <c r="U911" s="200">
        <f t="shared" si="160"/>
        <v>3304800000</v>
      </c>
      <c r="V911" s="196">
        <v>88000000</v>
      </c>
      <c r="W911" s="196">
        <v>0</v>
      </c>
      <c r="X911" s="196">
        <v>1707000000</v>
      </c>
      <c r="Y911" s="196">
        <v>1579000000</v>
      </c>
      <c r="Z911" s="196">
        <v>623000000</v>
      </c>
      <c r="AA911" s="198">
        <v>0.05</v>
      </c>
      <c r="AB911" s="198">
        <v>0.04</v>
      </c>
      <c r="AC911" s="213">
        <f t="shared" si="161"/>
        <v>247</v>
      </c>
      <c r="AD911" s="213">
        <f t="shared" si="162"/>
        <v>228</v>
      </c>
      <c r="AE911" s="213">
        <v>3.28</v>
      </c>
      <c r="AF911" s="196">
        <v>77000000</v>
      </c>
      <c r="AG911" s="104">
        <f t="shared" si="163"/>
        <v>1.0065359477124183</v>
      </c>
      <c r="AH911" s="104">
        <f t="shared" si="164"/>
        <v>0.875</v>
      </c>
      <c r="AI911" s="195">
        <v>1.45</v>
      </c>
    </row>
    <row r="912" spans="1:48">
      <c r="A912">
        <v>4529</v>
      </c>
      <c r="C912" s="107">
        <f>VLOOKUP(4529,收盤價!$A:$C,3,0)</f>
        <v>35.1</v>
      </c>
      <c r="D912" s="107">
        <f t="shared" si="154"/>
        <v>0</v>
      </c>
      <c r="E912" s="167">
        <f t="shared" si="155"/>
        <v>5</v>
      </c>
      <c r="F912" s="104">
        <f t="shared" si="156"/>
        <v>47.346121099814695</v>
      </c>
      <c r="G912" s="167">
        <f>RANK(0.52,AE:AE,0)</f>
        <v>1493</v>
      </c>
      <c r="H912" s="365">
        <f t="shared" si="157"/>
        <v>-0.33415841584158418</v>
      </c>
      <c r="I912" s="213">
        <f t="shared" si="158"/>
        <v>836</v>
      </c>
      <c r="J912" s="213">
        <f t="shared" si="159"/>
        <v>768</v>
      </c>
      <c r="K912">
        <f>RANK(0.97,AI:AI,0)</f>
        <v>912</v>
      </c>
      <c r="L912" s="357">
        <v>1</v>
      </c>
      <c r="M912" s="357">
        <v>1</v>
      </c>
      <c r="N912" s="357">
        <v>2</v>
      </c>
      <c r="O912" s="357">
        <v>1</v>
      </c>
      <c r="P912" s="357">
        <v>0</v>
      </c>
      <c r="Q912" s="358">
        <v>1</v>
      </c>
      <c r="R912" s="359">
        <v>0</v>
      </c>
      <c r="S912" s="196">
        <v>59901000</v>
      </c>
      <c r="T912" s="196">
        <v>80800000</v>
      </c>
      <c r="U912" s="200">
        <f t="shared" si="160"/>
        <v>2836080000</v>
      </c>
      <c r="V912" s="196">
        <v>-142000000</v>
      </c>
      <c r="W912" s="196">
        <v>156000000</v>
      </c>
      <c r="X912" s="196">
        <v>441000000</v>
      </c>
      <c r="Y912" s="196">
        <v>4997000000</v>
      </c>
      <c r="Z912" s="196">
        <v>194000000</v>
      </c>
      <c r="AA912" s="198">
        <v>-0.24</v>
      </c>
      <c r="AB912" s="198">
        <v>-0.03</v>
      </c>
      <c r="AC912" s="213">
        <f t="shared" si="161"/>
        <v>1543</v>
      </c>
      <c r="AD912" s="213">
        <f t="shared" si="162"/>
        <v>1444</v>
      </c>
      <c r="AE912" s="213">
        <v>0.52</v>
      </c>
      <c r="AF912" s="196">
        <v>27000000</v>
      </c>
      <c r="AG912" s="104">
        <f t="shared" si="163"/>
        <v>0.33415841584158418</v>
      </c>
      <c r="AH912" s="104">
        <f t="shared" si="164"/>
        <v>0</v>
      </c>
      <c r="AI912" s="195">
        <v>0.97</v>
      </c>
    </row>
    <row r="913" spans="1:48">
      <c r="A913">
        <v>4530</v>
      </c>
      <c r="C913" s="107">
        <f>VLOOKUP(4530,收盤價!$A:$C,3,0)</f>
        <v>0</v>
      </c>
      <c r="D913" s="107">
        <f t="shared" si="154"/>
        <v>0</v>
      </c>
      <c r="E913" s="167">
        <f t="shared" si="155"/>
        <v>2</v>
      </c>
      <c r="F913" s="104">
        <f t="shared" si="156"/>
        <v>0</v>
      </c>
      <c r="G913" s="167">
        <f>RANK(0.84,AE:AE,0)</f>
        <v>946</v>
      </c>
      <c r="H913" s="365">
        <f t="shared" si="157"/>
        <v>0.34632034632034631</v>
      </c>
      <c r="I913" s="213">
        <f t="shared" si="158"/>
        <v>1290</v>
      </c>
      <c r="J913" s="213">
        <f t="shared" si="159"/>
        <v>768</v>
      </c>
      <c r="K913">
        <f>RANK(0.76,AI:AI,0)</f>
        <v>1269</v>
      </c>
      <c r="L913" s="357">
        <v>0</v>
      </c>
      <c r="M913" s="357">
        <v>0</v>
      </c>
      <c r="N913" s="357">
        <v>2</v>
      </c>
      <c r="O913" s="357">
        <v>0</v>
      </c>
      <c r="P913" s="357">
        <v>0</v>
      </c>
      <c r="Q913" s="358">
        <v>1.3333333333333333</v>
      </c>
      <c r="R913" s="359">
        <v>0</v>
      </c>
      <c r="S913" s="196">
        <v>41708000</v>
      </c>
      <c r="T913" s="196">
        <v>46200000</v>
      </c>
      <c r="U913" s="200">
        <f t="shared" si="160"/>
        <v>0</v>
      </c>
      <c r="V913" s="196">
        <v>-3000000</v>
      </c>
      <c r="W913" s="196">
        <v>171000000</v>
      </c>
      <c r="X913" s="196">
        <v>0</v>
      </c>
      <c r="Y913" s="196">
        <v>196000000</v>
      </c>
      <c r="Z913" s="196">
        <v>2000000</v>
      </c>
      <c r="AA913" s="198">
        <v>0</v>
      </c>
      <c r="AB913" s="198">
        <v>0</v>
      </c>
      <c r="AC913" s="213">
        <f t="shared" si="161"/>
        <v>945</v>
      </c>
      <c r="AD913" s="213">
        <f t="shared" si="162"/>
        <v>911</v>
      </c>
      <c r="AE913" s="213">
        <v>0.84</v>
      </c>
      <c r="AF913" s="196">
        <v>-16000000</v>
      </c>
      <c r="AG913" s="104">
        <f t="shared" si="163"/>
        <v>-0.34632034632034631</v>
      </c>
      <c r="AH913" s="104">
        <f t="shared" si="164"/>
        <v>0</v>
      </c>
      <c r="AI913" s="195">
        <v>0.76</v>
      </c>
    </row>
    <row r="914" spans="1:48">
      <c r="A914">
        <v>4532</v>
      </c>
      <c r="C914" s="107">
        <f>VLOOKUP(4532,收盤價!$A:$C,3,0)</f>
        <v>37.450000000000003</v>
      </c>
      <c r="D914" s="107">
        <f t="shared" si="154"/>
        <v>8.8601900149031305</v>
      </c>
      <c r="E914" s="167">
        <f t="shared" si="155"/>
        <v>4</v>
      </c>
      <c r="F914" s="104">
        <f t="shared" si="156"/>
        <v>1.0671766752008776</v>
      </c>
      <c r="G914" s="167">
        <f>RANK(8.11,AE:AE,0)</f>
        <v>90</v>
      </c>
      <c r="H914" s="365">
        <f t="shared" si="157"/>
        <v>1.5414175918018787</v>
      </c>
      <c r="I914" s="213">
        <f t="shared" si="158"/>
        <v>1483</v>
      </c>
      <c r="J914" s="213">
        <f t="shared" si="159"/>
        <v>768</v>
      </c>
      <c r="K914">
        <f>RANK(0.69,AI:AI,0)</f>
        <v>1474</v>
      </c>
      <c r="L914" s="357">
        <v>1</v>
      </c>
      <c r="M914" s="357">
        <v>1</v>
      </c>
      <c r="N914" s="357">
        <v>2</v>
      </c>
      <c r="O914" s="357">
        <v>0</v>
      </c>
      <c r="P914" s="357">
        <v>0</v>
      </c>
      <c r="Q914" s="358">
        <v>0.24363779838232394</v>
      </c>
      <c r="R914" s="359">
        <v>1.0566929133858267</v>
      </c>
      <c r="S914" s="196">
        <v>16437372000</v>
      </c>
      <c r="T914" s="196">
        <v>468400000</v>
      </c>
      <c r="U914" s="200">
        <f t="shared" si="160"/>
        <v>17541580000</v>
      </c>
      <c r="V914" s="196">
        <v>754000000</v>
      </c>
      <c r="W914" s="196">
        <v>2966000000</v>
      </c>
      <c r="X914" s="196">
        <v>5995000000</v>
      </c>
      <c r="Y914" s="196">
        <v>9034000000</v>
      </c>
      <c r="Z914" s="196">
        <v>4209000000</v>
      </c>
      <c r="AA914" s="198">
        <v>0.08</v>
      </c>
      <c r="AB914" s="198">
        <v>0.06</v>
      </c>
      <c r="AC914" s="213">
        <f t="shared" si="161"/>
        <v>97</v>
      </c>
      <c r="AD914" s="213">
        <f t="shared" si="162"/>
        <v>95</v>
      </c>
      <c r="AE914" s="213">
        <v>8.11</v>
      </c>
      <c r="AF914" s="196">
        <v>-722000000</v>
      </c>
      <c r="AG914" s="104">
        <f t="shared" si="163"/>
        <v>-1.5414175918018787</v>
      </c>
      <c r="AH914" s="104">
        <f t="shared" si="164"/>
        <v>0</v>
      </c>
      <c r="AI914" s="195">
        <v>0.69</v>
      </c>
    </row>
    <row r="915" spans="1:48">
      <c r="A915">
        <v>4533</v>
      </c>
      <c r="C915" s="107">
        <f>VLOOKUP(4533,收盤價!$A:$C,3,0)</f>
        <v>13.5</v>
      </c>
      <c r="D915" s="107">
        <f t="shared" si="154"/>
        <v>10.177773641102009</v>
      </c>
      <c r="E915" s="167">
        <f t="shared" si="155"/>
        <v>1</v>
      </c>
      <c r="F915" s="104">
        <f t="shared" si="156"/>
        <v>0.55623470155493471</v>
      </c>
      <c r="G915" s="167">
        <f>RANK(1.89,AE:AE,0)</f>
        <v>498</v>
      </c>
      <c r="H915" s="365">
        <f t="shared" si="157"/>
        <v>0.43640897755610975</v>
      </c>
      <c r="I915" s="213">
        <f t="shared" si="158"/>
        <v>1329</v>
      </c>
      <c r="J915" s="213">
        <f t="shared" si="159"/>
        <v>768</v>
      </c>
      <c r="K915">
        <f>RANK(0.74,AI:AI,0)</f>
        <v>1324</v>
      </c>
      <c r="L915" s="357">
        <v>0</v>
      </c>
      <c r="M915" s="357">
        <v>1</v>
      </c>
      <c r="N915" s="357">
        <v>0</v>
      </c>
      <c r="O915" s="357">
        <v>0</v>
      </c>
      <c r="P915" s="357">
        <v>0</v>
      </c>
      <c r="Q915" s="358">
        <v>0.31138287864534336</v>
      </c>
      <c r="R915" s="359">
        <v>0.33160493827160498</v>
      </c>
      <c r="S915" s="196">
        <v>3892961000</v>
      </c>
      <c r="T915" s="196">
        <v>160400000</v>
      </c>
      <c r="U915" s="200">
        <f t="shared" si="160"/>
        <v>2165400000</v>
      </c>
      <c r="V915" s="196">
        <v>83000000</v>
      </c>
      <c r="W915" s="196">
        <v>640000000</v>
      </c>
      <c r="X915" s="196">
        <v>1476000000</v>
      </c>
      <c r="Y915" s="196">
        <v>2638000000</v>
      </c>
      <c r="Z915" s="196">
        <v>889000000</v>
      </c>
      <c r="AA915" s="198">
        <v>0.04</v>
      </c>
      <c r="AB915" s="198">
        <v>0.02</v>
      </c>
      <c r="AC915" s="213">
        <f t="shared" si="161"/>
        <v>337</v>
      </c>
      <c r="AD915" s="213">
        <f t="shared" si="162"/>
        <v>487</v>
      </c>
      <c r="AE915" s="213">
        <v>1.89</v>
      </c>
      <c r="AF915" s="196">
        <v>-70000000</v>
      </c>
      <c r="AG915" s="104">
        <f t="shared" si="163"/>
        <v>-0.43640897755610975</v>
      </c>
      <c r="AH915" s="104">
        <f t="shared" si="164"/>
        <v>0</v>
      </c>
      <c r="AI915" s="195">
        <v>0.74</v>
      </c>
      <c r="AO915" s="213"/>
      <c r="AP915" s="213"/>
      <c r="AQ915" s="213"/>
      <c r="AR915" s="213"/>
      <c r="AS915" s="213"/>
      <c r="AT915" s="213"/>
      <c r="AU915" s="213"/>
      <c r="AV915" s="213"/>
    </row>
    <row r="916" spans="1:48">
      <c r="A916">
        <v>4534</v>
      </c>
      <c r="C916" s="107">
        <f>VLOOKUP(4534,收盤價!$A:$C,3,0)</f>
        <v>34.5</v>
      </c>
      <c r="D916" s="107">
        <f t="shared" si="154"/>
        <v>23.465073529411764</v>
      </c>
      <c r="E916" s="167">
        <f t="shared" si="155"/>
        <v>3</v>
      </c>
      <c r="F916" s="104">
        <f t="shared" si="156"/>
        <v>1.7246070651817782</v>
      </c>
      <c r="G916" s="167">
        <f>RANK(1.94,AE:AE,0)</f>
        <v>435</v>
      </c>
      <c r="H916" s="365">
        <f t="shared" si="157"/>
        <v>9.987515605493133E-2</v>
      </c>
      <c r="I916" s="213">
        <f t="shared" si="158"/>
        <v>1137</v>
      </c>
      <c r="J916" s="213">
        <f t="shared" si="159"/>
        <v>768</v>
      </c>
      <c r="K916">
        <f>RANK(0.82,AI:AI,0)</f>
        <v>1121</v>
      </c>
      <c r="L916" s="357">
        <v>0</v>
      </c>
      <c r="M916" s="357">
        <v>1</v>
      </c>
      <c r="N916" s="357">
        <v>2</v>
      </c>
      <c r="O916" s="357">
        <v>0</v>
      </c>
      <c r="P916" s="357">
        <v>0</v>
      </c>
      <c r="Q916" s="358">
        <v>0.14312267657992564</v>
      </c>
      <c r="R916" s="359">
        <v>0.36756756756756759</v>
      </c>
      <c r="S916" s="196">
        <v>1602365000</v>
      </c>
      <c r="T916" s="196">
        <v>80100000</v>
      </c>
      <c r="U916" s="200">
        <f t="shared" si="160"/>
        <v>2763450000</v>
      </c>
      <c r="V916" s="196">
        <v>36000000</v>
      </c>
      <c r="W916" s="196">
        <v>459000000</v>
      </c>
      <c r="X916" s="196">
        <v>637000000</v>
      </c>
      <c r="Y916" s="196">
        <v>952000000</v>
      </c>
      <c r="Z916" s="196">
        <v>312000000</v>
      </c>
      <c r="AA916" s="198">
        <v>0.03</v>
      </c>
      <c r="AB916" s="198">
        <v>0.03</v>
      </c>
      <c r="AC916" s="213">
        <f t="shared" si="161"/>
        <v>469</v>
      </c>
      <c r="AD916" s="213">
        <f t="shared" si="162"/>
        <v>334</v>
      </c>
      <c r="AE916" s="213">
        <v>1.94</v>
      </c>
      <c r="AF916" s="196">
        <v>-8000000</v>
      </c>
      <c r="AG916" s="104">
        <f t="shared" si="163"/>
        <v>-9.987515605493133E-2</v>
      </c>
      <c r="AH916" s="104">
        <f t="shared" si="164"/>
        <v>0</v>
      </c>
      <c r="AI916" s="195">
        <v>0.82</v>
      </c>
      <c r="AO916" s="213"/>
      <c r="AP916" s="213"/>
      <c r="AQ916" s="213"/>
      <c r="AR916" s="213"/>
      <c r="AS916" s="213"/>
      <c r="AT916" s="213"/>
      <c r="AU916" s="213"/>
      <c r="AV916" s="213"/>
    </row>
    <row r="917" spans="1:48">
      <c r="A917">
        <v>4535</v>
      </c>
      <c r="C917" s="107">
        <f>VLOOKUP(4535,收盤價!$A:$C,3,0)</f>
        <v>42.75</v>
      </c>
      <c r="D917" s="107">
        <f t="shared" si="154"/>
        <v>14.276561043802422</v>
      </c>
      <c r="E917" s="167">
        <f t="shared" si="155"/>
        <v>3</v>
      </c>
      <c r="F917" s="104">
        <f t="shared" si="156"/>
        <v>1.0033587135875823</v>
      </c>
      <c r="G917" s="167">
        <f>RANK(2.76,AE:AE,0)</f>
        <v>305</v>
      </c>
      <c r="H917" s="365">
        <f t="shared" si="157"/>
        <v>-0.41455776052721438</v>
      </c>
      <c r="I917" s="213">
        <f t="shared" si="158"/>
        <v>138</v>
      </c>
      <c r="J917" s="213">
        <f t="shared" si="159"/>
        <v>202</v>
      </c>
      <c r="K917">
        <f>RANK(4.58,AI:AI,0)</f>
        <v>79</v>
      </c>
      <c r="L917" s="357">
        <v>0</v>
      </c>
      <c r="M917" s="357">
        <v>1</v>
      </c>
      <c r="N917" s="357">
        <v>1</v>
      </c>
      <c r="O917" s="357">
        <v>1</v>
      </c>
      <c r="P917" s="357">
        <v>0</v>
      </c>
      <c r="Q917" s="358">
        <v>0.19023136246786632</v>
      </c>
      <c r="R917" s="359">
        <v>0.74860465116279074</v>
      </c>
      <c r="S917" s="196">
        <v>3225342000</v>
      </c>
      <c r="T917" s="196">
        <v>75700000</v>
      </c>
      <c r="U917" s="200">
        <f t="shared" si="160"/>
        <v>3236175000</v>
      </c>
      <c r="V917" s="196">
        <v>89000000</v>
      </c>
      <c r="W917" s="196">
        <v>860000000</v>
      </c>
      <c r="X917" s="196">
        <v>1403000000</v>
      </c>
      <c r="Y917" s="196">
        <v>2443000000</v>
      </c>
      <c r="Z917" s="196">
        <v>81000000</v>
      </c>
      <c r="AA917" s="198">
        <v>0.04</v>
      </c>
      <c r="AB917" s="198">
        <v>0.04</v>
      </c>
      <c r="AC917" s="213">
        <f t="shared" si="161"/>
        <v>337</v>
      </c>
      <c r="AD917" s="213">
        <f t="shared" si="162"/>
        <v>228</v>
      </c>
      <c r="AE917" s="213">
        <v>2.76</v>
      </c>
      <c r="AF917" s="196">
        <v>210000000</v>
      </c>
      <c r="AG917" s="104">
        <f t="shared" si="163"/>
        <v>2.7741083223249672</v>
      </c>
      <c r="AH917" s="104">
        <f t="shared" si="164"/>
        <v>2.3595505617977528</v>
      </c>
      <c r="AI917" s="195">
        <v>4.58</v>
      </c>
    </row>
    <row r="918" spans="1:48">
      <c r="A918">
        <v>4536</v>
      </c>
      <c r="C918" s="107">
        <f>VLOOKUP(4536,收盤價!$A:$C,3,0)</f>
        <v>100</v>
      </c>
      <c r="D918" s="107">
        <f t="shared" si="154"/>
        <v>15.775600404707387</v>
      </c>
      <c r="E918" s="167">
        <f t="shared" si="155"/>
        <v>4</v>
      </c>
      <c r="F918" s="104">
        <f t="shared" si="156"/>
        <v>1.4300185461436117</v>
      </c>
      <c r="G918" s="167">
        <f>RANK(2.32,AE:AE,0)</f>
        <v>360</v>
      </c>
      <c r="H918" s="365">
        <f t="shared" si="157"/>
        <v>-1.5701869270151207</v>
      </c>
      <c r="I918" s="213">
        <f t="shared" si="158"/>
        <v>110</v>
      </c>
      <c r="J918" s="213">
        <f t="shared" si="159"/>
        <v>375</v>
      </c>
      <c r="K918">
        <f>RANK(3.21,AI:AI,0)</f>
        <v>147</v>
      </c>
      <c r="L918" s="357">
        <v>0</v>
      </c>
      <c r="M918" s="357">
        <v>1</v>
      </c>
      <c r="N918" s="357">
        <v>2</v>
      </c>
      <c r="O918" s="357">
        <v>1</v>
      </c>
      <c r="P918" s="357">
        <v>0</v>
      </c>
      <c r="Q918" s="358">
        <v>0.27251732101616627</v>
      </c>
      <c r="R918" s="359">
        <v>1.5847257383966245</v>
      </c>
      <c r="S918" s="196">
        <v>6349568000</v>
      </c>
      <c r="T918" s="196">
        <v>90800000</v>
      </c>
      <c r="U918" s="200">
        <f t="shared" si="160"/>
        <v>9080000000</v>
      </c>
      <c r="V918" s="196">
        <v>185000000</v>
      </c>
      <c r="W918" s="196">
        <v>2267000000</v>
      </c>
      <c r="X918" s="196">
        <v>2620000000</v>
      </c>
      <c r="Y918" s="196">
        <v>4863000000</v>
      </c>
      <c r="Z918" s="196">
        <v>1713000000</v>
      </c>
      <c r="AA918" s="198">
        <v>0.04</v>
      </c>
      <c r="AB918" s="198">
        <v>0.03</v>
      </c>
      <c r="AC918" s="213">
        <f t="shared" si="161"/>
        <v>337</v>
      </c>
      <c r="AD918" s="213">
        <f t="shared" si="162"/>
        <v>334</v>
      </c>
      <c r="AE918" s="213">
        <v>2.3199999999999998</v>
      </c>
      <c r="AF918" s="196">
        <v>280000000</v>
      </c>
      <c r="AG918" s="104">
        <f t="shared" si="163"/>
        <v>3.0837004405286343</v>
      </c>
      <c r="AH918" s="104">
        <f t="shared" si="164"/>
        <v>1.5135135135135136</v>
      </c>
      <c r="AI918" s="195">
        <v>3.21</v>
      </c>
    </row>
    <row r="919" spans="1:48">
      <c r="A919">
        <v>4541</v>
      </c>
      <c r="C919" s="107">
        <f>VLOOKUP(4541,收盤價!$A:$C,3,0)</f>
        <v>29.3</v>
      </c>
      <c r="D919" s="107">
        <f t="shared" si="154"/>
        <v>36.484674329501921</v>
      </c>
      <c r="E919" s="167">
        <f t="shared" si="155"/>
        <v>2</v>
      </c>
      <c r="F919" s="104">
        <f t="shared" si="156"/>
        <v>1.5391673835911996</v>
      </c>
      <c r="G919" s="167">
        <f>RANK(1.08,AE:AE,0)</f>
        <v>769</v>
      </c>
      <c r="H919" s="365">
        <f t="shared" si="157"/>
        <v>1.6412727752838658</v>
      </c>
      <c r="I919" s="213">
        <f t="shared" si="158"/>
        <v>712</v>
      </c>
      <c r="J919" s="213">
        <f t="shared" si="159"/>
        <v>226</v>
      </c>
      <c r="K919">
        <f>RANK(1.66,AI:AI,0)</f>
        <v>476</v>
      </c>
      <c r="L919" s="357">
        <v>0</v>
      </c>
      <c r="M919" s="357">
        <v>1</v>
      </c>
      <c r="N919" s="357">
        <v>0</v>
      </c>
      <c r="O919" s="357">
        <v>1</v>
      </c>
      <c r="P919" s="357">
        <v>0</v>
      </c>
      <c r="Q919" s="358">
        <v>0.18345323741007194</v>
      </c>
      <c r="R919" s="359">
        <v>0.20076923076923076</v>
      </c>
      <c r="S919" s="196">
        <v>1029862000</v>
      </c>
      <c r="T919" s="196">
        <v>54100000</v>
      </c>
      <c r="U919" s="200">
        <f t="shared" si="160"/>
        <v>1585130000</v>
      </c>
      <c r="V919" s="196">
        <v>14000000</v>
      </c>
      <c r="W919" s="196">
        <v>0</v>
      </c>
      <c r="X919" s="196">
        <v>2066000000</v>
      </c>
      <c r="Y919" s="196">
        <v>1339000000</v>
      </c>
      <c r="Z919" s="196">
        <v>668000000</v>
      </c>
      <c r="AA919" s="198">
        <v>0.01</v>
      </c>
      <c r="AB919" s="198">
        <v>0.01</v>
      </c>
      <c r="AC919" s="213">
        <f t="shared" si="161"/>
        <v>769</v>
      </c>
      <c r="AD919" s="213">
        <f t="shared" si="162"/>
        <v>680</v>
      </c>
      <c r="AE919" s="213">
        <v>1.08</v>
      </c>
      <c r="AF919" s="196">
        <v>31000000</v>
      </c>
      <c r="AG919" s="104">
        <f t="shared" si="163"/>
        <v>0.57301293900184846</v>
      </c>
      <c r="AH919" s="104">
        <f t="shared" si="164"/>
        <v>2.2142857142857144</v>
      </c>
      <c r="AI919" s="195">
        <v>1.66</v>
      </c>
    </row>
    <row r="920" spans="1:48">
      <c r="A920">
        <v>4542</v>
      </c>
      <c r="C920" s="107">
        <f>VLOOKUP(4542,收盤價!$A:$C,3,0)</f>
        <v>15.8</v>
      </c>
      <c r="D920" s="107">
        <f t="shared" si="154"/>
        <v>0</v>
      </c>
      <c r="E920" s="167">
        <f t="shared" si="155"/>
        <v>2</v>
      </c>
      <c r="F920" s="104">
        <f t="shared" si="156"/>
        <v>1.2373262197821659</v>
      </c>
      <c r="G920" s="167">
        <f>RANK(0.57,AE:AE,0)</f>
        <v>1389</v>
      </c>
      <c r="H920" s="365">
        <f t="shared" si="157"/>
        <v>-0.53003533568904593</v>
      </c>
      <c r="I920" s="213">
        <f t="shared" si="158"/>
        <v>730</v>
      </c>
      <c r="J920" s="213">
        <f t="shared" si="159"/>
        <v>768</v>
      </c>
      <c r="K920">
        <f>RANK(1.04,AI:AI,0)</f>
        <v>843</v>
      </c>
      <c r="L920" s="357">
        <v>0</v>
      </c>
      <c r="M920" s="357">
        <v>1</v>
      </c>
      <c r="N920" s="357">
        <v>0</v>
      </c>
      <c r="O920" s="357">
        <v>1</v>
      </c>
      <c r="P920" s="357">
        <v>0</v>
      </c>
      <c r="Q920" s="358">
        <v>0.12727272727272726</v>
      </c>
      <c r="R920" s="359">
        <v>0</v>
      </c>
      <c r="S920" s="196">
        <v>361376000</v>
      </c>
      <c r="T920" s="196">
        <v>28300000</v>
      </c>
      <c r="U920" s="200">
        <f t="shared" si="160"/>
        <v>447140000</v>
      </c>
      <c r="V920" s="196">
        <v>-10000000</v>
      </c>
      <c r="W920" s="196">
        <v>387000000</v>
      </c>
      <c r="X920" s="196">
        <v>137000000</v>
      </c>
      <c r="Y920" s="196">
        <v>511000000</v>
      </c>
      <c r="Z920" s="196">
        <v>16000000</v>
      </c>
      <c r="AA920" s="198">
        <v>-0.02</v>
      </c>
      <c r="AB920" s="198">
        <v>-0.02</v>
      </c>
      <c r="AC920" s="213">
        <f t="shared" si="161"/>
        <v>1353</v>
      </c>
      <c r="AD920" s="213">
        <f t="shared" si="162"/>
        <v>1388</v>
      </c>
      <c r="AE920" s="213">
        <v>0.56999999999999995</v>
      </c>
      <c r="AF920" s="196">
        <v>15000000</v>
      </c>
      <c r="AG920" s="104">
        <f t="shared" si="163"/>
        <v>0.53003533568904593</v>
      </c>
      <c r="AH920" s="104">
        <f t="shared" si="164"/>
        <v>0</v>
      </c>
      <c r="AI920" s="195">
        <v>1.04</v>
      </c>
    </row>
    <row r="921" spans="1:48">
      <c r="A921">
        <v>4543</v>
      </c>
      <c r="C921" s="107">
        <f>VLOOKUP(4543,收盤價!$A:$C,3,0)</f>
        <v>22.05</v>
      </c>
      <c r="D921" s="107">
        <f t="shared" si="154"/>
        <v>15.750000000000002</v>
      </c>
      <c r="E921" s="167">
        <f t="shared" si="155"/>
        <v>2</v>
      </c>
      <c r="F921" s="104">
        <f t="shared" si="156"/>
        <v>1.1478565581686242</v>
      </c>
      <c r="G921" s="167">
        <f>RANK(1.41,AE:AE,0)</f>
        <v>618</v>
      </c>
      <c r="H921" s="365">
        <f t="shared" si="157"/>
        <v>5.3003533568904596E-2</v>
      </c>
      <c r="I921" s="213">
        <f t="shared" si="158"/>
        <v>1103</v>
      </c>
      <c r="J921" s="213">
        <f t="shared" si="159"/>
        <v>768</v>
      </c>
      <c r="K921">
        <f>RANK(0.83,AI:AI,0)</f>
        <v>1098</v>
      </c>
      <c r="L921" s="357">
        <v>0</v>
      </c>
      <c r="M921" s="357">
        <v>1</v>
      </c>
      <c r="N921" s="357">
        <v>1</v>
      </c>
      <c r="O921" s="357">
        <v>0</v>
      </c>
      <c r="P921" s="357">
        <v>0</v>
      </c>
      <c r="Q921" s="358">
        <v>0.24104234527687296</v>
      </c>
      <c r="R921" s="359">
        <v>0.35</v>
      </c>
      <c r="S921" s="196">
        <v>1087270000</v>
      </c>
      <c r="T921" s="196">
        <v>56600000</v>
      </c>
      <c r="U921" s="200">
        <f t="shared" si="160"/>
        <v>1248030000</v>
      </c>
      <c r="V921" s="196">
        <v>27000000</v>
      </c>
      <c r="W921" s="196">
        <v>506000000</v>
      </c>
      <c r="X921" s="196">
        <v>857000000</v>
      </c>
      <c r="Y921" s="196">
        <v>1464000000</v>
      </c>
      <c r="Z921" s="196">
        <v>182000000</v>
      </c>
      <c r="AA921" s="198">
        <v>0.02</v>
      </c>
      <c r="AB921" s="198">
        <v>0.02</v>
      </c>
      <c r="AC921" s="213">
        <f t="shared" si="161"/>
        <v>616</v>
      </c>
      <c r="AD921" s="213">
        <f t="shared" si="162"/>
        <v>487</v>
      </c>
      <c r="AE921" s="213">
        <v>1.41</v>
      </c>
      <c r="AF921" s="196">
        <v>-3000000</v>
      </c>
      <c r="AG921" s="104">
        <f t="shared" si="163"/>
        <v>-5.3003533568904596E-2</v>
      </c>
      <c r="AH921" s="104">
        <f t="shared" si="164"/>
        <v>0</v>
      </c>
      <c r="AI921" s="195">
        <v>0.83</v>
      </c>
      <c r="AO921" s="213"/>
      <c r="AP921" s="213"/>
      <c r="AQ921" s="213"/>
      <c r="AR921" s="213"/>
      <c r="AS921" s="213"/>
      <c r="AT921" s="213"/>
      <c r="AU921" s="213"/>
      <c r="AV921" s="213"/>
    </row>
    <row r="922" spans="1:48">
      <c r="A922">
        <v>4545</v>
      </c>
      <c r="C922" s="107">
        <f>VLOOKUP(4545,收盤價!$A:$C,3,0)</f>
        <v>51.3</v>
      </c>
      <c r="D922" s="107">
        <f t="shared" si="154"/>
        <v>20.357142857142854</v>
      </c>
      <c r="E922" s="167">
        <f t="shared" si="155"/>
        <v>4</v>
      </c>
      <c r="F922" s="104">
        <f t="shared" si="156"/>
        <v>1.3408341202755463</v>
      </c>
      <c r="G922" s="167">
        <f>RANK(1.94,AE:AE,0)</f>
        <v>435</v>
      </c>
      <c r="H922" s="365">
        <f t="shared" si="157"/>
        <v>0.30303030303030321</v>
      </c>
      <c r="I922" s="213">
        <f t="shared" si="158"/>
        <v>383</v>
      </c>
      <c r="J922" s="213">
        <f t="shared" si="159"/>
        <v>330</v>
      </c>
      <c r="K922">
        <f>RANK(2.19,AI:AI,0)</f>
        <v>296</v>
      </c>
      <c r="L922" s="357">
        <v>0</v>
      </c>
      <c r="M922" s="357">
        <v>1</v>
      </c>
      <c r="N922" s="357">
        <v>2</v>
      </c>
      <c r="O922" s="357">
        <v>1</v>
      </c>
      <c r="P922" s="357">
        <v>0</v>
      </c>
      <c r="Q922" s="358">
        <v>0.26941362916006339</v>
      </c>
      <c r="R922" s="359">
        <v>0.63</v>
      </c>
      <c r="S922" s="196">
        <v>2946002000</v>
      </c>
      <c r="T922" s="196">
        <v>77000000</v>
      </c>
      <c r="U922" s="200">
        <f t="shared" si="160"/>
        <v>3950100000</v>
      </c>
      <c r="V922" s="196">
        <v>63000000</v>
      </c>
      <c r="W922" s="196">
        <v>1292000000</v>
      </c>
      <c r="X922" s="196">
        <v>539000000</v>
      </c>
      <c r="Y922" s="196">
        <v>1926000000</v>
      </c>
      <c r="Z922" s="196">
        <v>212000000</v>
      </c>
      <c r="AA922" s="198">
        <v>0.03</v>
      </c>
      <c r="AB922" s="198">
        <v>0.03</v>
      </c>
      <c r="AC922" s="213">
        <f t="shared" si="161"/>
        <v>469</v>
      </c>
      <c r="AD922" s="213">
        <f t="shared" si="162"/>
        <v>334</v>
      </c>
      <c r="AE922" s="213">
        <v>1.94</v>
      </c>
      <c r="AF922" s="196">
        <v>105000000</v>
      </c>
      <c r="AG922" s="104">
        <f t="shared" si="163"/>
        <v>1.3636363636363635</v>
      </c>
      <c r="AH922" s="104">
        <f t="shared" si="164"/>
        <v>1.6666666666666667</v>
      </c>
      <c r="AI922" s="195">
        <v>2.19</v>
      </c>
      <c r="AO922" s="213"/>
      <c r="AP922" s="213"/>
      <c r="AQ922" s="213"/>
      <c r="AR922" s="213"/>
      <c r="AS922" s="213"/>
      <c r="AT922" s="213"/>
      <c r="AU922" s="213"/>
      <c r="AV922" s="213"/>
    </row>
    <row r="923" spans="1:48">
      <c r="A923">
        <v>4549</v>
      </c>
      <c r="C923" s="107">
        <f>VLOOKUP(4549,收盤價!$A:$C,3,0)</f>
        <v>83.9</v>
      </c>
      <c r="D923" s="107">
        <f t="shared" si="154"/>
        <v>24.720535714285717</v>
      </c>
      <c r="E923" s="167">
        <f t="shared" si="155"/>
        <v>3</v>
      </c>
      <c r="F923" s="104">
        <f t="shared" si="156"/>
        <v>3.8582288177562227</v>
      </c>
      <c r="G923" s="167">
        <f>RANK(1.94,AE:AE,0)</f>
        <v>435</v>
      </c>
      <c r="H923" s="365">
        <f t="shared" si="157"/>
        <v>-7.4734748010609975E-2</v>
      </c>
      <c r="I923" s="213">
        <f t="shared" si="158"/>
        <v>404</v>
      </c>
      <c r="J923" s="213">
        <f t="shared" si="159"/>
        <v>448</v>
      </c>
      <c r="K923">
        <f>RANK(1.83,AI:AI,0)</f>
        <v>407</v>
      </c>
      <c r="L923" s="357">
        <v>0</v>
      </c>
      <c r="M923" s="357">
        <v>0</v>
      </c>
      <c r="N923" s="357">
        <v>2</v>
      </c>
      <c r="O923" s="357">
        <v>1</v>
      </c>
      <c r="P923" s="357">
        <v>0</v>
      </c>
      <c r="Q923" s="358">
        <v>0.54672897196261683</v>
      </c>
      <c r="R923" s="359">
        <v>0.84848484848484851</v>
      </c>
      <c r="S923" s="196">
        <v>819814000</v>
      </c>
      <c r="T923" s="196">
        <v>37700000</v>
      </c>
      <c r="U923" s="200">
        <f t="shared" si="160"/>
        <v>3163030000</v>
      </c>
      <c r="V923" s="196">
        <v>40000000</v>
      </c>
      <c r="W923" s="196">
        <v>740000000</v>
      </c>
      <c r="X923" s="196">
        <v>413000000</v>
      </c>
      <c r="Y923" s="196">
        <v>1170000000</v>
      </c>
      <c r="Z923" s="196">
        <v>30000000</v>
      </c>
      <c r="AA923" s="198">
        <v>0.03</v>
      </c>
      <c r="AB923" s="198">
        <v>0.03</v>
      </c>
      <c r="AC923" s="213">
        <f t="shared" si="161"/>
        <v>469</v>
      </c>
      <c r="AD923" s="213">
        <f t="shared" si="162"/>
        <v>334</v>
      </c>
      <c r="AE923" s="213">
        <v>1.94</v>
      </c>
      <c r="AF923" s="196">
        <v>49000000</v>
      </c>
      <c r="AG923" s="104">
        <f t="shared" si="163"/>
        <v>1.2997347480106101</v>
      </c>
      <c r="AH923" s="104">
        <f t="shared" si="164"/>
        <v>1.2250000000000001</v>
      </c>
      <c r="AI923" s="195">
        <v>1.83</v>
      </c>
      <c r="AO923" s="213"/>
      <c r="AP923" s="213"/>
      <c r="AQ923" s="213"/>
      <c r="AR923" s="213"/>
      <c r="AS923" s="213"/>
      <c r="AT923" s="213"/>
      <c r="AU923" s="213"/>
      <c r="AV923" s="213"/>
    </row>
    <row r="924" spans="1:48">
      <c r="A924">
        <v>4550</v>
      </c>
      <c r="C924" s="107">
        <f>VLOOKUP(4550,收盤價!$A:$C,3,0)</f>
        <v>23.75</v>
      </c>
      <c r="D924" s="107">
        <f t="shared" si="154"/>
        <v>16.787574404761905</v>
      </c>
      <c r="E924" s="167">
        <f t="shared" si="155"/>
        <v>2</v>
      </c>
      <c r="F924" s="104">
        <f t="shared" si="156"/>
        <v>0.50560355093357034</v>
      </c>
      <c r="G924" s="167">
        <f>RANK(1.41,AE:AE,0)</f>
        <v>618</v>
      </c>
      <c r="H924" s="365">
        <f t="shared" si="157"/>
        <v>1.90625</v>
      </c>
      <c r="I924" s="213">
        <f t="shared" si="158"/>
        <v>1508</v>
      </c>
      <c r="J924" s="213">
        <f t="shared" si="159"/>
        <v>768</v>
      </c>
      <c r="K924">
        <f>RANK(0.68,AI:AI,0)</f>
        <v>1507</v>
      </c>
      <c r="L924" s="357">
        <v>0</v>
      </c>
      <c r="M924" s="357">
        <v>1</v>
      </c>
      <c r="N924" s="357">
        <v>1</v>
      </c>
      <c r="O924" s="357">
        <v>0</v>
      </c>
      <c r="P924" s="357">
        <v>0</v>
      </c>
      <c r="Q924" s="358">
        <v>6.9408740359897178E-2</v>
      </c>
      <c r="R924" s="359">
        <v>0.35368421052631577</v>
      </c>
      <c r="S924" s="196">
        <v>1503154000</v>
      </c>
      <c r="T924" s="196">
        <v>32000000</v>
      </c>
      <c r="U924" s="200">
        <f t="shared" si="160"/>
        <v>760000000</v>
      </c>
      <c r="V924" s="196">
        <v>16000000</v>
      </c>
      <c r="W924" s="196">
        <v>541000000</v>
      </c>
      <c r="X924" s="196">
        <v>106000000</v>
      </c>
      <c r="Y924" s="196">
        <v>652000000</v>
      </c>
      <c r="Z924" s="196">
        <v>120000000</v>
      </c>
      <c r="AA924" s="198">
        <v>0.02</v>
      </c>
      <c r="AB924" s="198">
        <v>0.02</v>
      </c>
      <c r="AC924" s="213">
        <f t="shared" si="161"/>
        <v>616</v>
      </c>
      <c r="AD924" s="213">
        <f t="shared" si="162"/>
        <v>487</v>
      </c>
      <c r="AE924" s="213">
        <v>1.41</v>
      </c>
      <c r="AF924" s="196">
        <v>-61000000</v>
      </c>
      <c r="AG924" s="104">
        <f t="shared" si="163"/>
        <v>-1.90625</v>
      </c>
      <c r="AH924" s="104">
        <f t="shared" si="164"/>
        <v>0</v>
      </c>
      <c r="AI924" s="195">
        <v>0.68</v>
      </c>
      <c r="AO924" s="213"/>
      <c r="AP924" s="213"/>
      <c r="AQ924" s="213"/>
      <c r="AR924" s="213"/>
      <c r="AS924" s="213"/>
      <c r="AT924" s="213"/>
      <c r="AU924" s="213"/>
      <c r="AV924" s="213"/>
    </row>
    <row r="925" spans="1:48">
      <c r="A925">
        <v>4551</v>
      </c>
      <c r="C925" s="107">
        <f>VLOOKUP(4551,收盤價!$A:$C,3,0)</f>
        <v>145</v>
      </c>
      <c r="D925" s="107">
        <f t="shared" si="154"/>
        <v>26.268115942028988</v>
      </c>
      <c r="E925" s="167">
        <f t="shared" si="155"/>
        <v>5</v>
      </c>
      <c r="F925" s="104">
        <f t="shared" si="156"/>
        <v>3.5778587620256186</v>
      </c>
      <c r="G925" s="167">
        <f>RANK(0.84,AE:AE,0)</f>
        <v>946</v>
      </c>
      <c r="H925" s="365">
        <f t="shared" si="157"/>
        <v>-1.9536019536019535</v>
      </c>
      <c r="I925" s="213">
        <f t="shared" si="158"/>
        <v>239</v>
      </c>
      <c r="J925" s="213">
        <f t="shared" si="159"/>
        <v>768</v>
      </c>
      <c r="K925">
        <f>RANK(1.55,AI:AI,0)</f>
        <v>529</v>
      </c>
      <c r="L925" s="357">
        <v>1</v>
      </c>
      <c r="M925" s="357">
        <v>1</v>
      </c>
      <c r="N925" s="357">
        <v>2</v>
      </c>
      <c r="O925" s="357">
        <v>1</v>
      </c>
      <c r="P925" s="357">
        <v>0</v>
      </c>
      <c r="Q925" s="358">
        <v>0.30113636363636365</v>
      </c>
      <c r="R925" s="359">
        <v>1.38</v>
      </c>
      <c r="S925" s="196">
        <v>3319164000</v>
      </c>
      <c r="T925" s="196">
        <v>81900000</v>
      </c>
      <c r="U925" s="200">
        <f t="shared" si="160"/>
        <v>11875500000</v>
      </c>
      <c r="V925" s="196">
        <v>0</v>
      </c>
      <c r="W925" s="196">
        <v>297000000</v>
      </c>
      <c r="X925" s="196">
        <v>1822000000</v>
      </c>
      <c r="Y925" s="196">
        <v>2517000000</v>
      </c>
      <c r="Z925" s="196">
        <v>1115000000</v>
      </c>
      <c r="AA925" s="198">
        <v>0</v>
      </c>
      <c r="AB925" s="198">
        <v>0</v>
      </c>
      <c r="AC925" s="213">
        <f t="shared" si="161"/>
        <v>945</v>
      </c>
      <c r="AD925" s="213">
        <f t="shared" si="162"/>
        <v>911</v>
      </c>
      <c r="AE925" s="213">
        <v>0.84</v>
      </c>
      <c r="AF925" s="196">
        <v>160000000</v>
      </c>
      <c r="AG925" s="104">
        <f t="shared" si="163"/>
        <v>1.9536019536019535</v>
      </c>
      <c r="AH925" s="104">
        <f t="shared" si="164"/>
        <v>0</v>
      </c>
      <c r="AI925" s="195">
        <v>1.55</v>
      </c>
    </row>
    <row r="926" spans="1:48">
      <c r="A926">
        <v>4552</v>
      </c>
      <c r="C926" s="107">
        <f>VLOOKUP(4552,收盤價!$A:$C,3,0)</f>
        <v>111.5</v>
      </c>
      <c r="D926" s="107">
        <f t="shared" si="154"/>
        <v>10.721153846153845</v>
      </c>
      <c r="E926" s="167">
        <f t="shared" si="155"/>
        <v>3</v>
      </c>
      <c r="F926" s="104">
        <f t="shared" si="156"/>
        <v>6.8472493640621419</v>
      </c>
      <c r="G926" s="167">
        <f>RANK(27.33,AE:AE,0)</f>
        <v>23</v>
      </c>
      <c r="H926" s="365">
        <f t="shared" si="157"/>
        <v>-2.0897245434849889</v>
      </c>
      <c r="I926" s="213">
        <f t="shared" si="158"/>
        <v>137</v>
      </c>
      <c r="J926" s="213">
        <f t="shared" si="159"/>
        <v>629</v>
      </c>
      <c r="K926">
        <f>RANK(2.03,AI:AI,0)</f>
        <v>328</v>
      </c>
      <c r="L926" s="357">
        <v>0</v>
      </c>
      <c r="M926" s="357">
        <v>0</v>
      </c>
      <c r="N926" s="357">
        <v>2</v>
      </c>
      <c r="O926" s="357">
        <v>1</v>
      </c>
      <c r="P926" s="357">
        <v>0</v>
      </c>
      <c r="Q926" s="358">
        <v>0.23779904306220095</v>
      </c>
      <c r="R926" s="359">
        <v>2.6</v>
      </c>
      <c r="S926" s="196">
        <v>1465552000</v>
      </c>
      <c r="T926" s="196">
        <v>90000000</v>
      </c>
      <c r="U926" s="200">
        <f t="shared" si="160"/>
        <v>10035000000</v>
      </c>
      <c r="V926" s="196">
        <v>359000000</v>
      </c>
      <c r="W926" s="196">
        <v>2936000000</v>
      </c>
      <c r="X926" s="196">
        <v>453000000</v>
      </c>
      <c r="Y926" s="196">
        <v>3432000000</v>
      </c>
      <c r="Z926" s="196">
        <v>102000000</v>
      </c>
      <c r="AA926" s="198">
        <v>0.11</v>
      </c>
      <c r="AB926" s="198">
        <v>0.1</v>
      </c>
      <c r="AC926" s="213">
        <f t="shared" si="161"/>
        <v>40</v>
      </c>
      <c r="AD926" s="213">
        <f t="shared" si="162"/>
        <v>17</v>
      </c>
      <c r="AE926" s="213">
        <v>27.33</v>
      </c>
      <c r="AF926" s="196">
        <v>251000000</v>
      </c>
      <c r="AG926" s="104">
        <f t="shared" si="163"/>
        <v>2.7888888888888888</v>
      </c>
      <c r="AH926" s="104">
        <f t="shared" si="164"/>
        <v>0.69916434540389971</v>
      </c>
      <c r="AI926" s="195">
        <v>2.0299999999999998</v>
      </c>
      <c r="AO926" s="213"/>
      <c r="AP926" s="213"/>
      <c r="AQ926" s="213"/>
      <c r="AR926" s="213"/>
      <c r="AS926" s="213"/>
      <c r="AT926" s="213"/>
      <c r="AU926" s="213"/>
      <c r="AV926" s="213"/>
    </row>
    <row r="927" spans="1:48">
      <c r="A927">
        <v>4554</v>
      </c>
      <c r="C927" s="107">
        <f>VLOOKUP(4554,收盤價!$A:$C,3,0)</f>
        <v>62.5</v>
      </c>
      <c r="D927" s="107">
        <f t="shared" si="154"/>
        <v>17.806267806267805</v>
      </c>
      <c r="E927" s="167">
        <f t="shared" si="155"/>
        <v>3</v>
      </c>
      <c r="F927" s="104">
        <f t="shared" si="156"/>
        <v>1.7781433709268921</v>
      </c>
      <c r="G927" s="167">
        <f>RANK(6.8,AE:AE,0)</f>
        <v>115</v>
      </c>
      <c r="H927" s="365">
        <f t="shared" si="157"/>
        <v>0.43478260869565216</v>
      </c>
      <c r="I927" s="213">
        <f t="shared" si="158"/>
        <v>1327</v>
      </c>
      <c r="J927" s="213">
        <f t="shared" si="159"/>
        <v>768</v>
      </c>
      <c r="K927">
        <f>RANK(0.74,AI:AI,0)</f>
        <v>1324</v>
      </c>
      <c r="L927" s="357">
        <v>1</v>
      </c>
      <c r="M927" s="357">
        <v>1</v>
      </c>
      <c r="N927" s="357">
        <v>0</v>
      </c>
      <c r="O927" s="357">
        <v>0</v>
      </c>
      <c r="P927" s="357">
        <v>1</v>
      </c>
      <c r="Q927" s="358">
        <v>0.3858695652173913</v>
      </c>
      <c r="R927" s="359">
        <v>0.87750000000000006</v>
      </c>
      <c r="S927" s="196">
        <v>646742000</v>
      </c>
      <c r="T927" s="196">
        <v>18400000</v>
      </c>
      <c r="U927" s="200">
        <f t="shared" si="160"/>
        <v>1150000000</v>
      </c>
      <c r="V927" s="196">
        <v>18000000</v>
      </c>
      <c r="W927" s="196">
        <v>214000000</v>
      </c>
      <c r="X927" s="196">
        <v>53000000</v>
      </c>
      <c r="Y927" s="196">
        <v>303000000</v>
      </c>
      <c r="Z927" s="196">
        <v>0</v>
      </c>
      <c r="AA927" s="198">
        <v>7.0000000000000007E-2</v>
      </c>
      <c r="AB927" s="198">
        <v>0.06</v>
      </c>
      <c r="AC927" s="213">
        <f t="shared" si="161"/>
        <v>134</v>
      </c>
      <c r="AD927" s="213">
        <f t="shared" si="162"/>
        <v>95</v>
      </c>
      <c r="AE927" s="213">
        <v>6.8</v>
      </c>
      <c r="AF927" s="196">
        <v>-8000000</v>
      </c>
      <c r="AG927" s="104">
        <f t="shared" si="163"/>
        <v>-0.43478260869565216</v>
      </c>
      <c r="AH927" s="104">
        <f t="shared" si="164"/>
        <v>0</v>
      </c>
      <c r="AI927" s="195">
        <v>0.74</v>
      </c>
    </row>
    <row r="928" spans="1:48">
      <c r="A928">
        <v>4555</v>
      </c>
      <c r="C928" s="107">
        <f>VLOOKUP(4555,收盤價!$A:$C,3,0)</f>
        <v>53.7</v>
      </c>
      <c r="D928" s="107">
        <f t="shared" si="154"/>
        <v>13.984375000000002</v>
      </c>
      <c r="E928" s="167">
        <f t="shared" si="155"/>
        <v>4</v>
      </c>
      <c r="F928" s="104">
        <f t="shared" si="156"/>
        <v>2.7325126356261906</v>
      </c>
      <c r="G928" s="167">
        <f>RANK(0.84,AE:AE,0)</f>
        <v>946</v>
      </c>
      <c r="H928" s="365">
        <f t="shared" si="157"/>
        <v>-0.86696562032884905</v>
      </c>
      <c r="I928" s="213">
        <f t="shared" si="158"/>
        <v>578</v>
      </c>
      <c r="J928" s="213">
        <f t="shared" si="159"/>
        <v>768</v>
      </c>
      <c r="K928">
        <f>RANK(1.16,AI:AI,0)</f>
        <v>750</v>
      </c>
      <c r="L928" s="357">
        <v>0</v>
      </c>
      <c r="M928" s="357">
        <v>1</v>
      </c>
      <c r="N928" s="357">
        <v>2</v>
      </c>
      <c r="O928" s="357">
        <v>1</v>
      </c>
      <c r="P928" s="357">
        <v>0</v>
      </c>
      <c r="Q928" s="358">
        <v>0.41878172588832485</v>
      </c>
      <c r="R928" s="359">
        <v>0.96</v>
      </c>
      <c r="S928" s="196">
        <v>1314735000</v>
      </c>
      <c r="T928" s="196">
        <v>66900000</v>
      </c>
      <c r="U928" s="200">
        <f t="shared" si="160"/>
        <v>3592530000</v>
      </c>
      <c r="V928" s="196">
        <v>0</v>
      </c>
      <c r="W928" s="196">
        <v>901000000</v>
      </c>
      <c r="X928" s="196">
        <v>1718000000</v>
      </c>
      <c r="Y928" s="196">
        <v>2620000000</v>
      </c>
      <c r="Z928" s="196">
        <v>74000000</v>
      </c>
      <c r="AA928" s="198">
        <v>0</v>
      </c>
      <c r="AB928" s="198">
        <v>0</v>
      </c>
      <c r="AC928" s="213">
        <f t="shared" si="161"/>
        <v>945</v>
      </c>
      <c r="AD928" s="213">
        <f t="shared" si="162"/>
        <v>911</v>
      </c>
      <c r="AE928" s="213">
        <v>0.84</v>
      </c>
      <c r="AF928" s="196">
        <v>58000000</v>
      </c>
      <c r="AG928" s="104">
        <f t="shared" si="163"/>
        <v>0.86696562032884905</v>
      </c>
      <c r="AH928" s="104">
        <f t="shared" si="164"/>
        <v>0</v>
      </c>
      <c r="AI928" s="195">
        <v>1.1599999999999999</v>
      </c>
    </row>
    <row r="929" spans="1:48">
      <c r="A929">
        <v>4556</v>
      </c>
      <c r="C929" s="107">
        <f>VLOOKUP(4556,收盤價!$A:$C,3,0)</f>
        <v>33.25</v>
      </c>
      <c r="D929" s="107">
        <f t="shared" si="154"/>
        <v>45.71875</v>
      </c>
      <c r="E929" s="167">
        <f t="shared" si="155"/>
        <v>2</v>
      </c>
      <c r="F929" s="104">
        <f t="shared" si="156"/>
        <v>3.0750233175255834</v>
      </c>
      <c r="G929" s="167">
        <f>RANK(1.08,AE:AE,0)</f>
        <v>769</v>
      </c>
      <c r="H929" s="365">
        <f t="shared" si="157"/>
        <v>0.28409090909090912</v>
      </c>
      <c r="I929" s="213">
        <f t="shared" si="158"/>
        <v>1263</v>
      </c>
      <c r="J929" s="213">
        <f t="shared" si="159"/>
        <v>768</v>
      </c>
      <c r="K929">
        <f>RANK(0.77,AI:AI,0)</f>
        <v>1243</v>
      </c>
      <c r="L929" s="357">
        <v>0</v>
      </c>
      <c r="M929" s="357">
        <v>1</v>
      </c>
      <c r="N929" s="357">
        <v>1</v>
      </c>
      <c r="O929" s="357">
        <v>0</v>
      </c>
      <c r="P929" s="357">
        <v>0</v>
      </c>
      <c r="Q929" s="358">
        <v>0.44791666666666669</v>
      </c>
      <c r="R929" s="359">
        <v>0.18181818181818182</v>
      </c>
      <c r="S929" s="196">
        <v>380615000</v>
      </c>
      <c r="T929" s="196">
        <v>35200000</v>
      </c>
      <c r="U929" s="200">
        <f t="shared" si="160"/>
        <v>1170400000</v>
      </c>
      <c r="V929" s="196">
        <v>8000000</v>
      </c>
      <c r="W929" s="196">
        <v>189000000</v>
      </c>
      <c r="X929" s="196">
        <v>385000000</v>
      </c>
      <c r="Y929" s="196">
        <v>599000000</v>
      </c>
      <c r="Z929" s="196">
        <v>163000000</v>
      </c>
      <c r="AA929" s="198">
        <v>0.01</v>
      </c>
      <c r="AB929" s="198">
        <v>0.01</v>
      </c>
      <c r="AC929" s="213">
        <f t="shared" si="161"/>
        <v>769</v>
      </c>
      <c r="AD929" s="213">
        <f t="shared" si="162"/>
        <v>680</v>
      </c>
      <c r="AE929" s="213">
        <v>1.08</v>
      </c>
      <c r="AF929" s="196">
        <v>-10000000</v>
      </c>
      <c r="AG929" s="104">
        <f t="shared" si="163"/>
        <v>-0.28409090909090912</v>
      </c>
      <c r="AH929" s="104">
        <f t="shared" si="164"/>
        <v>0</v>
      </c>
      <c r="AI929" s="195">
        <v>0.77</v>
      </c>
    </row>
    <row r="930" spans="1:48">
      <c r="A930">
        <v>4557</v>
      </c>
      <c r="C930" s="107">
        <f>VLOOKUP(4557,收盤價!$A:$C,3,0)</f>
        <v>68.5</v>
      </c>
      <c r="D930" s="107">
        <f t="shared" si="154"/>
        <v>8.6808755760368665</v>
      </c>
      <c r="E930" s="167">
        <f t="shared" si="155"/>
        <v>3</v>
      </c>
      <c r="F930" s="104">
        <f t="shared" si="156"/>
        <v>1.6630356310015908</v>
      </c>
      <c r="G930" s="167">
        <f>RANK(11.21,AE:AE,0)</f>
        <v>64</v>
      </c>
      <c r="H930" s="365">
        <f t="shared" si="157"/>
        <v>-0.39063083240014934</v>
      </c>
      <c r="I930" s="213">
        <f t="shared" si="158"/>
        <v>689</v>
      </c>
      <c r="J930" s="213">
        <f t="shared" si="159"/>
        <v>735</v>
      </c>
      <c r="K930">
        <f>RANK(1.09,AI:AI,0)</f>
        <v>803</v>
      </c>
      <c r="L930" s="357">
        <v>0</v>
      </c>
      <c r="M930" s="357">
        <v>1</v>
      </c>
      <c r="N930" s="357">
        <v>0</v>
      </c>
      <c r="O930" s="357">
        <v>1</v>
      </c>
      <c r="P930" s="357">
        <v>1</v>
      </c>
      <c r="Q930" s="358">
        <v>0.37731481481481483</v>
      </c>
      <c r="R930" s="359">
        <v>1.9727272727272729</v>
      </c>
      <c r="S930" s="196">
        <v>1408689000</v>
      </c>
      <c r="T930" s="196">
        <v>34200000</v>
      </c>
      <c r="U930" s="200">
        <f t="shared" si="160"/>
        <v>2342700000</v>
      </c>
      <c r="V930" s="196">
        <v>94000000</v>
      </c>
      <c r="W930" s="196">
        <v>616000000</v>
      </c>
      <c r="X930" s="196">
        <v>537000000</v>
      </c>
      <c r="Y930" s="196">
        <v>1192000000</v>
      </c>
      <c r="Z930" s="196">
        <v>0</v>
      </c>
      <c r="AA930" s="198">
        <v>0.08</v>
      </c>
      <c r="AB930" s="198">
        <v>0.08</v>
      </c>
      <c r="AC930" s="213">
        <f t="shared" si="161"/>
        <v>97</v>
      </c>
      <c r="AD930" s="213">
        <f t="shared" si="162"/>
        <v>42</v>
      </c>
      <c r="AE930" s="213">
        <v>11.21</v>
      </c>
      <c r="AF930" s="196">
        <v>21000000</v>
      </c>
      <c r="AG930" s="104">
        <f t="shared" si="163"/>
        <v>0.61403508771929827</v>
      </c>
      <c r="AH930" s="104">
        <f t="shared" si="164"/>
        <v>0.22340425531914893</v>
      </c>
      <c r="AI930" s="195">
        <v>1.0900000000000001</v>
      </c>
    </row>
    <row r="931" spans="1:48">
      <c r="A931">
        <v>4609</v>
      </c>
      <c r="C931" s="107">
        <f>VLOOKUP(4609,收盤價!$A:$C,3,0)</f>
        <v>10.4</v>
      </c>
      <c r="D931" s="107">
        <f t="shared" si="154"/>
        <v>0</v>
      </c>
      <c r="E931" s="167">
        <f t="shared" si="155"/>
        <v>2</v>
      </c>
      <c r="F931" s="104">
        <f t="shared" si="156"/>
        <v>0.47824813874341782</v>
      </c>
      <c r="G931" s="167">
        <f>RANK(0.84,AE:AE,0)</f>
        <v>946</v>
      </c>
      <c r="H931" s="365">
        <f t="shared" si="157"/>
        <v>2.3799582463465554</v>
      </c>
      <c r="I931" s="213">
        <f t="shared" si="158"/>
        <v>1526</v>
      </c>
      <c r="J931" s="213">
        <f t="shared" si="159"/>
        <v>768</v>
      </c>
      <c r="K931">
        <f>RANK(0.68,AI:AI,0)</f>
        <v>1507</v>
      </c>
      <c r="L931" s="357">
        <v>0</v>
      </c>
      <c r="M931" s="357">
        <v>1</v>
      </c>
      <c r="N931" s="357">
        <v>1</v>
      </c>
      <c r="O931" s="357">
        <v>0</v>
      </c>
      <c r="P931" s="357">
        <v>0</v>
      </c>
      <c r="Q931" s="358">
        <v>0.20476190476190476</v>
      </c>
      <c r="R931" s="359">
        <v>0</v>
      </c>
      <c r="S931" s="196">
        <v>1041635000</v>
      </c>
      <c r="T931" s="196">
        <v>47900000</v>
      </c>
      <c r="U931" s="200">
        <f t="shared" si="160"/>
        <v>498160000</v>
      </c>
      <c r="V931" s="196">
        <v>-2000000</v>
      </c>
      <c r="W931" s="196">
        <v>240000000</v>
      </c>
      <c r="X931" s="196">
        <v>204000000</v>
      </c>
      <c r="Y931" s="196">
        <v>452000000</v>
      </c>
      <c r="Z931" s="196">
        <v>167000000</v>
      </c>
      <c r="AA931" s="198">
        <v>0</v>
      </c>
      <c r="AB931" s="198">
        <v>0</v>
      </c>
      <c r="AC931" s="213">
        <f t="shared" si="161"/>
        <v>945</v>
      </c>
      <c r="AD931" s="213">
        <f t="shared" si="162"/>
        <v>911</v>
      </c>
      <c r="AE931" s="213">
        <v>0.84</v>
      </c>
      <c r="AF931" s="196">
        <v>-114000000</v>
      </c>
      <c r="AG931" s="104">
        <f t="shared" si="163"/>
        <v>-2.3799582463465554</v>
      </c>
      <c r="AH931" s="104">
        <f t="shared" si="164"/>
        <v>0</v>
      </c>
      <c r="AI931" s="195">
        <v>0.68</v>
      </c>
    </row>
    <row r="932" spans="1:48">
      <c r="A932">
        <v>4702</v>
      </c>
      <c r="C932" s="107">
        <f>VLOOKUP(4702,收盤價!$A:$C,3,0)</f>
        <v>8.25</v>
      </c>
      <c r="D932" s="107">
        <f t="shared" si="154"/>
        <v>0</v>
      </c>
      <c r="E932" s="167">
        <f t="shared" si="155"/>
        <v>4</v>
      </c>
      <c r="F932" s="104">
        <f t="shared" si="156"/>
        <v>2.022750701220243</v>
      </c>
      <c r="G932" s="167">
        <f>RANK(0.84,AE:AE,0)</f>
        <v>946</v>
      </c>
      <c r="H932" s="365">
        <f t="shared" si="157"/>
        <v>-0.25777777777777777</v>
      </c>
      <c r="I932" s="213">
        <f t="shared" si="158"/>
        <v>887</v>
      </c>
      <c r="J932" s="213">
        <f t="shared" si="159"/>
        <v>768</v>
      </c>
      <c r="K932">
        <f>RANK(0.94,AI:AI,0)</f>
        <v>936</v>
      </c>
      <c r="L932" s="357">
        <v>0</v>
      </c>
      <c r="M932" s="357">
        <v>1</v>
      </c>
      <c r="N932" s="357">
        <v>2</v>
      </c>
      <c r="O932" s="357">
        <v>1</v>
      </c>
      <c r="P932" s="357">
        <v>0</v>
      </c>
      <c r="Q932" s="358">
        <v>0.17254901960784313</v>
      </c>
      <c r="R932" s="359">
        <v>0</v>
      </c>
      <c r="S932" s="196">
        <v>917686000</v>
      </c>
      <c r="T932" s="196">
        <v>225000000</v>
      </c>
      <c r="U932" s="200">
        <f t="shared" si="160"/>
        <v>1856250000</v>
      </c>
      <c r="V932" s="196">
        <v>0</v>
      </c>
      <c r="W932" s="196">
        <v>184000000</v>
      </c>
      <c r="X932" s="196">
        <v>87000000</v>
      </c>
      <c r="Y932" s="196">
        <v>3054000000</v>
      </c>
      <c r="Z932" s="196">
        <v>365000000</v>
      </c>
      <c r="AA932" s="198">
        <v>0</v>
      </c>
      <c r="AB932" s="198">
        <v>0</v>
      </c>
      <c r="AC932" s="213">
        <f t="shared" si="161"/>
        <v>945</v>
      </c>
      <c r="AD932" s="213">
        <f t="shared" si="162"/>
        <v>911</v>
      </c>
      <c r="AE932" s="213">
        <v>0.84</v>
      </c>
      <c r="AF932" s="196">
        <v>58000000</v>
      </c>
      <c r="AG932" s="104">
        <f t="shared" si="163"/>
        <v>0.25777777777777777</v>
      </c>
      <c r="AH932" s="104">
        <f t="shared" si="164"/>
        <v>0</v>
      </c>
      <c r="AI932" s="195">
        <v>0.94</v>
      </c>
      <c r="AO932" s="213"/>
      <c r="AP932" s="213"/>
      <c r="AQ932" s="213"/>
      <c r="AR932" s="213"/>
      <c r="AS932" s="213"/>
      <c r="AT932" s="213"/>
      <c r="AU932" s="213"/>
      <c r="AV932" s="213"/>
    </row>
    <row r="933" spans="1:48">
      <c r="A933">
        <v>4706</v>
      </c>
      <c r="C933" s="107">
        <f>VLOOKUP(4706,收盤價!$A:$C,3,0)</f>
        <v>22.4</v>
      </c>
      <c r="D933" s="107">
        <f t="shared" si="154"/>
        <v>9.1851851851851833</v>
      </c>
      <c r="E933" s="167">
        <f t="shared" si="155"/>
        <v>4</v>
      </c>
      <c r="F933" s="104">
        <f t="shared" si="156"/>
        <v>1.07912835504884</v>
      </c>
      <c r="G933" s="167">
        <f>RANK(3.28,AE:AE,0)</f>
        <v>256</v>
      </c>
      <c r="H933" s="365">
        <f t="shared" si="157"/>
        <v>0.14029535864978909</v>
      </c>
      <c r="I933" s="213">
        <f t="shared" si="158"/>
        <v>776</v>
      </c>
      <c r="J933" s="213">
        <f t="shared" si="159"/>
        <v>654</v>
      </c>
      <c r="K933">
        <f>RANK(1.09,AI:AI,0)</f>
        <v>803</v>
      </c>
      <c r="L933" s="357">
        <v>1</v>
      </c>
      <c r="M933" s="357">
        <v>1</v>
      </c>
      <c r="N933" s="357">
        <v>0</v>
      </c>
      <c r="O933" s="357">
        <v>1</v>
      </c>
      <c r="P933" s="357">
        <v>1</v>
      </c>
      <c r="Q933" s="358">
        <v>0.26117647058823529</v>
      </c>
      <c r="R933" s="359">
        <v>0.60967741935483877</v>
      </c>
      <c r="S933" s="196">
        <v>1639842000</v>
      </c>
      <c r="T933" s="196">
        <v>79000000</v>
      </c>
      <c r="U933" s="200">
        <f t="shared" si="160"/>
        <v>1769600000</v>
      </c>
      <c r="V933" s="196">
        <v>60000000</v>
      </c>
      <c r="W933" s="196">
        <v>1060000000</v>
      </c>
      <c r="X933" s="196">
        <v>259000000</v>
      </c>
      <c r="Y933" s="196">
        <v>1348000000</v>
      </c>
      <c r="Z933" s="196">
        <v>120000000</v>
      </c>
      <c r="AA933" s="198">
        <v>0.05</v>
      </c>
      <c r="AB933" s="198">
        <v>0.04</v>
      </c>
      <c r="AC933" s="213">
        <f t="shared" si="161"/>
        <v>247</v>
      </c>
      <c r="AD933" s="213">
        <f t="shared" si="162"/>
        <v>228</v>
      </c>
      <c r="AE933" s="213">
        <v>3.28</v>
      </c>
      <c r="AF933" s="196">
        <v>35000000</v>
      </c>
      <c r="AG933" s="104">
        <f t="shared" si="163"/>
        <v>0.44303797468354428</v>
      </c>
      <c r="AH933" s="104">
        <f t="shared" si="164"/>
        <v>0.58333333333333337</v>
      </c>
      <c r="AI933" s="195">
        <v>1.0900000000000001</v>
      </c>
    </row>
    <row r="934" spans="1:48">
      <c r="A934">
        <v>4707</v>
      </c>
      <c r="C934" s="107">
        <f>VLOOKUP(4707,收盤價!$A:$C,3,0)</f>
        <v>8.77</v>
      </c>
      <c r="D934" s="107">
        <f t="shared" si="154"/>
        <v>34.105555555555554</v>
      </c>
      <c r="E934" s="167">
        <f t="shared" si="155"/>
        <v>2</v>
      </c>
      <c r="F934" s="104">
        <f t="shared" si="156"/>
        <v>1.0709074727537808</v>
      </c>
      <c r="G934" s="167">
        <f>RANK(1.02,AE:AE,0)</f>
        <v>912</v>
      </c>
      <c r="H934" s="365">
        <f t="shared" si="157"/>
        <v>0.49488372093023258</v>
      </c>
      <c r="I934" s="213">
        <f t="shared" si="158"/>
        <v>1024</v>
      </c>
      <c r="J934" s="213">
        <f t="shared" si="159"/>
        <v>659</v>
      </c>
      <c r="K934">
        <f>RANK(0.93,AI:AI,0)</f>
        <v>950</v>
      </c>
      <c r="L934" s="357">
        <v>0</v>
      </c>
      <c r="M934" s="357">
        <v>1</v>
      </c>
      <c r="N934" s="357">
        <v>1</v>
      </c>
      <c r="O934" s="357">
        <v>0</v>
      </c>
      <c r="P934" s="357">
        <v>0</v>
      </c>
      <c r="Q934" s="358">
        <v>7.5789473684210532E-2</v>
      </c>
      <c r="R934" s="359">
        <v>6.4285714285714279E-2</v>
      </c>
      <c r="S934" s="196">
        <v>1760703000</v>
      </c>
      <c r="T934" s="196">
        <v>215000000</v>
      </c>
      <c r="U934" s="200">
        <f t="shared" si="160"/>
        <v>1885550000</v>
      </c>
      <c r="V934" s="196">
        <v>25000000</v>
      </c>
      <c r="W934" s="196">
        <v>0</v>
      </c>
      <c r="X934" s="196">
        <v>1296000000</v>
      </c>
      <c r="Y934" s="196">
        <v>3278000000</v>
      </c>
      <c r="Z934" s="196">
        <v>1754000000</v>
      </c>
      <c r="AA934" s="198">
        <v>0.02</v>
      </c>
      <c r="AB934" s="198">
        <v>0</v>
      </c>
      <c r="AC934" s="213">
        <f t="shared" si="161"/>
        <v>616</v>
      </c>
      <c r="AD934" s="213">
        <f t="shared" si="162"/>
        <v>911</v>
      </c>
      <c r="AE934" s="213">
        <v>1.02</v>
      </c>
      <c r="AF934" s="196">
        <v>14000000</v>
      </c>
      <c r="AG934" s="104">
        <f t="shared" si="163"/>
        <v>6.5116279069767441E-2</v>
      </c>
      <c r="AH934" s="104">
        <f t="shared" si="164"/>
        <v>0.56000000000000005</v>
      </c>
      <c r="AI934" s="195">
        <v>0.93</v>
      </c>
    </row>
    <row r="935" spans="1:48">
      <c r="A935">
        <v>4711</v>
      </c>
      <c r="C935" s="107">
        <f>VLOOKUP(4711,收盤價!$A:$C,3,0)</f>
        <v>20.45</v>
      </c>
      <c r="D935" s="107">
        <f t="shared" si="154"/>
        <v>9.646226415094338</v>
      </c>
      <c r="E935" s="167">
        <f t="shared" si="155"/>
        <v>5</v>
      </c>
      <c r="F935" s="104">
        <f t="shared" si="156"/>
        <v>1.1061804705911515</v>
      </c>
      <c r="G935" s="167">
        <f>RANK(1.94,AE:AE,0)</f>
        <v>435</v>
      </c>
      <c r="H935" s="365">
        <f t="shared" si="157"/>
        <v>0.27823240589198039</v>
      </c>
      <c r="I935" s="213">
        <f t="shared" si="158"/>
        <v>745</v>
      </c>
      <c r="J935" s="213">
        <f t="shared" si="159"/>
        <v>608</v>
      </c>
      <c r="K935">
        <f>RANK(1.15,AI:AI,0)</f>
        <v>757</v>
      </c>
      <c r="L935" s="357">
        <v>1</v>
      </c>
      <c r="M935" s="357">
        <v>1</v>
      </c>
      <c r="N935" s="357">
        <v>2</v>
      </c>
      <c r="O935" s="357">
        <v>1</v>
      </c>
      <c r="P935" s="357">
        <v>0</v>
      </c>
      <c r="Q935" s="358">
        <v>0.20454545454545456</v>
      </c>
      <c r="R935" s="359">
        <v>0.53</v>
      </c>
      <c r="S935" s="196">
        <v>1129558000</v>
      </c>
      <c r="T935" s="196">
        <v>61100000</v>
      </c>
      <c r="U935" s="200">
        <f t="shared" si="160"/>
        <v>1249495000</v>
      </c>
      <c r="V935" s="196">
        <v>39000000</v>
      </c>
      <c r="W935" s="196">
        <v>752000000</v>
      </c>
      <c r="X935" s="196">
        <v>396000000</v>
      </c>
      <c r="Y935" s="196">
        <v>1113000000</v>
      </c>
      <c r="Z935" s="196">
        <v>122000000</v>
      </c>
      <c r="AA935" s="198">
        <v>0.03</v>
      </c>
      <c r="AB935" s="198">
        <v>0.03</v>
      </c>
      <c r="AC935" s="213">
        <f t="shared" si="161"/>
        <v>469</v>
      </c>
      <c r="AD935" s="213">
        <f t="shared" si="162"/>
        <v>334</v>
      </c>
      <c r="AE935" s="213">
        <v>1.94</v>
      </c>
      <c r="AF935" s="196">
        <v>30000000</v>
      </c>
      <c r="AG935" s="104">
        <f t="shared" si="163"/>
        <v>0.49099836333878888</v>
      </c>
      <c r="AH935" s="104">
        <f t="shared" si="164"/>
        <v>0.76923076923076927</v>
      </c>
      <c r="AI935" s="195">
        <v>1.1499999999999999</v>
      </c>
    </row>
    <row r="936" spans="1:48">
      <c r="A936">
        <v>4712</v>
      </c>
      <c r="C936" s="107">
        <f>VLOOKUP(4712,收盤價!$A:$C,3,0)</f>
        <v>7.32</v>
      </c>
      <c r="D936" s="107">
        <f t="shared" si="154"/>
        <v>0</v>
      </c>
      <c r="E936" s="167">
        <f t="shared" si="155"/>
        <v>3</v>
      </c>
      <c r="F936" s="104">
        <f t="shared" si="156"/>
        <v>1.108846662052476</v>
      </c>
      <c r="G936" s="167">
        <f>RANK(0.56,AE:AE,0)</f>
        <v>1414</v>
      </c>
      <c r="H936" s="365">
        <f t="shared" si="157"/>
        <v>-1.6822429906542056</v>
      </c>
      <c r="I936" s="213">
        <f t="shared" si="158"/>
        <v>290</v>
      </c>
      <c r="J936" s="213">
        <f t="shared" si="159"/>
        <v>768</v>
      </c>
      <c r="K936">
        <f>RANK(1.47,AI:AI,0)</f>
        <v>572</v>
      </c>
      <c r="L936" s="357">
        <v>0</v>
      </c>
      <c r="M936" s="357">
        <v>0</v>
      </c>
      <c r="N936" s="357">
        <v>2</v>
      </c>
      <c r="O936" s="357">
        <v>1</v>
      </c>
      <c r="P936" s="357">
        <v>0</v>
      </c>
      <c r="Q936" s="358">
        <v>-6.8027210884353739E-3</v>
      </c>
      <c r="R936" s="359">
        <v>0</v>
      </c>
      <c r="S936" s="196">
        <v>635720000</v>
      </c>
      <c r="T936" s="196">
        <v>96300000</v>
      </c>
      <c r="U936" s="200">
        <f t="shared" si="160"/>
        <v>704916000</v>
      </c>
      <c r="V936" s="196">
        <v>-10000000</v>
      </c>
      <c r="W936" s="196">
        <v>200000000</v>
      </c>
      <c r="X936" s="196">
        <v>15000000</v>
      </c>
      <c r="Y936" s="196">
        <v>763000000</v>
      </c>
      <c r="Z936" s="196">
        <v>0</v>
      </c>
      <c r="AA936" s="198">
        <v>-0.05</v>
      </c>
      <c r="AB936" s="198">
        <v>-0.01</v>
      </c>
      <c r="AC936" s="213">
        <f t="shared" si="161"/>
        <v>1468</v>
      </c>
      <c r="AD936" s="213">
        <f t="shared" si="162"/>
        <v>1294</v>
      </c>
      <c r="AE936" s="213">
        <v>0.56000000000000005</v>
      </c>
      <c r="AF936" s="196">
        <v>162000000</v>
      </c>
      <c r="AG936" s="104">
        <f t="shared" si="163"/>
        <v>1.6822429906542056</v>
      </c>
      <c r="AH936" s="104">
        <f t="shared" si="164"/>
        <v>0</v>
      </c>
      <c r="AI936" s="195">
        <v>1.47</v>
      </c>
      <c r="AO936" s="213"/>
      <c r="AP936" s="213"/>
      <c r="AQ936" s="213"/>
      <c r="AR936" s="213"/>
      <c r="AS936" s="213"/>
      <c r="AT936" s="213"/>
      <c r="AU936" s="213"/>
      <c r="AV936" s="213"/>
    </row>
    <row r="937" spans="1:48">
      <c r="A937">
        <v>4714</v>
      </c>
      <c r="C937" s="107">
        <f>VLOOKUP(4714,收盤價!$A:$C,3,0)</f>
        <v>9.5500000000000007</v>
      </c>
      <c r="D937" s="107">
        <f t="shared" si="154"/>
        <v>28.422619047619047</v>
      </c>
      <c r="E937" s="167">
        <f t="shared" si="155"/>
        <v>2</v>
      </c>
      <c r="F937" s="104">
        <f t="shared" si="156"/>
        <v>1.323769980086047</v>
      </c>
      <c r="G937" s="167">
        <f>RANK(1.2,AE:AE,0)</f>
        <v>710</v>
      </c>
      <c r="H937" s="365">
        <f t="shared" si="157"/>
        <v>0.98759541984732824</v>
      </c>
      <c r="I937" s="213">
        <f t="shared" si="158"/>
        <v>971</v>
      </c>
      <c r="J937" s="213">
        <f t="shared" si="159"/>
        <v>495</v>
      </c>
      <c r="K937">
        <f>RANK(1.06,AI:AI,0)</f>
        <v>836</v>
      </c>
      <c r="L937" s="357">
        <v>0</v>
      </c>
      <c r="M937" s="357">
        <v>1</v>
      </c>
      <c r="N937" s="357">
        <v>0</v>
      </c>
      <c r="O937" s="357">
        <v>1</v>
      </c>
      <c r="P937" s="357">
        <v>0</v>
      </c>
      <c r="Q937" s="358">
        <v>0.23140495867768596</v>
      </c>
      <c r="R937" s="359">
        <v>8.4000000000000005E-2</v>
      </c>
      <c r="S937" s="196">
        <v>472533000</v>
      </c>
      <c r="T937" s="196">
        <v>65500000</v>
      </c>
      <c r="U937" s="200">
        <f t="shared" si="160"/>
        <v>625525000</v>
      </c>
      <c r="V937" s="196">
        <v>8000000</v>
      </c>
      <c r="W937" s="196">
        <v>289000000</v>
      </c>
      <c r="X937" s="196">
        <v>216000000</v>
      </c>
      <c r="Y937" s="196">
        <v>859000000</v>
      </c>
      <c r="Z937" s="196">
        <v>205000000</v>
      </c>
      <c r="AA937" s="198">
        <v>0.02</v>
      </c>
      <c r="AB937" s="198">
        <v>0.01</v>
      </c>
      <c r="AC937" s="213">
        <f t="shared" si="161"/>
        <v>616</v>
      </c>
      <c r="AD937" s="213">
        <f t="shared" si="162"/>
        <v>680</v>
      </c>
      <c r="AE937" s="213">
        <v>1.2</v>
      </c>
      <c r="AF937" s="196">
        <v>9000000</v>
      </c>
      <c r="AG937" s="104">
        <f t="shared" si="163"/>
        <v>0.13740458015267176</v>
      </c>
      <c r="AH937" s="104">
        <f t="shared" si="164"/>
        <v>1.125</v>
      </c>
      <c r="AI937" s="195">
        <v>1.06</v>
      </c>
      <c r="AO937" s="213"/>
      <c r="AP937" s="213"/>
      <c r="AQ937" s="213"/>
      <c r="AR937" s="213"/>
      <c r="AS937" s="213"/>
      <c r="AT937" s="213"/>
      <c r="AU937" s="213"/>
      <c r="AV937" s="213"/>
    </row>
    <row r="938" spans="1:48">
      <c r="A938">
        <v>4716</v>
      </c>
      <c r="C938" s="107">
        <f>VLOOKUP(4716,收盤價!$A:$C,3,0)</f>
        <v>11.2</v>
      </c>
      <c r="D938" s="107">
        <f t="shared" si="154"/>
        <v>16.470588235294116</v>
      </c>
      <c r="E938" s="167">
        <f t="shared" si="155"/>
        <v>3</v>
      </c>
      <c r="F938" s="104">
        <f t="shared" si="156"/>
        <v>0.75475481050374538</v>
      </c>
      <c r="G938" s="167">
        <f>RANK(1.08,AE:AE,0)</f>
        <v>769</v>
      </c>
      <c r="H938" s="365">
        <f t="shared" si="157"/>
        <v>0.37190082644628097</v>
      </c>
      <c r="I938" s="213">
        <f t="shared" si="158"/>
        <v>1299</v>
      </c>
      <c r="J938" s="213">
        <f t="shared" si="159"/>
        <v>768</v>
      </c>
      <c r="K938">
        <f>RANK(0.75,AI:AI,0)</f>
        <v>1296</v>
      </c>
      <c r="L938" s="357">
        <v>0</v>
      </c>
      <c r="M938" s="357">
        <v>1</v>
      </c>
      <c r="N938" s="357">
        <v>2</v>
      </c>
      <c r="O938" s="357">
        <v>0</v>
      </c>
      <c r="P938" s="357">
        <v>0</v>
      </c>
      <c r="Q938" s="358">
        <v>0.1872791519434629</v>
      </c>
      <c r="R938" s="359">
        <v>0.17</v>
      </c>
      <c r="S938" s="196">
        <v>1077330000</v>
      </c>
      <c r="T938" s="196">
        <v>72600000</v>
      </c>
      <c r="U938" s="200">
        <f t="shared" si="160"/>
        <v>813120000</v>
      </c>
      <c r="V938" s="196">
        <v>12000000</v>
      </c>
      <c r="W938" s="196">
        <v>550000000</v>
      </c>
      <c r="X938" s="196">
        <v>363000000</v>
      </c>
      <c r="Y938" s="196">
        <v>886000000</v>
      </c>
      <c r="Z938" s="196">
        <v>3000000</v>
      </c>
      <c r="AA938" s="198">
        <v>0.01</v>
      </c>
      <c r="AB938" s="198">
        <v>0.01</v>
      </c>
      <c r="AC938" s="213">
        <f t="shared" si="161"/>
        <v>769</v>
      </c>
      <c r="AD938" s="213">
        <f t="shared" si="162"/>
        <v>680</v>
      </c>
      <c r="AE938" s="213">
        <v>1.08</v>
      </c>
      <c r="AF938" s="196">
        <v>-27000000</v>
      </c>
      <c r="AG938" s="104">
        <f t="shared" si="163"/>
        <v>-0.37190082644628097</v>
      </c>
      <c r="AH938" s="104">
        <f t="shared" si="164"/>
        <v>0</v>
      </c>
      <c r="AI938" s="195">
        <v>0.75</v>
      </c>
      <c r="AO938" s="213"/>
      <c r="AP938" s="213"/>
      <c r="AQ938" s="213"/>
      <c r="AR938" s="213"/>
      <c r="AS938" s="213"/>
      <c r="AT938" s="213"/>
      <c r="AU938" s="213"/>
      <c r="AV938" s="213"/>
    </row>
    <row r="939" spans="1:48">
      <c r="A939">
        <v>4720</v>
      </c>
      <c r="C939" s="107">
        <f>VLOOKUP(4720,收盤價!$A:$C,3,0)</f>
        <v>15.15</v>
      </c>
      <c r="D939" s="107">
        <f t="shared" si="154"/>
        <v>16.995192307692307</v>
      </c>
      <c r="E939" s="167">
        <f t="shared" si="155"/>
        <v>2</v>
      </c>
      <c r="F939" s="104">
        <f t="shared" si="156"/>
        <v>0.49200307055181436</v>
      </c>
      <c r="G939" s="167">
        <f>RANK(1.63,AE:AE,0)</f>
        <v>551</v>
      </c>
      <c r="H939" s="365">
        <f t="shared" si="157"/>
        <v>0.20535347307850393</v>
      </c>
      <c r="I939" s="213">
        <f t="shared" si="158"/>
        <v>1004</v>
      </c>
      <c r="J939" s="213">
        <f t="shared" si="159"/>
        <v>725</v>
      </c>
      <c r="K939">
        <f>RANK(0.9,AI:AI,0)</f>
        <v>988</v>
      </c>
      <c r="L939" s="357">
        <v>0</v>
      </c>
      <c r="M939" s="357">
        <v>1</v>
      </c>
      <c r="N939" s="357">
        <v>1</v>
      </c>
      <c r="O939" s="357">
        <v>0</v>
      </c>
      <c r="P939" s="357">
        <v>0</v>
      </c>
      <c r="Q939" s="358">
        <v>0.20737327188940091</v>
      </c>
      <c r="R939" s="359">
        <v>0.22285714285714286</v>
      </c>
      <c r="S939" s="196">
        <v>2497271000</v>
      </c>
      <c r="T939" s="196">
        <v>81100000</v>
      </c>
      <c r="U939" s="200">
        <f t="shared" si="160"/>
        <v>1228665000</v>
      </c>
      <c r="V939" s="196">
        <v>24000000</v>
      </c>
      <c r="W939" s="196">
        <v>451000000</v>
      </c>
      <c r="X939" s="196">
        <v>454000000</v>
      </c>
      <c r="Y939" s="196">
        <v>1052000000</v>
      </c>
      <c r="Z939" s="196">
        <v>201000000</v>
      </c>
      <c r="AA939" s="198">
        <v>0.03</v>
      </c>
      <c r="AB939" s="198">
        <v>0.02</v>
      </c>
      <c r="AC939" s="213">
        <f t="shared" si="161"/>
        <v>469</v>
      </c>
      <c r="AD939" s="213">
        <f t="shared" si="162"/>
        <v>487</v>
      </c>
      <c r="AE939" s="213">
        <v>1.63</v>
      </c>
      <c r="AF939" s="196">
        <v>7000000</v>
      </c>
      <c r="AG939" s="104">
        <f t="shared" si="163"/>
        <v>8.6313193588162765E-2</v>
      </c>
      <c r="AH939" s="104">
        <f t="shared" si="164"/>
        <v>0.29166666666666669</v>
      </c>
      <c r="AI939" s="195">
        <v>0.9</v>
      </c>
    </row>
    <row r="940" spans="1:48">
      <c r="A940">
        <v>4721</v>
      </c>
      <c r="C940" s="107">
        <f>VLOOKUP(4721,收盤價!$A:$C,3,0)</f>
        <v>29.65</v>
      </c>
      <c r="D940" s="107">
        <f t="shared" si="154"/>
        <v>16.114130434782606</v>
      </c>
      <c r="E940" s="167">
        <f t="shared" si="155"/>
        <v>1</v>
      </c>
      <c r="F940" s="104">
        <f t="shared" si="156"/>
        <v>1.0590400227833501</v>
      </c>
      <c r="G940" s="167">
        <f>RANK(0.84,AE:AE,0)</f>
        <v>946</v>
      </c>
      <c r="H940" s="365">
        <f t="shared" si="157"/>
        <v>0.08</v>
      </c>
      <c r="I940" s="213">
        <f t="shared" si="158"/>
        <v>1122</v>
      </c>
      <c r="J940" s="213">
        <f t="shared" si="159"/>
        <v>768</v>
      </c>
      <c r="K940">
        <f>RANK(0.82,AI:AI,0)</f>
        <v>1121</v>
      </c>
      <c r="L940" s="357">
        <v>0</v>
      </c>
      <c r="M940" s="357">
        <v>1</v>
      </c>
      <c r="N940" s="357">
        <v>0</v>
      </c>
      <c r="O940" s="357">
        <v>0</v>
      </c>
      <c r="P940" s="357">
        <v>0</v>
      </c>
      <c r="Q940" s="358">
        <v>9.0252707581227443E-2</v>
      </c>
      <c r="R940" s="359">
        <v>0.46</v>
      </c>
      <c r="S940" s="196">
        <v>2099779000</v>
      </c>
      <c r="T940" s="196">
        <v>75000000</v>
      </c>
      <c r="U940" s="200">
        <f t="shared" si="160"/>
        <v>2223750000</v>
      </c>
      <c r="V940" s="196">
        <v>0</v>
      </c>
      <c r="W940" s="196">
        <v>520000000</v>
      </c>
      <c r="X940" s="196">
        <v>379000000</v>
      </c>
      <c r="Y940" s="196">
        <v>1054000000</v>
      </c>
      <c r="Z940" s="196">
        <v>361000000</v>
      </c>
      <c r="AA940" s="198">
        <v>0</v>
      </c>
      <c r="AB940" s="198">
        <v>0</v>
      </c>
      <c r="AC940" s="213">
        <f t="shared" si="161"/>
        <v>945</v>
      </c>
      <c r="AD940" s="213">
        <f t="shared" si="162"/>
        <v>911</v>
      </c>
      <c r="AE940" s="213">
        <v>0.84</v>
      </c>
      <c r="AF940" s="196">
        <v>-6000000</v>
      </c>
      <c r="AG940" s="104">
        <f t="shared" si="163"/>
        <v>-0.08</v>
      </c>
      <c r="AH940" s="104">
        <f t="shared" si="164"/>
        <v>0</v>
      </c>
      <c r="AI940" s="195">
        <v>0.82</v>
      </c>
      <c r="AO940" s="213"/>
      <c r="AP940" s="213"/>
      <c r="AQ940" s="213"/>
      <c r="AR940" s="213"/>
      <c r="AS940" s="213"/>
      <c r="AT940" s="213"/>
      <c r="AU940" s="213"/>
      <c r="AV940" s="213"/>
    </row>
    <row r="941" spans="1:48">
      <c r="A941">
        <v>4722</v>
      </c>
      <c r="C941" s="107">
        <f>VLOOKUP(4722,收盤價!$A:$C,3,0)</f>
        <v>34.200000000000003</v>
      </c>
      <c r="D941" s="107">
        <f t="shared" si="154"/>
        <v>8.3009708737864081</v>
      </c>
      <c r="E941" s="167">
        <f t="shared" si="155"/>
        <v>3</v>
      </c>
      <c r="F941" s="104">
        <f t="shared" si="156"/>
        <v>0.70966064304604115</v>
      </c>
      <c r="G941" s="167">
        <f>RANK(5.49,AE:AE,0)</f>
        <v>154</v>
      </c>
      <c r="H941" s="365">
        <f t="shared" si="157"/>
        <v>0.33613445378151263</v>
      </c>
      <c r="I941" s="213">
        <f t="shared" si="158"/>
        <v>1283</v>
      </c>
      <c r="J941" s="213">
        <f t="shared" si="159"/>
        <v>768</v>
      </c>
      <c r="K941">
        <f>RANK(0.76,AI:AI,0)</f>
        <v>1269</v>
      </c>
      <c r="L941" s="357">
        <v>0</v>
      </c>
      <c r="M941" s="357">
        <v>1</v>
      </c>
      <c r="N941" s="357">
        <v>2</v>
      </c>
      <c r="O941" s="357">
        <v>0</v>
      </c>
      <c r="P941" s="357">
        <v>0</v>
      </c>
      <c r="Q941" s="358">
        <v>0.18815896188158962</v>
      </c>
      <c r="R941" s="359">
        <v>1.03</v>
      </c>
      <c r="S941" s="196">
        <v>4587883000</v>
      </c>
      <c r="T941" s="196">
        <v>95200000</v>
      </c>
      <c r="U941" s="200">
        <f t="shared" si="160"/>
        <v>3255840000.0000005</v>
      </c>
      <c r="V941" s="196">
        <v>126000000</v>
      </c>
      <c r="W941" s="196">
        <v>955000000</v>
      </c>
      <c r="X941" s="196">
        <v>946000000</v>
      </c>
      <c r="Y941" s="196">
        <v>2145000000</v>
      </c>
      <c r="Z941" s="196">
        <v>166000000</v>
      </c>
      <c r="AA941" s="198">
        <v>7.0000000000000007E-2</v>
      </c>
      <c r="AB941" s="198">
        <v>0.05</v>
      </c>
      <c r="AC941" s="213">
        <f t="shared" si="161"/>
        <v>134</v>
      </c>
      <c r="AD941" s="213">
        <f t="shared" si="162"/>
        <v>150</v>
      </c>
      <c r="AE941" s="213">
        <v>5.49</v>
      </c>
      <c r="AF941" s="196">
        <v>-32000000</v>
      </c>
      <c r="AG941" s="104">
        <f t="shared" si="163"/>
        <v>-0.33613445378151263</v>
      </c>
      <c r="AH941" s="104">
        <f t="shared" si="164"/>
        <v>0</v>
      </c>
      <c r="AI941" s="195">
        <v>0.76</v>
      </c>
    </row>
    <row r="942" spans="1:48">
      <c r="A942">
        <v>4725</v>
      </c>
      <c r="C942" s="107">
        <f>VLOOKUP(4725,收盤價!$A:$C,3,0)</f>
        <v>17.100000000000001</v>
      </c>
      <c r="D942" s="107">
        <f t="shared" si="154"/>
        <v>25.147058823529413</v>
      </c>
      <c r="E942" s="167">
        <f t="shared" si="155"/>
        <v>3</v>
      </c>
      <c r="F942" s="104">
        <f t="shared" si="156"/>
        <v>0.56905586097221805</v>
      </c>
      <c r="G942" s="167">
        <f>RANK(1.41,AE:AE,0)</f>
        <v>618</v>
      </c>
      <c r="H942" s="365">
        <f t="shared" si="157"/>
        <v>0.9909469922572961</v>
      </c>
      <c r="I942" s="213">
        <f t="shared" si="158"/>
        <v>674</v>
      </c>
      <c r="J942" s="213">
        <f t="shared" si="159"/>
        <v>340</v>
      </c>
      <c r="K942">
        <f>RANK(1.54,AI:AI,0)</f>
        <v>535</v>
      </c>
      <c r="L942" s="357">
        <v>0</v>
      </c>
      <c r="M942" s="357">
        <v>1</v>
      </c>
      <c r="N942" s="357">
        <v>1</v>
      </c>
      <c r="O942" s="357">
        <v>1</v>
      </c>
      <c r="P942" s="357">
        <v>0</v>
      </c>
      <c r="Q942" s="358">
        <v>5.9042113955408752E-2</v>
      </c>
      <c r="R942" s="359">
        <v>0.17</v>
      </c>
      <c r="S942" s="196">
        <v>8774534000</v>
      </c>
      <c r="T942" s="196">
        <v>292000000</v>
      </c>
      <c r="U942" s="200">
        <f t="shared" si="160"/>
        <v>4993200000</v>
      </c>
      <c r="V942" s="196">
        <v>115000000</v>
      </c>
      <c r="W942" s="196">
        <v>0</v>
      </c>
      <c r="X942" s="196">
        <v>7256000000</v>
      </c>
      <c r="Y942" s="196">
        <v>3517000000</v>
      </c>
      <c r="Z942" s="196">
        <v>2961000000</v>
      </c>
      <c r="AA942" s="198">
        <v>0.02</v>
      </c>
      <c r="AB942" s="198">
        <v>0.02</v>
      </c>
      <c r="AC942" s="213">
        <f t="shared" si="161"/>
        <v>616</v>
      </c>
      <c r="AD942" s="213">
        <f t="shared" si="162"/>
        <v>487</v>
      </c>
      <c r="AE942" s="213">
        <v>1.41</v>
      </c>
      <c r="AF942" s="196">
        <v>188000000</v>
      </c>
      <c r="AG942" s="104">
        <f t="shared" si="163"/>
        <v>0.64383561643835618</v>
      </c>
      <c r="AH942" s="104">
        <f t="shared" si="164"/>
        <v>1.6347826086956523</v>
      </c>
      <c r="AI942" s="195">
        <v>1.54</v>
      </c>
    </row>
    <row r="943" spans="1:48">
      <c r="A943">
        <v>4726</v>
      </c>
      <c r="C943" s="107">
        <f>VLOOKUP(4726,收盤價!$A:$C,3,0)</f>
        <v>39</v>
      </c>
      <c r="D943" s="107">
        <f t="shared" si="154"/>
        <v>0</v>
      </c>
      <c r="E943" s="167">
        <f t="shared" si="155"/>
        <v>2</v>
      </c>
      <c r="F943" s="104">
        <f t="shared" si="156"/>
        <v>22.340752582390557</v>
      </c>
      <c r="G943" s="167">
        <f>RANK(0.52,AE:AE,0)</f>
        <v>1493</v>
      </c>
      <c r="H943" s="365">
        <f t="shared" si="157"/>
        <v>0.40250447227191416</v>
      </c>
      <c r="I943" s="213">
        <f t="shared" si="158"/>
        <v>1314</v>
      </c>
      <c r="J943" s="213">
        <f t="shared" si="159"/>
        <v>768</v>
      </c>
      <c r="K943">
        <f>RANK(0.75,AI:AI,0)</f>
        <v>1296</v>
      </c>
      <c r="L943" s="357">
        <v>0</v>
      </c>
      <c r="M943" s="357">
        <v>1</v>
      </c>
      <c r="N943" s="357">
        <v>1</v>
      </c>
      <c r="O943" s="357">
        <v>0</v>
      </c>
      <c r="P943" s="357">
        <v>0</v>
      </c>
      <c r="Q943" s="358">
        <v>-0.3</v>
      </c>
      <c r="R943" s="359">
        <v>0</v>
      </c>
      <c r="S943" s="196">
        <v>195168000</v>
      </c>
      <c r="T943" s="196">
        <v>111800000</v>
      </c>
      <c r="U943" s="200">
        <f t="shared" si="160"/>
        <v>4360200000</v>
      </c>
      <c r="V943" s="196">
        <v>-68000000</v>
      </c>
      <c r="W943" s="196">
        <v>906000000</v>
      </c>
      <c r="X943" s="196">
        <v>275000000</v>
      </c>
      <c r="Y943" s="196">
        <v>1351000000</v>
      </c>
      <c r="Z943" s="196">
        <v>0</v>
      </c>
      <c r="AA943" s="198">
        <v>-0.06</v>
      </c>
      <c r="AB943" s="198">
        <v>-0.05</v>
      </c>
      <c r="AC943" s="213">
        <f t="shared" si="161"/>
        <v>1484</v>
      </c>
      <c r="AD943" s="213">
        <f t="shared" si="162"/>
        <v>1500</v>
      </c>
      <c r="AE943" s="213">
        <v>0.52</v>
      </c>
      <c r="AF943" s="196">
        <v>-45000000</v>
      </c>
      <c r="AG943" s="104">
        <f t="shared" si="163"/>
        <v>-0.40250447227191416</v>
      </c>
      <c r="AH943" s="104">
        <f t="shared" si="164"/>
        <v>0</v>
      </c>
      <c r="AI943" s="195">
        <v>0.75</v>
      </c>
    </row>
    <row r="944" spans="1:48">
      <c r="A944">
        <v>4728</v>
      </c>
      <c r="C944" s="107">
        <f>VLOOKUP(4728,收盤價!$A:$C,3,0)</f>
        <v>42.75</v>
      </c>
      <c r="D944" s="107">
        <f t="shared" si="154"/>
        <v>0</v>
      </c>
      <c r="E944" s="167">
        <f t="shared" si="155"/>
        <v>0</v>
      </c>
      <c r="F944" s="104">
        <f t="shared" si="156"/>
        <v>19.719302254722731</v>
      </c>
      <c r="G944" s="167">
        <f>RANK(0.55,AE:AE,0)</f>
        <v>1436</v>
      </c>
      <c r="H944" s="365">
        <f t="shared" si="157"/>
        <v>0.40366972477064222</v>
      </c>
      <c r="I944" s="213">
        <f t="shared" si="158"/>
        <v>1315</v>
      </c>
      <c r="J944" s="213">
        <f t="shared" si="159"/>
        <v>768</v>
      </c>
      <c r="K944">
        <f>RANK(0.75,AI:AI,0)</f>
        <v>1296</v>
      </c>
      <c r="L944" s="357">
        <v>0</v>
      </c>
      <c r="M944" s="357">
        <v>0</v>
      </c>
      <c r="N944" s="357">
        <v>0</v>
      </c>
      <c r="O944" s="357">
        <v>0</v>
      </c>
      <c r="P944" s="357">
        <v>0</v>
      </c>
      <c r="Q944" s="358">
        <v>0.54545454545454541</v>
      </c>
      <c r="R944" s="359">
        <v>0</v>
      </c>
      <c r="S944" s="196">
        <v>118152000</v>
      </c>
      <c r="T944" s="196">
        <v>54500000</v>
      </c>
      <c r="U944" s="200">
        <f t="shared" si="160"/>
        <v>2329875000</v>
      </c>
      <c r="V944" s="196">
        <v>-16000000</v>
      </c>
      <c r="W944" s="196">
        <v>450000000</v>
      </c>
      <c r="X944" s="196">
        <v>89000000</v>
      </c>
      <c r="Y944" s="196">
        <v>542000000</v>
      </c>
      <c r="Z944" s="196">
        <v>0</v>
      </c>
      <c r="AA944" s="198">
        <v>-0.03</v>
      </c>
      <c r="AB944" s="198">
        <v>-0.03</v>
      </c>
      <c r="AC944" s="213">
        <f t="shared" si="161"/>
        <v>1405</v>
      </c>
      <c r="AD944" s="213">
        <f t="shared" si="162"/>
        <v>1444</v>
      </c>
      <c r="AE944" s="213">
        <v>0.55000000000000004</v>
      </c>
      <c r="AF944" s="196">
        <v>-22000000</v>
      </c>
      <c r="AG944" s="104">
        <f t="shared" si="163"/>
        <v>-0.40366972477064222</v>
      </c>
      <c r="AH944" s="104">
        <f t="shared" si="164"/>
        <v>0</v>
      </c>
      <c r="AI944" s="195">
        <v>0.75</v>
      </c>
    </row>
    <row r="945" spans="1:48">
      <c r="A945">
        <v>4729</v>
      </c>
      <c r="C945" s="107">
        <f>VLOOKUP(4729,收盤價!$A:$C,3,0)</f>
        <v>14.15</v>
      </c>
      <c r="D945" s="107">
        <f t="shared" si="154"/>
        <v>0</v>
      </c>
      <c r="E945" s="167">
        <f t="shared" si="155"/>
        <v>2</v>
      </c>
      <c r="F945" s="104">
        <f t="shared" si="156"/>
        <v>0.59562753043126959</v>
      </c>
      <c r="G945" s="167">
        <f>RANK(0.61,AE:AE,0)</f>
        <v>1295</v>
      </c>
      <c r="H945" s="365">
        <f t="shared" si="157"/>
        <v>-1.2561334641805693</v>
      </c>
      <c r="I945" s="213">
        <f t="shared" si="158"/>
        <v>416</v>
      </c>
      <c r="J945" s="213">
        <f t="shared" si="159"/>
        <v>768</v>
      </c>
      <c r="K945">
        <f>RANK(1.32,AI:AI,0)</f>
        <v>665</v>
      </c>
      <c r="L945" s="357">
        <v>0</v>
      </c>
      <c r="M945" s="357">
        <v>1</v>
      </c>
      <c r="N945" s="357">
        <v>0</v>
      </c>
      <c r="O945" s="357">
        <v>1</v>
      </c>
      <c r="P945" s="357">
        <v>0</v>
      </c>
      <c r="Q945" s="358">
        <v>0.13921568627450981</v>
      </c>
      <c r="R945" s="359">
        <v>0</v>
      </c>
      <c r="S945" s="196">
        <v>2420783000</v>
      </c>
      <c r="T945" s="196">
        <v>101900000</v>
      </c>
      <c r="U945" s="200">
        <f t="shared" si="160"/>
        <v>1441885000</v>
      </c>
      <c r="V945" s="196">
        <v>-26000000</v>
      </c>
      <c r="W945" s="196">
        <v>87000000</v>
      </c>
      <c r="X945" s="196">
        <v>1715000000</v>
      </c>
      <c r="Y945" s="196">
        <v>2400000000</v>
      </c>
      <c r="Z945" s="196">
        <v>557000000</v>
      </c>
      <c r="AA945" s="198">
        <v>-0.01</v>
      </c>
      <c r="AB945" s="198">
        <v>-0.01</v>
      </c>
      <c r="AC945" s="213">
        <f t="shared" si="161"/>
        <v>1277</v>
      </c>
      <c r="AD945" s="213">
        <f t="shared" si="162"/>
        <v>1294</v>
      </c>
      <c r="AE945" s="213">
        <v>0.61</v>
      </c>
      <c r="AF945" s="196">
        <v>128000000</v>
      </c>
      <c r="AG945" s="104">
        <f t="shared" si="163"/>
        <v>1.2561334641805693</v>
      </c>
      <c r="AH945" s="104">
        <f t="shared" si="164"/>
        <v>0</v>
      </c>
      <c r="AI945" s="195">
        <v>1.32</v>
      </c>
    </row>
    <row r="946" spans="1:48">
      <c r="A946">
        <v>4733</v>
      </c>
      <c r="C946" s="107" t="e">
        <f>VLOOKUP(4733,收盤價!$A:$C,3,0)</f>
        <v>#N/A</v>
      </c>
      <c r="D946" s="107">
        <f t="shared" si="154"/>
        <v>0</v>
      </c>
      <c r="E946" s="167">
        <f t="shared" si="155"/>
        <v>1</v>
      </c>
      <c r="F946" s="104">
        <f t="shared" si="156"/>
        <v>0</v>
      </c>
      <c r="G946" s="167">
        <f>RANK(2.32,AE:AE,0)</f>
        <v>360</v>
      </c>
      <c r="H946" s="365">
        <f t="shared" si="157"/>
        <v>-1.5612425164392976</v>
      </c>
      <c r="I946" s="213">
        <f t="shared" si="158"/>
        <v>160</v>
      </c>
      <c r="J946" s="213">
        <f t="shared" si="159"/>
        <v>536</v>
      </c>
      <c r="K946">
        <f>RANK(2.24,AI:AI,0)</f>
        <v>287</v>
      </c>
      <c r="L946" s="357">
        <v>0</v>
      </c>
      <c r="M946" s="357">
        <v>0</v>
      </c>
      <c r="N946" s="357">
        <v>0</v>
      </c>
      <c r="O946" s="357">
        <v>1</v>
      </c>
      <c r="P946" s="357">
        <v>0</v>
      </c>
      <c r="Q946" s="358">
        <v>0.28836317135549872</v>
      </c>
      <c r="R946" s="359">
        <v>0.52499999999999991</v>
      </c>
      <c r="S946" s="196">
        <v>7268668000</v>
      </c>
      <c r="T946" s="196">
        <v>88600000</v>
      </c>
      <c r="U946" s="200" t="e">
        <f t="shared" si="160"/>
        <v>#N/A</v>
      </c>
      <c r="V946" s="196">
        <v>230000000</v>
      </c>
      <c r="W946" s="196">
        <v>2837000000</v>
      </c>
      <c r="X946" s="196">
        <v>2710000000</v>
      </c>
      <c r="Y946" s="196">
        <v>4592000000</v>
      </c>
      <c r="Z946" s="196">
        <v>2584000000</v>
      </c>
      <c r="AA946" s="198">
        <v>0.04</v>
      </c>
      <c r="AB946" s="198">
        <v>0.03</v>
      </c>
      <c r="AC946" s="213">
        <f t="shared" si="161"/>
        <v>337</v>
      </c>
      <c r="AD946" s="213">
        <f t="shared" si="162"/>
        <v>334</v>
      </c>
      <c r="AE946" s="213">
        <v>2.3199999999999998</v>
      </c>
      <c r="AF946" s="196">
        <v>225000000</v>
      </c>
      <c r="AG946" s="104">
        <f t="shared" si="163"/>
        <v>2.5395033860045149</v>
      </c>
      <c r="AH946" s="104">
        <f t="shared" si="164"/>
        <v>0.97826086956521741</v>
      </c>
      <c r="AI946" s="195">
        <v>2.2400000000000002</v>
      </c>
    </row>
    <row r="947" spans="1:48">
      <c r="A947">
        <v>4735</v>
      </c>
      <c r="C947" s="107">
        <f>VLOOKUP(4735,收盤價!$A:$C,3,0)</f>
        <v>35.299999999999997</v>
      </c>
      <c r="D947" s="107">
        <f t="shared" si="154"/>
        <v>17.976851851851848</v>
      </c>
      <c r="E947" s="167">
        <f t="shared" si="155"/>
        <v>1</v>
      </c>
      <c r="F947" s="104">
        <f t="shared" si="156"/>
        <v>1.1761366578697185</v>
      </c>
      <c r="G947" s="167">
        <f>RANK(8.11,AE:AE,0)</f>
        <v>90</v>
      </c>
      <c r="H947" s="365">
        <f t="shared" si="157"/>
        <v>0.53209514499837063</v>
      </c>
      <c r="I947" s="213">
        <f t="shared" si="158"/>
        <v>224</v>
      </c>
      <c r="J947" s="213">
        <f t="shared" si="159"/>
        <v>186</v>
      </c>
      <c r="K947">
        <f>RANK(3.8,AI:AI,0)</f>
        <v>108</v>
      </c>
      <c r="L947" s="357">
        <v>0</v>
      </c>
      <c r="M947" s="357">
        <v>0</v>
      </c>
      <c r="N947" s="357">
        <v>0</v>
      </c>
      <c r="O947" s="357">
        <v>1</v>
      </c>
      <c r="P947" s="357">
        <v>0</v>
      </c>
      <c r="Q947" s="358">
        <v>0.25</v>
      </c>
      <c r="R947" s="359">
        <v>0.49090909090909096</v>
      </c>
      <c r="S947" s="196">
        <v>1023461000</v>
      </c>
      <c r="T947" s="196">
        <v>34100000</v>
      </c>
      <c r="U947" s="200">
        <f t="shared" si="160"/>
        <v>1203730000</v>
      </c>
      <c r="V947" s="196">
        <v>27000000</v>
      </c>
      <c r="W947" s="196">
        <v>178000000</v>
      </c>
      <c r="X947" s="196">
        <v>162000000</v>
      </c>
      <c r="Y947" s="196">
        <v>387000000</v>
      </c>
      <c r="Z947" s="196">
        <v>50000000</v>
      </c>
      <c r="AA947" s="198">
        <v>0.08</v>
      </c>
      <c r="AB947" s="198">
        <v>0.06</v>
      </c>
      <c r="AC947" s="213">
        <f t="shared" si="161"/>
        <v>97</v>
      </c>
      <c r="AD947" s="213">
        <f t="shared" si="162"/>
        <v>95</v>
      </c>
      <c r="AE947" s="213">
        <v>8.11</v>
      </c>
      <c r="AF947" s="196">
        <v>69000000</v>
      </c>
      <c r="AG947" s="104">
        <f t="shared" si="163"/>
        <v>2.0234604105571847</v>
      </c>
      <c r="AH947" s="104">
        <f t="shared" si="164"/>
        <v>2.5555555555555554</v>
      </c>
      <c r="AI947" s="195">
        <v>3.8</v>
      </c>
    </row>
    <row r="948" spans="1:48">
      <c r="A948">
        <v>4736</v>
      </c>
      <c r="C948" s="107">
        <f>VLOOKUP(4736,收盤價!$A:$C,3,0)</f>
        <v>109</v>
      </c>
      <c r="D948" s="107">
        <f t="shared" si="154"/>
        <v>13.625</v>
      </c>
      <c r="E948" s="167">
        <f t="shared" si="155"/>
        <v>3</v>
      </c>
      <c r="F948" s="104">
        <f t="shared" si="156"/>
        <v>2.5467138867809789</v>
      </c>
      <c r="G948" s="167">
        <f>RANK(0.84,AE:AE,0)</f>
        <v>946</v>
      </c>
      <c r="H948" s="365">
        <f t="shared" si="157"/>
        <v>-2.2816901408450705</v>
      </c>
      <c r="I948" s="213">
        <f t="shared" si="158"/>
        <v>189</v>
      </c>
      <c r="J948" s="213">
        <f t="shared" si="159"/>
        <v>768</v>
      </c>
      <c r="K948">
        <f>RANK(1.63,AI:AI,0)</f>
        <v>489</v>
      </c>
      <c r="L948" s="357">
        <v>0</v>
      </c>
      <c r="M948" s="357">
        <v>1</v>
      </c>
      <c r="N948" s="357">
        <v>1</v>
      </c>
      <c r="O948" s="357">
        <v>1</v>
      </c>
      <c r="P948" s="357">
        <v>0</v>
      </c>
      <c r="Q948" s="358">
        <v>0.47898089171974523</v>
      </c>
      <c r="R948" s="359">
        <v>2</v>
      </c>
      <c r="S948" s="196">
        <v>3038818000</v>
      </c>
      <c r="T948" s="196">
        <v>71000000</v>
      </c>
      <c r="U948" s="200">
        <f t="shared" si="160"/>
        <v>7739000000</v>
      </c>
      <c r="V948" s="196">
        <v>0</v>
      </c>
      <c r="W948" s="196">
        <v>1425000000</v>
      </c>
      <c r="X948" s="196">
        <v>1244000000</v>
      </c>
      <c r="Y948" s="196">
        <v>2890000000</v>
      </c>
      <c r="Z948" s="196">
        <v>217000000</v>
      </c>
      <c r="AA948" s="198">
        <v>0</v>
      </c>
      <c r="AB948" s="198">
        <v>0</v>
      </c>
      <c r="AC948" s="213">
        <f t="shared" si="161"/>
        <v>945</v>
      </c>
      <c r="AD948" s="213">
        <f t="shared" si="162"/>
        <v>911</v>
      </c>
      <c r="AE948" s="213">
        <v>0.84</v>
      </c>
      <c r="AF948" s="196">
        <v>162000000</v>
      </c>
      <c r="AG948" s="104">
        <f t="shared" si="163"/>
        <v>2.2816901408450705</v>
      </c>
      <c r="AH948" s="104">
        <f t="shared" si="164"/>
        <v>0</v>
      </c>
      <c r="AI948" s="195">
        <v>1.63</v>
      </c>
      <c r="AO948" s="213"/>
      <c r="AP948" s="213"/>
      <c r="AQ948" s="213"/>
      <c r="AR948" s="213"/>
      <c r="AS948" s="213"/>
      <c r="AT948" s="213"/>
      <c r="AU948" s="213"/>
      <c r="AV948" s="213"/>
    </row>
    <row r="949" spans="1:48">
      <c r="A949">
        <v>4737</v>
      </c>
      <c r="C949" s="107">
        <f>VLOOKUP(4737,收盤價!$A:$C,3,0)</f>
        <v>47</v>
      </c>
      <c r="D949" s="107">
        <f t="shared" si="154"/>
        <v>18.650793650793652</v>
      </c>
      <c r="E949" s="167">
        <f t="shared" si="155"/>
        <v>4</v>
      </c>
      <c r="F949" s="104">
        <f t="shared" si="156"/>
        <v>1.8406336652255637</v>
      </c>
      <c r="G949" s="167">
        <f>RANK(0.84,AE:AE,0)</f>
        <v>946</v>
      </c>
      <c r="H949" s="365">
        <f t="shared" si="157"/>
        <v>-2.3974763406940065</v>
      </c>
      <c r="I949" s="213">
        <f t="shared" si="158"/>
        <v>176</v>
      </c>
      <c r="J949" s="213">
        <f t="shared" si="159"/>
        <v>768</v>
      </c>
      <c r="K949">
        <f>RANK(1.65,AI:AI,0)</f>
        <v>482</v>
      </c>
      <c r="L949" s="357">
        <v>0</v>
      </c>
      <c r="M949" s="357">
        <v>1</v>
      </c>
      <c r="N949" s="357">
        <v>2</v>
      </c>
      <c r="O949" s="357">
        <v>1</v>
      </c>
      <c r="P949" s="357">
        <v>0</v>
      </c>
      <c r="Q949" s="358">
        <v>0.43648960739030024</v>
      </c>
      <c r="R949" s="359">
        <v>0.63</v>
      </c>
      <c r="S949" s="196">
        <v>1618899000</v>
      </c>
      <c r="T949" s="196">
        <v>63400000</v>
      </c>
      <c r="U949" s="200">
        <f t="shared" si="160"/>
        <v>2979800000</v>
      </c>
      <c r="V949" s="196">
        <v>0</v>
      </c>
      <c r="W949" s="196">
        <v>373000000</v>
      </c>
      <c r="X949" s="196">
        <v>2786000000</v>
      </c>
      <c r="Y949" s="196">
        <v>2465000000</v>
      </c>
      <c r="Z949" s="196">
        <v>719000000</v>
      </c>
      <c r="AA949" s="198">
        <v>0</v>
      </c>
      <c r="AB949" s="198">
        <v>0</v>
      </c>
      <c r="AC949" s="213">
        <f t="shared" si="161"/>
        <v>945</v>
      </c>
      <c r="AD949" s="213">
        <f t="shared" si="162"/>
        <v>911</v>
      </c>
      <c r="AE949" s="213">
        <v>0.84</v>
      </c>
      <c r="AF949" s="196">
        <v>152000000</v>
      </c>
      <c r="AG949" s="104">
        <f t="shared" si="163"/>
        <v>2.3974763406940065</v>
      </c>
      <c r="AH949" s="104">
        <f t="shared" si="164"/>
        <v>0</v>
      </c>
      <c r="AI949" s="195">
        <v>1.65</v>
      </c>
      <c r="AO949" s="213"/>
      <c r="AP949" s="213"/>
      <c r="AQ949" s="213"/>
      <c r="AR949" s="213"/>
      <c r="AS949" s="213"/>
      <c r="AT949" s="213"/>
      <c r="AU949" s="213"/>
      <c r="AV949" s="213"/>
    </row>
    <row r="950" spans="1:48">
      <c r="A950">
        <v>4739</v>
      </c>
      <c r="C950" s="107">
        <f>VLOOKUP(4739,收盤價!$A:$C,3,0)</f>
        <v>42.1</v>
      </c>
      <c r="D950" s="107">
        <f t="shared" si="154"/>
        <v>18.464912280701757</v>
      </c>
      <c r="E950" s="167">
        <f t="shared" si="155"/>
        <v>2</v>
      </c>
      <c r="F950" s="104">
        <f t="shared" si="156"/>
        <v>0.80836107371246935</v>
      </c>
      <c r="G950" s="167">
        <f>RANK(0.84,AE:AE,0)</f>
        <v>946</v>
      </c>
      <c r="H950" s="365">
        <f t="shared" si="157"/>
        <v>0.54161162483487446</v>
      </c>
      <c r="I950" s="213">
        <f t="shared" si="158"/>
        <v>1360</v>
      </c>
      <c r="J950" s="213">
        <f t="shared" si="159"/>
        <v>768</v>
      </c>
      <c r="K950">
        <f>RANK(0.73,AI:AI,0)</f>
        <v>1352</v>
      </c>
      <c r="L950" s="357">
        <v>0</v>
      </c>
      <c r="M950" s="357">
        <v>1</v>
      </c>
      <c r="N950" s="357">
        <v>1</v>
      </c>
      <c r="O950" s="357">
        <v>0</v>
      </c>
      <c r="P950" s="357">
        <v>0</v>
      </c>
      <c r="Q950" s="358">
        <v>9.0062111801242239E-2</v>
      </c>
      <c r="R950" s="359">
        <v>0.56999999999999995</v>
      </c>
      <c r="S950" s="196">
        <v>3942508000</v>
      </c>
      <c r="T950" s="196">
        <v>75700000</v>
      </c>
      <c r="U950" s="200">
        <f t="shared" si="160"/>
        <v>3186970000</v>
      </c>
      <c r="V950" s="196">
        <v>0</v>
      </c>
      <c r="W950" s="196">
        <v>665000000</v>
      </c>
      <c r="X950" s="196">
        <v>2800000000</v>
      </c>
      <c r="Y950" s="196">
        <v>2392000000</v>
      </c>
      <c r="Z950" s="196">
        <v>936000000</v>
      </c>
      <c r="AA950" s="198">
        <v>0</v>
      </c>
      <c r="AB950" s="198">
        <v>0</v>
      </c>
      <c r="AC950" s="213">
        <f t="shared" si="161"/>
        <v>945</v>
      </c>
      <c r="AD950" s="213">
        <f t="shared" si="162"/>
        <v>911</v>
      </c>
      <c r="AE950" s="213">
        <v>0.84</v>
      </c>
      <c r="AF950" s="196">
        <v>-41000000</v>
      </c>
      <c r="AG950" s="104">
        <f t="shared" si="163"/>
        <v>-0.54161162483487446</v>
      </c>
      <c r="AH950" s="104">
        <f t="shared" si="164"/>
        <v>0</v>
      </c>
      <c r="AI950" s="195">
        <v>0.73</v>
      </c>
      <c r="AO950" s="213"/>
      <c r="AP950" s="213"/>
      <c r="AQ950" s="213"/>
      <c r="AR950" s="213"/>
      <c r="AS950" s="213"/>
      <c r="AT950" s="213"/>
      <c r="AU950" s="213"/>
      <c r="AV950" s="213"/>
    </row>
    <row r="951" spans="1:48">
      <c r="A951">
        <v>4743</v>
      </c>
      <c r="C951" s="107">
        <f>VLOOKUP(4743,收盤價!$A:$C,3,0)</f>
        <v>32.85</v>
      </c>
      <c r="D951" s="107">
        <f t="shared" si="154"/>
        <v>0</v>
      </c>
      <c r="E951" s="167">
        <f t="shared" si="155"/>
        <v>2</v>
      </c>
      <c r="F951" s="104">
        <f t="shared" si="156"/>
        <v>1191.9892072943803</v>
      </c>
      <c r="G951" s="167">
        <f>RANK(0.84,AE:AE,0)</f>
        <v>946</v>
      </c>
      <c r="H951" s="365">
        <f t="shared" si="157"/>
        <v>9.2307692307692313E-2</v>
      </c>
      <c r="I951" s="213">
        <f t="shared" si="158"/>
        <v>1130</v>
      </c>
      <c r="J951" s="213">
        <f t="shared" si="159"/>
        <v>768</v>
      </c>
      <c r="K951">
        <f>RANK(0.82,AI:AI,0)</f>
        <v>1121</v>
      </c>
      <c r="L951" s="357">
        <v>0</v>
      </c>
      <c r="M951" s="357">
        <v>1</v>
      </c>
      <c r="N951" s="357">
        <v>0</v>
      </c>
      <c r="O951" s="357">
        <v>1</v>
      </c>
      <c r="P951" s="357">
        <v>0</v>
      </c>
      <c r="Q951" s="358">
        <v>0</v>
      </c>
      <c r="R951" s="359">
        <v>-0.13</v>
      </c>
      <c r="S951" s="196">
        <v>5374000</v>
      </c>
      <c r="T951" s="196">
        <v>195000000</v>
      </c>
      <c r="U951" s="200">
        <f t="shared" si="160"/>
        <v>6405750000</v>
      </c>
      <c r="V951" s="196">
        <v>0</v>
      </c>
      <c r="W951" s="196">
        <v>1686000000</v>
      </c>
      <c r="X951" s="196">
        <v>90000000</v>
      </c>
      <c r="Y951" s="196">
        <v>2612000000</v>
      </c>
      <c r="Z951" s="196">
        <v>0</v>
      </c>
      <c r="AA951" s="198">
        <v>0</v>
      </c>
      <c r="AB951" s="198">
        <v>0</v>
      </c>
      <c r="AC951" s="213">
        <f t="shared" si="161"/>
        <v>945</v>
      </c>
      <c r="AD951" s="213">
        <f t="shared" si="162"/>
        <v>911</v>
      </c>
      <c r="AE951" s="213">
        <v>0.84</v>
      </c>
      <c r="AF951" s="196">
        <v>-18000000</v>
      </c>
      <c r="AG951" s="104">
        <f t="shared" si="163"/>
        <v>-9.2307692307692313E-2</v>
      </c>
      <c r="AH951" s="104">
        <f t="shared" si="164"/>
        <v>0</v>
      </c>
      <c r="AI951" s="195">
        <v>0.82</v>
      </c>
      <c r="AO951" s="213"/>
      <c r="AP951" s="213"/>
      <c r="AQ951" s="213"/>
      <c r="AR951" s="213"/>
      <c r="AS951" s="213"/>
      <c r="AT951" s="213"/>
      <c r="AU951" s="213"/>
      <c r="AV951" s="213"/>
    </row>
    <row r="952" spans="1:48">
      <c r="A952">
        <v>4745</v>
      </c>
      <c r="C952" s="107">
        <f>VLOOKUP(4745,收盤價!$A:$C,3,0)</f>
        <v>52.3</v>
      </c>
      <c r="D952" s="107">
        <f t="shared" si="154"/>
        <v>15.917391304347824</v>
      </c>
      <c r="E952" s="167">
        <f t="shared" si="155"/>
        <v>2</v>
      </c>
      <c r="F952" s="104">
        <f t="shared" si="156"/>
        <v>0.97792329589444782</v>
      </c>
      <c r="G952" s="167">
        <f>RANK(3.28,AE:AE,0)</f>
        <v>256</v>
      </c>
      <c r="H952" s="365">
        <f t="shared" si="157"/>
        <v>-0.91195776255707806</v>
      </c>
      <c r="I952" s="213">
        <f t="shared" si="158"/>
        <v>58</v>
      </c>
      <c r="J952" s="213">
        <f t="shared" si="159"/>
        <v>134</v>
      </c>
      <c r="K952">
        <f>RANK(8.11,AI:AI,0)</f>
        <v>24</v>
      </c>
      <c r="L952" s="357">
        <v>0</v>
      </c>
      <c r="M952" s="357">
        <v>1</v>
      </c>
      <c r="N952" s="357">
        <v>0</v>
      </c>
      <c r="O952" s="357">
        <v>1</v>
      </c>
      <c r="P952" s="357">
        <v>0</v>
      </c>
      <c r="Q952" s="358">
        <v>0.28104575163398693</v>
      </c>
      <c r="R952" s="359">
        <v>0.82142857142857151</v>
      </c>
      <c r="S952" s="196">
        <v>3080487000</v>
      </c>
      <c r="T952" s="196">
        <v>57600000</v>
      </c>
      <c r="U952" s="200">
        <f t="shared" si="160"/>
        <v>3012480000</v>
      </c>
      <c r="V952" s="196">
        <v>73000000</v>
      </c>
      <c r="W952" s="196">
        <v>1171000000</v>
      </c>
      <c r="X952" s="196">
        <v>361000000</v>
      </c>
      <c r="Y952" s="196">
        <v>1610000000</v>
      </c>
      <c r="Z952" s="196">
        <v>322000000</v>
      </c>
      <c r="AA952" s="198">
        <v>0.05</v>
      </c>
      <c r="AB952" s="198">
        <v>0.04</v>
      </c>
      <c r="AC952" s="213">
        <f t="shared" si="161"/>
        <v>247</v>
      </c>
      <c r="AD952" s="213">
        <f t="shared" si="162"/>
        <v>228</v>
      </c>
      <c r="AE952" s="213">
        <v>3.28</v>
      </c>
      <c r="AF952" s="196">
        <v>249000000</v>
      </c>
      <c r="AG952" s="104">
        <f t="shared" si="163"/>
        <v>4.322916666666667</v>
      </c>
      <c r="AH952" s="104">
        <f t="shared" si="164"/>
        <v>3.4109589041095889</v>
      </c>
      <c r="AI952" s="195">
        <v>8.11</v>
      </c>
      <c r="AO952" s="213"/>
      <c r="AP952" s="213"/>
      <c r="AQ952" s="213"/>
      <c r="AR952" s="213"/>
      <c r="AS952" s="213"/>
      <c r="AT952" s="213"/>
      <c r="AU952" s="213"/>
      <c r="AV952" s="213"/>
    </row>
    <row r="953" spans="1:48">
      <c r="A953">
        <v>4746</v>
      </c>
      <c r="C953" s="107">
        <f>VLOOKUP(4746,收盤價!$A:$C,3,0)</f>
        <v>89.3</v>
      </c>
      <c r="D953" s="107">
        <f t="shared" si="154"/>
        <v>13.368263473053892</v>
      </c>
      <c r="E953" s="167">
        <f t="shared" si="155"/>
        <v>5</v>
      </c>
      <c r="F953" s="104">
        <f t="shared" si="156"/>
        <v>2.3816236645991129</v>
      </c>
      <c r="G953" s="167">
        <f>RANK(0.84,AE:AE,0)</f>
        <v>946</v>
      </c>
      <c r="H953" s="365">
        <f t="shared" si="157"/>
        <v>-2.4</v>
      </c>
      <c r="I953" s="213">
        <f t="shared" si="158"/>
        <v>174</v>
      </c>
      <c r="J953" s="213">
        <f t="shared" si="159"/>
        <v>768</v>
      </c>
      <c r="K953">
        <f>RANK(1.65,AI:AI,0)</f>
        <v>482</v>
      </c>
      <c r="L953" s="357">
        <v>1</v>
      </c>
      <c r="M953" s="357">
        <v>1</v>
      </c>
      <c r="N953" s="357">
        <v>2</v>
      </c>
      <c r="O953" s="357">
        <v>1</v>
      </c>
      <c r="P953" s="357">
        <v>0</v>
      </c>
      <c r="Q953" s="358">
        <v>0.38573021181716832</v>
      </c>
      <c r="R953" s="359">
        <v>1.67</v>
      </c>
      <c r="S953" s="196">
        <v>3280850000</v>
      </c>
      <c r="T953" s="196">
        <v>87500000</v>
      </c>
      <c r="U953" s="200">
        <f t="shared" si="160"/>
        <v>7813750000</v>
      </c>
      <c r="V953" s="196">
        <v>0</v>
      </c>
      <c r="W953" s="196">
        <v>591000000</v>
      </c>
      <c r="X953" s="196">
        <v>2742000000</v>
      </c>
      <c r="Y953" s="196">
        <v>3683000000</v>
      </c>
      <c r="Z953" s="196">
        <v>1229000000</v>
      </c>
      <c r="AA953" s="198">
        <v>0</v>
      </c>
      <c r="AB953" s="198">
        <v>0</v>
      </c>
      <c r="AC953" s="213">
        <f t="shared" si="161"/>
        <v>945</v>
      </c>
      <c r="AD953" s="213">
        <f t="shared" si="162"/>
        <v>911</v>
      </c>
      <c r="AE953" s="213">
        <v>0.84</v>
      </c>
      <c r="AF953" s="196">
        <v>210000000</v>
      </c>
      <c r="AG953" s="104">
        <f t="shared" si="163"/>
        <v>2.4</v>
      </c>
      <c r="AH953" s="104">
        <f t="shared" si="164"/>
        <v>0</v>
      </c>
      <c r="AI953" s="195">
        <v>1.65</v>
      </c>
      <c r="AO953" s="213"/>
      <c r="AP953" s="213"/>
      <c r="AQ953" s="213"/>
      <c r="AR953" s="213"/>
      <c r="AS953" s="213"/>
      <c r="AT953" s="213"/>
      <c r="AU953" s="213"/>
      <c r="AV953" s="213"/>
    </row>
    <row r="954" spans="1:48">
      <c r="A954">
        <v>4747</v>
      </c>
      <c r="C954" s="107">
        <f>VLOOKUP(4747,收盤價!$A:$C,3,0)</f>
        <v>38.1</v>
      </c>
      <c r="D954" s="107">
        <f t="shared" si="154"/>
        <v>17.638888888888889</v>
      </c>
      <c r="E954" s="167">
        <f t="shared" si="155"/>
        <v>3</v>
      </c>
      <c r="F954" s="104">
        <f t="shared" si="156"/>
        <v>2.9442751493388903</v>
      </c>
      <c r="G954" s="167">
        <f>RANK(1.41,AE:AE,0)</f>
        <v>618</v>
      </c>
      <c r="H954" s="365">
        <f t="shared" si="157"/>
        <v>0.77777777777777768</v>
      </c>
      <c r="I954" s="213">
        <f t="shared" si="158"/>
        <v>448</v>
      </c>
      <c r="J954" s="213">
        <f t="shared" si="159"/>
        <v>278</v>
      </c>
      <c r="K954">
        <f>RANK(2.15,AI:AI,0)</f>
        <v>303</v>
      </c>
      <c r="L954" s="357">
        <v>0</v>
      </c>
      <c r="M954" s="357">
        <v>1</v>
      </c>
      <c r="N954" s="357">
        <v>0</v>
      </c>
      <c r="O954" s="357">
        <v>1</v>
      </c>
      <c r="P954" s="357">
        <v>1</v>
      </c>
      <c r="Q954" s="358">
        <v>0.45</v>
      </c>
      <c r="R954" s="359">
        <v>0.54</v>
      </c>
      <c r="S954" s="196">
        <v>388211000</v>
      </c>
      <c r="T954" s="196">
        <v>30000000</v>
      </c>
      <c r="U954" s="200">
        <f t="shared" si="160"/>
        <v>1143000000</v>
      </c>
      <c r="V954" s="196">
        <v>18000000</v>
      </c>
      <c r="W954" s="196">
        <v>414000000</v>
      </c>
      <c r="X954" s="196">
        <v>384000000</v>
      </c>
      <c r="Y954" s="196">
        <v>804000000</v>
      </c>
      <c r="Z954" s="196">
        <v>0</v>
      </c>
      <c r="AA954" s="198">
        <v>0.02</v>
      </c>
      <c r="AB954" s="198">
        <v>0.02</v>
      </c>
      <c r="AC954" s="213">
        <f t="shared" si="161"/>
        <v>616</v>
      </c>
      <c r="AD954" s="213">
        <f t="shared" si="162"/>
        <v>487</v>
      </c>
      <c r="AE954" s="213">
        <v>1.41</v>
      </c>
      <c r="AF954" s="196">
        <v>35000000</v>
      </c>
      <c r="AG954" s="104">
        <f t="shared" si="163"/>
        <v>1.1666666666666667</v>
      </c>
      <c r="AH954" s="104">
        <f t="shared" si="164"/>
        <v>1.9444444444444444</v>
      </c>
      <c r="AI954" s="195">
        <v>2.15</v>
      </c>
    </row>
    <row r="955" spans="1:48">
      <c r="A955">
        <v>4755</v>
      </c>
      <c r="C955" s="107">
        <f>VLOOKUP(4755,收盤價!$A:$C,3,0)</f>
        <v>30.8</v>
      </c>
      <c r="D955" s="107">
        <f t="shared" si="154"/>
        <v>6.2384259259259265</v>
      </c>
      <c r="E955" s="167">
        <f t="shared" si="155"/>
        <v>6</v>
      </c>
      <c r="F955" s="104">
        <f t="shared" si="156"/>
        <v>0.7388533806768246</v>
      </c>
      <c r="G955" s="167">
        <f>RANK(7.11,AE:AE,0)</f>
        <v>108</v>
      </c>
      <c r="H955" s="365">
        <f t="shared" si="157"/>
        <v>-0.74157023377513354</v>
      </c>
      <c r="I955" s="213">
        <f t="shared" si="158"/>
        <v>230</v>
      </c>
      <c r="J955" s="213">
        <f t="shared" si="159"/>
        <v>442</v>
      </c>
      <c r="K955">
        <f>RANK(2.32,AI:AI,0)</f>
        <v>277</v>
      </c>
      <c r="L955" s="357">
        <v>1</v>
      </c>
      <c r="M955" s="357">
        <v>1</v>
      </c>
      <c r="N955" s="357">
        <v>2</v>
      </c>
      <c r="O955" s="357">
        <v>1</v>
      </c>
      <c r="P955" s="357">
        <v>1</v>
      </c>
      <c r="Q955" s="358">
        <v>0.21353670162059105</v>
      </c>
      <c r="R955" s="359">
        <v>1.2342857142857142</v>
      </c>
      <c r="S955" s="196">
        <v>3743422000</v>
      </c>
      <c r="T955" s="196">
        <v>89800000</v>
      </c>
      <c r="U955" s="200">
        <f t="shared" si="160"/>
        <v>2765840000</v>
      </c>
      <c r="V955" s="196">
        <v>143000000</v>
      </c>
      <c r="W955" s="196">
        <v>906000000</v>
      </c>
      <c r="X955" s="196">
        <v>679000000</v>
      </c>
      <c r="Y955" s="196">
        <v>2616000000</v>
      </c>
      <c r="Z955" s="196">
        <v>195000000</v>
      </c>
      <c r="AA955" s="198">
        <v>0.09</v>
      </c>
      <c r="AB955" s="198">
        <v>0.05</v>
      </c>
      <c r="AC955" s="213">
        <f t="shared" si="161"/>
        <v>69</v>
      </c>
      <c r="AD955" s="213">
        <f t="shared" si="162"/>
        <v>150</v>
      </c>
      <c r="AE955" s="213">
        <v>7.11</v>
      </c>
      <c r="AF955" s="196">
        <v>179000000</v>
      </c>
      <c r="AG955" s="104">
        <f t="shared" si="163"/>
        <v>1.9933184855233852</v>
      </c>
      <c r="AH955" s="104">
        <f t="shared" si="164"/>
        <v>1.2517482517482517</v>
      </c>
      <c r="AI955" s="195">
        <v>2.3199999999999998</v>
      </c>
      <c r="AO955" s="213"/>
      <c r="AP955" s="213"/>
      <c r="AQ955" s="213"/>
      <c r="AR955" s="213"/>
      <c r="AS955" s="213"/>
      <c r="AT955" s="213"/>
      <c r="AU955" s="213"/>
      <c r="AV955" s="213"/>
    </row>
    <row r="956" spans="1:48">
      <c r="A956">
        <v>4762</v>
      </c>
      <c r="C956" s="107">
        <f>VLOOKUP(4762,收盤價!$A:$C,3,0)</f>
        <v>67.3</v>
      </c>
      <c r="D956" s="107">
        <f t="shared" si="154"/>
        <v>14.626049160671464</v>
      </c>
      <c r="E956" s="167">
        <f t="shared" si="155"/>
        <v>3</v>
      </c>
      <c r="F956" s="104">
        <f t="shared" si="156"/>
        <v>3.0105042680167142</v>
      </c>
      <c r="G956" s="167">
        <f>RANK(3.92,AE:AE,0)</f>
        <v>209</v>
      </c>
      <c r="H956" s="365">
        <f t="shared" si="157"/>
        <v>-0.35294117647058831</v>
      </c>
      <c r="I956" s="213">
        <f t="shared" si="158"/>
        <v>386</v>
      </c>
      <c r="J956" s="213">
        <f t="shared" si="159"/>
        <v>528</v>
      </c>
      <c r="K956">
        <f>RANK(1.7,AI:AI,0)</f>
        <v>456</v>
      </c>
      <c r="L956" s="357">
        <v>0</v>
      </c>
      <c r="M956" s="357">
        <v>1</v>
      </c>
      <c r="N956" s="357">
        <v>2</v>
      </c>
      <c r="O956" s="357">
        <v>0</v>
      </c>
      <c r="P956" s="357">
        <v>0</v>
      </c>
      <c r="Q956" s="358">
        <v>0.49504950495049505</v>
      </c>
      <c r="R956" s="359">
        <v>1.1503448275862067</v>
      </c>
      <c r="S956" s="196">
        <v>380036000</v>
      </c>
      <c r="T956" s="196">
        <v>17000000</v>
      </c>
      <c r="U956" s="200">
        <f t="shared" si="160"/>
        <v>1144100000</v>
      </c>
      <c r="V956" s="196">
        <v>23000000</v>
      </c>
      <c r="W956" s="196">
        <v>276000000</v>
      </c>
      <c r="X956" s="196">
        <v>143000000</v>
      </c>
      <c r="Y956" s="196">
        <v>473000000</v>
      </c>
      <c r="Z956" s="196">
        <v>0</v>
      </c>
      <c r="AA956" s="198">
        <v>0.05</v>
      </c>
      <c r="AB956" s="198">
        <v>0.05</v>
      </c>
      <c r="AC956" s="213">
        <f t="shared" si="161"/>
        <v>247</v>
      </c>
      <c r="AD956" s="213">
        <f t="shared" si="162"/>
        <v>150</v>
      </c>
      <c r="AE956" s="213">
        <v>3.92</v>
      </c>
      <c r="AF956" s="196">
        <v>23000000</v>
      </c>
      <c r="AG956" s="104">
        <f t="shared" si="163"/>
        <v>1.3529411764705883</v>
      </c>
      <c r="AH956" s="104">
        <f t="shared" si="164"/>
        <v>1</v>
      </c>
      <c r="AI956" s="195">
        <v>1.7</v>
      </c>
      <c r="AO956" s="213"/>
      <c r="AP956" s="213"/>
      <c r="AQ956" s="213"/>
      <c r="AR956" s="213"/>
      <c r="AS956" s="213"/>
      <c r="AT956" s="213"/>
      <c r="AU956" s="213"/>
      <c r="AV956" s="213"/>
    </row>
    <row r="957" spans="1:48">
      <c r="A957">
        <v>4763</v>
      </c>
      <c r="C957" s="107">
        <f>VLOOKUP(4763,收盤價!$A:$C,3,0)</f>
        <v>115.5</v>
      </c>
      <c r="D957" s="107">
        <f t="shared" si="154"/>
        <v>22.650193798449614</v>
      </c>
      <c r="E957" s="167">
        <f t="shared" si="155"/>
        <v>3</v>
      </c>
      <c r="F957" s="104">
        <f t="shared" si="156"/>
        <v>3.8135972324393106</v>
      </c>
      <c r="G957" s="167">
        <f>RANK(4.81,AE:AE,0)</f>
        <v>170</v>
      </c>
      <c r="H957" s="365">
        <f t="shared" si="157"/>
        <v>3.4623655913978495</v>
      </c>
      <c r="I957" s="213">
        <f t="shared" si="158"/>
        <v>1541</v>
      </c>
      <c r="J957" s="213">
        <f t="shared" si="159"/>
        <v>768</v>
      </c>
      <c r="K957">
        <f>RANK(0.67,AI:AI,0)</f>
        <v>1541</v>
      </c>
      <c r="L957" s="357">
        <v>0</v>
      </c>
      <c r="M957" s="357">
        <v>1</v>
      </c>
      <c r="N957" s="357">
        <v>1</v>
      </c>
      <c r="O957" s="357">
        <v>0</v>
      </c>
      <c r="P957" s="357">
        <v>1</v>
      </c>
      <c r="Q957" s="358">
        <v>0.27475247524752477</v>
      </c>
      <c r="R957" s="359">
        <v>1.2748235294117647</v>
      </c>
      <c r="S957" s="196">
        <v>1408316000</v>
      </c>
      <c r="T957" s="196">
        <v>46500000</v>
      </c>
      <c r="U957" s="200">
        <f t="shared" si="160"/>
        <v>5370750000</v>
      </c>
      <c r="V957" s="196">
        <v>64000000</v>
      </c>
      <c r="W957" s="196">
        <v>837000000</v>
      </c>
      <c r="X957" s="196">
        <v>254000000</v>
      </c>
      <c r="Y957" s="196">
        <v>1254000000</v>
      </c>
      <c r="Z957" s="196">
        <v>0</v>
      </c>
      <c r="AA957" s="198">
        <v>0.06</v>
      </c>
      <c r="AB957" s="198">
        <v>0.05</v>
      </c>
      <c r="AC957" s="213">
        <f t="shared" si="161"/>
        <v>174</v>
      </c>
      <c r="AD957" s="213">
        <f t="shared" si="162"/>
        <v>150</v>
      </c>
      <c r="AE957" s="213">
        <v>4.8099999999999996</v>
      </c>
      <c r="AF957" s="196">
        <v>-161000000</v>
      </c>
      <c r="AG957" s="104">
        <f t="shared" si="163"/>
        <v>-3.4623655913978495</v>
      </c>
      <c r="AH957" s="104">
        <f t="shared" si="164"/>
        <v>0</v>
      </c>
      <c r="AI957" s="195">
        <v>0.67</v>
      </c>
      <c r="AO957" s="213"/>
      <c r="AP957" s="213"/>
      <c r="AQ957" s="213"/>
      <c r="AR957" s="213"/>
      <c r="AS957" s="213"/>
      <c r="AT957" s="213"/>
      <c r="AU957" s="213"/>
      <c r="AV957" s="213"/>
    </row>
    <row r="958" spans="1:48">
      <c r="A958">
        <v>4803</v>
      </c>
      <c r="C958" s="107">
        <f>VLOOKUP(4803,收盤價!$A:$C,3,0)</f>
        <v>195</v>
      </c>
      <c r="D958" s="107">
        <f t="shared" si="154"/>
        <v>39.190573770491802</v>
      </c>
      <c r="E958" s="167">
        <f t="shared" si="155"/>
        <v>4</v>
      </c>
      <c r="F958" s="104">
        <f t="shared" si="156"/>
        <v>8.7136068397352098</v>
      </c>
      <c r="G958" s="167">
        <f>RANK(3.28,AE:AE,0)</f>
        <v>256</v>
      </c>
      <c r="H958" s="365">
        <f t="shared" si="157"/>
        <v>-0.1741772732484807</v>
      </c>
      <c r="I958" s="213">
        <f t="shared" si="158"/>
        <v>783</v>
      </c>
      <c r="J958" s="213">
        <f t="shared" si="159"/>
        <v>733</v>
      </c>
      <c r="K958">
        <f>RANK(1.03,AI:AI,0)</f>
        <v>851</v>
      </c>
      <c r="L958" s="357">
        <v>0</v>
      </c>
      <c r="M958" s="357">
        <v>1</v>
      </c>
      <c r="N958" s="357">
        <v>1</v>
      </c>
      <c r="O958" s="357">
        <v>1</v>
      </c>
      <c r="P958" s="357">
        <v>1</v>
      </c>
      <c r="Q958" s="358">
        <v>0.4189723320158103</v>
      </c>
      <c r="R958" s="359">
        <v>1.243921568627451</v>
      </c>
      <c r="S958" s="196">
        <v>722835000</v>
      </c>
      <c r="T958" s="196">
        <v>32300000</v>
      </c>
      <c r="U958" s="200">
        <f t="shared" si="160"/>
        <v>6298500000</v>
      </c>
      <c r="V958" s="196">
        <v>54000000</v>
      </c>
      <c r="W958" s="196">
        <v>839000000</v>
      </c>
      <c r="X958" s="196">
        <v>323000000</v>
      </c>
      <c r="Y958" s="196">
        <v>1186000000</v>
      </c>
      <c r="Z958" s="196">
        <v>59000000</v>
      </c>
      <c r="AA958" s="198">
        <v>0.05</v>
      </c>
      <c r="AB958" s="198">
        <v>0.04</v>
      </c>
      <c r="AC958" s="213">
        <f t="shared" si="161"/>
        <v>247</v>
      </c>
      <c r="AD958" s="213">
        <f t="shared" si="162"/>
        <v>228</v>
      </c>
      <c r="AE958" s="213">
        <v>3.28</v>
      </c>
      <c r="AF958" s="196">
        <v>14000000</v>
      </c>
      <c r="AG958" s="104">
        <f t="shared" si="163"/>
        <v>0.43343653250773995</v>
      </c>
      <c r="AH958" s="104">
        <f t="shared" si="164"/>
        <v>0.25925925925925924</v>
      </c>
      <c r="AI958" s="195">
        <v>1.03</v>
      </c>
    </row>
    <row r="959" spans="1:48">
      <c r="A959">
        <v>4804</v>
      </c>
      <c r="C959" s="107">
        <f>VLOOKUP(4804,收盤價!$A:$C,3,0)</f>
        <v>107.5</v>
      </c>
      <c r="D959" s="107">
        <f t="shared" si="154"/>
        <v>13.407225619568713</v>
      </c>
      <c r="E959" s="167">
        <f t="shared" si="155"/>
        <v>4</v>
      </c>
      <c r="F959" s="104">
        <f t="shared" si="156"/>
        <v>2.4906125495700349</v>
      </c>
      <c r="G959" s="167">
        <f>RANK(31.8,AE:AE,0)</f>
        <v>17</v>
      </c>
      <c r="H959" s="365">
        <f t="shared" si="157"/>
        <v>-1.4223245109321057</v>
      </c>
      <c r="I959" s="213">
        <f t="shared" si="158"/>
        <v>200</v>
      </c>
      <c r="J959" s="213">
        <f t="shared" si="159"/>
        <v>611</v>
      </c>
      <c r="K959">
        <f>RANK(1.92,AI:AI,0)</f>
        <v>372</v>
      </c>
      <c r="L959" s="357">
        <v>0</v>
      </c>
      <c r="M959" s="357">
        <v>1</v>
      </c>
      <c r="N959" s="357">
        <v>2</v>
      </c>
      <c r="O959" s="357">
        <v>1</v>
      </c>
      <c r="P959" s="357">
        <v>0</v>
      </c>
      <c r="Q959" s="358">
        <v>0.55747126436781613</v>
      </c>
      <c r="R959" s="359">
        <v>2.0045161290322584</v>
      </c>
      <c r="S959" s="196">
        <v>1186957000</v>
      </c>
      <c r="T959" s="196">
        <v>27500000</v>
      </c>
      <c r="U959" s="200">
        <f t="shared" si="160"/>
        <v>2956250000</v>
      </c>
      <c r="V959" s="196">
        <v>79000000</v>
      </c>
      <c r="W959" s="196">
        <v>0</v>
      </c>
      <c r="X959" s="196">
        <v>673000000</v>
      </c>
      <c r="Y959" s="196">
        <v>716000000</v>
      </c>
      <c r="Z959" s="196">
        <v>85000000</v>
      </c>
      <c r="AA959" s="198">
        <v>0.12</v>
      </c>
      <c r="AB959" s="198">
        <v>0.1</v>
      </c>
      <c r="AC959" s="213">
        <f t="shared" si="161"/>
        <v>32</v>
      </c>
      <c r="AD959" s="213">
        <f t="shared" si="162"/>
        <v>17</v>
      </c>
      <c r="AE959" s="213">
        <v>31.8</v>
      </c>
      <c r="AF959" s="196">
        <v>60000000</v>
      </c>
      <c r="AG959" s="104">
        <f t="shared" si="163"/>
        <v>2.1818181818181817</v>
      </c>
      <c r="AH959" s="104">
        <f t="shared" si="164"/>
        <v>0.759493670886076</v>
      </c>
      <c r="AI959" s="195">
        <v>1.92</v>
      </c>
    </row>
    <row r="960" spans="1:48">
      <c r="A960">
        <v>4806</v>
      </c>
      <c r="C960" s="107">
        <f>VLOOKUP(4806,收盤價!$A:$C,3,0)</f>
        <v>75.3</v>
      </c>
      <c r="D960" s="107">
        <f t="shared" si="154"/>
        <v>0</v>
      </c>
      <c r="E960" s="167">
        <f t="shared" si="155"/>
        <v>0</v>
      </c>
      <c r="F960" s="104">
        <f t="shared" si="156"/>
        <v>4.7827505641710299</v>
      </c>
      <c r="G960" s="167">
        <f>RANK(0.58,AE:AE,0)</f>
        <v>1374</v>
      </c>
      <c r="H960" s="365">
        <f t="shared" si="157"/>
        <v>1.0196078431372548</v>
      </c>
      <c r="I960" s="213">
        <f t="shared" si="158"/>
        <v>1440</v>
      </c>
      <c r="J960" s="213">
        <f t="shared" si="159"/>
        <v>768</v>
      </c>
      <c r="K960">
        <f>RANK(0.71,AI:AI,0)</f>
        <v>1412</v>
      </c>
      <c r="L960" s="357">
        <v>0</v>
      </c>
      <c r="M960" s="357">
        <v>0</v>
      </c>
      <c r="N960" s="357">
        <v>0</v>
      </c>
      <c r="O960" s="357">
        <v>0</v>
      </c>
      <c r="P960" s="357">
        <v>0</v>
      </c>
      <c r="Q960" s="358">
        <v>-4.3010752688172046E-2</v>
      </c>
      <c r="R960" s="359">
        <v>0</v>
      </c>
      <c r="S960" s="196">
        <v>401474000</v>
      </c>
      <c r="T960" s="196">
        <v>25500000</v>
      </c>
      <c r="U960" s="200">
        <f t="shared" si="160"/>
        <v>1920150000</v>
      </c>
      <c r="V960" s="196">
        <v>-14000000</v>
      </c>
      <c r="W960" s="196">
        <v>346000000</v>
      </c>
      <c r="X960" s="196">
        <v>175000000</v>
      </c>
      <c r="Y960" s="196">
        <v>1093000000</v>
      </c>
      <c r="Z960" s="196">
        <v>56000000</v>
      </c>
      <c r="AA960" s="198">
        <v>-0.03</v>
      </c>
      <c r="AB960" s="198">
        <v>-0.01</v>
      </c>
      <c r="AC960" s="213">
        <f t="shared" si="161"/>
        <v>1405</v>
      </c>
      <c r="AD960" s="213">
        <f t="shared" si="162"/>
        <v>1294</v>
      </c>
      <c r="AE960" s="213">
        <v>0.57999999999999996</v>
      </c>
      <c r="AF960" s="196">
        <v>-26000000</v>
      </c>
      <c r="AG960" s="104">
        <f t="shared" si="163"/>
        <v>-1.0196078431372548</v>
      </c>
      <c r="AH960" s="104">
        <f t="shared" si="164"/>
        <v>0</v>
      </c>
      <c r="AI960" s="195">
        <v>0.71</v>
      </c>
      <c r="AO960" s="213"/>
      <c r="AP960" s="213"/>
      <c r="AQ960" s="213"/>
      <c r="AR960" s="213"/>
      <c r="AS960" s="213"/>
      <c r="AT960" s="213"/>
      <c r="AU960" s="213"/>
      <c r="AV960" s="213"/>
    </row>
    <row r="961" spans="1:48">
      <c r="A961">
        <v>4903</v>
      </c>
      <c r="C961" s="107">
        <f>VLOOKUP(4903,收盤價!$A:$C,3,0)</f>
        <v>27.15</v>
      </c>
      <c r="D961" s="107">
        <f t="shared" si="154"/>
        <v>0</v>
      </c>
      <c r="E961" s="167">
        <f t="shared" si="155"/>
        <v>2</v>
      </c>
      <c r="F961" s="104">
        <f t="shared" si="156"/>
        <v>1.9231208154315591</v>
      </c>
      <c r="G961" s="167">
        <f>RANK(0.57,AE:AE,0)</f>
        <v>1389</v>
      </c>
      <c r="H961" s="365">
        <f t="shared" si="157"/>
        <v>-0.2</v>
      </c>
      <c r="I961" s="213">
        <f t="shared" si="158"/>
        <v>933</v>
      </c>
      <c r="J961" s="213">
        <f t="shared" si="159"/>
        <v>768</v>
      </c>
      <c r="K961">
        <f>RANK(0.92,AI:AI,0)</f>
        <v>958</v>
      </c>
      <c r="L961" s="357">
        <v>0</v>
      </c>
      <c r="M961" s="357">
        <v>0</v>
      </c>
      <c r="N961" s="357">
        <v>2</v>
      </c>
      <c r="O961" s="357">
        <v>0</v>
      </c>
      <c r="P961" s="357">
        <v>0</v>
      </c>
      <c r="Q961" s="358">
        <v>0.11075949367088607</v>
      </c>
      <c r="R961" s="359">
        <v>0</v>
      </c>
      <c r="S961" s="196">
        <v>1270591000</v>
      </c>
      <c r="T961" s="196">
        <v>90000000</v>
      </c>
      <c r="U961" s="200">
        <f t="shared" si="160"/>
        <v>2443500000</v>
      </c>
      <c r="V961" s="196">
        <v>-16000000</v>
      </c>
      <c r="W961" s="196">
        <v>760000000</v>
      </c>
      <c r="X961" s="196">
        <v>159000000</v>
      </c>
      <c r="Y961" s="196">
        <v>1031000000</v>
      </c>
      <c r="Z961" s="196">
        <v>10000000</v>
      </c>
      <c r="AA961" s="198">
        <v>-0.02</v>
      </c>
      <c r="AB961" s="198">
        <v>-0.02</v>
      </c>
      <c r="AC961" s="213">
        <f t="shared" si="161"/>
        <v>1353</v>
      </c>
      <c r="AD961" s="213">
        <f t="shared" si="162"/>
        <v>1388</v>
      </c>
      <c r="AE961" s="213">
        <v>0.56999999999999995</v>
      </c>
      <c r="AF961" s="196">
        <v>18000000</v>
      </c>
      <c r="AG961" s="104">
        <f t="shared" si="163"/>
        <v>0.2</v>
      </c>
      <c r="AH961" s="104">
        <f t="shared" si="164"/>
        <v>0</v>
      </c>
      <c r="AI961" s="195">
        <v>0.92</v>
      </c>
      <c r="AO961" s="213"/>
      <c r="AP961" s="213"/>
      <c r="AQ961" s="213"/>
      <c r="AR961" s="213"/>
      <c r="AS961" s="213"/>
      <c r="AT961" s="213"/>
      <c r="AU961" s="213"/>
      <c r="AV961" s="213"/>
    </row>
    <row r="962" spans="1:48">
      <c r="A962">
        <v>4904</v>
      </c>
      <c r="C962" s="107">
        <f>VLOOKUP(4904,收盤價!$A:$C,3,0)</f>
        <v>74.599999999999994</v>
      </c>
      <c r="D962" s="107">
        <f t="shared" ref="D962:D1025" si="165">IF(AND(ISNUMBER(C962),R962&gt;0),C962/(R962*4),0)</f>
        <v>18.766309876597813</v>
      </c>
      <c r="E962" s="167">
        <f t="shared" ref="E962:E1025" si="166">SUM(L962:P962)</f>
        <v>3</v>
      </c>
      <c r="F962" s="104">
        <f t="shared" ref="F962:F1025" si="167">IF(AND(ISNUMBER(U962),ISNUMBER(S962)),U962/S962,0)</f>
        <v>2.5470527791609414</v>
      </c>
      <c r="G962" s="167">
        <f>RANK(8.11,AE:AE,0)</f>
        <v>90</v>
      </c>
      <c r="H962" s="365">
        <f t="shared" ref="H962:H1025" si="168">AH962-AG962</f>
        <v>-0.4124183560172654</v>
      </c>
      <c r="I962" s="213">
        <f t="shared" ref="I962:I1025" si="169">RANK(AG962,AG:AG)</f>
        <v>205</v>
      </c>
      <c r="J962" s="213">
        <f t="shared" ref="J962:J1025" si="170">RANK(AH962,AH:AH)</f>
        <v>319</v>
      </c>
      <c r="K962">
        <f>RANK(2.97,AI:AI,0)</f>
        <v>171</v>
      </c>
      <c r="L962" s="357">
        <v>0</v>
      </c>
      <c r="M962" s="357">
        <v>1</v>
      </c>
      <c r="N962" s="357">
        <v>1</v>
      </c>
      <c r="O962" s="357">
        <v>1</v>
      </c>
      <c r="P962" s="357">
        <v>0</v>
      </c>
      <c r="Q962" s="358">
        <v>0.41934365110330774</v>
      </c>
      <c r="R962" s="359">
        <v>0.99380219780219781</v>
      </c>
      <c r="S962" s="196">
        <v>95437402000</v>
      </c>
      <c r="T962" s="196">
        <v>3258500000</v>
      </c>
      <c r="U962" s="200">
        <f t="shared" ref="U962:U1025" si="171">C962*T962</f>
        <v>243084099999.99997</v>
      </c>
      <c r="V962" s="196">
        <v>4036000000</v>
      </c>
      <c r="W962" s="196">
        <v>0</v>
      </c>
      <c r="X962" s="196">
        <v>52053000000</v>
      </c>
      <c r="Y962" s="196">
        <v>66322000000</v>
      </c>
      <c r="Z962" s="196">
        <v>2344000000</v>
      </c>
      <c r="AA962" s="198">
        <v>0.08</v>
      </c>
      <c r="AB962" s="198">
        <v>0.06</v>
      </c>
      <c r="AC962" s="213">
        <f t="shared" ref="AC962:AC1025" si="172">RANK(AA962,AA:AA)</f>
        <v>97</v>
      </c>
      <c r="AD962" s="213">
        <f t="shared" ref="AD962:AD1025" si="173">RANK(AB962,AB:AB)</f>
        <v>95</v>
      </c>
      <c r="AE962" s="213">
        <v>8.11</v>
      </c>
      <c r="AF962" s="196">
        <v>6976000000</v>
      </c>
      <c r="AG962" s="104">
        <f t="shared" ref="AG962:AG1025" si="174">AF962/T962</f>
        <v>2.1408623599815866</v>
      </c>
      <c r="AH962" s="104">
        <f t="shared" ref="AH962:AH1025" si="175">IF(AND(AF962&gt;0,V962&gt;0),AF962/V962,0)</f>
        <v>1.7284440039643212</v>
      </c>
      <c r="AI962" s="195">
        <v>2.97</v>
      </c>
    </row>
    <row r="963" spans="1:48">
      <c r="A963">
        <v>4905</v>
      </c>
      <c r="C963" s="107">
        <f>VLOOKUP(4905,收盤價!$A:$C,3,0)</f>
        <v>43.8</v>
      </c>
      <c r="D963" s="107">
        <f t="shared" si="165"/>
        <v>0</v>
      </c>
      <c r="E963" s="167">
        <f t="shared" si="166"/>
        <v>3</v>
      </c>
      <c r="F963" s="104">
        <f t="shared" si="167"/>
        <v>19.514256105014216</v>
      </c>
      <c r="G963" s="167">
        <f>RANK(0.69,AE:AE,0)</f>
        <v>1293</v>
      </c>
      <c r="H963" s="365">
        <f t="shared" si="168"/>
        <v>-0.23856858846918488</v>
      </c>
      <c r="I963" s="213">
        <f t="shared" si="169"/>
        <v>900</v>
      </c>
      <c r="J963" s="213">
        <f t="shared" si="170"/>
        <v>768</v>
      </c>
      <c r="K963">
        <f>RANK(0.93,AI:AI,0)</f>
        <v>950</v>
      </c>
      <c r="L963" s="357">
        <v>0</v>
      </c>
      <c r="M963" s="357">
        <v>1</v>
      </c>
      <c r="N963" s="357">
        <v>1</v>
      </c>
      <c r="O963" s="357">
        <v>1</v>
      </c>
      <c r="P963" s="357">
        <v>0</v>
      </c>
      <c r="Q963" s="358">
        <v>0.38461538461538464</v>
      </c>
      <c r="R963" s="359">
        <v>0</v>
      </c>
      <c r="S963" s="196">
        <v>112899000</v>
      </c>
      <c r="T963" s="196">
        <v>50300000</v>
      </c>
      <c r="U963" s="200">
        <f t="shared" si="171"/>
        <v>2203140000</v>
      </c>
      <c r="V963" s="196">
        <v>-14000000</v>
      </c>
      <c r="W963" s="196">
        <v>587000000</v>
      </c>
      <c r="X963" s="196">
        <v>130000000</v>
      </c>
      <c r="Y963" s="196">
        <v>3881000000</v>
      </c>
      <c r="Z963" s="196">
        <v>0</v>
      </c>
      <c r="AA963" s="198">
        <v>-0.02</v>
      </c>
      <c r="AB963" s="198">
        <v>0</v>
      </c>
      <c r="AC963" s="213">
        <f t="shared" si="172"/>
        <v>1353</v>
      </c>
      <c r="AD963" s="213">
        <f t="shared" si="173"/>
        <v>911</v>
      </c>
      <c r="AE963" s="213">
        <v>0.69</v>
      </c>
      <c r="AF963" s="196">
        <v>12000000</v>
      </c>
      <c r="AG963" s="104">
        <f t="shared" si="174"/>
        <v>0.23856858846918488</v>
      </c>
      <c r="AH963" s="104">
        <f t="shared" si="175"/>
        <v>0</v>
      </c>
      <c r="AI963" s="195">
        <v>0.93</v>
      </c>
    </row>
    <row r="964" spans="1:48">
      <c r="A964">
        <v>4906</v>
      </c>
      <c r="C964" s="107">
        <f>VLOOKUP(4906,收盤價!$A:$C,3,0)</f>
        <v>18.350000000000001</v>
      </c>
      <c r="D964" s="107">
        <f t="shared" si="165"/>
        <v>22.576737696600709</v>
      </c>
      <c r="E964" s="167">
        <f t="shared" si="166"/>
        <v>5</v>
      </c>
      <c r="F964" s="104">
        <f t="shared" si="167"/>
        <v>0.37022053954515866</v>
      </c>
      <c r="G964" s="167">
        <f>RANK(1.08,AE:AE,0)</f>
        <v>769</v>
      </c>
      <c r="H964" s="365">
        <f t="shared" si="168"/>
        <v>2.4571955845664878E-2</v>
      </c>
      <c r="I964" s="213">
        <f t="shared" si="169"/>
        <v>1059</v>
      </c>
      <c r="J964" s="213">
        <f t="shared" si="170"/>
        <v>765</v>
      </c>
      <c r="K964">
        <f>RANK(0.85,AI:AI,0)</f>
        <v>1059</v>
      </c>
      <c r="L964" s="357">
        <v>1</v>
      </c>
      <c r="M964" s="357">
        <v>1</v>
      </c>
      <c r="N964" s="357">
        <v>2</v>
      </c>
      <c r="O964" s="357">
        <v>1</v>
      </c>
      <c r="P964" s="357">
        <v>0</v>
      </c>
      <c r="Q964" s="358">
        <v>0.14242652599849284</v>
      </c>
      <c r="R964" s="359">
        <v>0.20319587628865982</v>
      </c>
      <c r="S964" s="196">
        <v>15003341000</v>
      </c>
      <c r="T964" s="196">
        <v>302700000</v>
      </c>
      <c r="U964" s="200">
        <f t="shared" si="171"/>
        <v>5554545000</v>
      </c>
      <c r="V964" s="196">
        <v>87000000</v>
      </c>
      <c r="W964" s="196">
        <v>3036000000</v>
      </c>
      <c r="X964" s="196">
        <v>3288000000</v>
      </c>
      <c r="Y964" s="196">
        <v>8453000000</v>
      </c>
      <c r="Z964" s="196">
        <v>2631000000</v>
      </c>
      <c r="AA964" s="198">
        <v>0.01</v>
      </c>
      <c r="AB964" s="198">
        <v>0.01</v>
      </c>
      <c r="AC964" s="213">
        <f t="shared" si="172"/>
        <v>769</v>
      </c>
      <c r="AD964" s="213">
        <f t="shared" si="173"/>
        <v>680</v>
      </c>
      <c r="AE964" s="213">
        <v>1.08</v>
      </c>
      <c r="AF964" s="196">
        <v>3000000</v>
      </c>
      <c r="AG964" s="104">
        <f t="shared" si="174"/>
        <v>9.9108027750247768E-3</v>
      </c>
      <c r="AH964" s="104">
        <f t="shared" si="175"/>
        <v>3.4482758620689655E-2</v>
      </c>
      <c r="AI964" s="195">
        <v>0.85</v>
      </c>
      <c r="AO964" s="213"/>
      <c r="AP964" s="213"/>
      <c r="AQ964" s="213"/>
      <c r="AR964" s="213"/>
      <c r="AS964" s="213"/>
      <c r="AT964" s="213"/>
      <c r="AU964" s="213"/>
      <c r="AV964" s="213"/>
    </row>
    <row r="965" spans="1:48">
      <c r="A965">
        <v>4907</v>
      </c>
      <c r="C965" s="107">
        <f>VLOOKUP(4907,收盤價!$A:$C,3,0)</f>
        <v>0</v>
      </c>
      <c r="D965" s="107">
        <f t="shared" si="165"/>
        <v>0</v>
      </c>
      <c r="E965" s="167">
        <f t="shared" si="166"/>
        <v>1</v>
      </c>
      <c r="F965" s="104">
        <f t="shared" si="167"/>
        <v>0</v>
      </c>
      <c r="G965" s="167">
        <f>RANK(0.84,AE:AE,0)</f>
        <v>946</v>
      </c>
      <c r="H965" s="365">
        <f t="shared" si="168"/>
        <v>0.53344623200677388</v>
      </c>
      <c r="I965" s="213">
        <f t="shared" si="169"/>
        <v>1356</v>
      </c>
      <c r="J965" s="213">
        <f t="shared" si="170"/>
        <v>768</v>
      </c>
      <c r="K965">
        <f>RANK(0.73,AI:AI,0)</f>
        <v>1352</v>
      </c>
      <c r="L965" s="357">
        <v>0</v>
      </c>
      <c r="M965" s="357">
        <v>1</v>
      </c>
      <c r="N965" s="357">
        <v>0</v>
      </c>
      <c r="O965" s="357">
        <v>0</v>
      </c>
      <c r="P965" s="357">
        <v>0</v>
      </c>
      <c r="Q965" s="358">
        <v>0.25454545454545452</v>
      </c>
      <c r="R965" s="359">
        <v>0</v>
      </c>
      <c r="S965" s="196">
        <v>788958000</v>
      </c>
      <c r="T965" s="196">
        <v>118100000</v>
      </c>
      <c r="U965" s="200">
        <f t="shared" si="171"/>
        <v>0</v>
      </c>
      <c r="V965" s="196">
        <v>4000000</v>
      </c>
      <c r="W965" s="196">
        <v>671000000</v>
      </c>
      <c r="X965" s="196">
        <v>0</v>
      </c>
      <c r="Y965" s="196">
        <v>836000000</v>
      </c>
      <c r="Z965" s="196">
        <v>2657000000</v>
      </c>
      <c r="AA965" s="198">
        <v>0</v>
      </c>
      <c r="AB965" s="198">
        <v>0</v>
      </c>
      <c r="AC965" s="213">
        <f t="shared" si="172"/>
        <v>945</v>
      </c>
      <c r="AD965" s="213">
        <f t="shared" si="173"/>
        <v>911</v>
      </c>
      <c r="AE965" s="213">
        <v>0.84</v>
      </c>
      <c r="AF965" s="196">
        <v>-63000000</v>
      </c>
      <c r="AG965" s="104">
        <f t="shared" si="174"/>
        <v>-0.53344623200677388</v>
      </c>
      <c r="AH965" s="104">
        <f t="shared" si="175"/>
        <v>0</v>
      </c>
      <c r="AI965" s="195">
        <v>0.73</v>
      </c>
    </row>
    <row r="966" spans="1:48">
      <c r="A966">
        <v>4908</v>
      </c>
      <c r="C966" s="107">
        <f>VLOOKUP(4908,收盤價!$A:$C,3,0)</f>
        <v>16.399999999999999</v>
      </c>
      <c r="D966" s="107">
        <f t="shared" si="165"/>
        <v>11.696696696696696</v>
      </c>
      <c r="E966" s="167">
        <f t="shared" si="166"/>
        <v>2</v>
      </c>
      <c r="F966" s="104">
        <f t="shared" si="167"/>
        <v>1.1671934981273133</v>
      </c>
      <c r="G966" s="167">
        <f>RANK(1.94,AE:AE,0)</f>
        <v>435</v>
      </c>
      <c r="H966" s="365">
        <f t="shared" si="168"/>
        <v>0.81992706992706987</v>
      </c>
      <c r="I966" s="213">
        <f t="shared" si="169"/>
        <v>647</v>
      </c>
      <c r="J966" s="213">
        <f t="shared" si="170"/>
        <v>367</v>
      </c>
      <c r="K966">
        <f>RANK(1.54,AI:AI,0)</f>
        <v>535</v>
      </c>
      <c r="L966" s="357">
        <v>0</v>
      </c>
      <c r="M966" s="357">
        <v>1</v>
      </c>
      <c r="N966" s="357">
        <v>0</v>
      </c>
      <c r="O966" s="357">
        <v>1</v>
      </c>
      <c r="P966" s="357">
        <v>0</v>
      </c>
      <c r="Q966" s="358">
        <v>0.33632286995515698</v>
      </c>
      <c r="R966" s="359">
        <v>0.35052631578947369</v>
      </c>
      <c r="S966" s="196">
        <v>1091747000</v>
      </c>
      <c r="T966" s="196">
        <v>77700000</v>
      </c>
      <c r="U966" s="200">
        <f t="shared" si="171"/>
        <v>1274280000</v>
      </c>
      <c r="V966" s="196">
        <v>36000000</v>
      </c>
      <c r="W966" s="196">
        <v>851000000</v>
      </c>
      <c r="X966" s="196">
        <v>346000000</v>
      </c>
      <c r="Y966" s="196">
        <v>1221000000</v>
      </c>
      <c r="Z966" s="196">
        <v>0</v>
      </c>
      <c r="AA966" s="198">
        <v>0.03</v>
      </c>
      <c r="AB966" s="198">
        <v>0.03</v>
      </c>
      <c r="AC966" s="213">
        <f t="shared" si="172"/>
        <v>469</v>
      </c>
      <c r="AD966" s="213">
        <f t="shared" si="173"/>
        <v>334</v>
      </c>
      <c r="AE966" s="213">
        <v>1.94</v>
      </c>
      <c r="AF966" s="196">
        <v>55000000</v>
      </c>
      <c r="AG966" s="104">
        <f t="shared" si="174"/>
        <v>0.70785070785070781</v>
      </c>
      <c r="AH966" s="104">
        <f t="shared" si="175"/>
        <v>1.5277777777777777</v>
      </c>
      <c r="AI966" s="195">
        <v>1.54</v>
      </c>
    </row>
    <row r="967" spans="1:48">
      <c r="A967">
        <v>4909</v>
      </c>
      <c r="C967" s="107">
        <f>VLOOKUP(4909,收盤價!$A:$C,3,0)</f>
        <v>22.2</v>
      </c>
      <c r="D967" s="107">
        <f t="shared" si="165"/>
        <v>14.605263157894736</v>
      </c>
      <c r="E967" s="167">
        <f t="shared" si="166"/>
        <v>3</v>
      </c>
      <c r="F967" s="104">
        <f t="shared" si="167"/>
        <v>1.273092093306547</v>
      </c>
      <c r="G967" s="167">
        <f>RANK(0.84,AE:AE,0)</f>
        <v>946</v>
      </c>
      <c r="H967" s="365">
        <f t="shared" si="168"/>
        <v>-1.2312633832976445</v>
      </c>
      <c r="I967" s="213">
        <f t="shared" si="169"/>
        <v>424</v>
      </c>
      <c r="J967" s="213">
        <f t="shared" si="170"/>
        <v>768</v>
      </c>
      <c r="K967">
        <f>RANK(1.31,AI:AI,0)</f>
        <v>671</v>
      </c>
      <c r="L967" s="357">
        <v>0</v>
      </c>
      <c r="M967" s="357">
        <v>1</v>
      </c>
      <c r="N967" s="357">
        <v>1</v>
      </c>
      <c r="O967" s="357">
        <v>1</v>
      </c>
      <c r="P967" s="357">
        <v>0</v>
      </c>
      <c r="Q967" s="358">
        <v>0.19889502762430938</v>
      </c>
      <c r="R967" s="359">
        <v>0.38</v>
      </c>
      <c r="S967" s="196">
        <v>1628696000</v>
      </c>
      <c r="T967" s="196">
        <v>93400000</v>
      </c>
      <c r="U967" s="200">
        <f t="shared" si="171"/>
        <v>2073480000</v>
      </c>
      <c r="V967" s="196">
        <v>0</v>
      </c>
      <c r="W967" s="196">
        <v>2221000000</v>
      </c>
      <c r="X967" s="196">
        <v>384000000</v>
      </c>
      <c r="Y967" s="196">
        <v>2555000000</v>
      </c>
      <c r="Z967" s="196">
        <v>0</v>
      </c>
      <c r="AA967" s="198">
        <v>0</v>
      </c>
      <c r="AB967" s="198">
        <v>0</v>
      </c>
      <c r="AC967" s="213">
        <f t="shared" si="172"/>
        <v>945</v>
      </c>
      <c r="AD967" s="213">
        <f t="shared" si="173"/>
        <v>911</v>
      </c>
      <c r="AE967" s="213">
        <v>0.84</v>
      </c>
      <c r="AF967" s="196">
        <v>115000000</v>
      </c>
      <c r="AG967" s="104">
        <f t="shared" si="174"/>
        <v>1.2312633832976445</v>
      </c>
      <c r="AH967" s="104">
        <f t="shared" si="175"/>
        <v>0</v>
      </c>
      <c r="AI967" s="195">
        <v>1.31</v>
      </c>
    </row>
    <row r="968" spans="1:48">
      <c r="A968">
        <v>4911</v>
      </c>
      <c r="C968" s="107">
        <f>VLOOKUP(4911,收盤價!$A:$C,3,0)</f>
        <v>81.3</v>
      </c>
      <c r="D968" s="107">
        <f t="shared" si="165"/>
        <v>0</v>
      </c>
      <c r="E968" s="167">
        <f t="shared" si="166"/>
        <v>3</v>
      </c>
      <c r="F968" s="104">
        <f t="shared" si="167"/>
        <v>76.977119738899844</v>
      </c>
      <c r="G968" s="167">
        <f>RANK(0.61,AE:AE,0)</f>
        <v>1295</v>
      </c>
      <c r="H968" s="365">
        <f t="shared" si="168"/>
        <v>-0.25134649910233392</v>
      </c>
      <c r="I968" s="213">
        <f t="shared" si="169"/>
        <v>891</v>
      </c>
      <c r="J968" s="213">
        <f t="shared" si="170"/>
        <v>768</v>
      </c>
      <c r="K968">
        <f>RANK(0.94,AI:AI,0)</f>
        <v>936</v>
      </c>
      <c r="L968" s="357">
        <v>0</v>
      </c>
      <c r="M968" s="357">
        <v>1</v>
      </c>
      <c r="N968" s="357">
        <v>1</v>
      </c>
      <c r="O968" s="357">
        <v>1</v>
      </c>
      <c r="P968" s="357">
        <v>0</v>
      </c>
      <c r="Q968" s="358">
        <v>0.63636363636363635</v>
      </c>
      <c r="R968" s="359">
        <v>0</v>
      </c>
      <c r="S968" s="196">
        <v>58828000</v>
      </c>
      <c r="T968" s="196">
        <v>55700000</v>
      </c>
      <c r="U968" s="200">
        <f t="shared" si="171"/>
        <v>4528410000</v>
      </c>
      <c r="V968" s="196">
        <v>-8000000</v>
      </c>
      <c r="W968" s="196">
        <v>267000000</v>
      </c>
      <c r="X968" s="196">
        <v>351000000</v>
      </c>
      <c r="Y968" s="196">
        <v>813000000</v>
      </c>
      <c r="Z968" s="196">
        <v>0</v>
      </c>
      <c r="AA968" s="198">
        <v>-0.01</v>
      </c>
      <c r="AB968" s="198">
        <v>-0.01</v>
      </c>
      <c r="AC968" s="213">
        <f t="shared" si="172"/>
        <v>1277</v>
      </c>
      <c r="AD968" s="213">
        <f t="shared" si="173"/>
        <v>1294</v>
      </c>
      <c r="AE968" s="213">
        <v>0.61</v>
      </c>
      <c r="AF968" s="196">
        <v>14000000</v>
      </c>
      <c r="AG968" s="104">
        <f t="shared" si="174"/>
        <v>0.25134649910233392</v>
      </c>
      <c r="AH968" s="104">
        <f t="shared" si="175"/>
        <v>0</v>
      </c>
      <c r="AI968" s="195">
        <v>0.94</v>
      </c>
      <c r="AO968" s="213"/>
      <c r="AP968" s="213"/>
      <c r="AQ968" s="213"/>
      <c r="AR968" s="213"/>
      <c r="AS968" s="213"/>
      <c r="AT968" s="213"/>
      <c r="AU968" s="213"/>
      <c r="AV968" s="213"/>
    </row>
    <row r="969" spans="1:48">
      <c r="A969">
        <v>4912</v>
      </c>
      <c r="C969" s="107">
        <f>VLOOKUP(4912,收盤價!$A:$C,3,0)</f>
        <v>76.5</v>
      </c>
      <c r="D969" s="107">
        <f t="shared" si="165"/>
        <v>13.405765355296593</v>
      </c>
      <c r="E969" s="167">
        <f t="shared" si="166"/>
        <v>3</v>
      </c>
      <c r="F969" s="104">
        <f t="shared" si="167"/>
        <v>0.97146198800328432</v>
      </c>
      <c r="G969" s="167">
        <f>RANK(5.49,AE:AE,0)</f>
        <v>154</v>
      </c>
      <c r="H969" s="365">
        <f t="shared" si="168"/>
        <v>1.240506329113924</v>
      </c>
      <c r="I969" s="213">
        <f t="shared" si="169"/>
        <v>1460</v>
      </c>
      <c r="J969" s="213">
        <f t="shared" si="170"/>
        <v>768</v>
      </c>
      <c r="K969">
        <f>RANK(0.7,AI:AI,0)</f>
        <v>1442</v>
      </c>
      <c r="L969" s="357">
        <v>0</v>
      </c>
      <c r="M969" s="357">
        <v>1</v>
      </c>
      <c r="N969" s="357">
        <v>2</v>
      </c>
      <c r="O969" s="357">
        <v>0</v>
      </c>
      <c r="P969" s="357">
        <v>0</v>
      </c>
      <c r="Q969" s="358">
        <v>0.24238733252131547</v>
      </c>
      <c r="R969" s="359">
        <v>1.4266249999999998</v>
      </c>
      <c r="S969" s="196">
        <v>3110518000</v>
      </c>
      <c r="T969" s="196">
        <v>39500000</v>
      </c>
      <c r="U969" s="200">
        <f t="shared" si="171"/>
        <v>3021750000</v>
      </c>
      <c r="V969" s="196">
        <v>104000000</v>
      </c>
      <c r="W969" s="196">
        <v>582000000</v>
      </c>
      <c r="X969" s="196">
        <v>827000000</v>
      </c>
      <c r="Y969" s="196">
        <v>1440000000</v>
      </c>
      <c r="Z969" s="196">
        <v>464000000</v>
      </c>
      <c r="AA969" s="198">
        <v>7.0000000000000007E-2</v>
      </c>
      <c r="AB969" s="198">
        <v>0.05</v>
      </c>
      <c r="AC969" s="213">
        <f t="shared" si="172"/>
        <v>134</v>
      </c>
      <c r="AD969" s="213">
        <f t="shared" si="173"/>
        <v>150</v>
      </c>
      <c r="AE969" s="213">
        <v>5.49</v>
      </c>
      <c r="AF969" s="196">
        <v>-49000000</v>
      </c>
      <c r="AG969" s="104">
        <f t="shared" si="174"/>
        <v>-1.240506329113924</v>
      </c>
      <c r="AH969" s="104">
        <f t="shared" si="175"/>
        <v>0</v>
      </c>
      <c r="AI969" s="195">
        <v>0.7</v>
      </c>
    </row>
    <row r="970" spans="1:48">
      <c r="A970">
        <v>4915</v>
      </c>
      <c r="C970" s="107">
        <f>VLOOKUP(4915,收盤價!$A:$C,3,0)</f>
        <v>50.6</v>
      </c>
      <c r="D970" s="107">
        <f t="shared" si="165"/>
        <v>18.568298827911054</v>
      </c>
      <c r="E970" s="167">
        <f t="shared" si="166"/>
        <v>3</v>
      </c>
      <c r="F970" s="104">
        <f t="shared" si="167"/>
        <v>0.32933742217813539</v>
      </c>
      <c r="G970" s="167">
        <f>RANK(2.32,AE:AE,0)</f>
        <v>360</v>
      </c>
      <c r="H970" s="365">
        <f t="shared" si="168"/>
        <v>0.23456650081208563</v>
      </c>
      <c r="I970" s="213">
        <f t="shared" si="169"/>
        <v>233</v>
      </c>
      <c r="J970" s="213">
        <f t="shared" si="170"/>
        <v>227</v>
      </c>
      <c r="K970">
        <f>RANK(3.39,AI:AI,0)</f>
        <v>135</v>
      </c>
      <c r="L970" s="357">
        <v>0</v>
      </c>
      <c r="M970" s="357">
        <v>1</v>
      </c>
      <c r="N970" s="357">
        <v>1</v>
      </c>
      <c r="O970" s="357">
        <v>1</v>
      </c>
      <c r="P970" s="357">
        <v>0</v>
      </c>
      <c r="Q970" s="358">
        <v>9.8089974113202263E-2</v>
      </c>
      <c r="R970" s="359">
        <v>0.6812686567164179</v>
      </c>
      <c r="S970" s="196">
        <v>67894319000</v>
      </c>
      <c r="T970" s="196">
        <v>441900000</v>
      </c>
      <c r="U970" s="200">
        <f t="shared" si="171"/>
        <v>22360140000</v>
      </c>
      <c r="V970" s="196">
        <v>395000000</v>
      </c>
      <c r="W970" s="196">
        <v>5794000000</v>
      </c>
      <c r="X970" s="196">
        <v>5107000000</v>
      </c>
      <c r="Y970" s="196">
        <v>12647000000</v>
      </c>
      <c r="Z970" s="196">
        <v>2524000000</v>
      </c>
      <c r="AA970" s="198">
        <v>0.04</v>
      </c>
      <c r="AB970" s="198">
        <v>0.03</v>
      </c>
      <c r="AC970" s="213">
        <f t="shared" si="172"/>
        <v>337</v>
      </c>
      <c r="AD970" s="213">
        <f t="shared" si="173"/>
        <v>334</v>
      </c>
      <c r="AE970" s="213">
        <v>2.3199999999999998</v>
      </c>
      <c r="AF970" s="196">
        <v>873000000</v>
      </c>
      <c r="AG970" s="104">
        <f t="shared" si="174"/>
        <v>1.9755600814663952</v>
      </c>
      <c r="AH970" s="104">
        <f t="shared" si="175"/>
        <v>2.2101265822784808</v>
      </c>
      <c r="AI970" s="195">
        <v>3.39</v>
      </c>
      <c r="AO970" s="213"/>
      <c r="AP970" s="213"/>
      <c r="AQ970" s="213"/>
      <c r="AR970" s="213"/>
      <c r="AS970" s="213"/>
      <c r="AT970" s="213"/>
      <c r="AU970" s="213"/>
      <c r="AV970" s="213"/>
    </row>
    <row r="971" spans="1:48">
      <c r="A971">
        <v>4916</v>
      </c>
      <c r="C971" s="107">
        <f>VLOOKUP(4916,收盤價!$A:$C,3,0)</f>
        <v>38.799999999999997</v>
      </c>
      <c r="D971" s="107">
        <f t="shared" si="165"/>
        <v>18.456659619450313</v>
      </c>
      <c r="E971" s="167">
        <f t="shared" si="166"/>
        <v>5</v>
      </c>
      <c r="F971" s="104">
        <f t="shared" si="167"/>
        <v>1.3481480950804354</v>
      </c>
      <c r="G971" s="167">
        <f>RANK(2.89,AE:AE,0)</f>
        <v>301</v>
      </c>
      <c r="H971" s="365">
        <f t="shared" si="168"/>
        <v>0.13753016012283392</v>
      </c>
      <c r="I971" s="213">
        <f t="shared" si="169"/>
        <v>856</v>
      </c>
      <c r="J971" s="213">
        <f t="shared" si="170"/>
        <v>692</v>
      </c>
      <c r="K971">
        <f>RANK(1.01,AI:AI,0)</f>
        <v>874</v>
      </c>
      <c r="L971" s="357">
        <v>1</v>
      </c>
      <c r="M971" s="357">
        <v>1</v>
      </c>
      <c r="N971" s="357">
        <v>2</v>
      </c>
      <c r="O971" s="357">
        <v>1</v>
      </c>
      <c r="P971" s="357">
        <v>0</v>
      </c>
      <c r="Q971" s="358">
        <v>0.19290780141843972</v>
      </c>
      <c r="R971" s="359">
        <v>0.52555555555555566</v>
      </c>
      <c r="S971" s="196">
        <v>1954177000</v>
      </c>
      <c r="T971" s="196">
        <v>67900000</v>
      </c>
      <c r="U971" s="200">
        <f t="shared" si="171"/>
        <v>2634520000</v>
      </c>
      <c r="V971" s="196">
        <v>47000000</v>
      </c>
      <c r="W971" s="196">
        <v>114000000</v>
      </c>
      <c r="X971" s="196">
        <v>345000000</v>
      </c>
      <c r="Y971" s="196">
        <v>1054000000</v>
      </c>
      <c r="Z971" s="196">
        <v>853000000</v>
      </c>
      <c r="AA971" s="198">
        <v>0.1</v>
      </c>
      <c r="AB971" s="198">
        <v>0.02</v>
      </c>
      <c r="AC971" s="213">
        <f t="shared" si="172"/>
        <v>52</v>
      </c>
      <c r="AD971" s="213">
        <f t="shared" si="173"/>
        <v>487</v>
      </c>
      <c r="AE971" s="213">
        <v>2.89</v>
      </c>
      <c r="AF971" s="196">
        <v>21000000</v>
      </c>
      <c r="AG971" s="104">
        <f t="shared" si="174"/>
        <v>0.30927835051546393</v>
      </c>
      <c r="AH971" s="104">
        <f t="shared" si="175"/>
        <v>0.44680851063829785</v>
      </c>
      <c r="AI971" s="195">
        <v>1.01</v>
      </c>
    </row>
    <row r="972" spans="1:48">
      <c r="A972">
        <v>4919</v>
      </c>
      <c r="C972" s="107">
        <f>VLOOKUP(4919,收盤價!$A:$C,3,0)</f>
        <v>37.65</v>
      </c>
      <c r="D972" s="107">
        <f t="shared" si="165"/>
        <v>10.107837837837836</v>
      </c>
      <c r="E972" s="167">
        <f t="shared" si="166"/>
        <v>5</v>
      </c>
      <c r="F972" s="104">
        <f t="shared" si="167"/>
        <v>0.99415650968789182</v>
      </c>
      <c r="G972" s="167">
        <f>RANK(9.68,AE:AE,0)</f>
        <v>76</v>
      </c>
      <c r="H972" s="365">
        <f t="shared" si="168"/>
        <v>-8.7486330260896805E-2</v>
      </c>
      <c r="I972" s="213">
        <f t="shared" si="169"/>
        <v>388</v>
      </c>
      <c r="J972" s="213">
        <f t="shared" si="170"/>
        <v>439</v>
      </c>
      <c r="K972">
        <f>RANK(1.88,AI:AI,0)</f>
        <v>389</v>
      </c>
      <c r="L972" s="357">
        <v>1</v>
      </c>
      <c r="M972" s="357">
        <v>1</v>
      </c>
      <c r="N972" s="357">
        <v>2</v>
      </c>
      <c r="O972" s="357">
        <v>1</v>
      </c>
      <c r="P972" s="357">
        <v>0</v>
      </c>
      <c r="Q972" s="358">
        <v>0.42420152946468737</v>
      </c>
      <c r="R972" s="359">
        <v>0.93120805369127524</v>
      </c>
      <c r="S972" s="196">
        <v>7862082000</v>
      </c>
      <c r="T972" s="196">
        <v>207600000</v>
      </c>
      <c r="U972" s="200">
        <f t="shared" si="171"/>
        <v>7816140000</v>
      </c>
      <c r="V972" s="196">
        <v>222000000</v>
      </c>
      <c r="W972" s="196">
        <v>2229000000</v>
      </c>
      <c r="X972" s="196">
        <v>452000000</v>
      </c>
      <c r="Y972" s="196">
        <v>3151000000</v>
      </c>
      <c r="Z972" s="196">
        <v>0</v>
      </c>
      <c r="AA972" s="198">
        <v>0.08</v>
      </c>
      <c r="AB972" s="198">
        <v>7.0000000000000007E-2</v>
      </c>
      <c r="AC972" s="213">
        <f t="shared" si="172"/>
        <v>97</v>
      </c>
      <c r="AD972" s="213">
        <f t="shared" si="173"/>
        <v>64</v>
      </c>
      <c r="AE972" s="213">
        <v>9.68</v>
      </c>
      <c r="AF972" s="196">
        <v>280000000</v>
      </c>
      <c r="AG972" s="104">
        <f t="shared" si="174"/>
        <v>1.3487475915221581</v>
      </c>
      <c r="AH972" s="104">
        <f t="shared" si="175"/>
        <v>1.2612612612612613</v>
      </c>
      <c r="AI972" s="195">
        <v>1.88</v>
      </c>
    </row>
    <row r="973" spans="1:48">
      <c r="A973">
        <v>4924</v>
      </c>
      <c r="C973" s="107">
        <f>VLOOKUP(4924,收盤價!$A:$C,3,0)</f>
        <v>9.91</v>
      </c>
      <c r="D973" s="107">
        <f t="shared" si="165"/>
        <v>0</v>
      </c>
      <c r="E973" s="167">
        <f t="shared" si="166"/>
        <v>3</v>
      </c>
      <c r="F973" s="104">
        <f t="shared" si="167"/>
        <v>0.76180675238366835</v>
      </c>
      <c r="G973" s="167">
        <f>RANK(0.51,AE:AE,0)</f>
        <v>1523</v>
      </c>
      <c r="H973" s="365">
        <f t="shared" si="168"/>
        <v>-0.16129032258064516</v>
      </c>
      <c r="I973" s="213">
        <f t="shared" si="169"/>
        <v>958</v>
      </c>
      <c r="J973" s="213">
        <f t="shared" si="170"/>
        <v>768</v>
      </c>
      <c r="K973">
        <f>RANK(0.9,AI:AI,0)</f>
        <v>988</v>
      </c>
      <c r="L973" s="357">
        <v>0</v>
      </c>
      <c r="M973" s="357">
        <v>1</v>
      </c>
      <c r="N973" s="357">
        <v>2</v>
      </c>
      <c r="O973" s="357">
        <v>0</v>
      </c>
      <c r="P973" s="357">
        <v>0</v>
      </c>
      <c r="Q973" s="358">
        <v>8.0645161290322578E-3</v>
      </c>
      <c r="R973" s="359">
        <v>0</v>
      </c>
      <c r="S973" s="196">
        <v>483918000</v>
      </c>
      <c r="T973" s="196">
        <v>37200000</v>
      </c>
      <c r="U973" s="200">
        <f t="shared" si="171"/>
        <v>368652000</v>
      </c>
      <c r="V973" s="196">
        <v>-27000000</v>
      </c>
      <c r="W973" s="196">
        <v>126000000</v>
      </c>
      <c r="X973" s="196">
        <v>217000000</v>
      </c>
      <c r="Y973" s="196">
        <v>361000000</v>
      </c>
      <c r="Z973" s="196">
        <v>40000000</v>
      </c>
      <c r="AA973" s="198">
        <v>-0.08</v>
      </c>
      <c r="AB973" s="198">
        <v>-7.0000000000000007E-2</v>
      </c>
      <c r="AC973" s="213">
        <f t="shared" si="172"/>
        <v>1511</v>
      </c>
      <c r="AD973" s="213">
        <f t="shared" si="173"/>
        <v>1526</v>
      </c>
      <c r="AE973" s="213">
        <v>0.51</v>
      </c>
      <c r="AF973" s="196">
        <v>6000000</v>
      </c>
      <c r="AG973" s="104">
        <f t="shared" si="174"/>
        <v>0.16129032258064516</v>
      </c>
      <c r="AH973" s="104">
        <f t="shared" si="175"/>
        <v>0</v>
      </c>
      <c r="AI973" s="195">
        <v>0.9</v>
      </c>
    </row>
    <row r="974" spans="1:48">
      <c r="A974">
        <v>4927</v>
      </c>
      <c r="C974" s="107">
        <f>VLOOKUP(4927,收盤價!$A:$C,3,0)</f>
        <v>34.5</v>
      </c>
      <c r="D974" s="107">
        <f t="shared" si="165"/>
        <v>7.484169793621013</v>
      </c>
      <c r="E974" s="167">
        <f t="shared" si="166"/>
        <v>1</v>
      </c>
      <c r="F974" s="104">
        <f t="shared" si="167"/>
        <v>0.47673696725091941</v>
      </c>
      <c r="G974" s="167">
        <f>RANK(1.94,AE:AE,0)</f>
        <v>435</v>
      </c>
      <c r="H974" s="365">
        <f t="shared" si="168"/>
        <v>-0.19578459616118848</v>
      </c>
      <c r="I974" s="213">
        <f t="shared" si="169"/>
        <v>715</v>
      </c>
      <c r="J974" s="213">
        <f t="shared" si="170"/>
        <v>712</v>
      </c>
      <c r="K974">
        <f>RANK(1.09,AI:AI,0)</f>
        <v>803</v>
      </c>
      <c r="L974" s="357">
        <v>0</v>
      </c>
      <c r="M974" s="357">
        <v>1</v>
      </c>
      <c r="N974" s="357">
        <v>0</v>
      </c>
      <c r="O974" s="357">
        <v>0</v>
      </c>
      <c r="P974" s="357">
        <v>0</v>
      </c>
      <c r="Q974" s="358">
        <v>0.16512488436632747</v>
      </c>
      <c r="R974" s="359">
        <v>1.1524324324324324</v>
      </c>
      <c r="S974" s="196">
        <v>8872188000</v>
      </c>
      <c r="T974" s="196">
        <v>122600000</v>
      </c>
      <c r="U974" s="200">
        <f t="shared" si="171"/>
        <v>4229700000</v>
      </c>
      <c r="V974" s="196">
        <v>188000000</v>
      </c>
      <c r="W974" s="196">
        <v>0</v>
      </c>
      <c r="X974" s="196">
        <v>6316000000</v>
      </c>
      <c r="Y974" s="196">
        <v>4037000000</v>
      </c>
      <c r="Z974" s="196">
        <v>2704000000</v>
      </c>
      <c r="AA974" s="198">
        <v>0.03</v>
      </c>
      <c r="AB974" s="198">
        <v>0.03</v>
      </c>
      <c r="AC974" s="213">
        <f t="shared" si="172"/>
        <v>469</v>
      </c>
      <c r="AD974" s="213">
        <f t="shared" si="173"/>
        <v>334</v>
      </c>
      <c r="AE974" s="213">
        <v>1.94</v>
      </c>
      <c r="AF974" s="196">
        <v>69000000</v>
      </c>
      <c r="AG974" s="104">
        <f t="shared" si="174"/>
        <v>0.56280587275693317</v>
      </c>
      <c r="AH974" s="104">
        <f t="shared" si="175"/>
        <v>0.36702127659574468</v>
      </c>
      <c r="AI974" s="195">
        <v>1.0900000000000001</v>
      </c>
    </row>
    <row r="975" spans="1:48">
      <c r="A975">
        <v>4930</v>
      </c>
      <c r="C975" s="107">
        <f>VLOOKUP(4930,收盤價!$A:$C,3,0)</f>
        <v>13.55</v>
      </c>
      <c r="D975" s="107">
        <f t="shared" si="165"/>
        <v>0</v>
      </c>
      <c r="E975" s="167">
        <f t="shared" si="166"/>
        <v>2</v>
      </c>
      <c r="F975" s="104">
        <f t="shared" si="167"/>
        <v>0.14076215688467661</v>
      </c>
      <c r="G975" s="167">
        <f>RANK(0.71,AE:AE,0)</f>
        <v>1276</v>
      </c>
      <c r="H975" s="365">
        <f t="shared" si="168"/>
        <v>1.0424422933730455</v>
      </c>
      <c r="I975" s="213">
        <f t="shared" si="169"/>
        <v>1441</v>
      </c>
      <c r="J975" s="213">
        <f t="shared" si="170"/>
        <v>768</v>
      </c>
      <c r="K975">
        <f>RANK(0.71,AI:AI,0)</f>
        <v>1412</v>
      </c>
      <c r="L975" s="357">
        <v>1</v>
      </c>
      <c r="M975" s="357">
        <v>1</v>
      </c>
      <c r="N975" s="357">
        <v>0</v>
      </c>
      <c r="O975" s="357">
        <v>0</v>
      </c>
      <c r="P975" s="357">
        <v>0</v>
      </c>
      <c r="Q975" s="358">
        <v>0.16492617933021245</v>
      </c>
      <c r="R975" s="359">
        <v>0</v>
      </c>
      <c r="S975" s="196">
        <v>12927942000</v>
      </c>
      <c r="T975" s="196">
        <v>134300000</v>
      </c>
      <c r="U975" s="200">
        <f t="shared" si="171"/>
        <v>1819765000</v>
      </c>
      <c r="V975" s="196">
        <v>-31000000</v>
      </c>
      <c r="W975" s="196">
        <v>4100000000</v>
      </c>
      <c r="X975" s="196">
        <v>1358000000</v>
      </c>
      <c r="Y975" s="196">
        <v>6615000000</v>
      </c>
      <c r="Z975" s="196">
        <v>575000000</v>
      </c>
      <c r="AA975" s="198">
        <v>-0.01</v>
      </c>
      <c r="AB975" s="198">
        <v>0</v>
      </c>
      <c r="AC975" s="213">
        <f t="shared" si="172"/>
        <v>1277</v>
      </c>
      <c r="AD975" s="213">
        <f t="shared" si="173"/>
        <v>911</v>
      </c>
      <c r="AE975" s="213">
        <v>0.71</v>
      </c>
      <c r="AF975" s="196">
        <v>-140000000</v>
      </c>
      <c r="AG975" s="104">
        <f t="shared" si="174"/>
        <v>-1.0424422933730455</v>
      </c>
      <c r="AH975" s="104">
        <f t="shared" si="175"/>
        <v>0</v>
      </c>
      <c r="AI975" s="195">
        <v>0.71</v>
      </c>
    </row>
    <row r="976" spans="1:48">
      <c r="A976">
        <v>4933</v>
      </c>
      <c r="C976" s="107">
        <f>VLOOKUP(4933,收盤價!$A:$C,3,0)</f>
        <v>24.2</v>
      </c>
      <c r="D976" s="107">
        <f t="shared" si="165"/>
        <v>12.236405835543769</v>
      </c>
      <c r="E976" s="167">
        <f t="shared" si="166"/>
        <v>3</v>
      </c>
      <c r="F976" s="104">
        <f t="shared" si="167"/>
        <v>0.52427636151655788</v>
      </c>
      <c r="G976" s="167">
        <f>RANK(1.41,AE:AE,0)</f>
        <v>618</v>
      </c>
      <c r="H976" s="365">
        <f t="shared" si="168"/>
        <v>1.1566062144548317</v>
      </c>
      <c r="I976" s="213">
        <f t="shared" si="169"/>
        <v>165</v>
      </c>
      <c r="J976" s="213">
        <f t="shared" si="170"/>
        <v>125</v>
      </c>
      <c r="K976">
        <f>RANK(5.37,AI:AI,0)</f>
        <v>60</v>
      </c>
      <c r="L976" s="357">
        <v>0</v>
      </c>
      <c r="M976" s="357">
        <v>1</v>
      </c>
      <c r="N976" s="357">
        <v>1</v>
      </c>
      <c r="O976" s="357">
        <v>1</v>
      </c>
      <c r="P976" s="357">
        <v>0</v>
      </c>
      <c r="Q976" s="358">
        <v>0.16729088639200998</v>
      </c>
      <c r="R976" s="359">
        <v>0.49442622950819665</v>
      </c>
      <c r="S976" s="196">
        <v>3568080000</v>
      </c>
      <c r="T976" s="196">
        <v>77300000</v>
      </c>
      <c r="U976" s="200">
        <f t="shared" si="171"/>
        <v>1870660000</v>
      </c>
      <c r="V976" s="196">
        <v>53000000</v>
      </c>
      <c r="W976" s="196">
        <v>1704000000</v>
      </c>
      <c r="X976" s="196">
        <v>1082000000</v>
      </c>
      <c r="Y976" s="196">
        <v>2860000000</v>
      </c>
      <c r="Z976" s="196">
        <v>0</v>
      </c>
      <c r="AA976" s="198">
        <v>0.02</v>
      </c>
      <c r="AB976" s="198">
        <v>0.02</v>
      </c>
      <c r="AC976" s="213">
        <f t="shared" si="172"/>
        <v>616</v>
      </c>
      <c r="AD976" s="213">
        <f t="shared" si="173"/>
        <v>487</v>
      </c>
      <c r="AE976" s="213">
        <v>1.41</v>
      </c>
      <c r="AF976" s="196">
        <v>195000000</v>
      </c>
      <c r="AG976" s="104">
        <f t="shared" si="174"/>
        <v>2.5226390685640361</v>
      </c>
      <c r="AH976" s="104">
        <f t="shared" si="175"/>
        <v>3.6792452830188678</v>
      </c>
      <c r="AI976" s="195">
        <v>5.37</v>
      </c>
    </row>
    <row r="977" spans="1:48">
      <c r="A977">
        <v>4934</v>
      </c>
      <c r="C977" s="107">
        <f>VLOOKUP(4934,收盤價!$A:$C,3,0)</f>
        <v>15.2</v>
      </c>
      <c r="D977" s="107">
        <f t="shared" si="165"/>
        <v>13.448051948051946</v>
      </c>
      <c r="E977" s="167">
        <f t="shared" si="166"/>
        <v>2</v>
      </c>
      <c r="F977" s="104">
        <f t="shared" si="167"/>
        <v>0.57820645666722048</v>
      </c>
      <c r="G977" s="167">
        <f>RANK(1.41,AE:AE,0)</f>
        <v>618</v>
      </c>
      <c r="H977" s="365">
        <f t="shared" si="168"/>
        <v>0.77348019538617785</v>
      </c>
      <c r="I977" s="213">
        <f t="shared" si="169"/>
        <v>818</v>
      </c>
      <c r="J977" s="213">
        <f t="shared" si="170"/>
        <v>490</v>
      </c>
      <c r="K977">
        <f>RANK(1.19,AI:AI,0)</f>
        <v>737</v>
      </c>
      <c r="L977" s="357">
        <v>0</v>
      </c>
      <c r="M977" s="357">
        <v>1</v>
      </c>
      <c r="N977" s="357">
        <v>1</v>
      </c>
      <c r="O977" s="357">
        <v>0</v>
      </c>
      <c r="P977" s="357">
        <v>0</v>
      </c>
      <c r="Q977" s="358">
        <v>9.385999217833399E-2</v>
      </c>
      <c r="R977" s="359">
        <v>0.28256880733944956</v>
      </c>
      <c r="S977" s="196">
        <v>9371739000</v>
      </c>
      <c r="T977" s="196">
        <v>356500000</v>
      </c>
      <c r="U977" s="200">
        <f t="shared" si="171"/>
        <v>5418800000</v>
      </c>
      <c r="V977" s="196">
        <v>116000000</v>
      </c>
      <c r="W977" s="196">
        <v>1992000000</v>
      </c>
      <c r="X977" s="196">
        <v>3436000000</v>
      </c>
      <c r="Y977" s="196">
        <v>6036000000</v>
      </c>
      <c r="Z977" s="196">
        <v>511000000</v>
      </c>
      <c r="AA977" s="198">
        <v>0.02</v>
      </c>
      <c r="AB977" s="198">
        <v>0.02</v>
      </c>
      <c r="AC977" s="213">
        <f t="shared" si="172"/>
        <v>616</v>
      </c>
      <c r="AD977" s="213">
        <f t="shared" si="173"/>
        <v>487</v>
      </c>
      <c r="AE977" s="213">
        <v>1.41</v>
      </c>
      <c r="AF977" s="196">
        <v>133000000</v>
      </c>
      <c r="AG977" s="104">
        <f t="shared" si="174"/>
        <v>0.37307152875175315</v>
      </c>
      <c r="AH977" s="104">
        <f t="shared" si="175"/>
        <v>1.146551724137931</v>
      </c>
      <c r="AI977" s="195">
        <v>1.19</v>
      </c>
    </row>
    <row r="978" spans="1:48">
      <c r="A978">
        <v>4935</v>
      </c>
      <c r="C978" s="107">
        <f>VLOOKUP(4935,收盤價!$A:$C,3,0)</f>
        <v>73.400000000000006</v>
      </c>
      <c r="D978" s="107">
        <f t="shared" si="165"/>
        <v>9.8650271661424078</v>
      </c>
      <c r="E978" s="167">
        <f t="shared" si="166"/>
        <v>4</v>
      </c>
      <c r="F978" s="104">
        <f t="shared" si="167"/>
        <v>1.5552947538657318</v>
      </c>
      <c r="G978" s="167">
        <f>RANK(3.28,AE:AE,0)</f>
        <v>256</v>
      </c>
      <c r="H978" s="365">
        <f t="shared" si="168"/>
        <v>-0.69099382123324848</v>
      </c>
      <c r="I978" s="213">
        <f t="shared" si="169"/>
        <v>365</v>
      </c>
      <c r="J978" s="213">
        <f t="shared" si="170"/>
        <v>616</v>
      </c>
      <c r="K978">
        <f>RANK(1.59,AI:AI,0)</f>
        <v>509</v>
      </c>
      <c r="L978" s="357">
        <v>0</v>
      </c>
      <c r="M978" s="357">
        <v>1</v>
      </c>
      <c r="N978" s="357">
        <v>2</v>
      </c>
      <c r="O978" s="357">
        <v>1</v>
      </c>
      <c r="P978" s="357">
        <v>0</v>
      </c>
      <c r="Q978" s="358">
        <v>0.28166465621230397</v>
      </c>
      <c r="R978" s="359">
        <v>1.8601063829787234</v>
      </c>
      <c r="S978" s="196">
        <v>6649582000</v>
      </c>
      <c r="T978" s="196">
        <v>140900000</v>
      </c>
      <c r="U978" s="200">
        <f t="shared" si="171"/>
        <v>10342060000</v>
      </c>
      <c r="V978" s="196">
        <v>272000000</v>
      </c>
      <c r="W978" s="196">
        <v>2756000000</v>
      </c>
      <c r="X978" s="196">
        <v>2995000000</v>
      </c>
      <c r="Y978" s="196">
        <v>6112000000</v>
      </c>
      <c r="Z978" s="196">
        <v>1022000000</v>
      </c>
      <c r="AA978" s="198">
        <v>0.05</v>
      </c>
      <c r="AB978" s="198">
        <v>0.04</v>
      </c>
      <c r="AC978" s="213">
        <f t="shared" si="172"/>
        <v>247</v>
      </c>
      <c r="AD978" s="213">
        <f t="shared" si="173"/>
        <v>228</v>
      </c>
      <c r="AE978" s="213">
        <v>3.28</v>
      </c>
      <c r="AF978" s="196">
        <v>202000000</v>
      </c>
      <c r="AG978" s="104">
        <f t="shared" si="174"/>
        <v>1.4336408800567779</v>
      </c>
      <c r="AH978" s="104">
        <f t="shared" si="175"/>
        <v>0.74264705882352944</v>
      </c>
      <c r="AI978" s="195">
        <v>1.59</v>
      </c>
    </row>
    <row r="979" spans="1:48">
      <c r="A979">
        <v>4938</v>
      </c>
      <c r="C979" s="107">
        <f>VLOOKUP(4938,收盤價!$A:$C,3,0)</f>
        <v>83.3</v>
      </c>
      <c r="D979" s="107">
        <f t="shared" si="165"/>
        <v>10.660100265516583</v>
      </c>
      <c r="E979" s="167">
        <f t="shared" si="166"/>
        <v>2</v>
      </c>
      <c r="F979" s="104">
        <f t="shared" si="167"/>
        <v>0.17616715475991984</v>
      </c>
      <c r="G979" s="167">
        <f>RANK(3.28,AE:AE,0)</f>
        <v>256</v>
      </c>
      <c r="H979" s="365">
        <f t="shared" si="168"/>
        <v>1.7099491479368036</v>
      </c>
      <c r="I979" s="213">
        <f t="shared" si="169"/>
        <v>1495</v>
      </c>
      <c r="J979" s="213">
        <f t="shared" si="170"/>
        <v>768</v>
      </c>
      <c r="K979">
        <f>RANK(0.69,AI:AI,0)</f>
        <v>1474</v>
      </c>
      <c r="L979" s="357">
        <v>0</v>
      </c>
      <c r="M979" s="357">
        <v>1</v>
      </c>
      <c r="N979" s="357">
        <v>1</v>
      </c>
      <c r="O979" s="357">
        <v>0</v>
      </c>
      <c r="P979" s="357">
        <v>0</v>
      </c>
      <c r="Q979" s="358">
        <v>7.1315379479189853E-2</v>
      </c>
      <c r="R979" s="359">
        <v>1.9535463533457518</v>
      </c>
      <c r="S979" s="196">
        <v>1218099539000</v>
      </c>
      <c r="T979" s="196">
        <v>2576100000</v>
      </c>
      <c r="U979" s="200">
        <f t="shared" si="171"/>
        <v>214589130000</v>
      </c>
      <c r="V979" s="196">
        <v>9201000000</v>
      </c>
      <c r="W979" s="196">
        <v>104986000000</v>
      </c>
      <c r="X979" s="196">
        <v>67290000000</v>
      </c>
      <c r="Y979" s="196">
        <v>173641000000</v>
      </c>
      <c r="Z979" s="196">
        <v>58714000000</v>
      </c>
      <c r="AA979" s="198">
        <v>0.05</v>
      </c>
      <c r="AB979" s="198">
        <v>0.04</v>
      </c>
      <c r="AC979" s="213">
        <f t="shared" si="172"/>
        <v>247</v>
      </c>
      <c r="AD979" s="213">
        <f t="shared" si="173"/>
        <v>228</v>
      </c>
      <c r="AE979" s="213">
        <v>3.28</v>
      </c>
      <c r="AF979" s="196">
        <v>-4405000000</v>
      </c>
      <c r="AG979" s="104">
        <f t="shared" si="174"/>
        <v>-1.7099491479368036</v>
      </c>
      <c r="AH979" s="104">
        <f t="shared" si="175"/>
        <v>0</v>
      </c>
      <c r="AI979" s="195">
        <v>0.69</v>
      </c>
    </row>
    <row r="980" spans="1:48">
      <c r="A980">
        <v>4939</v>
      </c>
      <c r="C980" s="107">
        <f>VLOOKUP(4939,收盤價!$A:$C,3,0)</f>
        <v>8.36</v>
      </c>
      <c r="D980" s="107">
        <f t="shared" si="165"/>
        <v>0</v>
      </c>
      <c r="E980" s="167">
        <f t="shared" si="166"/>
        <v>5</v>
      </c>
      <c r="F980" s="104">
        <f t="shared" si="167"/>
        <v>0.59105134815823823</v>
      </c>
      <c r="G980" s="167">
        <f>RANK(0.71,AE:AE,0)</f>
        <v>1276</v>
      </c>
      <c r="H980" s="365">
        <f t="shared" si="168"/>
        <v>-0.85539714867617112</v>
      </c>
      <c r="I980" s="213">
        <f t="shared" si="169"/>
        <v>580</v>
      </c>
      <c r="J980" s="213">
        <f t="shared" si="170"/>
        <v>768</v>
      </c>
      <c r="K980">
        <f>RANK(1.16,AI:AI,0)</f>
        <v>750</v>
      </c>
      <c r="L980" s="357">
        <v>1</v>
      </c>
      <c r="M980" s="357">
        <v>1</v>
      </c>
      <c r="N980" s="357">
        <v>2</v>
      </c>
      <c r="O980" s="357">
        <v>1</v>
      </c>
      <c r="P980" s="357">
        <v>0</v>
      </c>
      <c r="Q980" s="358">
        <v>0.16878980891719744</v>
      </c>
      <c r="R980" s="359">
        <v>0</v>
      </c>
      <c r="S980" s="196">
        <v>1388969000</v>
      </c>
      <c r="T980" s="196">
        <v>98200000</v>
      </c>
      <c r="U980" s="200">
        <f t="shared" si="171"/>
        <v>820952000</v>
      </c>
      <c r="V980" s="196">
        <v>-6000000</v>
      </c>
      <c r="W980" s="196">
        <v>670000000</v>
      </c>
      <c r="X980" s="196">
        <v>433000000</v>
      </c>
      <c r="Y980" s="196">
        <v>1184000000</v>
      </c>
      <c r="Z980" s="196">
        <v>482000000</v>
      </c>
      <c r="AA980" s="198">
        <v>-0.01</v>
      </c>
      <c r="AB980" s="198">
        <v>0</v>
      </c>
      <c r="AC980" s="213">
        <f t="shared" si="172"/>
        <v>1277</v>
      </c>
      <c r="AD980" s="213">
        <f t="shared" si="173"/>
        <v>911</v>
      </c>
      <c r="AE980" s="213">
        <v>0.71</v>
      </c>
      <c r="AF980" s="196">
        <v>84000000</v>
      </c>
      <c r="AG980" s="104">
        <f t="shared" si="174"/>
        <v>0.85539714867617112</v>
      </c>
      <c r="AH980" s="104">
        <f t="shared" si="175"/>
        <v>0</v>
      </c>
      <c r="AI980" s="195">
        <v>1.1599999999999999</v>
      </c>
    </row>
    <row r="981" spans="1:48">
      <c r="A981">
        <v>4942</v>
      </c>
      <c r="C981" s="107">
        <f>VLOOKUP(4942,收盤價!$A:$C,3,0)</f>
        <v>24.8</v>
      </c>
      <c r="D981" s="107">
        <f t="shared" si="165"/>
        <v>16.064425770308123</v>
      </c>
      <c r="E981" s="167">
        <f t="shared" si="166"/>
        <v>5</v>
      </c>
      <c r="F981" s="104">
        <f t="shared" si="167"/>
        <v>0.5567457607130748</v>
      </c>
      <c r="G981" s="167">
        <f>RANK(1.08,AE:AE,0)</f>
        <v>769</v>
      </c>
      <c r="H981" s="365">
        <f t="shared" si="168"/>
        <v>2.4337137840210712</v>
      </c>
      <c r="I981" s="213">
        <f t="shared" si="169"/>
        <v>218</v>
      </c>
      <c r="J981" s="213">
        <f t="shared" si="170"/>
        <v>91</v>
      </c>
      <c r="K981">
        <f>RANK(5.04,AI:AI,0)</f>
        <v>64</v>
      </c>
      <c r="L981" s="357">
        <v>1</v>
      </c>
      <c r="M981" s="357">
        <v>1</v>
      </c>
      <c r="N981" s="357">
        <v>2</v>
      </c>
      <c r="O981" s="357">
        <v>1</v>
      </c>
      <c r="P981" s="357">
        <v>0</v>
      </c>
      <c r="Q981" s="358">
        <v>0.16116751269035534</v>
      </c>
      <c r="R981" s="359">
        <v>0.38594594594594595</v>
      </c>
      <c r="S981" s="196">
        <v>6512416000</v>
      </c>
      <c r="T981" s="196">
        <v>146200000</v>
      </c>
      <c r="U981" s="200">
        <f t="shared" si="171"/>
        <v>3625760000</v>
      </c>
      <c r="V981" s="196">
        <v>67000000</v>
      </c>
      <c r="W981" s="196">
        <v>4346000000</v>
      </c>
      <c r="X981" s="196">
        <v>1977000000</v>
      </c>
      <c r="Y981" s="196">
        <v>6926000000</v>
      </c>
      <c r="Z981" s="196">
        <v>320000000</v>
      </c>
      <c r="AA981" s="198">
        <v>0.01</v>
      </c>
      <c r="AB981" s="198">
        <v>0.01</v>
      </c>
      <c r="AC981" s="213">
        <f t="shared" si="172"/>
        <v>769</v>
      </c>
      <c r="AD981" s="213">
        <f t="shared" si="173"/>
        <v>680</v>
      </c>
      <c r="AE981" s="213">
        <v>1.08</v>
      </c>
      <c r="AF981" s="196">
        <v>301000000</v>
      </c>
      <c r="AG981" s="104">
        <f t="shared" si="174"/>
        <v>2.0588235294117645</v>
      </c>
      <c r="AH981" s="104">
        <f t="shared" si="175"/>
        <v>4.4925373134328357</v>
      </c>
      <c r="AI981" s="195">
        <v>5.04</v>
      </c>
    </row>
    <row r="982" spans="1:48">
      <c r="A982">
        <v>4944</v>
      </c>
      <c r="C982" s="107">
        <f>VLOOKUP(4944,收盤價!$A:$C,3,0)</f>
        <v>8.08</v>
      </c>
      <c r="D982" s="107">
        <f t="shared" si="165"/>
        <v>0</v>
      </c>
      <c r="E982" s="167">
        <f t="shared" si="166"/>
        <v>2</v>
      </c>
      <c r="F982" s="104">
        <f t="shared" si="167"/>
        <v>1.1201237139546176</v>
      </c>
      <c r="G982" s="167">
        <f>RANK(0.52,AE:AE,0)</f>
        <v>1493</v>
      </c>
      <c r="H982" s="365">
        <f t="shared" si="168"/>
        <v>-1.3201320132013201</v>
      </c>
      <c r="I982" s="213">
        <f t="shared" si="169"/>
        <v>397</v>
      </c>
      <c r="J982" s="213">
        <f t="shared" si="170"/>
        <v>768</v>
      </c>
      <c r="K982">
        <f>RANK(1.34,AI:AI,0)</f>
        <v>655</v>
      </c>
      <c r="L982" s="357">
        <v>0</v>
      </c>
      <c r="M982" s="357">
        <v>0</v>
      </c>
      <c r="N982" s="357">
        <v>1</v>
      </c>
      <c r="O982" s="357">
        <v>1</v>
      </c>
      <c r="P982" s="357">
        <v>0</v>
      </c>
      <c r="Q982" s="358">
        <v>-0.42771084337349397</v>
      </c>
      <c r="R982" s="359">
        <v>0</v>
      </c>
      <c r="S982" s="196">
        <v>1529981000</v>
      </c>
      <c r="T982" s="196">
        <v>212100000</v>
      </c>
      <c r="U982" s="200">
        <f t="shared" si="171"/>
        <v>1713768000</v>
      </c>
      <c r="V982" s="196">
        <v>-193000000</v>
      </c>
      <c r="W982" s="196">
        <v>0</v>
      </c>
      <c r="X982" s="196">
        <v>2802000000</v>
      </c>
      <c r="Y982" s="196">
        <v>2585000000</v>
      </c>
      <c r="Z982" s="196">
        <v>806000000</v>
      </c>
      <c r="AA982" s="198">
        <v>-7.0000000000000007E-2</v>
      </c>
      <c r="AB982" s="198">
        <v>-0.06</v>
      </c>
      <c r="AC982" s="213">
        <f t="shared" si="172"/>
        <v>1502</v>
      </c>
      <c r="AD982" s="213">
        <f t="shared" si="173"/>
        <v>1515</v>
      </c>
      <c r="AE982" s="213">
        <v>0.52</v>
      </c>
      <c r="AF982" s="196">
        <v>280000000</v>
      </c>
      <c r="AG982" s="104">
        <f t="shared" si="174"/>
        <v>1.3201320132013201</v>
      </c>
      <c r="AH982" s="104">
        <f t="shared" si="175"/>
        <v>0</v>
      </c>
      <c r="AI982" s="195">
        <v>1.34</v>
      </c>
    </row>
    <row r="983" spans="1:48">
      <c r="A983">
        <v>4946</v>
      </c>
      <c r="C983" s="107">
        <f>VLOOKUP(4946,收盤價!$A:$C,3,0)</f>
        <v>29.95</v>
      </c>
      <c r="D983" s="107">
        <f t="shared" si="165"/>
        <v>0</v>
      </c>
      <c r="E983" s="167">
        <f t="shared" si="166"/>
        <v>3</v>
      </c>
      <c r="F983" s="104">
        <f t="shared" si="167"/>
        <v>2.0529511164452523</v>
      </c>
      <c r="G983" s="167">
        <f>RANK(0.53,AE:AE,0)</f>
        <v>1475</v>
      </c>
      <c r="H983" s="365">
        <f t="shared" si="168"/>
        <v>-1.2820512820512822</v>
      </c>
      <c r="I983" s="213">
        <f t="shared" si="169"/>
        <v>408</v>
      </c>
      <c r="J983" s="213">
        <f t="shared" si="170"/>
        <v>768</v>
      </c>
      <c r="K983">
        <f>RANK(1.32,AI:AI,0)</f>
        <v>665</v>
      </c>
      <c r="L983" s="357">
        <v>0</v>
      </c>
      <c r="M983" s="357">
        <v>1</v>
      </c>
      <c r="N983" s="357">
        <v>1</v>
      </c>
      <c r="O983" s="357">
        <v>1</v>
      </c>
      <c r="P983" s="357">
        <v>0</v>
      </c>
      <c r="Q983" s="358">
        <v>0.21739130434782608</v>
      </c>
      <c r="R983" s="359">
        <v>0</v>
      </c>
      <c r="S983" s="196">
        <v>398273000</v>
      </c>
      <c r="T983" s="196">
        <v>27300000</v>
      </c>
      <c r="U983" s="200">
        <f t="shared" si="171"/>
        <v>817635000</v>
      </c>
      <c r="V983" s="196">
        <v>-9000000</v>
      </c>
      <c r="W983" s="196">
        <v>0</v>
      </c>
      <c r="X983" s="196">
        <v>27000000</v>
      </c>
      <c r="Y983" s="196">
        <v>270000000</v>
      </c>
      <c r="Z983" s="196">
        <v>175000000</v>
      </c>
      <c r="AA983" s="198">
        <v>-0.33</v>
      </c>
      <c r="AB983" s="198">
        <v>-0.02</v>
      </c>
      <c r="AC983" s="213">
        <f t="shared" si="172"/>
        <v>1549</v>
      </c>
      <c r="AD983" s="213">
        <f t="shared" si="173"/>
        <v>1388</v>
      </c>
      <c r="AE983" s="213">
        <v>0.53</v>
      </c>
      <c r="AF983" s="196">
        <v>35000000</v>
      </c>
      <c r="AG983" s="104">
        <f t="shared" si="174"/>
        <v>1.2820512820512822</v>
      </c>
      <c r="AH983" s="104">
        <f t="shared" si="175"/>
        <v>0</v>
      </c>
      <c r="AI983" s="195">
        <v>1.32</v>
      </c>
      <c r="AO983" s="213"/>
      <c r="AP983" s="213"/>
      <c r="AQ983" s="213"/>
      <c r="AR983" s="213"/>
      <c r="AS983" s="213"/>
      <c r="AT983" s="213"/>
      <c r="AU983" s="213"/>
      <c r="AV983" s="213"/>
    </row>
    <row r="984" spans="1:48">
      <c r="A984">
        <v>4947</v>
      </c>
      <c r="C984" s="107">
        <f>VLOOKUP(4947,收盤價!$A:$C,3,0)</f>
        <v>204.5</v>
      </c>
      <c r="D984" s="107">
        <f t="shared" si="165"/>
        <v>11.077668421454186</v>
      </c>
      <c r="E984" s="167">
        <f t="shared" si="166"/>
        <v>3</v>
      </c>
      <c r="F984" s="104">
        <f t="shared" si="167"/>
        <v>2.6160737511107994</v>
      </c>
      <c r="G984" s="167">
        <f>RANK(15.43,AE:AE,0)</f>
        <v>51</v>
      </c>
      <c r="H984" s="365">
        <f t="shared" si="168"/>
        <v>-1.2498851750106159</v>
      </c>
      <c r="I984" s="213">
        <f t="shared" si="169"/>
        <v>341</v>
      </c>
      <c r="J984" s="213">
        <f t="shared" si="170"/>
        <v>732</v>
      </c>
      <c r="K984">
        <f>RANK(1.45,AI:AI,0)</f>
        <v>582</v>
      </c>
      <c r="L984" s="357">
        <v>1</v>
      </c>
      <c r="M984" s="357">
        <v>1</v>
      </c>
      <c r="N984" s="357">
        <v>1</v>
      </c>
      <c r="O984" s="357">
        <v>0</v>
      </c>
      <c r="P984" s="357">
        <v>0</v>
      </c>
      <c r="Q984" s="358">
        <v>0.50817995910020453</v>
      </c>
      <c r="R984" s="359">
        <v>4.6151408450704219</v>
      </c>
      <c r="S984" s="196">
        <v>3509859000</v>
      </c>
      <c r="T984" s="196">
        <v>44900000</v>
      </c>
      <c r="U984" s="200">
        <f t="shared" si="171"/>
        <v>9182050000</v>
      </c>
      <c r="V984" s="196">
        <v>257000000</v>
      </c>
      <c r="W984" s="196">
        <v>2447000000</v>
      </c>
      <c r="X984" s="196">
        <v>297000000</v>
      </c>
      <c r="Y984" s="196">
        <v>2864000000</v>
      </c>
      <c r="Z984" s="196">
        <v>30000000</v>
      </c>
      <c r="AA984" s="198">
        <v>0.09</v>
      </c>
      <c r="AB984" s="198">
        <v>0.09</v>
      </c>
      <c r="AC984" s="213">
        <f t="shared" si="172"/>
        <v>69</v>
      </c>
      <c r="AD984" s="213">
        <f t="shared" si="173"/>
        <v>32</v>
      </c>
      <c r="AE984" s="213">
        <v>15.43</v>
      </c>
      <c r="AF984" s="196">
        <v>68000000</v>
      </c>
      <c r="AG984" s="104">
        <f t="shared" si="174"/>
        <v>1.5144766146993318</v>
      </c>
      <c r="AH984" s="104">
        <f t="shared" si="175"/>
        <v>0.26459143968871596</v>
      </c>
      <c r="AI984" s="195">
        <v>1.45</v>
      </c>
    </row>
    <row r="985" spans="1:48">
      <c r="A985">
        <v>4950</v>
      </c>
      <c r="C985" s="107">
        <f>VLOOKUP(4950,收盤價!$A:$C,3,0)</f>
        <v>17.45</v>
      </c>
      <c r="D985" s="107">
        <f t="shared" si="165"/>
        <v>0</v>
      </c>
      <c r="E985" s="167">
        <f t="shared" si="166"/>
        <v>3</v>
      </c>
      <c r="F985" s="104">
        <f t="shared" si="167"/>
        <v>1.7422938066969049</v>
      </c>
      <c r="G985" s="167">
        <f>RANK(0.59,AE:AE,0)</f>
        <v>1348</v>
      </c>
      <c r="H985" s="365">
        <f t="shared" si="168"/>
        <v>1.1273486430062631</v>
      </c>
      <c r="I985" s="213">
        <f t="shared" si="169"/>
        <v>1453</v>
      </c>
      <c r="J985" s="213">
        <f t="shared" si="170"/>
        <v>768</v>
      </c>
      <c r="K985">
        <f>RANK(0.7,AI:AI,0)</f>
        <v>1442</v>
      </c>
      <c r="L985" s="357">
        <v>0</v>
      </c>
      <c r="M985" s="357">
        <v>1</v>
      </c>
      <c r="N985" s="357">
        <v>1</v>
      </c>
      <c r="O985" s="357">
        <v>0</v>
      </c>
      <c r="P985" s="357">
        <v>1</v>
      </c>
      <c r="Q985" s="358">
        <v>0.04</v>
      </c>
      <c r="R985" s="359">
        <v>0</v>
      </c>
      <c r="S985" s="196">
        <v>479744000</v>
      </c>
      <c r="T985" s="196">
        <v>47900000</v>
      </c>
      <c r="U985" s="200">
        <f t="shared" si="171"/>
        <v>835855000</v>
      </c>
      <c r="V985" s="196">
        <v>-18000000</v>
      </c>
      <c r="W985" s="196">
        <v>746000000</v>
      </c>
      <c r="X985" s="196">
        <v>67000000</v>
      </c>
      <c r="Y985" s="196">
        <v>1126000000</v>
      </c>
      <c r="Z985" s="196">
        <v>783000000</v>
      </c>
      <c r="AA985" s="198">
        <v>-0.02</v>
      </c>
      <c r="AB985" s="198">
        <v>-0.01</v>
      </c>
      <c r="AC985" s="213">
        <f t="shared" si="172"/>
        <v>1353</v>
      </c>
      <c r="AD985" s="213">
        <f t="shared" si="173"/>
        <v>1294</v>
      </c>
      <c r="AE985" s="213">
        <v>0.59</v>
      </c>
      <c r="AF985" s="196">
        <v>-54000000</v>
      </c>
      <c r="AG985" s="104">
        <f t="shared" si="174"/>
        <v>-1.1273486430062631</v>
      </c>
      <c r="AH985" s="104">
        <f t="shared" si="175"/>
        <v>0</v>
      </c>
      <c r="AI985" s="195">
        <v>0.7</v>
      </c>
    </row>
    <row r="986" spans="1:48">
      <c r="A986">
        <v>4952</v>
      </c>
      <c r="C986" s="107">
        <f>VLOOKUP(4952,收盤價!$A:$C,3,0)</f>
        <v>38.35</v>
      </c>
      <c r="D986" s="107">
        <f t="shared" si="165"/>
        <v>6.145833333333333</v>
      </c>
      <c r="E986" s="167">
        <f t="shared" si="166"/>
        <v>5</v>
      </c>
      <c r="F986" s="104">
        <f t="shared" si="167"/>
        <v>1.2566575309459989</v>
      </c>
      <c r="G986" s="167">
        <f>RANK(15.43,AE:AE,0)</f>
        <v>51</v>
      </c>
      <c r="H986" s="365">
        <f t="shared" si="168"/>
        <v>-0.25261924718073764</v>
      </c>
      <c r="I986" s="213">
        <f t="shared" si="169"/>
        <v>704</v>
      </c>
      <c r="J986" s="213">
        <f t="shared" si="170"/>
        <v>720</v>
      </c>
      <c r="K986">
        <f>RANK(1.09,AI:AI,0)</f>
        <v>803</v>
      </c>
      <c r="L986" s="357">
        <v>1</v>
      </c>
      <c r="M986" s="357">
        <v>1</v>
      </c>
      <c r="N986" s="357">
        <v>2</v>
      </c>
      <c r="O986" s="357">
        <v>1</v>
      </c>
      <c r="P986" s="357">
        <v>0</v>
      </c>
      <c r="Q986" s="358">
        <v>0.38676607642124883</v>
      </c>
      <c r="R986" s="359">
        <v>1.56</v>
      </c>
      <c r="S986" s="196">
        <v>3320300000</v>
      </c>
      <c r="T986" s="196">
        <v>108800000</v>
      </c>
      <c r="U986" s="200">
        <f t="shared" si="171"/>
        <v>4172480000</v>
      </c>
      <c r="V986" s="196">
        <v>193000000</v>
      </c>
      <c r="W986" s="196">
        <v>1413000000</v>
      </c>
      <c r="X986" s="196">
        <v>624000000</v>
      </c>
      <c r="Y986" s="196">
        <v>2020000000</v>
      </c>
      <c r="Z986" s="196">
        <v>133000000</v>
      </c>
      <c r="AA986" s="198">
        <v>0.09</v>
      </c>
      <c r="AB986" s="198">
        <v>0.09</v>
      </c>
      <c r="AC986" s="213">
        <f t="shared" si="172"/>
        <v>69</v>
      </c>
      <c r="AD986" s="213">
        <f t="shared" si="173"/>
        <v>32</v>
      </c>
      <c r="AE986" s="213">
        <v>15.43</v>
      </c>
      <c r="AF986" s="196">
        <v>63000000</v>
      </c>
      <c r="AG986" s="104">
        <f t="shared" si="174"/>
        <v>0.57904411764705888</v>
      </c>
      <c r="AH986" s="104">
        <f t="shared" si="175"/>
        <v>0.32642487046632124</v>
      </c>
      <c r="AI986" s="195">
        <v>1.0900000000000001</v>
      </c>
      <c r="AO986" s="213"/>
      <c r="AP986" s="213"/>
      <c r="AQ986" s="213"/>
      <c r="AR986" s="213"/>
      <c r="AS986" s="213"/>
      <c r="AT986" s="213"/>
      <c r="AU986" s="213"/>
      <c r="AV986" s="213"/>
    </row>
    <row r="987" spans="1:48">
      <c r="A987">
        <v>4953</v>
      </c>
      <c r="C987" s="107">
        <f>VLOOKUP(4953,收盤價!$A:$C,3,0)</f>
        <v>20.6</v>
      </c>
      <c r="D987" s="107">
        <f t="shared" si="165"/>
        <v>26.410256410256412</v>
      </c>
      <c r="E987" s="167">
        <f t="shared" si="166"/>
        <v>2</v>
      </c>
      <c r="F987" s="104">
        <f t="shared" si="167"/>
        <v>0.34573986128198331</v>
      </c>
      <c r="G987" s="167">
        <f>RANK(1.08,AE:AE,0)</f>
        <v>769</v>
      </c>
      <c r="H987" s="365">
        <f t="shared" si="168"/>
        <v>5.51044039483675</v>
      </c>
      <c r="I987" s="213">
        <f t="shared" si="169"/>
        <v>216</v>
      </c>
      <c r="J987" s="213">
        <f t="shared" si="170"/>
        <v>51</v>
      </c>
      <c r="K987">
        <f>RANK(5.84,AI:AI,0)</f>
        <v>51</v>
      </c>
      <c r="L987" s="357">
        <v>0</v>
      </c>
      <c r="M987" s="357">
        <v>0</v>
      </c>
      <c r="N987" s="357">
        <v>1</v>
      </c>
      <c r="O987" s="357">
        <v>1</v>
      </c>
      <c r="P987" s="357">
        <v>0</v>
      </c>
      <c r="Q987" s="358">
        <v>0.15718562874251496</v>
      </c>
      <c r="R987" s="359">
        <v>0.19500000000000001</v>
      </c>
      <c r="S987" s="196">
        <v>2615666000</v>
      </c>
      <c r="T987" s="196">
        <v>43900000</v>
      </c>
      <c r="U987" s="200">
        <f t="shared" si="171"/>
        <v>904340000.00000012</v>
      </c>
      <c r="V987" s="196">
        <v>12000000</v>
      </c>
      <c r="W987" s="196">
        <v>943000000</v>
      </c>
      <c r="X987" s="196">
        <v>44000000</v>
      </c>
      <c r="Y987" s="196">
        <v>976000000</v>
      </c>
      <c r="Z987" s="196">
        <v>28000000</v>
      </c>
      <c r="AA987" s="198">
        <v>0.01</v>
      </c>
      <c r="AB987" s="198">
        <v>0.01</v>
      </c>
      <c r="AC987" s="213">
        <f t="shared" si="172"/>
        <v>769</v>
      </c>
      <c r="AD987" s="213">
        <f t="shared" si="173"/>
        <v>680</v>
      </c>
      <c r="AE987" s="213">
        <v>1.08</v>
      </c>
      <c r="AF987" s="196">
        <v>91000000</v>
      </c>
      <c r="AG987" s="104">
        <f t="shared" si="174"/>
        <v>2.0728929384965831</v>
      </c>
      <c r="AH987" s="104">
        <f t="shared" si="175"/>
        <v>7.583333333333333</v>
      </c>
      <c r="AI987" s="195">
        <v>5.84</v>
      </c>
      <c r="AO987" s="213"/>
      <c r="AP987" s="213"/>
      <c r="AQ987" s="213"/>
      <c r="AR987" s="213"/>
      <c r="AS987" s="213"/>
      <c r="AT987" s="213"/>
      <c r="AU987" s="213"/>
      <c r="AV987" s="213"/>
    </row>
    <row r="988" spans="1:48">
      <c r="A988">
        <v>4956</v>
      </c>
      <c r="C988" s="107">
        <f>VLOOKUP(4956,收盤價!$A:$C,3,0)</f>
        <v>25.3</v>
      </c>
      <c r="D988" s="107">
        <f t="shared" si="165"/>
        <v>0</v>
      </c>
      <c r="E988" s="167">
        <f t="shared" si="166"/>
        <v>2</v>
      </c>
      <c r="F988" s="104">
        <f t="shared" si="167"/>
        <v>2.1339126548483733</v>
      </c>
      <c r="G988" s="167">
        <f>RANK(1.2,AE:AE,0)</f>
        <v>710</v>
      </c>
      <c r="H988" s="365">
        <f t="shared" si="168"/>
        <v>1.1430278884462151</v>
      </c>
      <c r="I988" s="213">
        <f t="shared" si="169"/>
        <v>628</v>
      </c>
      <c r="J988" s="213">
        <f t="shared" si="170"/>
        <v>284</v>
      </c>
      <c r="K988">
        <f>RANK(1.71,AI:AI,0)</f>
        <v>449</v>
      </c>
      <c r="L988" s="357">
        <v>0</v>
      </c>
      <c r="M988" s="357">
        <v>1</v>
      </c>
      <c r="N988" s="357">
        <v>1</v>
      </c>
      <c r="O988" s="357">
        <v>0</v>
      </c>
      <c r="P988" s="357">
        <v>0</v>
      </c>
      <c r="Q988" s="358">
        <v>0.22662889518413598</v>
      </c>
      <c r="R988" s="359">
        <v>0</v>
      </c>
      <c r="S988" s="196">
        <v>1190358000</v>
      </c>
      <c r="T988" s="196">
        <v>100400000</v>
      </c>
      <c r="U988" s="200">
        <f t="shared" si="171"/>
        <v>2540120000</v>
      </c>
      <c r="V988" s="196">
        <v>40000000</v>
      </c>
      <c r="W988" s="196">
        <v>846000000</v>
      </c>
      <c r="X988" s="196">
        <v>1150000000</v>
      </c>
      <c r="Y988" s="196">
        <v>2011000000</v>
      </c>
      <c r="Z988" s="196">
        <v>682000000</v>
      </c>
      <c r="AA988" s="198">
        <v>0.02</v>
      </c>
      <c r="AB988" s="198">
        <v>0.01</v>
      </c>
      <c r="AC988" s="213">
        <f t="shared" si="172"/>
        <v>616</v>
      </c>
      <c r="AD988" s="213">
        <f t="shared" si="173"/>
        <v>680</v>
      </c>
      <c r="AE988" s="213">
        <v>1.2</v>
      </c>
      <c r="AF988" s="196">
        <v>76000000</v>
      </c>
      <c r="AG988" s="104">
        <f t="shared" si="174"/>
        <v>0.75697211155378485</v>
      </c>
      <c r="AH988" s="104">
        <f t="shared" si="175"/>
        <v>1.9</v>
      </c>
      <c r="AI988" s="195">
        <v>1.71</v>
      </c>
    </row>
    <row r="989" spans="1:48">
      <c r="A989">
        <v>4958</v>
      </c>
      <c r="C989" s="107">
        <f>VLOOKUP(4958,收盤價!$A:$C,3,0)</f>
        <v>70.2</v>
      </c>
      <c r="D989" s="107">
        <f t="shared" si="165"/>
        <v>73.382482394366193</v>
      </c>
      <c r="E989" s="167">
        <f t="shared" si="166"/>
        <v>3</v>
      </c>
      <c r="F989" s="104">
        <f t="shared" si="167"/>
        <v>0.70406247345274098</v>
      </c>
      <c r="G989" s="167">
        <f>RANK(1.08,AE:AE,0)</f>
        <v>769</v>
      </c>
      <c r="H989" s="365">
        <f t="shared" si="168"/>
        <v>2.1981930891462396</v>
      </c>
      <c r="I989" s="213">
        <f t="shared" si="169"/>
        <v>240</v>
      </c>
      <c r="J989" s="213">
        <f t="shared" si="170"/>
        <v>105</v>
      </c>
      <c r="K989">
        <f>RANK(4.52,AI:AI,0)</f>
        <v>83</v>
      </c>
      <c r="L989" s="357">
        <v>0</v>
      </c>
      <c r="M989" s="357">
        <v>1</v>
      </c>
      <c r="N989" s="357">
        <v>1</v>
      </c>
      <c r="O989" s="357">
        <v>1</v>
      </c>
      <c r="P989" s="357">
        <v>0</v>
      </c>
      <c r="Q989" s="358">
        <v>0.1231720672550409</v>
      </c>
      <c r="R989" s="359">
        <v>0.23915789473684212</v>
      </c>
      <c r="S989" s="196">
        <v>80234272000</v>
      </c>
      <c r="T989" s="196">
        <v>804700000</v>
      </c>
      <c r="U989" s="200">
        <f t="shared" si="171"/>
        <v>56489940000</v>
      </c>
      <c r="V989" s="196">
        <v>378000000</v>
      </c>
      <c r="W989" s="196">
        <v>7735000000</v>
      </c>
      <c r="X989" s="196">
        <v>31799000000</v>
      </c>
      <c r="Y989" s="196">
        <v>37580000000</v>
      </c>
      <c r="Z989" s="196">
        <v>19319000000</v>
      </c>
      <c r="AA989" s="198">
        <v>0.01</v>
      </c>
      <c r="AB989" s="198">
        <v>0.01</v>
      </c>
      <c r="AC989" s="213">
        <f t="shared" si="172"/>
        <v>769</v>
      </c>
      <c r="AD989" s="213">
        <f t="shared" si="173"/>
        <v>680</v>
      </c>
      <c r="AE989" s="213">
        <v>1.08</v>
      </c>
      <c r="AF989" s="196">
        <v>1567000000</v>
      </c>
      <c r="AG989" s="104">
        <f t="shared" si="174"/>
        <v>1.947309556356406</v>
      </c>
      <c r="AH989" s="104">
        <f t="shared" si="175"/>
        <v>4.1455026455026456</v>
      </c>
      <c r="AI989" s="195">
        <v>4.5199999999999996</v>
      </c>
      <c r="AO989" s="213"/>
      <c r="AP989" s="213"/>
      <c r="AQ989" s="213"/>
      <c r="AR989" s="213"/>
      <c r="AS989" s="213"/>
      <c r="AT989" s="213"/>
      <c r="AU989" s="213"/>
      <c r="AV989" s="213"/>
    </row>
    <row r="990" spans="1:48">
      <c r="A990">
        <v>4960</v>
      </c>
      <c r="C990" s="107">
        <f>VLOOKUP(4960,收盤價!$A:$C,3,0)</f>
        <v>12.8</v>
      </c>
      <c r="D990" s="107">
        <f t="shared" si="165"/>
        <v>0</v>
      </c>
      <c r="E990" s="167">
        <f t="shared" si="166"/>
        <v>3</v>
      </c>
      <c r="F990" s="104">
        <f t="shared" si="167"/>
        <v>0.59183414556733627</v>
      </c>
      <c r="G990" s="167">
        <f>RANK(0.84,AE:AE,0)</f>
        <v>946</v>
      </c>
      <c r="H990" s="365">
        <f t="shared" si="168"/>
        <v>-4.4599573395384916E-2</v>
      </c>
      <c r="I990" s="213">
        <f t="shared" si="169"/>
        <v>1037</v>
      </c>
      <c r="J990" s="213">
        <f t="shared" si="170"/>
        <v>768</v>
      </c>
      <c r="K990">
        <f>RANK(0.86,AI:AI,0)</f>
        <v>1045</v>
      </c>
      <c r="L990" s="357">
        <v>0</v>
      </c>
      <c r="M990" s="357">
        <v>0</v>
      </c>
      <c r="N990" s="357">
        <v>2</v>
      </c>
      <c r="O990" s="357">
        <v>1</v>
      </c>
      <c r="P990" s="357">
        <v>0</v>
      </c>
      <c r="Q990" s="358">
        <v>-5.2451539338654506E-2</v>
      </c>
      <c r="R990" s="359">
        <v>-0.95</v>
      </c>
      <c r="S990" s="196">
        <v>11153395000</v>
      </c>
      <c r="T990" s="196">
        <v>515700000</v>
      </c>
      <c r="U990" s="200">
        <f t="shared" si="171"/>
        <v>6600960000</v>
      </c>
      <c r="V990" s="196">
        <v>0</v>
      </c>
      <c r="W990" s="196">
        <v>5897000000</v>
      </c>
      <c r="X990" s="196">
        <v>7107000000</v>
      </c>
      <c r="Y990" s="196">
        <v>13921000000</v>
      </c>
      <c r="Z990" s="196">
        <v>1398000000</v>
      </c>
      <c r="AA990" s="198">
        <v>0</v>
      </c>
      <c r="AB990" s="198">
        <v>0</v>
      </c>
      <c r="AC990" s="213">
        <f t="shared" si="172"/>
        <v>945</v>
      </c>
      <c r="AD990" s="213">
        <f t="shared" si="173"/>
        <v>911</v>
      </c>
      <c r="AE990" s="213">
        <v>0.84</v>
      </c>
      <c r="AF990" s="196">
        <v>23000000</v>
      </c>
      <c r="AG990" s="104">
        <f t="shared" si="174"/>
        <v>4.4599573395384916E-2</v>
      </c>
      <c r="AH990" s="104">
        <f t="shared" si="175"/>
        <v>0</v>
      </c>
      <c r="AI990" s="195">
        <v>0.86</v>
      </c>
      <c r="AO990" s="213"/>
      <c r="AP990" s="213"/>
      <c r="AQ990" s="213"/>
      <c r="AR990" s="213"/>
      <c r="AS990" s="213"/>
      <c r="AT990" s="213"/>
      <c r="AU990" s="213"/>
      <c r="AV990" s="213"/>
    </row>
    <row r="991" spans="1:48">
      <c r="A991">
        <v>4965</v>
      </c>
      <c r="C991" s="107">
        <f>VLOOKUP(4965,收盤價!$A:$C,3,0)</f>
        <v>95.8</v>
      </c>
      <c r="D991" s="107">
        <f t="shared" si="165"/>
        <v>0</v>
      </c>
      <c r="E991" s="167">
        <f t="shared" si="166"/>
        <v>4</v>
      </c>
      <c r="F991" s="104">
        <f t="shared" si="167"/>
        <v>1.2720519620390895</v>
      </c>
      <c r="G991" s="167">
        <f>RANK(0.84,AE:AE,0)</f>
        <v>946</v>
      </c>
      <c r="H991" s="365">
        <f t="shared" si="168"/>
        <v>-2.5</v>
      </c>
      <c r="I991" s="213">
        <f t="shared" si="169"/>
        <v>167</v>
      </c>
      <c r="J991" s="213">
        <f t="shared" si="170"/>
        <v>768</v>
      </c>
      <c r="K991">
        <f>RANK(1.67,AI:AI,0)</f>
        <v>471</v>
      </c>
      <c r="L991" s="357">
        <v>0</v>
      </c>
      <c r="M991" s="357">
        <v>1</v>
      </c>
      <c r="N991" s="357">
        <v>1</v>
      </c>
      <c r="O991" s="357">
        <v>1</v>
      </c>
      <c r="P991" s="357">
        <v>1</v>
      </c>
      <c r="Q991" s="358">
        <v>0.14603960396039603</v>
      </c>
      <c r="R991" s="359">
        <v>0</v>
      </c>
      <c r="S991" s="196">
        <v>1626726000</v>
      </c>
      <c r="T991" s="196">
        <v>21600000</v>
      </c>
      <c r="U991" s="200">
        <f t="shared" si="171"/>
        <v>2069280000</v>
      </c>
      <c r="V991" s="196">
        <v>-1000000</v>
      </c>
      <c r="W991" s="196">
        <v>921000000</v>
      </c>
      <c r="X991" s="196">
        <v>9000000</v>
      </c>
      <c r="Y991" s="196">
        <v>934000000</v>
      </c>
      <c r="Z991" s="196">
        <v>0</v>
      </c>
      <c r="AA991" s="198">
        <v>0</v>
      </c>
      <c r="AB991" s="198">
        <v>0</v>
      </c>
      <c r="AC991" s="213">
        <f t="shared" si="172"/>
        <v>945</v>
      </c>
      <c r="AD991" s="213">
        <f t="shared" si="173"/>
        <v>911</v>
      </c>
      <c r="AE991" s="213">
        <v>0.84</v>
      </c>
      <c r="AF991" s="196">
        <v>54000000</v>
      </c>
      <c r="AG991" s="104">
        <f t="shared" si="174"/>
        <v>2.5</v>
      </c>
      <c r="AH991" s="104">
        <f t="shared" si="175"/>
        <v>0</v>
      </c>
      <c r="AI991" s="195">
        <v>1.67</v>
      </c>
      <c r="AO991" s="213"/>
      <c r="AP991" s="213"/>
      <c r="AQ991" s="213"/>
      <c r="AR991" s="213"/>
      <c r="AS991" s="213"/>
      <c r="AT991" s="213"/>
      <c r="AU991" s="213"/>
      <c r="AV991" s="213"/>
    </row>
    <row r="992" spans="1:48">
      <c r="A992">
        <v>4966</v>
      </c>
      <c r="C992" s="107">
        <f>VLOOKUP(4966,收盤價!$A:$C,3,0)</f>
        <v>343</v>
      </c>
      <c r="D992" s="107">
        <f t="shared" si="165"/>
        <v>18.454317200776739</v>
      </c>
      <c r="E992" s="167">
        <f t="shared" si="166"/>
        <v>3</v>
      </c>
      <c r="F992" s="104">
        <f t="shared" si="167"/>
        <v>2.9787404005425167</v>
      </c>
      <c r="G992" s="167">
        <f>RANK(7.11,AE:AE,0)</f>
        <v>108</v>
      </c>
      <c r="H992" s="365">
        <f t="shared" si="168"/>
        <v>-5.3679669607659095</v>
      </c>
      <c r="I992" s="213">
        <f t="shared" si="169"/>
        <v>17</v>
      </c>
      <c r="J992" s="213">
        <f t="shared" si="170"/>
        <v>383</v>
      </c>
      <c r="K992">
        <f>RANK(3.9,AI:AI,0)</f>
        <v>105</v>
      </c>
      <c r="L992" s="357">
        <v>0</v>
      </c>
      <c r="M992" s="357">
        <v>1</v>
      </c>
      <c r="N992" s="357">
        <v>1</v>
      </c>
      <c r="O992" s="357">
        <v>1</v>
      </c>
      <c r="P992" s="357">
        <v>0</v>
      </c>
      <c r="Q992" s="358">
        <v>0.40941704035874438</v>
      </c>
      <c r="R992" s="359">
        <v>4.6466091954022986</v>
      </c>
      <c r="S992" s="196">
        <v>8762865000</v>
      </c>
      <c r="T992" s="196">
        <v>76100000</v>
      </c>
      <c r="U992" s="200">
        <f t="shared" si="171"/>
        <v>26102300000</v>
      </c>
      <c r="V992" s="196">
        <v>350000000</v>
      </c>
      <c r="W992" s="196">
        <v>3549000000</v>
      </c>
      <c r="X992" s="196">
        <v>151000000</v>
      </c>
      <c r="Y992" s="196">
        <v>6729000000</v>
      </c>
      <c r="Z992" s="196">
        <v>0</v>
      </c>
      <c r="AA992" s="198">
        <v>0.09</v>
      </c>
      <c r="AB992" s="198">
        <v>0.05</v>
      </c>
      <c r="AC992" s="213">
        <f t="shared" si="172"/>
        <v>69</v>
      </c>
      <c r="AD992" s="213">
        <f t="shared" si="173"/>
        <v>150</v>
      </c>
      <c r="AE992" s="213">
        <v>7.11</v>
      </c>
      <c r="AF992" s="196">
        <v>522000000</v>
      </c>
      <c r="AG992" s="104">
        <f t="shared" si="174"/>
        <v>6.8593955321944806</v>
      </c>
      <c r="AH992" s="104">
        <f t="shared" si="175"/>
        <v>1.4914285714285713</v>
      </c>
      <c r="AI992" s="195">
        <v>3.9</v>
      </c>
      <c r="AO992" s="213"/>
      <c r="AP992" s="213"/>
      <c r="AQ992" s="213"/>
      <c r="AR992" s="213"/>
      <c r="AS992" s="213"/>
      <c r="AT992" s="213"/>
      <c r="AU992" s="213"/>
      <c r="AV992" s="213"/>
    </row>
    <row r="993" spans="1:48">
      <c r="A993">
        <v>4968</v>
      </c>
      <c r="C993" s="107">
        <f>VLOOKUP(4968,收盤價!$A:$C,3,0)</f>
        <v>61.8</v>
      </c>
      <c r="D993" s="107">
        <f t="shared" si="165"/>
        <v>19.626524390243905</v>
      </c>
      <c r="E993" s="167">
        <f t="shared" si="166"/>
        <v>4</v>
      </c>
      <c r="F993" s="104">
        <f t="shared" si="167"/>
        <v>1.5779956034599214</v>
      </c>
      <c r="G993" s="167">
        <f>RANK(5.79,AE:AE,0)</f>
        <v>129</v>
      </c>
      <c r="H993" s="365">
        <f t="shared" si="168"/>
        <v>4.6987592205687934E-2</v>
      </c>
      <c r="I993" s="213">
        <f t="shared" si="169"/>
        <v>627</v>
      </c>
      <c r="J993" s="213">
        <f t="shared" si="170"/>
        <v>593</v>
      </c>
      <c r="K993">
        <f>RANK(1.28,AI:AI,0)</f>
        <v>685</v>
      </c>
      <c r="L993" s="357">
        <v>0</v>
      </c>
      <c r="M993" s="357">
        <v>1</v>
      </c>
      <c r="N993" s="357">
        <v>2</v>
      </c>
      <c r="O993" s="357">
        <v>0</v>
      </c>
      <c r="P993" s="357">
        <v>1</v>
      </c>
      <c r="Q993" s="358">
        <v>0.34990439770554493</v>
      </c>
      <c r="R993" s="359">
        <v>0.7871999999999999</v>
      </c>
      <c r="S993" s="196">
        <v>1954264000</v>
      </c>
      <c r="T993" s="196">
        <v>49900000</v>
      </c>
      <c r="U993" s="200">
        <f t="shared" si="171"/>
        <v>3083820000</v>
      </c>
      <c r="V993" s="196">
        <v>47000000</v>
      </c>
      <c r="W993" s="196">
        <v>740000000</v>
      </c>
      <c r="X993" s="196">
        <v>70000000</v>
      </c>
      <c r="Y993" s="196">
        <v>854000000</v>
      </c>
      <c r="Z993" s="196">
        <v>0</v>
      </c>
      <c r="AA993" s="198">
        <v>0.06</v>
      </c>
      <c r="AB993" s="198">
        <v>0.06</v>
      </c>
      <c r="AC993" s="213">
        <f t="shared" si="172"/>
        <v>174</v>
      </c>
      <c r="AD993" s="213">
        <f t="shared" si="173"/>
        <v>95</v>
      </c>
      <c r="AE993" s="213">
        <v>5.79</v>
      </c>
      <c r="AF993" s="196">
        <v>38000000</v>
      </c>
      <c r="AG993" s="104">
        <f t="shared" si="174"/>
        <v>0.76152304609218435</v>
      </c>
      <c r="AH993" s="104">
        <f t="shared" si="175"/>
        <v>0.80851063829787229</v>
      </c>
      <c r="AI993" s="195">
        <v>1.28</v>
      </c>
      <c r="AO993" s="213"/>
      <c r="AP993" s="213"/>
      <c r="AQ993" s="213"/>
      <c r="AR993" s="213"/>
      <c r="AS993" s="213"/>
      <c r="AT993" s="213"/>
      <c r="AU993" s="213"/>
      <c r="AV993" s="213"/>
    </row>
    <row r="994" spans="1:48">
      <c r="A994">
        <v>4971</v>
      </c>
      <c r="C994" s="107">
        <f>VLOOKUP(4971,收盤價!$A:$C,3,0)</f>
        <v>77.7</v>
      </c>
      <c r="D994" s="107">
        <f t="shared" si="165"/>
        <v>18.5</v>
      </c>
      <c r="E994" s="167">
        <f t="shared" si="166"/>
        <v>3</v>
      </c>
      <c r="F994" s="104">
        <f t="shared" si="167"/>
        <v>2.9852106494046065</v>
      </c>
      <c r="G994" s="167">
        <f>RANK(0.84,AE:AE,0)</f>
        <v>946</v>
      </c>
      <c r="H994" s="365">
        <f t="shared" si="168"/>
        <v>-2.6453488372093021</v>
      </c>
      <c r="I994" s="213">
        <f t="shared" si="169"/>
        <v>148</v>
      </c>
      <c r="J994" s="213">
        <f t="shared" si="170"/>
        <v>768</v>
      </c>
      <c r="K994">
        <f>RANK(1.7,AI:AI,0)</f>
        <v>456</v>
      </c>
      <c r="L994" s="357">
        <v>1</v>
      </c>
      <c r="M994" s="357">
        <v>1</v>
      </c>
      <c r="N994" s="357">
        <v>0</v>
      </c>
      <c r="O994" s="357">
        <v>1</v>
      </c>
      <c r="P994" s="357">
        <v>0</v>
      </c>
      <c r="Q994" s="358">
        <v>0.3836734693877551</v>
      </c>
      <c r="R994" s="359">
        <v>1.05</v>
      </c>
      <c r="S994" s="196">
        <v>895374000</v>
      </c>
      <c r="T994" s="196">
        <v>34400000</v>
      </c>
      <c r="U994" s="200">
        <f t="shared" si="171"/>
        <v>2672880000</v>
      </c>
      <c r="V994" s="196">
        <v>0</v>
      </c>
      <c r="W994" s="196">
        <v>480000000</v>
      </c>
      <c r="X994" s="196">
        <v>555000000</v>
      </c>
      <c r="Y994" s="196">
        <v>1451000000</v>
      </c>
      <c r="Z994" s="196">
        <v>0</v>
      </c>
      <c r="AA994" s="198">
        <v>0</v>
      </c>
      <c r="AB994" s="198">
        <v>0</v>
      </c>
      <c r="AC994" s="213">
        <f t="shared" si="172"/>
        <v>945</v>
      </c>
      <c r="AD994" s="213">
        <f t="shared" si="173"/>
        <v>911</v>
      </c>
      <c r="AE994" s="213">
        <v>0.84</v>
      </c>
      <c r="AF994" s="196">
        <v>91000000</v>
      </c>
      <c r="AG994" s="104">
        <f t="shared" si="174"/>
        <v>2.6453488372093021</v>
      </c>
      <c r="AH994" s="104">
        <f t="shared" si="175"/>
        <v>0</v>
      </c>
      <c r="AI994" s="195">
        <v>1.7</v>
      </c>
      <c r="AO994" s="213"/>
      <c r="AP994" s="213"/>
      <c r="AQ994" s="213"/>
      <c r="AR994" s="213"/>
      <c r="AS994" s="213"/>
      <c r="AT994" s="213"/>
      <c r="AU994" s="213"/>
      <c r="AV994" s="213"/>
    </row>
    <row r="995" spans="1:48">
      <c r="A995">
        <v>4972</v>
      </c>
      <c r="C995" s="107">
        <f>VLOOKUP(4972,收盤價!$A:$C,3,0)</f>
        <v>34.950000000000003</v>
      </c>
      <c r="D995" s="107">
        <f t="shared" si="165"/>
        <v>8.4877638707266971</v>
      </c>
      <c r="E995" s="167">
        <f t="shared" si="166"/>
        <v>4</v>
      </c>
      <c r="F995" s="104">
        <f t="shared" si="167"/>
        <v>1.0395549291826613</v>
      </c>
      <c r="G995" s="167">
        <f>RANK(4.81,AE:AE,0)</f>
        <v>170</v>
      </c>
      <c r="H995" s="365">
        <f t="shared" si="168"/>
        <v>-0.27778326583028756</v>
      </c>
      <c r="I995" s="213">
        <f t="shared" si="169"/>
        <v>518</v>
      </c>
      <c r="J995" s="213">
        <f t="shared" si="170"/>
        <v>620</v>
      </c>
      <c r="K995">
        <f>RANK(1.37,AI:AI,0)</f>
        <v>643</v>
      </c>
      <c r="L995" s="357">
        <v>0</v>
      </c>
      <c r="M995" s="357">
        <v>1</v>
      </c>
      <c r="N995" s="357">
        <v>2</v>
      </c>
      <c r="O995" s="357">
        <v>1</v>
      </c>
      <c r="P995" s="357">
        <v>0</v>
      </c>
      <c r="Q995" s="358">
        <v>0.35380116959064328</v>
      </c>
      <c r="R995" s="359">
        <v>1.0294230769230768</v>
      </c>
      <c r="S995" s="196">
        <v>1284290000</v>
      </c>
      <c r="T995" s="196">
        <v>38200000</v>
      </c>
      <c r="U995" s="200">
        <f t="shared" si="171"/>
        <v>1335090000</v>
      </c>
      <c r="V995" s="196">
        <v>53000000</v>
      </c>
      <c r="W995" s="196">
        <v>657000000</v>
      </c>
      <c r="X995" s="196">
        <v>287000000</v>
      </c>
      <c r="Y995" s="196">
        <v>1130000000</v>
      </c>
      <c r="Z995" s="196">
        <v>0</v>
      </c>
      <c r="AA995" s="198">
        <v>0.06</v>
      </c>
      <c r="AB995" s="198">
        <v>0.05</v>
      </c>
      <c r="AC995" s="213">
        <f t="shared" si="172"/>
        <v>174</v>
      </c>
      <c r="AD995" s="213">
        <f t="shared" si="173"/>
        <v>150</v>
      </c>
      <c r="AE995" s="213">
        <v>4.8099999999999996</v>
      </c>
      <c r="AF995" s="196">
        <v>38000000</v>
      </c>
      <c r="AG995" s="104">
        <f t="shared" si="174"/>
        <v>0.99476439790575921</v>
      </c>
      <c r="AH995" s="104">
        <f t="shared" si="175"/>
        <v>0.71698113207547165</v>
      </c>
      <c r="AI995" s="195">
        <v>1.37</v>
      </c>
      <c r="AO995" s="213"/>
      <c r="AP995" s="213"/>
      <c r="AQ995" s="213"/>
      <c r="AR995" s="213"/>
      <c r="AS995" s="213"/>
      <c r="AT995" s="213"/>
      <c r="AU995" s="213"/>
      <c r="AV995" s="213"/>
    </row>
    <row r="996" spans="1:48">
      <c r="A996">
        <v>4973</v>
      </c>
      <c r="C996" s="107">
        <f>VLOOKUP(4973,收盤價!$A:$C,3,0)</f>
        <v>22.45</v>
      </c>
      <c r="D996" s="107">
        <f t="shared" si="165"/>
        <v>9.7110692102928127</v>
      </c>
      <c r="E996" s="167">
        <f t="shared" si="166"/>
        <v>1</v>
      </c>
      <c r="F996" s="104">
        <f t="shared" si="167"/>
        <v>0.29284473499583386</v>
      </c>
      <c r="G996" s="167">
        <f>RANK(2.32,AE:AE,0)</f>
        <v>360</v>
      </c>
      <c r="H996" s="365">
        <f t="shared" si="168"/>
        <v>0.6009819967266774</v>
      </c>
      <c r="I996" s="213">
        <f t="shared" si="169"/>
        <v>323</v>
      </c>
      <c r="J996" s="213">
        <f t="shared" si="170"/>
        <v>238</v>
      </c>
      <c r="K996">
        <f>RANK(2.78,AI:AI,0)</f>
        <v>188</v>
      </c>
      <c r="L996" s="357">
        <v>0</v>
      </c>
      <c r="M996" s="357">
        <v>1</v>
      </c>
      <c r="N996" s="357">
        <v>0</v>
      </c>
      <c r="O996" s="357">
        <v>0</v>
      </c>
      <c r="P996" s="357">
        <v>0</v>
      </c>
      <c r="Q996" s="358">
        <v>0.16419294990723562</v>
      </c>
      <c r="R996" s="359">
        <v>0.57794871794871794</v>
      </c>
      <c r="S996" s="196">
        <v>4983016000</v>
      </c>
      <c r="T996" s="196">
        <v>65000000</v>
      </c>
      <c r="U996" s="200">
        <f t="shared" si="171"/>
        <v>1459250000</v>
      </c>
      <c r="V996" s="196">
        <v>47000000</v>
      </c>
      <c r="W996" s="196">
        <v>868000000</v>
      </c>
      <c r="X996" s="196">
        <v>328000000</v>
      </c>
      <c r="Y996" s="196">
        <v>1584000000</v>
      </c>
      <c r="Z996" s="196">
        <v>207000000</v>
      </c>
      <c r="AA996" s="198">
        <v>0.04</v>
      </c>
      <c r="AB996" s="198">
        <v>0.03</v>
      </c>
      <c r="AC996" s="213">
        <f t="shared" si="172"/>
        <v>337</v>
      </c>
      <c r="AD996" s="213">
        <f t="shared" si="173"/>
        <v>334</v>
      </c>
      <c r="AE996" s="213">
        <v>2.3199999999999998</v>
      </c>
      <c r="AF996" s="196">
        <v>102000000</v>
      </c>
      <c r="AG996" s="104">
        <f t="shared" si="174"/>
        <v>1.5692307692307692</v>
      </c>
      <c r="AH996" s="104">
        <f t="shared" si="175"/>
        <v>2.1702127659574466</v>
      </c>
      <c r="AI996" s="195">
        <v>2.78</v>
      </c>
      <c r="AO996" s="213"/>
      <c r="AP996" s="213"/>
      <c r="AQ996" s="213"/>
      <c r="AR996" s="213"/>
      <c r="AS996" s="213"/>
      <c r="AT996" s="213"/>
      <c r="AU996" s="213"/>
      <c r="AV996" s="213"/>
    </row>
    <row r="997" spans="1:48">
      <c r="A997">
        <v>4974</v>
      </c>
      <c r="C997" s="107">
        <f>VLOOKUP(4974,收盤價!$A:$C,3,0)</f>
        <v>32.799999999999997</v>
      </c>
      <c r="D997" s="107">
        <f t="shared" si="165"/>
        <v>8.1240740740740751</v>
      </c>
      <c r="E997" s="167">
        <f t="shared" si="166"/>
        <v>4</v>
      </c>
      <c r="F997" s="104">
        <f t="shared" si="167"/>
        <v>0.6648319710424091</v>
      </c>
      <c r="G997" s="167">
        <f>RANK(4.81,AE:AE,0)</f>
        <v>170</v>
      </c>
      <c r="H997" s="365">
        <f t="shared" si="168"/>
        <v>-0.73106591865357617</v>
      </c>
      <c r="I997" s="213">
        <f t="shared" si="169"/>
        <v>195</v>
      </c>
      <c r="J997" s="213">
        <f t="shared" si="170"/>
        <v>376</v>
      </c>
      <c r="K997">
        <f>RANK(2.73,AI:AI,0)</f>
        <v>196</v>
      </c>
      <c r="L997" s="357">
        <v>0</v>
      </c>
      <c r="M997" s="357">
        <v>1</v>
      </c>
      <c r="N997" s="357">
        <v>2</v>
      </c>
      <c r="O997" s="357">
        <v>1</v>
      </c>
      <c r="P997" s="357">
        <v>0</v>
      </c>
      <c r="Q997" s="358">
        <v>0.14645308924485126</v>
      </c>
      <c r="R997" s="359">
        <v>1.0093457943925233</v>
      </c>
      <c r="S997" s="196">
        <v>3058818000</v>
      </c>
      <c r="T997" s="196">
        <v>62000000</v>
      </c>
      <c r="U997" s="200">
        <f t="shared" si="171"/>
        <v>2033599999.9999998</v>
      </c>
      <c r="V997" s="196">
        <v>92000000</v>
      </c>
      <c r="W997" s="196">
        <v>1141000000</v>
      </c>
      <c r="X997" s="196">
        <v>437000000</v>
      </c>
      <c r="Y997" s="196">
        <v>1570000000</v>
      </c>
      <c r="Z997" s="196">
        <v>442000000</v>
      </c>
      <c r="AA997" s="198">
        <v>0.06</v>
      </c>
      <c r="AB997" s="198">
        <v>0.05</v>
      </c>
      <c r="AC997" s="213">
        <f t="shared" si="172"/>
        <v>174</v>
      </c>
      <c r="AD997" s="213">
        <f t="shared" si="173"/>
        <v>150</v>
      </c>
      <c r="AE997" s="213">
        <v>4.8099999999999996</v>
      </c>
      <c r="AF997" s="196">
        <v>139000000</v>
      </c>
      <c r="AG997" s="104">
        <f t="shared" si="174"/>
        <v>2.2419354838709675</v>
      </c>
      <c r="AH997" s="104">
        <f t="shared" si="175"/>
        <v>1.5108695652173914</v>
      </c>
      <c r="AI997" s="195">
        <v>2.73</v>
      </c>
      <c r="AO997" s="213"/>
      <c r="AP997" s="213"/>
      <c r="AQ997" s="213"/>
      <c r="AR997" s="213"/>
      <c r="AS997" s="213"/>
      <c r="AT997" s="213"/>
      <c r="AU997" s="213"/>
      <c r="AV997" s="213"/>
    </row>
    <row r="998" spans="1:48">
      <c r="A998">
        <v>4976</v>
      </c>
      <c r="C998" s="107">
        <f>VLOOKUP(4976,收盤價!$A:$C,3,0)</f>
        <v>18.8</v>
      </c>
      <c r="D998" s="107">
        <f t="shared" si="165"/>
        <v>0</v>
      </c>
      <c r="E998" s="167">
        <f t="shared" si="166"/>
        <v>2</v>
      </c>
      <c r="F998" s="104">
        <f t="shared" si="167"/>
        <v>1.4060672207763132</v>
      </c>
      <c r="G998" s="167">
        <f>RANK(0.61,AE:AE,0)</f>
        <v>1295</v>
      </c>
      <c r="H998" s="365">
        <f t="shared" si="168"/>
        <v>-0.81384471468662301</v>
      </c>
      <c r="I998" s="213">
        <f t="shared" si="169"/>
        <v>601</v>
      </c>
      <c r="J998" s="213">
        <f t="shared" si="170"/>
        <v>768</v>
      </c>
      <c r="K998">
        <f>RANK(1.14,AI:AI,0)</f>
        <v>767</v>
      </c>
      <c r="L998" s="357">
        <v>0</v>
      </c>
      <c r="M998" s="357">
        <v>1</v>
      </c>
      <c r="N998" s="357">
        <v>0</v>
      </c>
      <c r="O998" s="357">
        <v>1</v>
      </c>
      <c r="P998" s="357">
        <v>0</v>
      </c>
      <c r="Q998" s="358">
        <v>0.11403508771929824</v>
      </c>
      <c r="R998" s="359">
        <v>0</v>
      </c>
      <c r="S998" s="196">
        <v>1429320000</v>
      </c>
      <c r="T998" s="196">
        <v>106900000</v>
      </c>
      <c r="U998" s="200">
        <f t="shared" si="171"/>
        <v>2009720000</v>
      </c>
      <c r="V998" s="196">
        <v>-11000000</v>
      </c>
      <c r="W998" s="196">
        <v>446000000</v>
      </c>
      <c r="X998" s="196">
        <v>1385000000</v>
      </c>
      <c r="Y998" s="196">
        <v>1348000000</v>
      </c>
      <c r="Z998" s="196">
        <v>92000000</v>
      </c>
      <c r="AA998" s="198">
        <v>-0.01</v>
      </c>
      <c r="AB998" s="198">
        <v>-0.01</v>
      </c>
      <c r="AC998" s="213">
        <f t="shared" si="172"/>
        <v>1277</v>
      </c>
      <c r="AD998" s="213">
        <f t="shared" si="173"/>
        <v>1294</v>
      </c>
      <c r="AE998" s="213">
        <v>0.61</v>
      </c>
      <c r="AF998" s="196">
        <v>87000000</v>
      </c>
      <c r="AG998" s="104">
        <f t="shared" si="174"/>
        <v>0.81384471468662301</v>
      </c>
      <c r="AH998" s="104">
        <f t="shared" si="175"/>
        <v>0</v>
      </c>
      <c r="AI998" s="195">
        <v>1.1399999999999999</v>
      </c>
    </row>
    <row r="999" spans="1:48">
      <c r="A999">
        <v>4977</v>
      </c>
      <c r="C999" s="107">
        <f>VLOOKUP(4977,收盤價!$A:$C,3,0)</f>
        <v>54.9</v>
      </c>
      <c r="D999" s="107">
        <f t="shared" si="165"/>
        <v>9.089403973509933</v>
      </c>
      <c r="E999" s="167">
        <f t="shared" si="166"/>
        <v>3</v>
      </c>
      <c r="F999" s="104">
        <f t="shared" si="167"/>
        <v>1.5278513298820884</v>
      </c>
      <c r="G999" s="167">
        <f>RANK(0.84,AE:AE,0)</f>
        <v>946</v>
      </c>
      <c r="H999" s="365">
        <f t="shared" si="168"/>
        <v>-1.6504854368932038</v>
      </c>
      <c r="I999" s="213">
        <f t="shared" si="169"/>
        <v>303</v>
      </c>
      <c r="J999" s="213">
        <f t="shared" si="170"/>
        <v>768</v>
      </c>
      <c r="K999">
        <f>RANK(1.45,AI:AI,0)</f>
        <v>582</v>
      </c>
      <c r="L999" s="357">
        <v>1</v>
      </c>
      <c r="M999" s="357">
        <v>1</v>
      </c>
      <c r="N999" s="357">
        <v>0</v>
      </c>
      <c r="O999" s="357">
        <v>1</v>
      </c>
      <c r="P999" s="357">
        <v>0</v>
      </c>
      <c r="Q999" s="358">
        <v>0.29336188436830835</v>
      </c>
      <c r="R999" s="359">
        <v>1.51</v>
      </c>
      <c r="S999" s="196">
        <v>1850540000</v>
      </c>
      <c r="T999" s="196">
        <v>51500000</v>
      </c>
      <c r="U999" s="200">
        <f t="shared" si="171"/>
        <v>2827350000</v>
      </c>
      <c r="V999" s="196">
        <v>0</v>
      </c>
      <c r="W999" s="196">
        <v>1089000000</v>
      </c>
      <c r="X999" s="196">
        <v>227000000</v>
      </c>
      <c r="Y999" s="196">
        <v>1352000000</v>
      </c>
      <c r="Z999" s="196">
        <v>0</v>
      </c>
      <c r="AA999" s="198">
        <v>0</v>
      </c>
      <c r="AB999" s="198">
        <v>0</v>
      </c>
      <c r="AC999" s="213">
        <f t="shared" si="172"/>
        <v>945</v>
      </c>
      <c r="AD999" s="213">
        <f t="shared" si="173"/>
        <v>911</v>
      </c>
      <c r="AE999" s="213">
        <v>0.84</v>
      </c>
      <c r="AF999" s="196">
        <v>85000000</v>
      </c>
      <c r="AG999" s="104">
        <f t="shared" si="174"/>
        <v>1.6504854368932038</v>
      </c>
      <c r="AH999" s="104">
        <f t="shared" si="175"/>
        <v>0</v>
      </c>
      <c r="AI999" s="195">
        <v>1.45</v>
      </c>
      <c r="AO999" s="213"/>
      <c r="AP999" s="213"/>
      <c r="AQ999" s="213"/>
      <c r="AR999" s="213"/>
      <c r="AS999" s="213"/>
      <c r="AT999" s="213"/>
      <c r="AU999" s="213"/>
      <c r="AV999" s="213"/>
    </row>
    <row r="1000" spans="1:48">
      <c r="A1000">
        <v>4979</v>
      </c>
      <c r="C1000" s="107">
        <f>VLOOKUP(4979,收盤價!$A:$C,3,0)</f>
        <v>32.5</v>
      </c>
      <c r="D1000" s="107">
        <f t="shared" si="165"/>
        <v>0</v>
      </c>
      <c r="E1000" s="167">
        <f t="shared" si="166"/>
        <v>1</v>
      </c>
      <c r="F1000" s="104">
        <f t="shared" si="167"/>
        <v>0.67226883737789678</v>
      </c>
      <c r="G1000" s="167">
        <f>RANK(0.84,AE:AE,0)</f>
        <v>946</v>
      </c>
      <c r="H1000" s="365">
        <f t="shared" si="168"/>
        <v>-0.67294751009421261</v>
      </c>
      <c r="I1000" s="213">
        <f t="shared" si="169"/>
        <v>661</v>
      </c>
      <c r="J1000" s="213">
        <f t="shared" si="170"/>
        <v>768</v>
      </c>
      <c r="K1000">
        <f>RANK(1.09,AI:AI,0)</f>
        <v>803</v>
      </c>
      <c r="L1000" s="357">
        <v>0</v>
      </c>
      <c r="M1000" s="357">
        <v>0</v>
      </c>
      <c r="N1000" s="357">
        <v>0</v>
      </c>
      <c r="O1000" s="357">
        <v>1</v>
      </c>
      <c r="P1000" s="357">
        <v>0</v>
      </c>
      <c r="Q1000" s="358">
        <v>0.12603648424543948</v>
      </c>
      <c r="R1000" s="359">
        <v>0</v>
      </c>
      <c r="S1000" s="196">
        <v>3591941000</v>
      </c>
      <c r="T1000" s="196">
        <v>74300000</v>
      </c>
      <c r="U1000" s="200">
        <f t="shared" si="171"/>
        <v>2414750000</v>
      </c>
      <c r="V1000" s="196">
        <v>-3000000</v>
      </c>
      <c r="W1000" s="196">
        <v>1046000000</v>
      </c>
      <c r="X1000" s="196">
        <v>1362000000</v>
      </c>
      <c r="Y1000" s="196">
        <v>1809000000</v>
      </c>
      <c r="Z1000" s="196">
        <v>100000000</v>
      </c>
      <c r="AA1000" s="198">
        <v>0</v>
      </c>
      <c r="AB1000" s="198">
        <v>0</v>
      </c>
      <c r="AC1000" s="213">
        <f t="shared" si="172"/>
        <v>945</v>
      </c>
      <c r="AD1000" s="213">
        <f t="shared" si="173"/>
        <v>911</v>
      </c>
      <c r="AE1000" s="213">
        <v>0.84</v>
      </c>
      <c r="AF1000" s="196">
        <v>50000000</v>
      </c>
      <c r="AG1000" s="104">
        <f t="shared" si="174"/>
        <v>0.67294751009421261</v>
      </c>
      <c r="AH1000" s="104">
        <f t="shared" si="175"/>
        <v>0</v>
      </c>
      <c r="AI1000" s="195">
        <v>1.0900000000000001</v>
      </c>
    </row>
    <row r="1001" spans="1:48">
      <c r="A1001">
        <v>4984</v>
      </c>
      <c r="C1001" s="107">
        <f>VLOOKUP(4984,收盤價!$A:$C,3,0)</f>
        <v>60.2</v>
      </c>
      <c r="D1001" s="107">
        <f t="shared" si="165"/>
        <v>7.5174825174825184</v>
      </c>
      <c r="E1001" s="167">
        <f t="shared" si="166"/>
        <v>5</v>
      </c>
      <c r="F1001" s="104">
        <f t="shared" si="167"/>
        <v>1.8459002495479766</v>
      </c>
      <c r="G1001" s="167">
        <f>RANK(4.81,AE:AE,0)</f>
        <v>170</v>
      </c>
      <c r="H1001" s="365">
        <f t="shared" si="168"/>
        <v>-0.36263736263736263</v>
      </c>
      <c r="I1001" s="213">
        <f t="shared" si="169"/>
        <v>637</v>
      </c>
      <c r="J1001" s="213">
        <f t="shared" si="170"/>
        <v>714</v>
      </c>
      <c r="K1001">
        <f>RANK(1.15,AI:AI,0)</f>
        <v>757</v>
      </c>
      <c r="L1001" s="357">
        <v>1</v>
      </c>
      <c r="M1001" s="357">
        <v>1</v>
      </c>
      <c r="N1001" s="357">
        <v>2</v>
      </c>
      <c r="O1001" s="357">
        <v>1</v>
      </c>
      <c r="P1001" s="357">
        <v>0</v>
      </c>
      <c r="Q1001" s="358">
        <v>0.49214659685863876</v>
      </c>
      <c r="R1001" s="359">
        <v>2.0019999999999998</v>
      </c>
      <c r="S1001" s="196">
        <v>1483883000</v>
      </c>
      <c r="T1001" s="196">
        <v>45500000</v>
      </c>
      <c r="U1001" s="200">
        <f t="shared" si="171"/>
        <v>2739100000</v>
      </c>
      <c r="V1001" s="196">
        <v>91000000</v>
      </c>
      <c r="W1001" s="196">
        <v>1612000000</v>
      </c>
      <c r="X1001" s="196">
        <v>35000000</v>
      </c>
      <c r="Y1001" s="196">
        <v>1741000000</v>
      </c>
      <c r="Z1001" s="196">
        <v>0</v>
      </c>
      <c r="AA1001" s="198">
        <v>0.06</v>
      </c>
      <c r="AB1001" s="198">
        <v>0.05</v>
      </c>
      <c r="AC1001" s="213">
        <f t="shared" si="172"/>
        <v>174</v>
      </c>
      <c r="AD1001" s="213">
        <f t="shared" si="173"/>
        <v>150</v>
      </c>
      <c r="AE1001" s="213">
        <v>4.8099999999999996</v>
      </c>
      <c r="AF1001" s="196">
        <v>33000000</v>
      </c>
      <c r="AG1001" s="104">
        <f t="shared" si="174"/>
        <v>0.72527472527472525</v>
      </c>
      <c r="AH1001" s="104">
        <f t="shared" si="175"/>
        <v>0.36263736263736263</v>
      </c>
      <c r="AI1001" s="195">
        <v>1.1499999999999999</v>
      </c>
    </row>
    <row r="1002" spans="1:48">
      <c r="A1002">
        <v>4987</v>
      </c>
      <c r="C1002" s="107">
        <f>VLOOKUP(4987,收盤價!$A:$C,3,0)</f>
        <v>45.35</v>
      </c>
      <c r="D1002" s="107">
        <f t="shared" si="165"/>
        <v>9.9776841840583348</v>
      </c>
      <c r="E1002" s="167">
        <f t="shared" si="166"/>
        <v>2</v>
      </c>
      <c r="F1002" s="104">
        <f t="shared" si="167"/>
        <v>1.1681907670794311</v>
      </c>
      <c r="G1002" s="167">
        <f>RANK(3.92,AE:AE,0)</f>
        <v>209</v>
      </c>
      <c r="H1002" s="365">
        <f t="shared" si="168"/>
        <v>-0.77990708478513349</v>
      </c>
      <c r="I1002" s="213">
        <f t="shared" si="169"/>
        <v>223</v>
      </c>
      <c r="J1002" s="213">
        <f t="shared" si="170"/>
        <v>446</v>
      </c>
      <c r="K1002">
        <f>RANK(2.33,AI:AI,0)</f>
        <v>274</v>
      </c>
      <c r="L1002" s="357">
        <v>0</v>
      </c>
      <c r="M1002" s="357">
        <v>0</v>
      </c>
      <c r="N1002" s="357">
        <v>1</v>
      </c>
      <c r="O1002" s="357">
        <v>1</v>
      </c>
      <c r="P1002" s="357">
        <v>0</v>
      </c>
      <c r="Q1002" s="358">
        <v>0.40160642570281124</v>
      </c>
      <c r="R1002" s="359">
        <v>1.1362857142857143</v>
      </c>
      <c r="S1002" s="196">
        <v>978282000</v>
      </c>
      <c r="T1002" s="196">
        <v>25200000</v>
      </c>
      <c r="U1002" s="200">
        <f t="shared" si="171"/>
        <v>1142820000</v>
      </c>
      <c r="V1002" s="196">
        <v>41000000</v>
      </c>
      <c r="W1002" s="196">
        <v>483000000</v>
      </c>
      <c r="X1002" s="196">
        <v>369000000</v>
      </c>
      <c r="Y1002" s="196">
        <v>786000000</v>
      </c>
      <c r="Z1002" s="196">
        <v>24000000</v>
      </c>
      <c r="AA1002" s="198">
        <v>0.05</v>
      </c>
      <c r="AB1002" s="198">
        <v>0.05</v>
      </c>
      <c r="AC1002" s="213">
        <f t="shared" si="172"/>
        <v>247</v>
      </c>
      <c r="AD1002" s="213">
        <f t="shared" si="173"/>
        <v>150</v>
      </c>
      <c r="AE1002" s="213">
        <v>3.92</v>
      </c>
      <c r="AF1002" s="196">
        <v>51000000</v>
      </c>
      <c r="AG1002" s="104">
        <f t="shared" si="174"/>
        <v>2.0238095238095237</v>
      </c>
      <c r="AH1002" s="104">
        <f t="shared" si="175"/>
        <v>1.2439024390243902</v>
      </c>
      <c r="AI1002" s="195">
        <v>2.33</v>
      </c>
      <c r="AO1002" s="213"/>
      <c r="AP1002" s="213"/>
      <c r="AQ1002" s="213"/>
      <c r="AR1002" s="213"/>
      <c r="AS1002" s="213"/>
      <c r="AT1002" s="213"/>
      <c r="AU1002" s="213"/>
      <c r="AV1002" s="213"/>
    </row>
    <row r="1003" spans="1:48">
      <c r="A1003">
        <v>4991</v>
      </c>
      <c r="C1003" s="107">
        <f>VLOOKUP(4991,收盤價!$A:$C,3,0)</f>
        <v>66.5</v>
      </c>
      <c r="D1003" s="107">
        <f t="shared" si="165"/>
        <v>15.192980750534709</v>
      </c>
      <c r="E1003" s="167">
        <f t="shared" si="166"/>
        <v>2</v>
      </c>
      <c r="F1003" s="104">
        <f t="shared" si="167"/>
        <v>2.2076502611703255</v>
      </c>
      <c r="G1003" s="167">
        <f>RANK(2.76,AE:AE,0)</f>
        <v>305</v>
      </c>
      <c r="H1003" s="365">
        <f t="shared" si="168"/>
        <v>-0.18989547038327526</v>
      </c>
      <c r="I1003" s="213">
        <f t="shared" si="169"/>
        <v>643</v>
      </c>
      <c r="J1003" s="213">
        <f t="shared" si="170"/>
        <v>668</v>
      </c>
      <c r="K1003">
        <f>RANK(1.19,AI:AI,0)</f>
        <v>737</v>
      </c>
      <c r="L1003" s="357">
        <v>0</v>
      </c>
      <c r="M1003" s="357">
        <v>1</v>
      </c>
      <c r="N1003" s="357">
        <v>0</v>
      </c>
      <c r="O1003" s="357">
        <v>1</v>
      </c>
      <c r="P1003" s="357">
        <v>0</v>
      </c>
      <c r="Q1003" s="358">
        <v>0.40332640332640335</v>
      </c>
      <c r="R1003" s="359">
        <v>1.0942553191489361</v>
      </c>
      <c r="S1003" s="196">
        <v>1813376000</v>
      </c>
      <c r="T1003" s="196">
        <v>60200000</v>
      </c>
      <c r="U1003" s="200">
        <f t="shared" si="171"/>
        <v>4003300000</v>
      </c>
      <c r="V1003" s="196">
        <v>82000000</v>
      </c>
      <c r="W1003" s="196">
        <v>1596000000</v>
      </c>
      <c r="X1003" s="196">
        <v>500000000</v>
      </c>
      <c r="Y1003" s="196">
        <v>1893000000</v>
      </c>
      <c r="Z1003" s="196">
        <v>31000000</v>
      </c>
      <c r="AA1003" s="198">
        <v>0.04</v>
      </c>
      <c r="AB1003" s="198">
        <v>0.04</v>
      </c>
      <c r="AC1003" s="213">
        <f t="shared" si="172"/>
        <v>337</v>
      </c>
      <c r="AD1003" s="213">
        <f t="shared" si="173"/>
        <v>228</v>
      </c>
      <c r="AE1003" s="213">
        <v>2.76</v>
      </c>
      <c r="AF1003" s="196">
        <v>43000000</v>
      </c>
      <c r="AG1003" s="104">
        <f t="shared" si="174"/>
        <v>0.7142857142857143</v>
      </c>
      <c r="AH1003" s="104">
        <f t="shared" si="175"/>
        <v>0.52439024390243905</v>
      </c>
      <c r="AI1003" s="195">
        <v>1.19</v>
      </c>
      <c r="AO1003" s="213"/>
      <c r="AP1003" s="213"/>
      <c r="AQ1003" s="213"/>
      <c r="AR1003" s="213"/>
      <c r="AS1003" s="213"/>
      <c r="AT1003" s="213"/>
      <c r="AU1003" s="213"/>
      <c r="AV1003" s="213"/>
    </row>
    <row r="1004" spans="1:48">
      <c r="A1004">
        <v>4994</v>
      </c>
      <c r="C1004" s="107">
        <f>VLOOKUP(4994,收盤價!$A:$C,3,0)</f>
        <v>56</v>
      </c>
      <c r="D1004" s="107">
        <f t="shared" si="165"/>
        <v>439.99999999999994</v>
      </c>
      <c r="E1004" s="167">
        <f t="shared" si="166"/>
        <v>4</v>
      </c>
      <c r="F1004" s="104">
        <f t="shared" si="167"/>
        <v>5.6996983400420005</v>
      </c>
      <c r="G1004" s="167">
        <f>RANK(0.84,AE:AE,0)</f>
        <v>946</v>
      </c>
      <c r="H1004" s="365">
        <f t="shared" si="168"/>
        <v>10.120795660036165</v>
      </c>
      <c r="I1004" s="213">
        <f t="shared" si="169"/>
        <v>752</v>
      </c>
      <c r="J1004" s="213">
        <f t="shared" si="170"/>
        <v>37</v>
      </c>
      <c r="K1004">
        <f>RANK(1.97,AI:AI,0)</f>
        <v>350</v>
      </c>
      <c r="L1004" s="357">
        <v>0</v>
      </c>
      <c r="M1004" s="357">
        <v>1</v>
      </c>
      <c r="N1004" s="357">
        <v>2</v>
      </c>
      <c r="O1004" s="357">
        <v>1</v>
      </c>
      <c r="P1004" s="357">
        <v>0</v>
      </c>
      <c r="Q1004" s="358">
        <v>0.91439688715953304</v>
      </c>
      <c r="R1004" s="359">
        <v>3.1818181818181822E-2</v>
      </c>
      <c r="S1004" s="196">
        <v>1086654000</v>
      </c>
      <c r="T1004" s="196">
        <v>110600000</v>
      </c>
      <c r="U1004" s="200">
        <f t="shared" si="171"/>
        <v>6193600000</v>
      </c>
      <c r="V1004" s="196">
        <v>5000000</v>
      </c>
      <c r="W1004" s="196">
        <v>1534000000</v>
      </c>
      <c r="X1004" s="196">
        <v>56000000</v>
      </c>
      <c r="Y1004" s="196">
        <v>1667000000</v>
      </c>
      <c r="Z1004" s="196">
        <v>0</v>
      </c>
      <c r="AA1004" s="198">
        <v>0</v>
      </c>
      <c r="AB1004" s="198">
        <v>0</v>
      </c>
      <c r="AC1004" s="213">
        <f t="shared" si="172"/>
        <v>945</v>
      </c>
      <c r="AD1004" s="213">
        <f t="shared" si="173"/>
        <v>911</v>
      </c>
      <c r="AE1004" s="213">
        <v>0.84</v>
      </c>
      <c r="AF1004" s="196">
        <v>53000000</v>
      </c>
      <c r="AG1004" s="104">
        <f t="shared" si="174"/>
        <v>0.47920433996383366</v>
      </c>
      <c r="AH1004" s="104">
        <f t="shared" si="175"/>
        <v>10.6</v>
      </c>
      <c r="AI1004" s="195">
        <v>1.97</v>
      </c>
      <c r="AO1004" s="213"/>
      <c r="AP1004" s="213"/>
      <c r="AQ1004" s="213"/>
      <c r="AR1004" s="213"/>
      <c r="AS1004" s="213"/>
      <c r="AT1004" s="213"/>
      <c r="AU1004" s="213"/>
      <c r="AV1004" s="213"/>
    </row>
    <row r="1005" spans="1:48">
      <c r="A1005">
        <v>4995</v>
      </c>
      <c r="C1005" s="107">
        <f>VLOOKUP(4995,收盤價!$A:$C,3,0)</f>
        <v>30.1</v>
      </c>
      <c r="D1005" s="107">
        <f t="shared" si="165"/>
        <v>14.72282608695652</v>
      </c>
      <c r="E1005" s="167">
        <f t="shared" si="166"/>
        <v>1</v>
      </c>
      <c r="F1005" s="104">
        <f t="shared" si="167"/>
        <v>1.2792690389747003</v>
      </c>
      <c r="G1005" s="167">
        <f>RANK(2.52,AE:AE,0)</f>
        <v>351</v>
      </c>
      <c r="H1005" s="365">
        <f t="shared" si="168"/>
        <v>0.32258064516129031</v>
      </c>
      <c r="I1005" s="213">
        <f t="shared" si="169"/>
        <v>1276</v>
      </c>
      <c r="J1005" s="213">
        <f t="shared" si="170"/>
        <v>768</v>
      </c>
      <c r="K1005">
        <f>RANK(0.76,AI:AI,0)</f>
        <v>1269</v>
      </c>
      <c r="L1005" s="357">
        <v>0</v>
      </c>
      <c r="M1005" s="357">
        <v>1</v>
      </c>
      <c r="N1005" s="357">
        <v>0</v>
      </c>
      <c r="O1005" s="357">
        <v>0</v>
      </c>
      <c r="P1005" s="357">
        <v>0</v>
      </c>
      <c r="Q1005" s="358">
        <v>0.35532994923857869</v>
      </c>
      <c r="R1005" s="359">
        <v>0.51111111111111118</v>
      </c>
      <c r="S1005" s="196">
        <v>802341000</v>
      </c>
      <c r="T1005" s="196">
        <v>34100000</v>
      </c>
      <c r="U1005" s="200">
        <f t="shared" si="171"/>
        <v>1026410000</v>
      </c>
      <c r="V1005" s="196">
        <v>22000000</v>
      </c>
      <c r="W1005" s="196">
        <v>441000000</v>
      </c>
      <c r="X1005" s="196">
        <v>226000000</v>
      </c>
      <c r="Y1005" s="196">
        <v>479000000</v>
      </c>
      <c r="Z1005" s="196">
        <v>8000000</v>
      </c>
      <c r="AA1005" s="198">
        <v>0.03</v>
      </c>
      <c r="AB1005" s="198">
        <v>0.05</v>
      </c>
      <c r="AC1005" s="213">
        <f t="shared" si="172"/>
        <v>469</v>
      </c>
      <c r="AD1005" s="213">
        <f t="shared" si="173"/>
        <v>150</v>
      </c>
      <c r="AE1005" s="213">
        <v>2.52</v>
      </c>
      <c r="AF1005" s="196">
        <v>-11000000</v>
      </c>
      <c r="AG1005" s="104">
        <f t="shared" si="174"/>
        <v>-0.32258064516129031</v>
      </c>
      <c r="AH1005" s="104">
        <f t="shared" si="175"/>
        <v>0</v>
      </c>
      <c r="AI1005" s="195">
        <v>0.76</v>
      </c>
      <c r="AO1005" s="213"/>
      <c r="AP1005" s="213"/>
      <c r="AQ1005" s="213"/>
      <c r="AR1005" s="213"/>
      <c r="AS1005" s="213"/>
      <c r="AT1005" s="213"/>
      <c r="AU1005" s="213"/>
      <c r="AV1005" s="213"/>
    </row>
    <row r="1006" spans="1:48">
      <c r="A1006">
        <v>4999</v>
      </c>
      <c r="C1006" s="107">
        <f>VLOOKUP(4999,收盤價!$A:$C,3,0)</f>
        <v>61.8</v>
      </c>
      <c r="D1006" s="107">
        <f t="shared" si="165"/>
        <v>11.553201433245054</v>
      </c>
      <c r="E1006" s="167">
        <f t="shared" si="166"/>
        <v>4</v>
      </c>
      <c r="F1006" s="104">
        <f t="shared" si="167"/>
        <v>2.0622960599054054</v>
      </c>
      <c r="G1006" s="167">
        <f>RANK(4.81,AE:AE,0)</f>
        <v>170</v>
      </c>
      <c r="H1006" s="365">
        <f t="shared" si="168"/>
        <v>-0.91572217378668985</v>
      </c>
      <c r="I1006" s="213">
        <f t="shared" si="169"/>
        <v>260</v>
      </c>
      <c r="J1006" s="213">
        <f t="shared" si="170"/>
        <v>553</v>
      </c>
      <c r="K1006">
        <f>RANK(1.92,AI:AI,0)</f>
        <v>372</v>
      </c>
      <c r="L1006" s="357">
        <v>0</v>
      </c>
      <c r="M1006" s="357">
        <v>1</v>
      </c>
      <c r="N1006" s="357">
        <v>2</v>
      </c>
      <c r="O1006" s="357">
        <v>1</v>
      </c>
      <c r="P1006" s="357">
        <v>0</v>
      </c>
      <c r="Q1006" s="358">
        <v>0.35973597359735976</v>
      </c>
      <c r="R1006" s="359">
        <v>1.3372916666666665</v>
      </c>
      <c r="S1006" s="196">
        <v>2229515000</v>
      </c>
      <c r="T1006" s="196">
        <v>74400000</v>
      </c>
      <c r="U1006" s="200">
        <f t="shared" si="171"/>
        <v>4597920000</v>
      </c>
      <c r="V1006" s="196">
        <v>148000000</v>
      </c>
      <c r="W1006" s="196">
        <v>1881000000</v>
      </c>
      <c r="X1006" s="196">
        <v>805000000</v>
      </c>
      <c r="Y1006" s="196">
        <v>2703000000</v>
      </c>
      <c r="Z1006" s="196">
        <v>129000000</v>
      </c>
      <c r="AA1006" s="198">
        <v>0.06</v>
      </c>
      <c r="AB1006" s="198">
        <v>0.05</v>
      </c>
      <c r="AC1006" s="213">
        <f t="shared" si="172"/>
        <v>174</v>
      </c>
      <c r="AD1006" s="213">
        <f t="shared" si="173"/>
        <v>150</v>
      </c>
      <c r="AE1006" s="213">
        <v>4.8099999999999996</v>
      </c>
      <c r="AF1006" s="196">
        <v>137000000</v>
      </c>
      <c r="AG1006" s="104">
        <f t="shared" si="174"/>
        <v>1.8413978494623655</v>
      </c>
      <c r="AH1006" s="104">
        <f t="shared" si="175"/>
        <v>0.92567567567567566</v>
      </c>
      <c r="AI1006" s="195">
        <v>1.92</v>
      </c>
      <c r="AO1006" s="213"/>
      <c r="AP1006" s="213"/>
      <c r="AQ1006" s="213"/>
      <c r="AR1006" s="213"/>
      <c r="AS1006" s="213"/>
      <c r="AT1006" s="213"/>
      <c r="AU1006" s="213"/>
      <c r="AV1006" s="213"/>
    </row>
    <row r="1007" spans="1:48">
      <c r="A1007">
        <v>5007</v>
      </c>
      <c r="C1007" s="107">
        <f>VLOOKUP(5007,收盤價!$A:$C,3,0)</f>
        <v>55</v>
      </c>
      <c r="D1007" s="107">
        <f t="shared" si="165"/>
        <v>14.25925925925926</v>
      </c>
      <c r="E1007" s="167">
        <f t="shared" si="166"/>
        <v>4</v>
      </c>
      <c r="F1007" s="104">
        <f t="shared" si="167"/>
        <v>2.4466889711416058</v>
      </c>
      <c r="G1007" s="167">
        <f>RANK(6.8,AE:AE,0)</f>
        <v>115</v>
      </c>
      <c r="H1007" s="365">
        <f t="shared" si="168"/>
        <v>-0.34302919128734577</v>
      </c>
      <c r="I1007" s="213">
        <f t="shared" si="169"/>
        <v>318</v>
      </c>
      <c r="J1007" s="213">
        <f t="shared" si="170"/>
        <v>444</v>
      </c>
      <c r="K1007">
        <f>RANK(2.04,AI:AI,0)</f>
        <v>323</v>
      </c>
      <c r="L1007" s="357">
        <v>1</v>
      </c>
      <c r="M1007" s="357">
        <v>1</v>
      </c>
      <c r="N1007" s="357">
        <v>1</v>
      </c>
      <c r="O1007" s="357">
        <v>1</v>
      </c>
      <c r="P1007" s="357">
        <v>0</v>
      </c>
      <c r="Q1007" s="358">
        <v>0.2713091922005571</v>
      </c>
      <c r="R1007" s="359">
        <v>0.9642857142857143</v>
      </c>
      <c r="S1007" s="196">
        <v>6629163000</v>
      </c>
      <c r="T1007" s="196">
        <v>294900000</v>
      </c>
      <c r="U1007" s="200">
        <f t="shared" si="171"/>
        <v>16219500000</v>
      </c>
      <c r="V1007" s="196">
        <v>376000000</v>
      </c>
      <c r="W1007" s="196">
        <v>1997000000</v>
      </c>
      <c r="X1007" s="196">
        <v>3595000000</v>
      </c>
      <c r="Y1007" s="196">
        <v>5386000000</v>
      </c>
      <c r="Z1007" s="196">
        <v>673000000</v>
      </c>
      <c r="AA1007" s="198">
        <v>7.0000000000000007E-2</v>
      </c>
      <c r="AB1007" s="198">
        <v>0.06</v>
      </c>
      <c r="AC1007" s="213">
        <f t="shared" si="172"/>
        <v>134</v>
      </c>
      <c r="AD1007" s="213">
        <f t="shared" si="173"/>
        <v>95</v>
      </c>
      <c r="AE1007" s="213">
        <v>6.8</v>
      </c>
      <c r="AF1007" s="196">
        <v>469000000</v>
      </c>
      <c r="AG1007" s="104">
        <f t="shared" si="174"/>
        <v>1.5903696168192607</v>
      </c>
      <c r="AH1007" s="104">
        <f t="shared" si="175"/>
        <v>1.2473404255319149</v>
      </c>
      <c r="AI1007" s="195">
        <v>2.04</v>
      </c>
      <c r="AO1007" s="213"/>
      <c r="AP1007" s="213"/>
      <c r="AQ1007" s="213"/>
      <c r="AR1007" s="213"/>
      <c r="AS1007" s="213"/>
      <c r="AT1007" s="213"/>
      <c r="AU1007" s="213"/>
      <c r="AV1007" s="213"/>
    </row>
    <row r="1008" spans="1:48">
      <c r="A1008">
        <v>5009</v>
      </c>
      <c r="C1008" s="107">
        <f>VLOOKUP(5009,收盤價!$A:$C,3,0)</f>
        <v>17.149999999999999</v>
      </c>
      <c r="D1008" s="107">
        <f t="shared" si="165"/>
        <v>22.911661143330569</v>
      </c>
      <c r="E1008" s="167">
        <f t="shared" si="166"/>
        <v>2</v>
      </c>
      <c r="F1008" s="104">
        <f t="shared" si="167"/>
        <v>0.86986514859286512</v>
      </c>
      <c r="G1008" s="167">
        <f>RANK(1.24,AE:AE,0)</f>
        <v>704</v>
      </c>
      <c r="H1008" s="365">
        <f t="shared" si="168"/>
        <v>0.21836007130124777</v>
      </c>
      <c r="I1008" s="213">
        <f t="shared" si="169"/>
        <v>1220</v>
      </c>
      <c r="J1008" s="213">
        <f t="shared" si="170"/>
        <v>768</v>
      </c>
      <c r="K1008">
        <f>RANK(0.78,AI:AI,0)</f>
        <v>1217</v>
      </c>
      <c r="L1008" s="357">
        <v>0</v>
      </c>
      <c r="M1008" s="357">
        <v>1</v>
      </c>
      <c r="N1008" s="357">
        <v>1</v>
      </c>
      <c r="O1008" s="357">
        <v>0</v>
      </c>
      <c r="P1008" s="357">
        <v>0</v>
      </c>
      <c r="Q1008" s="358">
        <v>0.16281221091581868</v>
      </c>
      <c r="R1008" s="359">
        <v>0.18713178294573643</v>
      </c>
      <c r="S1008" s="196">
        <v>8848406000</v>
      </c>
      <c r="T1008" s="196">
        <v>448800000</v>
      </c>
      <c r="U1008" s="200">
        <f t="shared" si="171"/>
        <v>7696919999.999999</v>
      </c>
      <c r="V1008" s="196">
        <v>175000000</v>
      </c>
      <c r="W1008" s="196">
        <v>4877000000</v>
      </c>
      <c r="X1008" s="196">
        <v>10881000000</v>
      </c>
      <c r="Y1008" s="196">
        <v>9805000000</v>
      </c>
      <c r="Z1008" s="196">
        <v>1447000000</v>
      </c>
      <c r="AA1008" s="198">
        <v>0.01</v>
      </c>
      <c r="AB1008" s="198">
        <v>0.02</v>
      </c>
      <c r="AC1008" s="213">
        <f t="shared" si="172"/>
        <v>769</v>
      </c>
      <c r="AD1008" s="213">
        <f t="shared" si="173"/>
        <v>487</v>
      </c>
      <c r="AE1008" s="213">
        <v>1.24</v>
      </c>
      <c r="AF1008" s="196">
        <v>-98000000</v>
      </c>
      <c r="AG1008" s="104">
        <f t="shared" si="174"/>
        <v>-0.21836007130124777</v>
      </c>
      <c r="AH1008" s="104">
        <f t="shared" si="175"/>
        <v>0</v>
      </c>
      <c r="AI1008" s="195">
        <v>0.78</v>
      </c>
    </row>
    <row r="1009" spans="1:48">
      <c r="A1009">
        <v>5011</v>
      </c>
      <c r="C1009" s="107">
        <f>VLOOKUP(5011,收盤價!$A:$C,3,0)</f>
        <v>18.5</v>
      </c>
      <c r="D1009" s="107">
        <f t="shared" si="165"/>
        <v>7.9741379310344831</v>
      </c>
      <c r="E1009" s="167">
        <f t="shared" si="166"/>
        <v>5</v>
      </c>
      <c r="F1009" s="104">
        <f t="shared" si="167"/>
        <v>0.70199005664113889</v>
      </c>
      <c r="G1009" s="167">
        <f>RANK(2.32,AE:AE,0)</f>
        <v>360</v>
      </c>
      <c r="H1009" s="365">
        <f t="shared" si="168"/>
        <v>0.791797010775113</v>
      </c>
      <c r="I1009" s="213">
        <f t="shared" si="169"/>
        <v>592</v>
      </c>
      <c r="J1009" s="213">
        <f t="shared" si="170"/>
        <v>342</v>
      </c>
      <c r="K1009">
        <f>RANK(1.67,AI:AI,0)</f>
        <v>471</v>
      </c>
      <c r="L1009" s="357">
        <v>1</v>
      </c>
      <c r="M1009" s="357">
        <v>1</v>
      </c>
      <c r="N1009" s="357">
        <v>2</v>
      </c>
      <c r="O1009" s="357">
        <v>1</v>
      </c>
      <c r="P1009" s="357">
        <v>0</v>
      </c>
      <c r="Q1009" s="358">
        <v>0.14186851211072665</v>
      </c>
      <c r="R1009" s="359">
        <v>0.57999999999999996</v>
      </c>
      <c r="S1009" s="196">
        <v>1083135000</v>
      </c>
      <c r="T1009" s="196">
        <v>41100000</v>
      </c>
      <c r="U1009" s="200">
        <f t="shared" si="171"/>
        <v>760350000</v>
      </c>
      <c r="V1009" s="196">
        <v>21000000</v>
      </c>
      <c r="W1009" s="196">
        <v>113000000</v>
      </c>
      <c r="X1009" s="196">
        <v>481000000</v>
      </c>
      <c r="Y1009" s="196">
        <v>599000000</v>
      </c>
      <c r="Z1009" s="196">
        <v>129000000</v>
      </c>
      <c r="AA1009" s="198">
        <v>0.04</v>
      </c>
      <c r="AB1009" s="198">
        <v>0.03</v>
      </c>
      <c r="AC1009" s="213">
        <f t="shared" si="172"/>
        <v>337</v>
      </c>
      <c r="AD1009" s="213">
        <f t="shared" si="173"/>
        <v>334</v>
      </c>
      <c r="AE1009" s="213">
        <v>2.3199999999999998</v>
      </c>
      <c r="AF1009" s="196">
        <v>34000000</v>
      </c>
      <c r="AG1009" s="104">
        <f t="shared" si="174"/>
        <v>0.82725060827250607</v>
      </c>
      <c r="AH1009" s="104">
        <f t="shared" si="175"/>
        <v>1.6190476190476191</v>
      </c>
      <c r="AI1009" s="195">
        <v>1.67</v>
      </c>
      <c r="AO1009" s="213"/>
      <c r="AP1009" s="213"/>
      <c r="AQ1009" s="213"/>
      <c r="AR1009" s="213"/>
      <c r="AS1009" s="213"/>
      <c r="AT1009" s="213"/>
      <c r="AU1009" s="213"/>
      <c r="AV1009" s="213"/>
    </row>
    <row r="1010" spans="1:48">
      <c r="A1010">
        <v>5013</v>
      </c>
      <c r="C1010" s="107">
        <f>VLOOKUP(5013,收盤價!$A:$C,3,0)</f>
        <v>28.25</v>
      </c>
      <c r="D1010" s="107">
        <f t="shared" si="165"/>
        <v>12.437106918238994</v>
      </c>
      <c r="E1010" s="167">
        <f t="shared" si="166"/>
        <v>3</v>
      </c>
      <c r="F1010" s="104">
        <f t="shared" si="167"/>
        <v>0.58381392887037376</v>
      </c>
      <c r="G1010" s="167">
        <f>RANK(2.76,AE:AE,0)</f>
        <v>305</v>
      </c>
      <c r="H1010" s="365">
        <f t="shared" si="168"/>
        <v>-0.33959315306375593</v>
      </c>
      <c r="I1010" s="213">
        <f t="shared" si="169"/>
        <v>358</v>
      </c>
      <c r="J1010" s="213">
        <f t="shared" si="170"/>
        <v>499</v>
      </c>
      <c r="K1010">
        <f>RANK(1.82,AI:AI,0)</f>
        <v>409</v>
      </c>
      <c r="L1010" s="357">
        <v>0</v>
      </c>
      <c r="M1010" s="357">
        <v>1</v>
      </c>
      <c r="N1010" s="357">
        <v>1</v>
      </c>
      <c r="O1010" s="357">
        <v>1</v>
      </c>
      <c r="P1010" s="357">
        <v>0</v>
      </c>
      <c r="Q1010" s="358">
        <v>0.15065502183406113</v>
      </c>
      <c r="R1010" s="359">
        <v>0.56785714285714284</v>
      </c>
      <c r="S1010" s="196">
        <v>5380824000</v>
      </c>
      <c r="T1010" s="196">
        <v>111200000</v>
      </c>
      <c r="U1010" s="200">
        <f t="shared" si="171"/>
        <v>3141400000</v>
      </c>
      <c r="V1010" s="196">
        <v>145000000</v>
      </c>
      <c r="W1010" s="196">
        <v>1315000000</v>
      </c>
      <c r="X1010" s="196">
        <v>2182000000</v>
      </c>
      <c r="Y1010" s="196">
        <v>2546000000</v>
      </c>
      <c r="Z1010" s="196">
        <v>763000000</v>
      </c>
      <c r="AA1010" s="198">
        <v>0.04</v>
      </c>
      <c r="AB1010" s="198">
        <v>0.04</v>
      </c>
      <c r="AC1010" s="213">
        <f t="shared" si="172"/>
        <v>337</v>
      </c>
      <c r="AD1010" s="213">
        <f t="shared" si="173"/>
        <v>228</v>
      </c>
      <c r="AE1010" s="213">
        <v>2.76</v>
      </c>
      <c r="AF1010" s="196">
        <v>162000000</v>
      </c>
      <c r="AG1010" s="104">
        <f t="shared" si="174"/>
        <v>1.4568345323741008</v>
      </c>
      <c r="AH1010" s="104">
        <f t="shared" si="175"/>
        <v>1.1172413793103448</v>
      </c>
      <c r="AI1010" s="195">
        <v>1.82</v>
      </c>
      <c r="AO1010" s="213"/>
      <c r="AP1010" s="213"/>
      <c r="AQ1010" s="213"/>
      <c r="AR1010" s="213"/>
      <c r="AS1010" s="213"/>
      <c r="AT1010" s="213"/>
      <c r="AU1010" s="213"/>
      <c r="AV1010" s="213"/>
    </row>
    <row r="1011" spans="1:48">
      <c r="A1011">
        <v>5014</v>
      </c>
      <c r="C1011" s="107">
        <f>VLOOKUP(5014,收盤價!$A:$C,3,0)</f>
        <v>7.17</v>
      </c>
      <c r="D1011" s="107">
        <f t="shared" si="165"/>
        <v>6.1555631868131861</v>
      </c>
      <c r="E1011" s="167">
        <f t="shared" si="166"/>
        <v>3</v>
      </c>
      <c r="F1011" s="104">
        <f t="shared" si="167"/>
        <v>8.9643404555608625E-2</v>
      </c>
      <c r="G1011" s="167">
        <f>RANK(2.8,AE:AE,0)</f>
        <v>303</v>
      </c>
      <c r="H1011" s="365">
        <f t="shared" si="168"/>
        <v>0.95583787053841496</v>
      </c>
      <c r="I1011" s="213">
        <f t="shared" si="169"/>
        <v>1436</v>
      </c>
      <c r="J1011" s="213">
        <f t="shared" si="170"/>
        <v>768</v>
      </c>
      <c r="K1011">
        <f>RANK(0.71,AI:AI,0)</f>
        <v>1412</v>
      </c>
      <c r="L1011" s="357">
        <v>0</v>
      </c>
      <c r="M1011" s="357">
        <v>1</v>
      </c>
      <c r="N1011" s="357">
        <v>2</v>
      </c>
      <c r="O1011" s="357">
        <v>0</v>
      </c>
      <c r="P1011" s="357">
        <v>0</v>
      </c>
      <c r="Q1011" s="358">
        <v>7.2427727696611752E-2</v>
      </c>
      <c r="R1011" s="359">
        <v>0.29120000000000001</v>
      </c>
      <c r="S1011" s="196">
        <v>13221285000</v>
      </c>
      <c r="T1011" s="196">
        <v>165300000</v>
      </c>
      <c r="U1011" s="200">
        <f t="shared" si="171"/>
        <v>1185201000</v>
      </c>
      <c r="V1011" s="196">
        <v>123000000</v>
      </c>
      <c r="W1011" s="196">
        <v>0</v>
      </c>
      <c r="X1011" s="196">
        <v>1408000000</v>
      </c>
      <c r="Y1011" s="196">
        <v>2183000000</v>
      </c>
      <c r="Z1011" s="196">
        <v>4988000000</v>
      </c>
      <c r="AA1011" s="198">
        <v>0.09</v>
      </c>
      <c r="AB1011" s="198">
        <v>0.02</v>
      </c>
      <c r="AC1011" s="213">
        <f t="shared" si="172"/>
        <v>69</v>
      </c>
      <c r="AD1011" s="213">
        <f t="shared" si="173"/>
        <v>487</v>
      </c>
      <c r="AE1011" s="213">
        <v>2.8</v>
      </c>
      <c r="AF1011" s="196">
        <v>-158000000</v>
      </c>
      <c r="AG1011" s="104">
        <f t="shared" si="174"/>
        <v>-0.95583787053841496</v>
      </c>
      <c r="AH1011" s="104">
        <f t="shared" si="175"/>
        <v>0</v>
      </c>
      <c r="AI1011" s="195">
        <v>0.71</v>
      </c>
      <c r="AO1011" s="213"/>
      <c r="AP1011" s="213"/>
      <c r="AQ1011" s="213"/>
      <c r="AR1011" s="213"/>
      <c r="AS1011" s="213"/>
      <c r="AT1011" s="213"/>
      <c r="AU1011" s="213"/>
      <c r="AV1011" s="213"/>
    </row>
    <row r="1012" spans="1:48">
      <c r="A1012">
        <v>5015</v>
      </c>
      <c r="C1012" s="107">
        <f>VLOOKUP(5015,收盤價!$A:$C,3,0)</f>
        <v>24.75</v>
      </c>
      <c r="D1012" s="107">
        <f t="shared" si="165"/>
        <v>7.1961856889414548</v>
      </c>
      <c r="E1012" s="167">
        <f t="shared" si="166"/>
        <v>3</v>
      </c>
      <c r="F1012" s="104">
        <f t="shared" si="167"/>
        <v>0.65936109433235646</v>
      </c>
      <c r="G1012" s="167">
        <f>RANK(4.81,AE:AE,0)</f>
        <v>170</v>
      </c>
      <c r="H1012" s="365">
        <f t="shared" si="168"/>
        <v>3.4010180679084678E-2</v>
      </c>
      <c r="I1012" s="213">
        <f t="shared" si="169"/>
        <v>417</v>
      </c>
      <c r="J1012" s="213">
        <f t="shared" si="170"/>
        <v>429</v>
      </c>
      <c r="K1012">
        <f>RANK(1.84,AI:AI,0)</f>
        <v>398</v>
      </c>
      <c r="L1012" s="357">
        <v>0</v>
      </c>
      <c r="M1012" s="357">
        <v>1</v>
      </c>
      <c r="N1012" s="357">
        <v>1</v>
      </c>
      <c r="O1012" s="357">
        <v>1</v>
      </c>
      <c r="P1012" s="357">
        <v>0</v>
      </c>
      <c r="Q1012" s="358">
        <v>0.20593692022263452</v>
      </c>
      <c r="R1012" s="359">
        <v>0.85983050847457632</v>
      </c>
      <c r="S1012" s="196">
        <v>2274702000</v>
      </c>
      <c r="T1012" s="196">
        <v>60600000</v>
      </c>
      <c r="U1012" s="200">
        <f t="shared" si="171"/>
        <v>1499850000</v>
      </c>
      <c r="V1012" s="196">
        <v>59000000</v>
      </c>
      <c r="W1012" s="196">
        <v>698000000</v>
      </c>
      <c r="X1012" s="196">
        <v>324000000</v>
      </c>
      <c r="Y1012" s="196">
        <v>1023000000</v>
      </c>
      <c r="Z1012" s="196">
        <v>236000000</v>
      </c>
      <c r="AA1012" s="198">
        <v>0.06</v>
      </c>
      <c r="AB1012" s="198">
        <v>0.05</v>
      </c>
      <c r="AC1012" s="213">
        <f t="shared" si="172"/>
        <v>174</v>
      </c>
      <c r="AD1012" s="213">
        <f t="shared" si="173"/>
        <v>150</v>
      </c>
      <c r="AE1012" s="213">
        <v>4.8099999999999996</v>
      </c>
      <c r="AF1012" s="196">
        <v>76000000</v>
      </c>
      <c r="AG1012" s="104">
        <f t="shared" si="174"/>
        <v>1.2541254125412542</v>
      </c>
      <c r="AH1012" s="104">
        <f t="shared" si="175"/>
        <v>1.2881355932203389</v>
      </c>
      <c r="AI1012" s="195">
        <v>1.84</v>
      </c>
    </row>
    <row r="1013" spans="1:48">
      <c r="A1013">
        <v>5016</v>
      </c>
      <c r="C1013" s="107">
        <f>VLOOKUP(5016,收盤價!$A:$C,3,0)</f>
        <v>27</v>
      </c>
      <c r="D1013" s="107">
        <f t="shared" si="165"/>
        <v>7.360145385587864</v>
      </c>
      <c r="E1013" s="167">
        <f t="shared" si="166"/>
        <v>5</v>
      </c>
      <c r="F1013" s="104">
        <f t="shared" si="167"/>
        <v>0.60576782156989395</v>
      </c>
      <c r="G1013" s="167">
        <f>RANK(2.24,AE:AE,0)</f>
        <v>416</v>
      </c>
      <c r="H1013" s="365">
        <f t="shared" si="168"/>
        <v>-6.9892473118279563E-2</v>
      </c>
      <c r="I1013" s="213">
        <f t="shared" si="169"/>
        <v>802</v>
      </c>
      <c r="J1013" s="213">
        <f t="shared" si="170"/>
        <v>719</v>
      </c>
      <c r="K1013">
        <f>RANK(1.02,AI:AI,0)</f>
        <v>862</v>
      </c>
      <c r="L1013" s="357">
        <v>1</v>
      </c>
      <c r="M1013" s="357">
        <v>1</v>
      </c>
      <c r="N1013" s="357">
        <v>2</v>
      </c>
      <c r="O1013" s="357">
        <v>1</v>
      </c>
      <c r="P1013" s="357">
        <v>0</v>
      </c>
      <c r="Q1013" s="358">
        <v>0.16528925619834711</v>
      </c>
      <c r="R1013" s="359">
        <v>0.9171014492753623</v>
      </c>
      <c r="S1013" s="196">
        <v>2210748000</v>
      </c>
      <c r="T1013" s="196">
        <v>49600000</v>
      </c>
      <c r="U1013" s="200">
        <f t="shared" si="171"/>
        <v>1339200000</v>
      </c>
      <c r="V1013" s="196">
        <v>60000000</v>
      </c>
      <c r="W1013" s="196">
        <v>757000000</v>
      </c>
      <c r="X1013" s="196">
        <v>1042000000</v>
      </c>
      <c r="Y1013" s="196">
        <v>1129000000</v>
      </c>
      <c r="Z1013" s="196">
        <v>333000000</v>
      </c>
      <c r="AA1013" s="198">
        <v>0.03</v>
      </c>
      <c r="AB1013" s="198">
        <v>0.04</v>
      </c>
      <c r="AC1013" s="213">
        <f t="shared" si="172"/>
        <v>469</v>
      </c>
      <c r="AD1013" s="213">
        <f t="shared" si="173"/>
        <v>228</v>
      </c>
      <c r="AE1013" s="213">
        <v>2.2400000000000002</v>
      </c>
      <c r="AF1013" s="196">
        <v>20000000</v>
      </c>
      <c r="AG1013" s="104">
        <f t="shared" si="174"/>
        <v>0.40322580645161288</v>
      </c>
      <c r="AH1013" s="104">
        <f t="shared" si="175"/>
        <v>0.33333333333333331</v>
      </c>
      <c r="AI1013" s="195">
        <v>1.02</v>
      </c>
    </row>
    <row r="1014" spans="1:48">
      <c r="A1014">
        <v>5102</v>
      </c>
      <c r="C1014" s="107">
        <f>VLOOKUP(5102,收盤價!$A:$C,3,0)</f>
        <v>14</v>
      </c>
      <c r="D1014" s="107">
        <f t="shared" si="165"/>
        <v>16.826923076923077</v>
      </c>
      <c r="E1014" s="167">
        <f t="shared" si="166"/>
        <v>3</v>
      </c>
      <c r="F1014" s="104">
        <f t="shared" si="167"/>
        <v>1.4351694888148256</v>
      </c>
      <c r="G1014" s="167">
        <f>RANK(1.2,AE:AE,0)</f>
        <v>710</v>
      </c>
      <c r="H1014" s="365">
        <f t="shared" si="168"/>
        <v>1.172386895475819</v>
      </c>
      <c r="I1014" s="213">
        <f t="shared" si="169"/>
        <v>842</v>
      </c>
      <c r="J1014" s="213">
        <f t="shared" si="170"/>
        <v>378</v>
      </c>
      <c r="K1014">
        <f>RANK(1.28,AI:AI,0)</f>
        <v>685</v>
      </c>
      <c r="L1014" s="357">
        <v>1</v>
      </c>
      <c r="M1014" s="357">
        <v>1</v>
      </c>
      <c r="N1014" s="357">
        <v>1</v>
      </c>
      <c r="O1014" s="357">
        <v>0</v>
      </c>
      <c r="P1014" s="357">
        <v>0</v>
      </c>
      <c r="Q1014" s="358">
        <v>0.18954248366013071</v>
      </c>
      <c r="R1014" s="359">
        <v>0.20799999999999999</v>
      </c>
      <c r="S1014" s="196">
        <v>625292000</v>
      </c>
      <c r="T1014" s="196">
        <v>64100000</v>
      </c>
      <c r="U1014" s="200">
        <f t="shared" si="171"/>
        <v>897400000</v>
      </c>
      <c r="V1014" s="196">
        <v>14000000</v>
      </c>
      <c r="W1014" s="196">
        <v>279000000</v>
      </c>
      <c r="X1014" s="196">
        <v>478000000</v>
      </c>
      <c r="Y1014" s="196">
        <v>846000000</v>
      </c>
      <c r="Z1014" s="196">
        <v>250000000</v>
      </c>
      <c r="AA1014" s="198">
        <v>0.02</v>
      </c>
      <c r="AB1014" s="198">
        <v>0.01</v>
      </c>
      <c r="AC1014" s="213">
        <f t="shared" si="172"/>
        <v>616</v>
      </c>
      <c r="AD1014" s="213">
        <f t="shared" si="173"/>
        <v>680</v>
      </c>
      <c r="AE1014" s="213">
        <v>1.2</v>
      </c>
      <c r="AF1014" s="196">
        <v>21000000</v>
      </c>
      <c r="AG1014" s="104">
        <f t="shared" si="174"/>
        <v>0.32761310452418096</v>
      </c>
      <c r="AH1014" s="104">
        <f t="shared" si="175"/>
        <v>1.5</v>
      </c>
      <c r="AI1014" s="195">
        <v>1.28</v>
      </c>
      <c r="AO1014" s="213"/>
      <c r="AP1014" s="213"/>
      <c r="AQ1014" s="213"/>
      <c r="AR1014" s="213"/>
      <c r="AS1014" s="213"/>
      <c r="AT1014" s="213"/>
      <c r="AU1014" s="213"/>
      <c r="AV1014" s="213"/>
    </row>
    <row r="1015" spans="1:48">
      <c r="A1015">
        <v>5201</v>
      </c>
      <c r="C1015" s="107">
        <f>VLOOKUP(5201,收盤價!$A:$C,3,0)</f>
        <v>26.9</v>
      </c>
      <c r="D1015" s="107">
        <f t="shared" si="165"/>
        <v>0</v>
      </c>
      <c r="E1015" s="167">
        <f t="shared" si="166"/>
        <v>3</v>
      </c>
      <c r="F1015" s="104">
        <f t="shared" si="167"/>
        <v>3.5582317204532723</v>
      </c>
      <c r="G1015" s="167">
        <f>RANK(0.56,AE:AE,0)</f>
        <v>1414</v>
      </c>
      <c r="H1015" s="365">
        <f t="shared" si="168"/>
        <v>-0.65146579804560256</v>
      </c>
      <c r="I1015" s="213">
        <f t="shared" si="169"/>
        <v>671</v>
      </c>
      <c r="J1015" s="213">
        <f t="shared" si="170"/>
        <v>768</v>
      </c>
      <c r="K1015">
        <f>RANK(1.08,AI:AI,0)</f>
        <v>817</v>
      </c>
      <c r="L1015" s="357">
        <v>0</v>
      </c>
      <c r="M1015" s="357">
        <v>0</v>
      </c>
      <c r="N1015" s="357">
        <v>2</v>
      </c>
      <c r="O1015" s="357">
        <v>1</v>
      </c>
      <c r="P1015" s="357">
        <v>0</v>
      </c>
      <c r="Q1015" s="358">
        <v>0.4</v>
      </c>
      <c r="R1015" s="359">
        <v>0</v>
      </c>
      <c r="S1015" s="196">
        <v>232090000</v>
      </c>
      <c r="T1015" s="196">
        <v>30700000</v>
      </c>
      <c r="U1015" s="200">
        <f t="shared" si="171"/>
        <v>825830000</v>
      </c>
      <c r="V1015" s="196">
        <v>-6000000</v>
      </c>
      <c r="W1015" s="196">
        <v>179000000</v>
      </c>
      <c r="X1015" s="196">
        <v>17000000</v>
      </c>
      <c r="Y1015" s="196">
        <v>295000000</v>
      </c>
      <c r="Z1015" s="196">
        <v>0</v>
      </c>
      <c r="AA1015" s="198">
        <v>-0.03</v>
      </c>
      <c r="AB1015" s="198">
        <v>-0.02</v>
      </c>
      <c r="AC1015" s="213">
        <f t="shared" si="172"/>
        <v>1405</v>
      </c>
      <c r="AD1015" s="213">
        <f t="shared" si="173"/>
        <v>1388</v>
      </c>
      <c r="AE1015" s="213">
        <v>0.56000000000000005</v>
      </c>
      <c r="AF1015" s="196">
        <v>20000000</v>
      </c>
      <c r="AG1015" s="104">
        <f t="shared" si="174"/>
        <v>0.65146579804560256</v>
      </c>
      <c r="AH1015" s="104">
        <f t="shared" si="175"/>
        <v>0</v>
      </c>
      <c r="AI1015" s="195">
        <v>1.08</v>
      </c>
    </row>
    <row r="1016" spans="1:48">
      <c r="A1016">
        <v>5202</v>
      </c>
      <c r="C1016" s="107">
        <f>VLOOKUP(5202,收盤價!$A:$C,3,0)</f>
        <v>15.7</v>
      </c>
      <c r="D1016" s="107">
        <f t="shared" si="165"/>
        <v>0</v>
      </c>
      <c r="E1016" s="167">
        <f t="shared" si="166"/>
        <v>2</v>
      </c>
      <c r="F1016" s="104">
        <f t="shared" si="167"/>
        <v>3.24478855212497</v>
      </c>
      <c r="G1016" s="167">
        <f>RANK(0.59,AE:AE,0)</f>
        <v>1348</v>
      </c>
      <c r="H1016" s="365">
        <f t="shared" si="168"/>
        <v>6.7681895093062605E-2</v>
      </c>
      <c r="I1016" s="213">
        <f t="shared" si="169"/>
        <v>1115</v>
      </c>
      <c r="J1016" s="213">
        <f t="shared" si="170"/>
        <v>768</v>
      </c>
      <c r="K1016">
        <f>RANK(0.83,AI:AI,0)</f>
        <v>1098</v>
      </c>
      <c r="L1016" s="357">
        <v>1</v>
      </c>
      <c r="M1016" s="357">
        <v>1</v>
      </c>
      <c r="N1016" s="357">
        <v>0</v>
      </c>
      <c r="O1016" s="357">
        <v>0</v>
      </c>
      <c r="P1016" s="357">
        <v>0</v>
      </c>
      <c r="Q1016" s="358">
        <v>0.72222222222222221</v>
      </c>
      <c r="R1016" s="359">
        <v>0</v>
      </c>
      <c r="S1016" s="196">
        <v>285957000</v>
      </c>
      <c r="T1016" s="196">
        <v>59100000</v>
      </c>
      <c r="U1016" s="200">
        <f t="shared" si="171"/>
        <v>927870000</v>
      </c>
      <c r="V1016" s="196">
        <v>-7000000</v>
      </c>
      <c r="W1016" s="196">
        <v>442000000</v>
      </c>
      <c r="X1016" s="196">
        <v>16000000</v>
      </c>
      <c r="Y1016" s="196">
        <v>550000000</v>
      </c>
      <c r="Z1016" s="196">
        <v>0</v>
      </c>
      <c r="AA1016" s="198">
        <v>-0.02</v>
      </c>
      <c r="AB1016" s="198">
        <v>-0.01</v>
      </c>
      <c r="AC1016" s="213">
        <f t="shared" si="172"/>
        <v>1353</v>
      </c>
      <c r="AD1016" s="213">
        <f t="shared" si="173"/>
        <v>1294</v>
      </c>
      <c r="AE1016" s="213">
        <v>0.59</v>
      </c>
      <c r="AF1016" s="196">
        <v>-4000000</v>
      </c>
      <c r="AG1016" s="104">
        <f t="shared" si="174"/>
        <v>-6.7681895093062605E-2</v>
      </c>
      <c r="AH1016" s="104">
        <f t="shared" si="175"/>
        <v>0</v>
      </c>
      <c r="AI1016" s="195">
        <v>0.83</v>
      </c>
    </row>
    <row r="1017" spans="1:48">
      <c r="A1017">
        <v>5203</v>
      </c>
      <c r="C1017" s="107">
        <f>VLOOKUP(5203,收盤價!$A:$C,3,0)</f>
        <v>62.8</v>
      </c>
      <c r="D1017" s="107">
        <f t="shared" si="165"/>
        <v>15.486877828054297</v>
      </c>
      <c r="E1017" s="167">
        <f t="shared" si="166"/>
        <v>2</v>
      </c>
      <c r="F1017" s="104">
        <f t="shared" si="167"/>
        <v>3.0473407153387604</v>
      </c>
      <c r="G1017" s="167">
        <f>RANK(3.28,AE:AE,0)</f>
        <v>256</v>
      </c>
      <c r="H1017" s="365">
        <f t="shared" si="168"/>
        <v>-1.2647058823529413</v>
      </c>
      <c r="I1017" s="213">
        <f t="shared" si="169"/>
        <v>124</v>
      </c>
      <c r="J1017" s="213">
        <f t="shared" si="170"/>
        <v>328</v>
      </c>
      <c r="K1017">
        <f>RANK(3.45,AI:AI,0)</f>
        <v>131</v>
      </c>
      <c r="L1017" s="357">
        <v>0</v>
      </c>
      <c r="M1017" s="357">
        <v>0</v>
      </c>
      <c r="N1017" s="357">
        <v>1</v>
      </c>
      <c r="O1017" s="357">
        <v>1</v>
      </c>
      <c r="P1017" s="357">
        <v>0</v>
      </c>
      <c r="Q1017" s="358">
        <v>0.85129310344827591</v>
      </c>
      <c r="R1017" s="359">
        <v>1.0137614678899083</v>
      </c>
      <c r="S1017" s="196">
        <v>1996928000</v>
      </c>
      <c r="T1017" s="196">
        <v>96900000</v>
      </c>
      <c r="U1017" s="200">
        <f t="shared" si="171"/>
        <v>6085320000</v>
      </c>
      <c r="V1017" s="196">
        <v>170000000</v>
      </c>
      <c r="W1017" s="196">
        <v>2734000000</v>
      </c>
      <c r="X1017" s="196">
        <v>466000000</v>
      </c>
      <c r="Y1017" s="196">
        <v>4368000000</v>
      </c>
      <c r="Z1017" s="196">
        <v>0</v>
      </c>
      <c r="AA1017" s="198">
        <v>0.05</v>
      </c>
      <c r="AB1017" s="198">
        <v>0.04</v>
      </c>
      <c r="AC1017" s="213">
        <f t="shared" si="172"/>
        <v>247</v>
      </c>
      <c r="AD1017" s="213">
        <f t="shared" si="173"/>
        <v>228</v>
      </c>
      <c r="AE1017" s="213">
        <v>3.28</v>
      </c>
      <c r="AF1017" s="196">
        <v>285000000</v>
      </c>
      <c r="AG1017" s="104">
        <f t="shared" si="174"/>
        <v>2.9411764705882355</v>
      </c>
      <c r="AH1017" s="104">
        <f t="shared" si="175"/>
        <v>1.6764705882352942</v>
      </c>
      <c r="AI1017" s="195">
        <v>3.45</v>
      </c>
      <c r="AO1017" s="213"/>
      <c r="AP1017" s="213"/>
      <c r="AQ1017" s="213"/>
      <c r="AR1017" s="213"/>
      <c r="AS1017" s="213"/>
      <c r="AT1017" s="213"/>
      <c r="AU1017" s="213"/>
      <c r="AV1017" s="213"/>
    </row>
    <row r="1018" spans="1:48">
      <c r="A1018">
        <v>5205</v>
      </c>
      <c r="C1018" s="107">
        <f>VLOOKUP(5205,收盤價!$A:$C,3,0)</f>
        <v>0</v>
      </c>
      <c r="D1018" s="107">
        <f t="shared" si="165"/>
        <v>0</v>
      </c>
      <c r="E1018" s="167">
        <f t="shared" si="166"/>
        <v>0</v>
      </c>
      <c r="F1018" s="104">
        <f t="shared" si="167"/>
        <v>0</v>
      </c>
      <c r="G1018" s="167">
        <f>RANK(0.84,AE:AE,0)</f>
        <v>946</v>
      </c>
      <c r="H1018" s="365">
        <f t="shared" si="168"/>
        <v>1.411764705882353</v>
      </c>
      <c r="I1018" s="213">
        <f t="shared" si="169"/>
        <v>1471</v>
      </c>
      <c r="J1018" s="213">
        <f t="shared" si="170"/>
        <v>768</v>
      </c>
      <c r="K1018">
        <f>RANK(0.7,AI:AI,0)</f>
        <v>1442</v>
      </c>
      <c r="L1018" s="357">
        <v>0</v>
      </c>
      <c r="M1018" s="357">
        <v>0</v>
      </c>
      <c r="N1018" s="357">
        <v>0</v>
      </c>
      <c r="O1018" s="357">
        <v>0</v>
      </c>
      <c r="P1018" s="357">
        <v>0</v>
      </c>
      <c r="Q1018" s="358">
        <v>5.8823529411764705E-2</v>
      </c>
      <c r="R1018" s="359">
        <v>0</v>
      </c>
      <c r="S1018" s="196">
        <v>17178000</v>
      </c>
      <c r="T1018" s="196">
        <v>17000000</v>
      </c>
      <c r="U1018" s="200">
        <f t="shared" si="171"/>
        <v>0</v>
      </c>
      <c r="V1018" s="196">
        <v>-7000000</v>
      </c>
      <c r="W1018" s="196">
        <v>12000000</v>
      </c>
      <c r="X1018" s="196">
        <v>0</v>
      </c>
      <c r="Y1018" s="196">
        <v>46000000</v>
      </c>
      <c r="Z1018" s="196">
        <v>0</v>
      </c>
      <c r="AA1018" s="198">
        <v>0</v>
      </c>
      <c r="AB1018" s="198">
        <v>0</v>
      </c>
      <c r="AC1018" s="213">
        <f t="shared" si="172"/>
        <v>945</v>
      </c>
      <c r="AD1018" s="213">
        <f t="shared" si="173"/>
        <v>911</v>
      </c>
      <c r="AE1018" s="213">
        <v>0.84</v>
      </c>
      <c r="AF1018" s="196">
        <v>-24000000</v>
      </c>
      <c r="AG1018" s="104">
        <f t="shared" si="174"/>
        <v>-1.411764705882353</v>
      </c>
      <c r="AH1018" s="104">
        <f t="shared" si="175"/>
        <v>0</v>
      </c>
      <c r="AI1018" s="195">
        <v>0.7</v>
      </c>
      <c r="AO1018" s="213"/>
      <c r="AP1018" s="213"/>
      <c r="AQ1018" s="213"/>
      <c r="AR1018" s="213"/>
      <c r="AS1018" s="213"/>
      <c r="AT1018" s="213"/>
      <c r="AU1018" s="213"/>
      <c r="AV1018" s="213"/>
    </row>
    <row r="1019" spans="1:48">
      <c r="A1019">
        <v>5206</v>
      </c>
      <c r="C1019" s="107">
        <f>VLOOKUP(5206,收盤價!$A:$C,3,0)</f>
        <v>9.6</v>
      </c>
      <c r="D1019" s="107">
        <f t="shared" si="165"/>
        <v>0</v>
      </c>
      <c r="E1019" s="167">
        <f t="shared" si="166"/>
        <v>0</v>
      </c>
      <c r="F1019" s="104">
        <f t="shared" si="167"/>
        <v>1.134752676292218</v>
      </c>
      <c r="G1019" s="167">
        <f>RANK(0.84,AE:AE,0)</f>
        <v>946</v>
      </c>
      <c r="H1019" s="365">
        <f t="shared" si="168"/>
        <v>9.4276094276094277E-2</v>
      </c>
      <c r="I1019" s="213">
        <f t="shared" si="169"/>
        <v>1132</v>
      </c>
      <c r="J1019" s="213">
        <f t="shared" si="170"/>
        <v>768</v>
      </c>
      <c r="K1019">
        <f>RANK(0.82,AI:AI,0)</f>
        <v>1121</v>
      </c>
      <c r="L1019" s="357">
        <v>0</v>
      </c>
      <c r="M1019" s="357">
        <v>0</v>
      </c>
      <c r="N1019" s="357">
        <v>0</v>
      </c>
      <c r="O1019" s="357">
        <v>0</v>
      </c>
      <c r="P1019" s="357">
        <v>0</v>
      </c>
      <c r="Q1019" s="358">
        <v>0.25</v>
      </c>
      <c r="R1019" s="359">
        <v>-2.8571428571428571E-2</v>
      </c>
      <c r="S1019" s="196">
        <v>1256309000</v>
      </c>
      <c r="T1019" s="196">
        <v>148500000</v>
      </c>
      <c r="U1019" s="200">
        <f t="shared" si="171"/>
        <v>1425600000</v>
      </c>
      <c r="V1019" s="196">
        <v>6000000</v>
      </c>
      <c r="W1019" s="196">
        <v>1990000000</v>
      </c>
      <c r="X1019" s="196">
        <v>10000000</v>
      </c>
      <c r="Y1019" s="196">
        <v>2033000000</v>
      </c>
      <c r="Z1019" s="196">
        <v>1884000000</v>
      </c>
      <c r="AA1019" s="198">
        <v>0</v>
      </c>
      <c r="AB1019" s="198">
        <v>0</v>
      </c>
      <c r="AC1019" s="213">
        <f t="shared" si="172"/>
        <v>945</v>
      </c>
      <c r="AD1019" s="213">
        <f t="shared" si="173"/>
        <v>911</v>
      </c>
      <c r="AE1019" s="213">
        <v>0.84</v>
      </c>
      <c r="AF1019" s="196">
        <v>-14000000</v>
      </c>
      <c r="AG1019" s="104">
        <f t="shared" si="174"/>
        <v>-9.4276094276094277E-2</v>
      </c>
      <c r="AH1019" s="104">
        <f t="shared" si="175"/>
        <v>0</v>
      </c>
      <c r="AI1019" s="195">
        <v>0.82</v>
      </c>
    </row>
    <row r="1020" spans="1:48">
      <c r="A1020">
        <v>5209</v>
      </c>
      <c r="C1020" s="107">
        <f>VLOOKUP(5209,收盤價!$A:$C,3,0)</f>
        <v>0</v>
      </c>
      <c r="D1020" s="107">
        <f t="shared" si="165"/>
        <v>0</v>
      </c>
      <c r="E1020" s="167">
        <f t="shared" si="166"/>
        <v>4</v>
      </c>
      <c r="F1020" s="104">
        <f t="shared" si="167"/>
        <v>0</v>
      </c>
      <c r="G1020" s="167">
        <f>RANK(3.28,AE:AE,0)</f>
        <v>256</v>
      </c>
      <c r="H1020" s="365">
        <f t="shared" si="168"/>
        <v>0.3046421663442942</v>
      </c>
      <c r="I1020" s="213">
        <f t="shared" si="169"/>
        <v>54</v>
      </c>
      <c r="J1020" s="213">
        <f t="shared" si="170"/>
        <v>85</v>
      </c>
      <c r="K1020">
        <f>RANK(11.21,AI:AI,0)</f>
        <v>11</v>
      </c>
      <c r="L1020" s="357">
        <v>1</v>
      </c>
      <c r="M1020" s="357">
        <v>1</v>
      </c>
      <c r="N1020" s="357">
        <v>1</v>
      </c>
      <c r="O1020" s="357">
        <v>1</v>
      </c>
      <c r="P1020" s="357">
        <v>0</v>
      </c>
      <c r="Q1020" s="358">
        <v>0.14035087719298245</v>
      </c>
      <c r="R1020" s="359">
        <v>0.92</v>
      </c>
      <c r="S1020" s="196">
        <v>1326736000</v>
      </c>
      <c r="T1020" s="196">
        <v>23500000</v>
      </c>
      <c r="U1020" s="200">
        <f t="shared" si="171"/>
        <v>0</v>
      </c>
      <c r="V1020" s="196">
        <v>22000000</v>
      </c>
      <c r="W1020" s="196">
        <v>411000000</v>
      </c>
      <c r="X1020" s="196">
        <v>72000000</v>
      </c>
      <c r="Y1020" s="196">
        <v>496000000</v>
      </c>
      <c r="Z1020" s="196">
        <v>0</v>
      </c>
      <c r="AA1020" s="198">
        <v>0.05</v>
      </c>
      <c r="AB1020" s="198">
        <v>0.04</v>
      </c>
      <c r="AC1020" s="213">
        <f t="shared" si="172"/>
        <v>247</v>
      </c>
      <c r="AD1020" s="213">
        <f t="shared" si="173"/>
        <v>228</v>
      </c>
      <c r="AE1020" s="213">
        <v>3.28</v>
      </c>
      <c r="AF1020" s="196">
        <v>105000000</v>
      </c>
      <c r="AG1020" s="104">
        <f t="shared" si="174"/>
        <v>4.4680851063829783</v>
      </c>
      <c r="AH1020" s="104">
        <f t="shared" si="175"/>
        <v>4.7727272727272725</v>
      </c>
      <c r="AI1020" s="195">
        <v>11.21</v>
      </c>
    </row>
    <row r="1021" spans="1:48">
      <c r="A1021">
        <v>5210</v>
      </c>
      <c r="C1021" s="107">
        <f>VLOOKUP(5210,收盤價!$A:$C,3,0)</f>
        <v>6.78</v>
      </c>
      <c r="D1021" s="107">
        <f t="shared" si="165"/>
        <v>7.3884615384615389</v>
      </c>
      <c r="E1021" s="167">
        <f t="shared" si="166"/>
        <v>3</v>
      </c>
      <c r="F1021" s="104">
        <f t="shared" si="167"/>
        <v>1.6526278298421744</v>
      </c>
      <c r="G1021" s="167">
        <f>RANK(1.63,AE:AE,0)</f>
        <v>551</v>
      </c>
      <c r="H1021" s="365">
        <f t="shared" si="168"/>
        <v>7.6103500761035003E-2</v>
      </c>
      <c r="I1021" s="213">
        <f t="shared" si="169"/>
        <v>1120</v>
      </c>
      <c r="J1021" s="213">
        <f t="shared" si="170"/>
        <v>768</v>
      </c>
      <c r="K1021">
        <f>RANK(0.83,AI:AI,0)</f>
        <v>1098</v>
      </c>
      <c r="L1021" s="357">
        <v>0</v>
      </c>
      <c r="M1021" s="357">
        <v>1</v>
      </c>
      <c r="N1021" s="357">
        <v>2</v>
      </c>
      <c r="O1021" s="357">
        <v>0</v>
      </c>
      <c r="P1021" s="357">
        <v>0</v>
      </c>
      <c r="Q1021" s="358">
        <v>0.77906976744186052</v>
      </c>
      <c r="R1021" s="359">
        <v>0.22941176470588234</v>
      </c>
      <c r="S1021" s="196">
        <v>269538000</v>
      </c>
      <c r="T1021" s="196">
        <v>65700000</v>
      </c>
      <c r="U1021" s="200">
        <f t="shared" si="171"/>
        <v>445446000</v>
      </c>
      <c r="V1021" s="196">
        <v>16000000</v>
      </c>
      <c r="W1021" s="196">
        <v>357000000</v>
      </c>
      <c r="X1021" s="196">
        <v>213000000</v>
      </c>
      <c r="Y1021" s="196">
        <v>744000000</v>
      </c>
      <c r="Z1021" s="196">
        <v>114000000</v>
      </c>
      <c r="AA1021" s="198">
        <v>0.03</v>
      </c>
      <c r="AB1021" s="198">
        <v>0.02</v>
      </c>
      <c r="AC1021" s="213">
        <f t="shared" si="172"/>
        <v>469</v>
      </c>
      <c r="AD1021" s="213">
        <f t="shared" si="173"/>
        <v>487</v>
      </c>
      <c r="AE1021" s="213">
        <v>1.63</v>
      </c>
      <c r="AF1021" s="196">
        <v>-5000000</v>
      </c>
      <c r="AG1021" s="104">
        <f t="shared" si="174"/>
        <v>-7.6103500761035003E-2</v>
      </c>
      <c r="AH1021" s="104">
        <f t="shared" si="175"/>
        <v>0</v>
      </c>
      <c r="AI1021" s="195">
        <v>0.83</v>
      </c>
    </row>
    <row r="1022" spans="1:48">
      <c r="A1022">
        <v>5211</v>
      </c>
      <c r="C1022" s="107">
        <f>VLOOKUP(5211,收盤價!$A:$C,3,0)</f>
        <v>20.350000000000001</v>
      </c>
      <c r="D1022" s="107">
        <f t="shared" si="165"/>
        <v>31.239035087719305</v>
      </c>
      <c r="E1022" s="167">
        <f t="shared" si="166"/>
        <v>4</v>
      </c>
      <c r="F1022" s="104">
        <f t="shared" si="167"/>
        <v>2.4361410807009145</v>
      </c>
      <c r="G1022" s="167">
        <f>RANK(1.08,AE:AE,0)</f>
        <v>769</v>
      </c>
      <c r="H1022" s="365">
        <f t="shared" si="168"/>
        <v>2.03125</v>
      </c>
      <c r="I1022" s="213">
        <f t="shared" si="169"/>
        <v>759</v>
      </c>
      <c r="J1022" s="213">
        <f t="shared" si="170"/>
        <v>191</v>
      </c>
      <c r="K1022">
        <f>RANK(1.64,AI:AI,0)</f>
        <v>484</v>
      </c>
      <c r="L1022" s="357">
        <v>0</v>
      </c>
      <c r="M1022" s="357">
        <v>1</v>
      </c>
      <c r="N1022" s="357">
        <v>2</v>
      </c>
      <c r="O1022" s="357">
        <v>1</v>
      </c>
      <c r="P1022" s="357">
        <v>0</v>
      </c>
      <c r="Q1022" s="358">
        <v>0.66176470588235292</v>
      </c>
      <c r="R1022" s="359">
        <v>0.16285714285714284</v>
      </c>
      <c r="S1022" s="196">
        <v>267308000</v>
      </c>
      <c r="T1022" s="196">
        <v>32000000</v>
      </c>
      <c r="U1022" s="200">
        <f t="shared" si="171"/>
        <v>651200000</v>
      </c>
      <c r="V1022" s="196">
        <v>6000000</v>
      </c>
      <c r="W1022" s="196">
        <v>321000000</v>
      </c>
      <c r="X1022" s="196">
        <v>177000000</v>
      </c>
      <c r="Y1022" s="196">
        <v>525000000</v>
      </c>
      <c r="Z1022" s="196">
        <v>0</v>
      </c>
      <c r="AA1022" s="198">
        <v>0.01</v>
      </c>
      <c r="AB1022" s="198">
        <v>0.01</v>
      </c>
      <c r="AC1022" s="213">
        <f t="shared" si="172"/>
        <v>769</v>
      </c>
      <c r="AD1022" s="213">
        <f t="shared" si="173"/>
        <v>680</v>
      </c>
      <c r="AE1022" s="213">
        <v>1.08</v>
      </c>
      <c r="AF1022" s="196">
        <v>15000000</v>
      </c>
      <c r="AG1022" s="104">
        <f t="shared" si="174"/>
        <v>0.46875</v>
      </c>
      <c r="AH1022" s="104">
        <f t="shared" si="175"/>
        <v>2.5</v>
      </c>
      <c r="AI1022" s="195">
        <v>1.64</v>
      </c>
    </row>
    <row r="1023" spans="1:48">
      <c r="A1023">
        <v>5212</v>
      </c>
      <c r="C1023" s="107">
        <f>VLOOKUP(5212,收盤價!$A:$C,3,0)</f>
        <v>16.55</v>
      </c>
      <c r="D1023" s="107">
        <f t="shared" si="165"/>
        <v>20.687500000000004</v>
      </c>
      <c r="E1023" s="167">
        <f t="shared" si="166"/>
        <v>3</v>
      </c>
      <c r="F1023" s="104">
        <f t="shared" si="167"/>
        <v>0.84265066410814093</v>
      </c>
      <c r="G1023" s="167">
        <f>RANK(1.63,AE:AE,0)</f>
        <v>551</v>
      </c>
      <c r="H1023" s="365">
        <f t="shared" si="168"/>
        <v>0.95375722543352603</v>
      </c>
      <c r="I1023" s="213">
        <f t="shared" si="169"/>
        <v>1435</v>
      </c>
      <c r="J1023" s="213">
        <f t="shared" si="170"/>
        <v>768</v>
      </c>
      <c r="K1023">
        <f>RANK(0.71,AI:AI,0)</f>
        <v>1412</v>
      </c>
      <c r="L1023" s="357">
        <v>0</v>
      </c>
      <c r="M1023" s="357">
        <v>1</v>
      </c>
      <c r="N1023" s="357">
        <v>2</v>
      </c>
      <c r="O1023" s="357">
        <v>0</v>
      </c>
      <c r="P1023" s="357">
        <v>0</v>
      </c>
      <c r="Q1023" s="358">
        <v>0.47916666666666669</v>
      </c>
      <c r="R1023" s="359">
        <v>0.19999999999999998</v>
      </c>
      <c r="S1023" s="196">
        <v>679558000</v>
      </c>
      <c r="T1023" s="196">
        <v>34600000</v>
      </c>
      <c r="U1023" s="200">
        <f t="shared" si="171"/>
        <v>572630000</v>
      </c>
      <c r="V1023" s="196">
        <v>9000000</v>
      </c>
      <c r="W1023" s="196">
        <v>249000000</v>
      </c>
      <c r="X1023" s="196">
        <v>89000000</v>
      </c>
      <c r="Y1023" s="196">
        <v>351000000</v>
      </c>
      <c r="Z1023" s="196">
        <v>73000000</v>
      </c>
      <c r="AA1023" s="198">
        <v>0.03</v>
      </c>
      <c r="AB1023" s="198">
        <v>0.02</v>
      </c>
      <c r="AC1023" s="213">
        <f t="shared" si="172"/>
        <v>469</v>
      </c>
      <c r="AD1023" s="213">
        <f t="shared" si="173"/>
        <v>487</v>
      </c>
      <c r="AE1023" s="213">
        <v>1.63</v>
      </c>
      <c r="AF1023" s="196">
        <v>-33000000</v>
      </c>
      <c r="AG1023" s="104">
        <f t="shared" si="174"/>
        <v>-0.95375722543352603</v>
      </c>
      <c r="AH1023" s="104">
        <f t="shared" si="175"/>
        <v>0</v>
      </c>
      <c r="AI1023" s="195">
        <v>0.71</v>
      </c>
    </row>
    <row r="1024" spans="1:48">
      <c r="A1024">
        <v>5213</v>
      </c>
      <c r="C1024" s="107">
        <f>VLOOKUP(5213,收盤價!$A:$C,3,0)</f>
        <v>13</v>
      </c>
      <c r="D1024" s="107">
        <f t="shared" si="165"/>
        <v>0</v>
      </c>
      <c r="E1024" s="167">
        <f t="shared" si="166"/>
        <v>0</v>
      </c>
      <c r="F1024" s="104">
        <f t="shared" si="167"/>
        <v>1.6775822282819592</v>
      </c>
      <c r="G1024" s="167">
        <f>RANK(0.84,AE:AE,0)</f>
        <v>946</v>
      </c>
      <c r="H1024" s="365">
        <f t="shared" si="168"/>
        <v>0.72349381741646934</v>
      </c>
      <c r="I1024" s="213">
        <f t="shared" si="169"/>
        <v>1392</v>
      </c>
      <c r="J1024" s="213">
        <f t="shared" si="170"/>
        <v>768</v>
      </c>
      <c r="K1024">
        <f>RANK(0.72,AI:AI,0)</f>
        <v>1381</v>
      </c>
      <c r="L1024" s="357">
        <v>0</v>
      </c>
      <c r="M1024" s="357">
        <v>0</v>
      </c>
      <c r="N1024" s="357">
        <v>0</v>
      </c>
      <c r="O1024" s="357">
        <v>0</v>
      </c>
      <c r="P1024" s="357">
        <v>0</v>
      </c>
      <c r="Q1024" s="358">
        <v>0.22325581395348837</v>
      </c>
      <c r="R1024" s="359">
        <v>0</v>
      </c>
      <c r="S1024" s="196">
        <v>2945489000</v>
      </c>
      <c r="T1024" s="196">
        <v>380100000</v>
      </c>
      <c r="U1024" s="200">
        <f t="shared" si="171"/>
        <v>4941300000</v>
      </c>
      <c r="V1024" s="196">
        <v>26000000</v>
      </c>
      <c r="W1024" s="196">
        <v>8134000000</v>
      </c>
      <c r="X1024" s="196">
        <v>1492000000</v>
      </c>
      <c r="Y1024" s="196">
        <v>7246000000</v>
      </c>
      <c r="Z1024" s="196">
        <v>10436000000</v>
      </c>
      <c r="AA1024" s="198">
        <v>0</v>
      </c>
      <c r="AB1024" s="198">
        <v>0</v>
      </c>
      <c r="AC1024" s="213">
        <f t="shared" si="172"/>
        <v>945</v>
      </c>
      <c r="AD1024" s="213">
        <f t="shared" si="173"/>
        <v>911</v>
      </c>
      <c r="AE1024" s="213">
        <v>0.84</v>
      </c>
      <c r="AF1024" s="196">
        <v>-275000000</v>
      </c>
      <c r="AG1024" s="104">
        <f t="shared" si="174"/>
        <v>-0.72349381741646934</v>
      </c>
      <c r="AH1024" s="104">
        <f t="shared" si="175"/>
        <v>0</v>
      </c>
      <c r="AI1024" s="195">
        <v>0.72</v>
      </c>
      <c r="AO1024" s="213"/>
      <c r="AP1024" s="213"/>
      <c r="AQ1024" s="213"/>
      <c r="AR1024" s="213"/>
      <c r="AS1024" s="213"/>
      <c r="AT1024" s="213"/>
      <c r="AU1024" s="213"/>
      <c r="AV1024" s="213"/>
    </row>
    <row r="1025" spans="1:48">
      <c r="A1025">
        <v>5215</v>
      </c>
      <c r="C1025" s="107">
        <f>VLOOKUP(5215,收盤價!$A:$C,3,0)</f>
        <v>27.7</v>
      </c>
      <c r="D1025" s="107">
        <f t="shared" si="165"/>
        <v>0</v>
      </c>
      <c r="E1025" s="167">
        <f t="shared" si="166"/>
        <v>3</v>
      </c>
      <c r="F1025" s="104">
        <f t="shared" si="167"/>
        <v>0.84342963653308478</v>
      </c>
      <c r="G1025" s="167">
        <f>RANK(0.84,AE:AE,0)</f>
        <v>946</v>
      </c>
      <c r="H1025" s="365">
        <f t="shared" si="168"/>
        <v>49.603130755064456</v>
      </c>
      <c r="I1025" s="213">
        <f t="shared" si="169"/>
        <v>246</v>
      </c>
      <c r="J1025" s="213">
        <f t="shared" si="170"/>
        <v>2</v>
      </c>
      <c r="K1025">
        <f>RANK(6.28,AI:AI,0)</f>
        <v>44</v>
      </c>
      <c r="L1025" s="357">
        <v>0</v>
      </c>
      <c r="M1025" s="357">
        <v>1</v>
      </c>
      <c r="N1025" s="357">
        <v>1</v>
      </c>
      <c r="O1025" s="357">
        <v>1</v>
      </c>
      <c r="P1025" s="357">
        <v>0</v>
      </c>
      <c r="Q1025" s="358">
        <v>0.15633423180592992</v>
      </c>
      <c r="R1025" s="359">
        <v>0</v>
      </c>
      <c r="S1025" s="196">
        <v>1783326000</v>
      </c>
      <c r="T1025" s="196">
        <v>54300000</v>
      </c>
      <c r="U1025" s="200">
        <f t="shared" si="171"/>
        <v>1504110000</v>
      </c>
      <c r="V1025" s="196">
        <v>2000000</v>
      </c>
      <c r="W1025" s="196">
        <v>1154000000</v>
      </c>
      <c r="X1025" s="196">
        <v>593000000</v>
      </c>
      <c r="Y1025" s="196">
        <v>1886000000</v>
      </c>
      <c r="Z1025" s="196">
        <v>197000000</v>
      </c>
      <c r="AA1025" s="198">
        <v>0</v>
      </c>
      <c r="AB1025" s="198">
        <v>0</v>
      </c>
      <c r="AC1025" s="213">
        <f t="shared" si="172"/>
        <v>945</v>
      </c>
      <c r="AD1025" s="213">
        <f t="shared" si="173"/>
        <v>911</v>
      </c>
      <c r="AE1025" s="213">
        <v>0.84</v>
      </c>
      <c r="AF1025" s="196">
        <v>103000000</v>
      </c>
      <c r="AG1025" s="104">
        <f t="shared" si="174"/>
        <v>1.8968692449355433</v>
      </c>
      <c r="AH1025" s="104">
        <f t="shared" si="175"/>
        <v>51.5</v>
      </c>
      <c r="AI1025" s="195">
        <v>6.28</v>
      </c>
    </row>
    <row r="1026" spans="1:48">
      <c r="A1026">
        <v>5225</v>
      </c>
      <c r="C1026" s="107">
        <f>VLOOKUP(5225,收盤價!$A:$C,3,0)</f>
        <v>33.5</v>
      </c>
      <c r="D1026" s="107">
        <f t="shared" ref="D1026:D1089" si="176">IF(AND(ISNUMBER(C1026),R1026&gt;0),C1026/(R1026*4),0)</f>
        <v>0</v>
      </c>
      <c r="E1026" s="167">
        <f t="shared" ref="E1026:E1089" si="177">SUM(L1026:P1026)</f>
        <v>1</v>
      </c>
      <c r="F1026" s="104">
        <f t="shared" ref="F1026:F1089" si="178">IF(AND(ISNUMBER(U1026),ISNUMBER(S1026)),U1026/S1026,0)</f>
        <v>0.29935966184590429</v>
      </c>
      <c r="G1026" s="167">
        <f>RANK(0.58,AE:AE,0)</f>
        <v>1374</v>
      </c>
      <c r="H1026" s="365">
        <f t="shared" ref="H1026:H1089" si="179">AH1026-AG1026</f>
        <v>-2.819672131147541</v>
      </c>
      <c r="I1026" s="213">
        <f t="shared" ref="I1026:I1089" si="180">RANK(AG1026,AG:AG)</f>
        <v>134</v>
      </c>
      <c r="J1026" s="213">
        <f t="shared" ref="J1026:J1089" si="181">RANK(AH1026,AH:AH)</f>
        <v>768</v>
      </c>
      <c r="K1026">
        <f>RANK(1.73,AI:AI,0)</f>
        <v>445</v>
      </c>
      <c r="L1026" s="357">
        <v>0</v>
      </c>
      <c r="M1026" s="357">
        <v>0</v>
      </c>
      <c r="N1026" s="357">
        <v>1</v>
      </c>
      <c r="O1026" s="357">
        <v>0</v>
      </c>
      <c r="P1026" s="357">
        <v>0</v>
      </c>
      <c r="Q1026" s="358">
        <v>0.13861386138613863</v>
      </c>
      <c r="R1026" s="359">
        <v>0</v>
      </c>
      <c r="S1026" s="196">
        <v>6826237000</v>
      </c>
      <c r="T1026" s="196">
        <v>61000000</v>
      </c>
      <c r="U1026" s="200">
        <f t="shared" ref="U1026:U1089" si="182">C1026*T1026</f>
        <v>2043500000</v>
      </c>
      <c r="V1026" s="196">
        <v>-33000000</v>
      </c>
      <c r="W1026" s="196">
        <v>104000000</v>
      </c>
      <c r="X1026" s="196">
        <v>1090000000</v>
      </c>
      <c r="Y1026" s="196">
        <v>1425000000</v>
      </c>
      <c r="Z1026" s="196">
        <v>1163000000</v>
      </c>
      <c r="AA1026" s="198">
        <v>-0.03</v>
      </c>
      <c r="AB1026" s="198">
        <v>-0.01</v>
      </c>
      <c r="AC1026" s="213">
        <f t="shared" ref="AC1026:AC1089" si="183">RANK(AA1026,AA:AA)</f>
        <v>1405</v>
      </c>
      <c r="AD1026" s="213">
        <f t="shared" ref="AD1026:AD1089" si="184">RANK(AB1026,AB:AB)</f>
        <v>1294</v>
      </c>
      <c r="AE1026" s="213">
        <v>0.57999999999999996</v>
      </c>
      <c r="AF1026" s="196">
        <v>172000000</v>
      </c>
      <c r="AG1026" s="104">
        <f t="shared" ref="AG1026:AG1089" si="185">AF1026/T1026</f>
        <v>2.819672131147541</v>
      </c>
      <c r="AH1026" s="104">
        <f t="shared" ref="AH1026:AH1089" si="186">IF(AND(AF1026&gt;0,V1026&gt;0),AF1026/V1026,0)</f>
        <v>0</v>
      </c>
      <c r="AI1026" s="195">
        <v>1.73</v>
      </c>
    </row>
    <row r="1027" spans="1:48">
      <c r="A1027">
        <v>5227</v>
      </c>
      <c r="C1027" s="107">
        <f>VLOOKUP(5227,收盤價!$A:$C,3,0)</f>
        <v>35.1</v>
      </c>
      <c r="D1027" s="107">
        <f t="shared" si="176"/>
        <v>0</v>
      </c>
      <c r="E1027" s="167">
        <f t="shared" si="177"/>
        <v>5</v>
      </c>
      <c r="F1027" s="104">
        <f t="shared" si="178"/>
        <v>4.7821232194693151</v>
      </c>
      <c r="G1027" s="167">
        <f>RANK(0.84,AE:AE,0)</f>
        <v>946</v>
      </c>
      <c r="H1027" s="365">
        <f t="shared" si="179"/>
        <v>-0.7837181044957473</v>
      </c>
      <c r="I1027" s="213">
        <f t="shared" si="180"/>
        <v>617</v>
      </c>
      <c r="J1027" s="213">
        <f t="shared" si="181"/>
        <v>768</v>
      </c>
      <c r="K1027">
        <f>RANK(1.12,AI:AI,0)</f>
        <v>782</v>
      </c>
      <c r="L1027" s="357">
        <v>1</v>
      </c>
      <c r="M1027" s="357">
        <v>1</v>
      </c>
      <c r="N1027" s="357">
        <v>2</v>
      </c>
      <c r="O1027" s="357">
        <v>1</v>
      </c>
      <c r="P1027" s="357">
        <v>0</v>
      </c>
      <c r="Q1027" s="358">
        <v>0.47222222222222221</v>
      </c>
      <c r="R1027" s="359">
        <v>0</v>
      </c>
      <c r="S1027" s="196">
        <v>1208137000</v>
      </c>
      <c r="T1027" s="196">
        <v>164600000</v>
      </c>
      <c r="U1027" s="200">
        <f t="shared" si="182"/>
        <v>5777460000</v>
      </c>
      <c r="V1027" s="196">
        <v>0</v>
      </c>
      <c r="W1027" s="196">
        <v>833000000</v>
      </c>
      <c r="X1027" s="196">
        <v>819000000</v>
      </c>
      <c r="Y1027" s="196">
        <v>1911000000</v>
      </c>
      <c r="Z1027" s="196">
        <v>66000000</v>
      </c>
      <c r="AA1027" s="198">
        <v>0</v>
      </c>
      <c r="AB1027" s="198">
        <v>0</v>
      </c>
      <c r="AC1027" s="213">
        <f t="shared" si="183"/>
        <v>945</v>
      </c>
      <c r="AD1027" s="213">
        <f t="shared" si="184"/>
        <v>911</v>
      </c>
      <c r="AE1027" s="213">
        <v>0.84</v>
      </c>
      <c r="AF1027" s="196">
        <v>129000000</v>
      </c>
      <c r="AG1027" s="104">
        <f t="shared" si="185"/>
        <v>0.7837181044957473</v>
      </c>
      <c r="AH1027" s="104">
        <f t="shared" si="186"/>
        <v>0</v>
      </c>
      <c r="AI1027" s="195">
        <v>1.1200000000000001</v>
      </c>
      <c r="AO1027" s="213"/>
      <c r="AP1027" s="213"/>
      <c r="AQ1027" s="213"/>
      <c r="AR1027" s="213"/>
      <c r="AS1027" s="213"/>
      <c r="AT1027" s="213"/>
      <c r="AU1027" s="213"/>
      <c r="AV1027" s="213"/>
    </row>
    <row r="1028" spans="1:48">
      <c r="A1028">
        <v>5230</v>
      </c>
      <c r="C1028" s="107">
        <f>VLOOKUP(5230,收盤價!$A:$C,3,0)</f>
        <v>38.700000000000003</v>
      </c>
      <c r="D1028" s="107">
        <f t="shared" si="176"/>
        <v>18.97058823529412</v>
      </c>
      <c r="E1028" s="167">
        <f t="shared" si="177"/>
        <v>1</v>
      </c>
      <c r="F1028" s="104">
        <f t="shared" si="178"/>
        <v>1.3177253898371253</v>
      </c>
      <c r="G1028" s="167">
        <f>RANK(0.84,AE:AE,0)</f>
        <v>946</v>
      </c>
      <c r="H1028" s="365">
        <f t="shared" si="179"/>
        <v>-1.8895966029723992</v>
      </c>
      <c r="I1028" s="213">
        <f t="shared" si="180"/>
        <v>249</v>
      </c>
      <c r="J1028" s="213">
        <f t="shared" si="181"/>
        <v>768</v>
      </c>
      <c r="K1028">
        <f>RANK(1.53,AI:AI,0)</f>
        <v>541</v>
      </c>
      <c r="L1028" s="357">
        <v>0</v>
      </c>
      <c r="M1028" s="357">
        <v>0</v>
      </c>
      <c r="N1028" s="357">
        <v>0</v>
      </c>
      <c r="O1028" s="357">
        <v>1</v>
      </c>
      <c r="P1028" s="357">
        <v>0</v>
      </c>
      <c r="Q1028" s="358">
        <v>0.40412979351032446</v>
      </c>
      <c r="R1028" s="359">
        <v>0.51</v>
      </c>
      <c r="S1028" s="196">
        <v>1383270000</v>
      </c>
      <c r="T1028" s="196">
        <v>47100000</v>
      </c>
      <c r="U1028" s="200">
        <f t="shared" si="182"/>
        <v>1822770000.0000002</v>
      </c>
      <c r="V1028" s="196">
        <v>0</v>
      </c>
      <c r="W1028" s="196">
        <v>31000000</v>
      </c>
      <c r="X1028" s="196">
        <v>1428000000</v>
      </c>
      <c r="Y1028" s="196">
        <v>1334000000</v>
      </c>
      <c r="Z1028" s="196">
        <v>457000000</v>
      </c>
      <c r="AA1028" s="198">
        <v>0</v>
      </c>
      <c r="AB1028" s="198">
        <v>0</v>
      </c>
      <c r="AC1028" s="213">
        <f t="shared" si="183"/>
        <v>945</v>
      </c>
      <c r="AD1028" s="213">
        <f t="shared" si="184"/>
        <v>911</v>
      </c>
      <c r="AE1028" s="213">
        <v>0.84</v>
      </c>
      <c r="AF1028" s="196">
        <v>89000000</v>
      </c>
      <c r="AG1028" s="104">
        <f t="shared" si="185"/>
        <v>1.8895966029723992</v>
      </c>
      <c r="AH1028" s="104">
        <f t="shared" si="186"/>
        <v>0</v>
      </c>
      <c r="AI1028" s="195">
        <v>1.53</v>
      </c>
    </row>
    <row r="1029" spans="1:48">
      <c r="A1029">
        <v>5234</v>
      </c>
      <c r="C1029" s="107">
        <f>VLOOKUP(5234,收盤價!$A:$C,3,0)</f>
        <v>35.299999999999997</v>
      </c>
      <c r="D1029" s="107">
        <f t="shared" si="176"/>
        <v>11.151190126359094</v>
      </c>
      <c r="E1029" s="167">
        <f t="shared" si="177"/>
        <v>5</v>
      </c>
      <c r="F1029" s="104">
        <f t="shared" si="178"/>
        <v>0.96178692333609961</v>
      </c>
      <c r="G1029" s="167">
        <f>RANK(2.76,AE:AE,0)</f>
        <v>305</v>
      </c>
      <c r="H1029" s="365">
        <f t="shared" si="179"/>
        <v>0.20008667278474568</v>
      </c>
      <c r="I1029" s="213">
        <f t="shared" si="180"/>
        <v>269</v>
      </c>
      <c r="J1029" s="213">
        <f t="shared" si="181"/>
        <v>267</v>
      </c>
      <c r="K1029">
        <f>RANK(2.91,AI:AI,0)</f>
        <v>180</v>
      </c>
      <c r="L1029" s="357">
        <v>1</v>
      </c>
      <c r="M1029" s="357">
        <v>1</v>
      </c>
      <c r="N1029" s="357">
        <v>2</v>
      </c>
      <c r="O1029" s="357">
        <v>1</v>
      </c>
      <c r="P1029" s="357">
        <v>0</v>
      </c>
      <c r="Q1029" s="358">
        <v>0.24469273743016759</v>
      </c>
      <c r="R1029" s="359">
        <v>0.7913953488372093</v>
      </c>
      <c r="S1029" s="196">
        <v>3428015000</v>
      </c>
      <c r="T1029" s="196">
        <v>93400000</v>
      </c>
      <c r="U1029" s="200">
        <f t="shared" si="182"/>
        <v>3297019999.9999995</v>
      </c>
      <c r="V1029" s="196">
        <v>84000000</v>
      </c>
      <c r="W1029" s="196">
        <v>813000000</v>
      </c>
      <c r="X1029" s="196">
        <v>1098000000</v>
      </c>
      <c r="Y1029" s="196">
        <v>1903000000</v>
      </c>
      <c r="Z1029" s="196">
        <v>152000000</v>
      </c>
      <c r="AA1029" s="198">
        <v>0.04</v>
      </c>
      <c r="AB1029" s="198">
        <v>0.04</v>
      </c>
      <c r="AC1029" s="213">
        <f t="shared" si="183"/>
        <v>337</v>
      </c>
      <c r="AD1029" s="213">
        <f t="shared" si="184"/>
        <v>228</v>
      </c>
      <c r="AE1029" s="213">
        <v>2.76</v>
      </c>
      <c r="AF1029" s="196">
        <v>167000000</v>
      </c>
      <c r="AG1029" s="104">
        <f t="shared" si="185"/>
        <v>1.7880085653104925</v>
      </c>
      <c r="AH1029" s="104">
        <f t="shared" si="186"/>
        <v>1.9880952380952381</v>
      </c>
      <c r="AI1029" s="195">
        <v>2.91</v>
      </c>
    </row>
    <row r="1030" spans="1:48">
      <c r="A1030">
        <v>5243</v>
      </c>
      <c r="C1030" s="107">
        <f>VLOOKUP(5243,收盤價!$A:$C,3,0)</f>
        <v>41.05</v>
      </c>
      <c r="D1030" s="107">
        <f t="shared" si="176"/>
        <v>25.500757575757572</v>
      </c>
      <c r="E1030" s="167">
        <f t="shared" si="177"/>
        <v>3</v>
      </c>
      <c r="F1030" s="104">
        <f t="shared" si="178"/>
        <v>0.75577869450450319</v>
      </c>
      <c r="G1030" s="167">
        <f>RANK(1.08,AE:AE,0)</f>
        <v>769</v>
      </c>
      <c r="H1030" s="365">
        <f t="shared" si="179"/>
        <v>1.9404560094931347</v>
      </c>
      <c r="I1030" s="213">
        <f t="shared" si="180"/>
        <v>420</v>
      </c>
      <c r="J1030" s="213">
        <f t="shared" si="181"/>
        <v>145</v>
      </c>
      <c r="K1030">
        <f>RANK(2.76,AI:AI,0)</f>
        <v>190</v>
      </c>
      <c r="L1030" s="357">
        <v>1</v>
      </c>
      <c r="M1030" s="357">
        <v>0</v>
      </c>
      <c r="N1030" s="357">
        <v>1</v>
      </c>
      <c r="O1030" s="357">
        <v>1</v>
      </c>
      <c r="P1030" s="357">
        <v>0</v>
      </c>
      <c r="Q1030" s="358">
        <v>0.12642772745175265</v>
      </c>
      <c r="R1030" s="359">
        <v>0.40243902439024393</v>
      </c>
      <c r="S1030" s="196">
        <v>9423625000</v>
      </c>
      <c r="T1030" s="196">
        <v>173500000</v>
      </c>
      <c r="U1030" s="200">
        <f t="shared" si="182"/>
        <v>7122174999.999999</v>
      </c>
      <c r="V1030" s="196">
        <v>68000000</v>
      </c>
      <c r="W1030" s="196">
        <v>2847000000</v>
      </c>
      <c r="X1030" s="196">
        <v>3048000000</v>
      </c>
      <c r="Y1030" s="196">
        <v>6045000000</v>
      </c>
      <c r="Z1030" s="196">
        <v>710000000</v>
      </c>
      <c r="AA1030" s="198">
        <v>0.01</v>
      </c>
      <c r="AB1030" s="198">
        <v>0.01</v>
      </c>
      <c r="AC1030" s="213">
        <f t="shared" si="183"/>
        <v>769</v>
      </c>
      <c r="AD1030" s="213">
        <f t="shared" si="184"/>
        <v>680</v>
      </c>
      <c r="AE1030" s="213">
        <v>1.08</v>
      </c>
      <c r="AF1030" s="196">
        <v>217000000</v>
      </c>
      <c r="AG1030" s="104">
        <f t="shared" si="185"/>
        <v>1.2507204610951008</v>
      </c>
      <c r="AH1030" s="104">
        <f t="shared" si="186"/>
        <v>3.1911764705882355</v>
      </c>
      <c r="AI1030" s="195">
        <v>2.76</v>
      </c>
    </row>
    <row r="1031" spans="1:48">
      <c r="A1031">
        <v>5245</v>
      </c>
      <c r="C1031" s="107">
        <f>VLOOKUP(5245,收盤價!$A:$C,3,0)</f>
        <v>141</v>
      </c>
      <c r="D1031" s="107">
        <f t="shared" si="176"/>
        <v>22.841320072332731</v>
      </c>
      <c r="E1031" s="167">
        <f t="shared" si="177"/>
        <v>2</v>
      </c>
      <c r="F1031" s="104">
        <f t="shared" si="178"/>
        <v>3.4842961087298074</v>
      </c>
      <c r="G1031" s="167">
        <f>RANK(53.72,AE:AE,0)</f>
        <v>6</v>
      </c>
      <c r="H1031" s="365">
        <f t="shared" si="179"/>
        <v>-0.61368963900609474</v>
      </c>
      <c r="I1031" s="213">
        <f t="shared" si="180"/>
        <v>413</v>
      </c>
      <c r="J1031" s="213">
        <f t="shared" si="181"/>
        <v>643</v>
      </c>
      <c r="K1031">
        <f>RANK(1.48,AI:AI,0)</f>
        <v>569</v>
      </c>
      <c r="L1031" s="357">
        <v>0</v>
      </c>
      <c r="M1031" s="357">
        <v>1</v>
      </c>
      <c r="N1031" s="357">
        <v>0</v>
      </c>
      <c r="O1031" s="357">
        <v>0</v>
      </c>
      <c r="P1031" s="357">
        <v>1</v>
      </c>
      <c r="Q1031" s="358">
        <v>0.34586466165413532</v>
      </c>
      <c r="R1031" s="359">
        <v>1.5432558139534882</v>
      </c>
      <c r="S1031" s="196">
        <v>1638925000</v>
      </c>
      <c r="T1031" s="196">
        <v>40500000</v>
      </c>
      <c r="U1031" s="200">
        <f t="shared" si="182"/>
        <v>5710500000</v>
      </c>
      <c r="V1031" s="196">
        <v>79000000</v>
      </c>
      <c r="W1031" s="196">
        <v>116000000</v>
      </c>
      <c r="X1031" s="196">
        <v>275000000</v>
      </c>
      <c r="Y1031" s="196">
        <v>762000000</v>
      </c>
      <c r="Z1031" s="196">
        <v>53000000</v>
      </c>
      <c r="AA1031" s="198">
        <v>0.2</v>
      </c>
      <c r="AB1031" s="198">
        <v>0.1</v>
      </c>
      <c r="AC1031" s="213">
        <f t="shared" si="183"/>
        <v>12</v>
      </c>
      <c r="AD1031" s="213">
        <f t="shared" si="184"/>
        <v>17</v>
      </c>
      <c r="AE1031" s="213">
        <v>53.72</v>
      </c>
      <c r="AF1031" s="196">
        <v>51000000</v>
      </c>
      <c r="AG1031" s="104">
        <f t="shared" si="185"/>
        <v>1.2592592592592593</v>
      </c>
      <c r="AH1031" s="104">
        <f t="shared" si="186"/>
        <v>0.64556962025316456</v>
      </c>
      <c r="AI1031" s="195">
        <v>1.48</v>
      </c>
      <c r="AO1031" s="213"/>
      <c r="AP1031" s="213"/>
      <c r="AQ1031" s="213"/>
      <c r="AR1031" s="213"/>
      <c r="AS1031" s="213"/>
      <c r="AT1031" s="213"/>
      <c r="AU1031" s="213"/>
      <c r="AV1031" s="213"/>
    </row>
    <row r="1032" spans="1:48">
      <c r="A1032">
        <v>5251</v>
      </c>
      <c r="C1032" s="107">
        <f>VLOOKUP(5251,收盤價!$A:$C,3,0)</f>
        <v>29.1</v>
      </c>
      <c r="D1032" s="107">
        <f t="shared" si="176"/>
        <v>10.67050811943426</v>
      </c>
      <c r="E1032" s="167">
        <f t="shared" si="177"/>
        <v>5</v>
      </c>
      <c r="F1032" s="104">
        <f t="shared" si="178"/>
        <v>1.3656980290423131</v>
      </c>
      <c r="G1032" s="167">
        <f>RANK(2.32,AE:AE,0)</f>
        <v>360</v>
      </c>
      <c r="H1032" s="365">
        <f t="shared" si="179"/>
        <v>1.3911755996446553</v>
      </c>
      <c r="I1032" s="213">
        <f t="shared" si="180"/>
        <v>88</v>
      </c>
      <c r="J1032" s="213">
        <f t="shared" si="181"/>
        <v>83</v>
      </c>
      <c r="K1032">
        <f>RANK(9.11,AI:AI,0)</f>
        <v>19</v>
      </c>
      <c r="L1032" s="357">
        <v>1</v>
      </c>
      <c r="M1032" s="357">
        <v>1</v>
      </c>
      <c r="N1032" s="357">
        <v>2</v>
      </c>
      <c r="O1032" s="357">
        <v>1</v>
      </c>
      <c r="P1032" s="357">
        <v>0</v>
      </c>
      <c r="Q1032" s="358">
        <v>0.34463276836158191</v>
      </c>
      <c r="R1032" s="359">
        <v>0.68178571428571422</v>
      </c>
      <c r="S1032" s="196">
        <v>654149000</v>
      </c>
      <c r="T1032" s="196">
        <v>30700000</v>
      </c>
      <c r="U1032" s="200">
        <f t="shared" si="182"/>
        <v>893370000</v>
      </c>
      <c r="V1032" s="196">
        <v>22000000</v>
      </c>
      <c r="W1032" s="196">
        <v>423000000</v>
      </c>
      <c r="X1032" s="196">
        <v>178000000</v>
      </c>
      <c r="Y1032" s="196">
        <v>642000000</v>
      </c>
      <c r="Z1032" s="196">
        <v>3000000</v>
      </c>
      <c r="AA1032" s="198">
        <v>0.04</v>
      </c>
      <c r="AB1032" s="198">
        <v>0.03</v>
      </c>
      <c r="AC1032" s="213">
        <f t="shared" si="183"/>
        <v>337</v>
      </c>
      <c r="AD1032" s="213">
        <f t="shared" si="184"/>
        <v>334</v>
      </c>
      <c r="AE1032" s="213">
        <v>2.3199999999999998</v>
      </c>
      <c r="AF1032" s="196">
        <v>108000000</v>
      </c>
      <c r="AG1032" s="104">
        <f t="shared" si="185"/>
        <v>3.5179153094462539</v>
      </c>
      <c r="AH1032" s="104">
        <f t="shared" si="186"/>
        <v>4.9090909090909092</v>
      </c>
      <c r="AI1032" s="195">
        <v>9.11</v>
      </c>
    </row>
    <row r="1033" spans="1:48">
      <c r="A1033">
        <v>5255</v>
      </c>
      <c r="C1033" s="107">
        <f>VLOOKUP(5255,收盤價!$A:$C,3,0)</f>
        <v>31.3</v>
      </c>
      <c r="D1033" s="107">
        <f t="shared" si="176"/>
        <v>12.243197278911566</v>
      </c>
      <c r="E1033" s="167">
        <f t="shared" si="177"/>
        <v>5</v>
      </c>
      <c r="F1033" s="104">
        <f t="shared" si="178"/>
        <v>0.9627744645534333</v>
      </c>
      <c r="G1033" s="167">
        <f>RANK(2.68,AE:AE,0)</f>
        <v>341</v>
      </c>
      <c r="H1033" s="365">
        <f t="shared" si="179"/>
        <v>0.19236305139276944</v>
      </c>
      <c r="I1033" s="213">
        <f t="shared" si="180"/>
        <v>586</v>
      </c>
      <c r="J1033" s="213">
        <f t="shared" si="181"/>
        <v>523</v>
      </c>
      <c r="K1033">
        <f>RANK(1.4,AI:AI,0)</f>
        <v>622</v>
      </c>
      <c r="L1033" s="357">
        <v>1</v>
      </c>
      <c r="M1033" s="357">
        <v>1</v>
      </c>
      <c r="N1033" s="357">
        <v>2</v>
      </c>
      <c r="O1033" s="357">
        <v>1</v>
      </c>
      <c r="P1033" s="357">
        <v>0</v>
      </c>
      <c r="Q1033" s="358">
        <v>0.2191358024691358</v>
      </c>
      <c r="R1033" s="359">
        <v>0.63913043478260867</v>
      </c>
      <c r="S1033" s="196">
        <v>1238639000</v>
      </c>
      <c r="T1033" s="196">
        <v>38100000</v>
      </c>
      <c r="U1033" s="200">
        <f t="shared" si="182"/>
        <v>1192530000</v>
      </c>
      <c r="V1033" s="196">
        <v>31000000</v>
      </c>
      <c r="W1033" s="196">
        <v>153000000</v>
      </c>
      <c r="X1033" s="196">
        <v>460000000</v>
      </c>
      <c r="Y1033" s="196">
        <v>645000000</v>
      </c>
      <c r="Z1033" s="196">
        <v>264000000</v>
      </c>
      <c r="AA1033" s="198">
        <v>0.05</v>
      </c>
      <c r="AB1033" s="198">
        <v>0.03</v>
      </c>
      <c r="AC1033" s="213">
        <f t="shared" si="183"/>
        <v>247</v>
      </c>
      <c r="AD1033" s="213">
        <f t="shared" si="184"/>
        <v>334</v>
      </c>
      <c r="AE1033" s="213">
        <v>2.68</v>
      </c>
      <c r="AF1033" s="196">
        <v>32000000</v>
      </c>
      <c r="AG1033" s="104">
        <f t="shared" si="185"/>
        <v>0.83989501312335957</v>
      </c>
      <c r="AH1033" s="104">
        <f t="shared" si="186"/>
        <v>1.032258064516129</v>
      </c>
      <c r="AI1033" s="195">
        <v>1.4</v>
      </c>
    </row>
    <row r="1034" spans="1:48">
      <c r="A1034">
        <v>5259</v>
      </c>
      <c r="C1034" s="107">
        <f>VLOOKUP(5259,收盤價!$A:$C,3,0)</f>
        <v>1.85</v>
      </c>
      <c r="D1034" s="107">
        <f t="shared" si="176"/>
        <v>0</v>
      </c>
      <c r="E1034" s="167">
        <f t="shared" si="177"/>
        <v>2</v>
      </c>
      <c r="F1034" s="104">
        <f t="shared" si="178"/>
        <v>0.3281297344169169</v>
      </c>
      <c r="G1034" s="167">
        <f>RANK(0.58,AE:AE,0)</f>
        <v>1374</v>
      </c>
      <c r="H1034" s="365">
        <f t="shared" si="179"/>
        <v>-0.1111111111111111</v>
      </c>
      <c r="I1034" s="213">
        <f t="shared" si="180"/>
        <v>986</v>
      </c>
      <c r="J1034" s="213">
        <f t="shared" si="181"/>
        <v>768</v>
      </c>
      <c r="K1034">
        <f>RANK(0.89,AI:AI,0)</f>
        <v>1004</v>
      </c>
      <c r="L1034" s="357">
        <v>0</v>
      </c>
      <c r="M1034" s="357">
        <v>1</v>
      </c>
      <c r="N1034" s="357">
        <v>0</v>
      </c>
      <c r="O1034" s="357">
        <v>1</v>
      </c>
      <c r="P1034" s="357">
        <v>0</v>
      </c>
      <c r="Q1034" s="358">
        <v>-5.5555555555555552E-2</v>
      </c>
      <c r="R1034" s="359">
        <v>0</v>
      </c>
      <c r="S1034" s="196">
        <v>405937000</v>
      </c>
      <c r="T1034" s="196">
        <v>72000000</v>
      </c>
      <c r="U1034" s="200">
        <f t="shared" si="182"/>
        <v>133200000</v>
      </c>
      <c r="V1034" s="196">
        <v>-5000000</v>
      </c>
      <c r="W1034" s="196">
        <v>0</v>
      </c>
      <c r="X1034" s="196">
        <v>514000000</v>
      </c>
      <c r="Y1034" s="196">
        <v>108000000</v>
      </c>
      <c r="Z1034" s="196">
        <v>143000000</v>
      </c>
      <c r="AA1034" s="198">
        <v>-0.01</v>
      </c>
      <c r="AB1034" s="198">
        <v>-0.02</v>
      </c>
      <c r="AC1034" s="213">
        <f t="shared" si="183"/>
        <v>1277</v>
      </c>
      <c r="AD1034" s="213">
        <f t="shared" si="184"/>
        <v>1388</v>
      </c>
      <c r="AE1034" s="213">
        <v>0.57999999999999996</v>
      </c>
      <c r="AF1034" s="196">
        <v>8000000</v>
      </c>
      <c r="AG1034" s="104">
        <f t="shared" si="185"/>
        <v>0.1111111111111111</v>
      </c>
      <c r="AH1034" s="104">
        <f t="shared" si="186"/>
        <v>0</v>
      </c>
      <c r="AI1034" s="195">
        <v>0.89</v>
      </c>
      <c r="AO1034" s="213"/>
      <c r="AP1034" s="213"/>
      <c r="AQ1034" s="213"/>
      <c r="AR1034" s="213"/>
      <c r="AS1034" s="213"/>
      <c r="AT1034" s="213"/>
      <c r="AU1034" s="213"/>
      <c r="AV1034" s="213"/>
    </row>
    <row r="1035" spans="1:48">
      <c r="A1035">
        <v>5263</v>
      </c>
      <c r="C1035" s="107">
        <f>VLOOKUP(5263,收盤價!$A:$C,3,0)</f>
        <v>216.5</v>
      </c>
      <c r="D1035" s="107">
        <f t="shared" si="176"/>
        <v>0</v>
      </c>
      <c r="E1035" s="167">
        <f t="shared" si="177"/>
        <v>1</v>
      </c>
      <c r="F1035" s="104">
        <f t="shared" si="178"/>
        <v>12.964210791418949</v>
      </c>
      <c r="G1035" s="167">
        <f>RANK(0.61,AE:AE,0)</f>
        <v>1295</v>
      </c>
      <c r="H1035" s="365">
        <f t="shared" si="179"/>
        <v>0.53691275167785235</v>
      </c>
      <c r="I1035" s="213">
        <f t="shared" si="180"/>
        <v>1359</v>
      </c>
      <c r="J1035" s="213">
        <f t="shared" si="181"/>
        <v>768</v>
      </c>
      <c r="K1035">
        <f>RANK(0.73,AI:AI,0)</f>
        <v>1352</v>
      </c>
      <c r="L1035" s="357">
        <v>0</v>
      </c>
      <c r="M1035" s="357">
        <v>0</v>
      </c>
      <c r="N1035" s="357">
        <v>1</v>
      </c>
      <c r="O1035" s="357">
        <v>0</v>
      </c>
      <c r="P1035" s="357">
        <v>0</v>
      </c>
      <c r="Q1035" s="358">
        <v>0.37748344370860926</v>
      </c>
      <c r="R1035" s="359">
        <v>0</v>
      </c>
      <c r="S1035" s="196">
        <v>746482000</v>
      </c>
      <c r="T1035" s="196">
        <v>44700000</v>
      </c>
      <c r="U1035" s="200">
        <f t="shared" si="182"/>
        <v>9677550000</v>
      </c>
      <c r="V1035" s="196">
        <v>-21000000</v>
      </c>
      <c r="W1035" s="196">
        <v>1727000000</v>
      </c>
      <c r="X1035" s="196">
        <v>805000000</v>
      </c>
      <c r="Y1035" s="196">
        <v>2542000000</v>
      </c>
      <c r="Z1035" s="196">
        <v>18000000</v>
      </c>
      <c r="AA1035" s="198">
        <v>-0.01</v>
      </c>
      <c r="AB1035" s="198">
        <v>-0.01</v>
      </c>
      <c r="AC1035" s="213">
        <f t="shared" si="183"/>
        <v>1277</v>
      </c>
      <c r="AD1035" s="213">
        <f t="shared" si="184"/>
        <v>1294</v>
      </c>
      <c r="AE1035" s="213">
        <v>0.61</v>
      </c>
      <c r="AF1035" s="196">
        <v>-24000000</v>
      </c>
      <c r="AG1035" s="104">
        <f t="shared" si="185"/>
        <v>-0.53691275167785235</v>
      </c>
      <c r="AH1035" s="104">
        <f t="shared" si="186"/>
        <v>0</v>
      </c>
      <c r="AI1035" s="195">
        <v>0.73</v>
      </c>
    </row>
    <row r="1036" spans="1:48">
      <c r="A1036">
        <v>5264</v>
      </c>
      <c r="C1036" s="107">
        <f>VLOOKUP(5264,收盤價!$A:$C,3,0)</f>
        <v>105.5</v>
      </c>
      <c r="D1036" s="107">
        <f t="shared" si="176"/>
        <v>24.9326171875</v>
      </c>
      <c r="E1036" s="167">
        <f t="shared" si="177"/>
        <v>0</v>
      </c>
      <c r="F1036" s="104">
        <f t="shared" si="178"/>
        <v>0.96778110008778206</v>
      </c>
      <c r="G1036" s="167">
        <f>RANK(1.08,AE:AE,0)</f>
        <v>769</v>
      </c>
      <c r="H1036" s="365">
        <f t="shared" si="179"/>
        <v>0.17073888725345893</v>
      </c>
      <c r="I1036" s="213">
        <f t="shared" si="180"/>
        <v>1189</v>
      </c>
      <c r="J1036" s="213">
        <f t="shared" si="181"/>
        <v>768</v>
      </c>
      <c r="K1036">
        <f>RANK(0.8,AI:AI,0)</f>
        <v>1168</v>
      </c>
      <c r="L1036" s="357">
        <v>0</v>
      </c>
      <c r="M1036" s="357">
        <v>0</v>
      </c>
      <c r="N1036" s="357">
        <v>0</v>
      </c>
      <c r="O1036" s="357">
        <v>0</v>
      </c>
      <c r="P1036" s="357">
        <v>0</v>
      </c>
      <c r="Q1036" s="358">
        <v>0.16574923547400611</v>
      </c>
      <c r="R1036" s="359">
        <v>1.0578512396694215</v>
      </c>
      <c r="S1036" s="196">
        <v>37031463000</v>
      </c>
      <c r="T1036" s="196">
        <v>339700000</v>
      </c>
      <c r="U1036" s="200">
        <f t="shared" si="182"/>
        <v>35838350000</v>
      </c>
      <c r="V1036" s="196">
        <v>411000000</v>
      </c>
      <c r="W1036" s="196">
        <v>9766000000</v>
      </c>
      <c r="X1036" s="196">
        <v>17721000000</v>
      </c>
      <c r="Y1036" s="196">
        <v>28580000000</v>
      </c>
      <c r="Z1036" s="196">
        <v>1937000000</v>
      </c>
      <c r="AA1036" s="198">
        <v>0.01</v>
      </c>
      <c r="AB1036" s="198">
        <v>0.01</v>
      </c>
      <c r="AC1036" s="213">
        <f t="shared" si="183"/>
        <v>769</v>
      </c>
      <c r="AD1036" s="213">
        <f t="shared" si="184"/>
        <v>680</v>
      </c>
      <c r="AE1036" s="213">
        <v>1.08</v>
      </c>
      <c r="AF1036" s="196">
        <v>-58000000</v>
      </c>
      <c r="AG1036" s="104">
        <f t="shared" si="185"/>
        <v>-0.17073888725345893</v>
      </c>
      <c r="AH1036" s="104">
        <f t="shared" si="186"/>
        <v>0</v>
      </c>
      <c r="AI1036" s="195">
        <v>0.8</v>
      </c>
    </row>
    <row r="1037" spans="1:48">
      <c r="A1037">
        <v>5269</v>
      </c>
      <c r="C1037" s="107">
        <f>VLOOKUP(5269,收盤價!$A:$C,3,0)</f>
        <v>259</v>
      </c>
      <c r="D1037" s="107">
        <f t="shared" si="176"/>
        <v>70.765027322404364</v>
      </c>
      <c r="E1037" s="167">
        <f t="shared" si="177"/>
        <v>1</v>
      </c>
      <c r="F1037" s="104">
        <f t="shared" si="178"/>
        <v>8.7166272454057481</v>
      </c>
      <c r="G1037" s="167">
        <f>RANK(3.92,AE:AE,0)</f>
        <v>209</v>
      </c>
      <c r="H1037" s="365">
        <f t="shared" si="179"/>
        <v>0.10507880910683012</v>
      </c>
      <c r="I1037" s="213">
        <f t="shared" si="180"/>
        <v>1142</v>
      </c>
      <c r="J1037" s="213">
        <f t="shared" si="181"/>
        <v>768</v>
      </c>
      <c r="K1037">
        <f>RANK(0.82,AI:AI,0)</f>
        <v>1121</v>
      </c>
      <c r="L1037" s="357">
        <v>0</v>
      </c>
      <c r="M1037" s="357">
        <v>1</v>
      </c>
      <c r="N1037" s="357">
        <v>0</v>
      </c>
      <c r="O1037" s="357">
        <v>0</v>
      </c>
      <c r="P1037" s="357">
        <v>0</v>
      </c>
      <c r="Q1037" s="358">
        <v>0.48275862068965519</v>
      </c>
      <c r="R1037" s="359">
        <v>0.91500000000000004</v>
      </c>
      <c r="S1037" s="196">
        <v>1696631000</v>
      </c>
      <c r="T1037" s="196">
        <v>57100000</v>
      </c>
      <c r="U1037" s="200">
        <f t="shared" si="182"/>
        <v>14788900000</v>
      </c>
      <c r="V1037" s="196">
        <v>61000000</v>
      </c>
      <c r="W1037" s="196">
        <v>1065000000</v>
      </c>
      <c r="X1037" s="196">
        <v>137000000</v>
      </c>
      <c r="Y1037" s="196">
        <v>1306000000</v>
      </c>
      <c r="Z1037" s="196">
        <v>0</v>
      </c>
      <c r="AA1037" s="198">
        <v>0.05</v>
      </c>
      <c r="AB1037" s="198">
        <v>0.05</v>
      </c>
      <c r="AC1037" s="213">
        <f t="shared" si="183"/>
        <v>247</v>
      </c>
      <c r="AD1037" s="213">
        <f t="shared" si="184"/>
        <v>150</v>
      </c>
      <c r="AE1037" s="213">
        <v>3.92</v>
      </c>
      <c r="AF1037" s="196">
        <v>-6000000</v>
      </c>
      <c r="AG1037" s="104">
        <f t="shared" si="185"/>
        <v>-0.10507880910683012</v>
      </c>
      <c r="AH1037" s="104">
        <f t="shared" si="186"/>
        <v>0</v>
      </c>
      <c r="AI1037" s="195">
        <v>0.82</v>
      </c>
      <c r="AO1037" s="213"/>
      <c r="AP1037" s="213"/>
      <c r="AQ1037" s="213"/>
      <c r="AR1037" s="213"/>
      <c r="AS1037" s="213"/>
      <c r="AT1037" s="213"/>
      <c r="AU1037" s="213"/>
      <c r="AV1037" s="213"/>
    </row>
    <row r="1038" spans="1:48">
      <c r="A1038">
        <v>5272</v>
      </c>
      <c r="C1038" s="107">
        <f>VLOOKUP(5272,收盤價!$A:$C,3,0)</f>
        <v>40.299999999999997</v>
      </c>
      <c r="D1038" s="107">
        <f t="shared" si="176"/>
        <v>29.597532314923615</v>
      </c>
      <c r="E1038" s="167">
        <f t="shared" si="177"/>
        <v>5</v>
      </c>
      <c r="F1038" s="104">
        <f t="shared" si="178"/>
        <v>3.5424061203272337</v>
      </c>
      <c r="G1038" s="167">
        <f>RANK(1.94,AE:AE,0)</f>
        <v>435</v>
      </c>
      <c r="H1038" s="365">
        <f t="shared" si="179"/>
        <v>1.343390804597701</v>
      </c>
      <c r="I1038" s="213">
        <f t="shared" si="180"/>
        <v>540</v>
      </c>
      <c r="J1038" s="213">
        <f t="shared" si="181"/>
        <v>214</v>
      </c>
      <c r="K1038">
        <f>RANK(2.07,AI:AI,0)</f>
        <v>317</v>
      </c>
      <c r="L1038" s="357">
        <v>1</v>
      </c>
      <c r="M1038" s="357">
        <v>1</v>
      </c>
      <c r="N1038" s="357">
        <v>2</v>
      </c>
      <c r="O1038" s="357">
        <v>1</v>
      </c>
      <c r="P1038" s="357">
        <v>0</v>
      </c>
      <c r="Q1038" s="358">
        <v>0.52717391304347827</v>
      </c>
      <c r="R1038" s="359">
        <v>0.34040000000000004</v>
      </c>
      <c r="S1038" s="196">
        <v>659834000</v>
      </c>
      <c r="T1038" s="196">
        <v>58000000</v>
      </c>
      <c r="U1038" s="200">
        <f t="shared" si="182"/>
        <v>2337400000</v>
      </c>
      <c r="V1038" s="196">
        <v>24000000</v>
      </c>
      <c r="W1038" s="196">
        <v>635000000</v>
      </c>
      <c r="X1038" s="196">
        <v>150000000</v>
      </c>
      <c r="Y1038" s="196">
        <v>946000000</v>
      </c>
      <c r="Z1038" s="196">
        <v>0</v>
      </c>
      <c r="AA1038" s="198">
        <v>0.03</v>
      </c>
      <c r="AB1038" s="198">
        <v>0.03</v>
      </c>
      <c r="AC1038" s="213">
        <f t="shared" si="183"/>
        <v>469</v>
      </c>
      <c r="AD1038" s="213">
        <f t="shared" si="184"/>
        <v>334</v>
      </c>
      <c r="AE1038" s="213">
        <v>1.94</v>
      </c>
      <c r="AF1038" s="196">
        <v>55000000</v>
      </c>
      <c r="AG1038" s="104">
        <f t="shared" si="185"/>
        <v>0.94827586206896552</v>
      </c>
      <c r="AH1038" s="104">
        <f t="shared" si="186"/>
        <v>2.2916666666666665</v>
      </c>
      <c r="AI1038" s="195">
        <v>2.0699999999999998</v>
      </c>
    </row>
    <row r="1039" spans="1:48">
      <c r="A1039">
        <v>5274</v>
      </c>
      <c r="C1039" s="107">
        <f>VLOOKUP(5274,收盤價!$A:$C,3,0)</f>
        <v>453</v>
      </c>
      <c r="D1039" s="107">
        <f t="shared" si="176"/>
        <v>39.322916666666671</v>
      </c>
      <c r="E1039" s="167">
        <f t="shared" si="177"/>
        <v>2</v>
      </c>
      <c r="F1039" s="104">
        <f t="shared" si="178"/>
        <v>12.47897012715252</v>
      </c>
      <c r="G1039" s="167">
        <f>RANK(30.55,AE:AE,0)</f>
        <v>20</v>
      </c>
      <c r="H1039" s="365">
        <f t="shared" si="179"/>
        <v>-1.9064794394349682</v>
      </c>
      <c r="I1039" s="213">
        <f t="shared" si="180"/>
        <v>147</v>
      </c>
      <c r="J1039" s="213">
        <f t="shared" si="181"/>
        <v>614</v>
      </c>
      <c r="K1039">
        <f>RANK(2.05,AI:AI,0)</f>
        <v>321</v>
      </c>
      <c r="L1039" s="357">
        <v>0</v>
      </c>
      <c r="M1039" s="357">
        <v>1</v>
      </c>
      <c r="N1039" s="357">
        <v>0</v>
      </c>
      <c r="O1039" s="357">
        <v>1</v>
      </c>
      <c r="P1039" s="357">
        <v>0</v>
      </c>
      <c r="Q1039" s="358">
        <v>0.55960264900662249</v>
      </c>
      <c r="R1039" s="359">
        <v>2.88</v>
      </c>
      <c r="S1039" s="196">
        <v>1150744000</v>
      </c>
      <c r="T1039" s="196">
        <v>31700000</v>
      </c>
      <c r="U1039" s="200">
        <f t="shared" si="182"/>
        <v>14360100000</v>
      </c>
      <c r="V1039" s="196">
        <v>113000000</v>
      </c>
      <c r="W1039" s="196">
        <v>970000000</v>
      </c>
      <c r="X1039" s="196">
        <v>35000000</v>
      </c>
      <c r="Y1039" s="196">
        <v>1030000000</v>
      </c>
      <c r="Z1039" s="196">
        <v>0</v>
      </c>
      <c r="AA1039" s="198">
        <v>0.11</v>
      </c>
      <c r="AB1039" s="198">
        <v>0.11</v>
      </c>
      <c r="AC1039" s="213">
        <f t="shared" si="183"/>
        <v>40</v>
      </c>
      <c r="AD1039" s="213">
        <f t="shared" si="184"/>
        <v>11</v>
      </c>
      <c r="AE1039" s="213">
        <v>30.55</v>
      </c>
      <c r="AF1039" s="196">
        <v>84000000</v>
      </c>
      <c r="AG1039" s="104">
        <f t="shared" si="185"/>
        <v>2.6498422712933754</v>
      </c>
      <c r="AH1039" s="104">
        <f t="shared" si="186"/>
        <v>0.74336283185840712</v>
      </c>
      <c r="AI1039" s="195">
        <v>2.0499999999999998</v>
      </c>
    </row>
    <row r="1040" spans="1:48">
      <c r="A1040">
        <v>5276</v>
      </c>
      <c r="C1040" s="107">
        <f>VLOOKUP(5276,收盤價!$A:$C,3,0)</f>
        <v>22.2</v>
      </c>
      <c r="D1040" s="107">
        <f t="shared" si="176"/>
        <v>17.368421052631579</v>
      </c>
      <c r="E1040" s="167">
        <f t="shared" si="177"/>
        <v>2</v>
      </c>
      <c r="F1040" s="104">
        <f t="shared" si="178"/>
        <v>1.112471376285292</v>
      </c>
      <c r="G1040" s="167">
        <f>RANK(1.94,AE:AE,0)</f>
        <v>435</v>
      </c>
      <c r="H1040" s="365">
        <f t="shared" si="179"/>
        <v>2.7588274483677551</v>
      </c>
      <c r="I1040" s="213">
        <f t="shared" si="180"/>
        <v>158</v>
      </c>
      <c r="J1040" s="213">
        <f t="shared" si="181"/>
        <v>77</v>
      </c>
      <c r="K1040">
        <f>RANK(6.63,AI:AI,0)</f>
        <v>36</v>
      </c>
      <c r="L1040" s="357">
        <v>0</v>
      </c>
      <c r="M1040" s="357">
        <v>1</v>
      </c>
      <c r="N1040" s="357">
        <v>0</v>
      </c>
      <c r="O1040" s="357">
        <v>1</v>
      </c>
      <c r="P1040" s="357">
        <v>0</v>
      </c>
      <c r="Q1040" s="358">
        <v>0.22164948453608246</v>
      </c>
      <c r="R1040" s="359">
        <v>0.31954545454545452</v>
      </c>
      <c r="S1040" s="196">
        <v>788245000</v>
      </c>
      <c r="T1040" s="196">
        <v>39500000</v>
      </c>
      <c r="U1040" s="200">
        <f t="shared" si="182"/>
        <v>876900000</v>
      </c>
      <c r="V1040" s="196">
        <v>19000000</v>
      </c>
      <c r="W1040" s="196">
        <v>468000000</v>
      </c>
      <c r="X1040" s="196">
        <v>128000000</v>
      </c>
      <c r="Y1040" s="196">
        <v>626000000</v>
      </c>
      <c r="Z1040" s="196">
        <v>0</v>
      </c>
      <c r="AA1040" s="198">
        <v>0.03</v>
      </c>
      <c r="AB1040" s="198">
        <v>0.03</v>
      </c>
      <c r="AC1040" s="213">
        <f t="shared" si="183"/>
        <v>469</v>
      </c>
      <c r="AD1040" s="213">
        <f t="shared" si="184"/>
        <v>334</v>
      </c>
      <c r="AE1040" s="213">
        <v>1.94</v>
      </c>
      <c r="AF1040" s="196">
        <v>101000000</v>
      </c>
      <c r="AG1040" s="104">
        <f t="shared" si="185"/>
        <v>2.5569620253164556</v>
      </c>
      <c r="AH1040" s="104">
        <f t="shared" si="186"/>
        <v>5.3157894736842106</v>
      </c>
      <c r="AI1040" s="195">
        <v>6.63</v>
      </c>
      <c r="AO1040" s="213"/>
      <c r="AP1040" s="213"/>
      <c r="AQ1040" s="213"/>
      <c r="AR1040" s="213"/>
      <c r="AS1040" s="213"/>
      <c r="AT1040" s="213"/>
      <c r="AU1040" s="213"/>
      <c r="AV1040" s="213"/>
    </row>
    <row r="1041" spans="1:48">
      <c r="A1041">
        <v>5278</v>
      </c>
      <c r="C1041" s="107">
        <f>VLOOKUP(5278,收盤價!$A:$C,3,0)</f>
        <v>28.3</v>
      </c>
      <c r="D1041" s="107">
        <f t="shared" si="176"/>
        <v>0</v>
      </c>
      <c r="E1041" s="167">
        <f t="shared" si="177"/>
        <v>2</v>
      </c>
      <c r="F1041" s="104">
        <f t="shared" si="178"/>
        <v>1.2858123370701795</v>
      </c>
      <c r="G1041" s="167">
        <f>RANK(0.51,AE:AE,0)</f>
        <v>1523</v>
      </c>
      <c r="H1041" s="365">
        <f t="shared" si="179"/>
        <v>1.2765957446808511</v>
      </c>
      <c r="I1041" s="213">
        <f t="shared" si="180"/>
        <v>1463</v>
      </c>
      <c r="J1041" s="213">
        <f t="shared" si="181"/>
        <v>768</v>
      </c>
      <c r="K1041">
        <f>RANK(0.7,AI:AI,0)</f>
        <v>1442</v>
      </c>
      <c r="L1041" s="357">
        <v>0</v>
      </c>
      <c r="M1041" s="357">
        <v>0</v>
      </c>
      <c r="N1041" s="357">
        <v>2</v>
      </c>
      <c r="O1041" s="357">
        <v>0</v>
      </c>
      <c r="P1041" s="357">
        <v>0</v>
      </c>
      <c r="Q1041" s="358">
        <v>0.71764705882352942</v>
      </c>
      <c r="R1041" s="359">
        <v>0</v>
      </c>
      <c r="S1041" s="196">
        <v>310333000</v>
      </c>
      <c r="T1041" s="196">
        <v>14100000</v>
      </c>
      <c r="U1041" s="200">
        <f t="shared" si="182"/>
        <v>399030000</v>
      </c>
      <c r="V1041" s="196">
        <v>-29000000</v>
      </c>
      <c r="W1041" s="196">
        <v>148000000</v>
      </c>
      <c r="X1041" s="196">
        <v>5000000</v>
      </c>
      <c r="Y1041" s="196">
        <v>178000000</v>
      </c>
      <c r="Z1041" s="196">
        <v>5000000</v>
      </c>
      <c r="AA1041" s="198">
        <v>-0.19</v>
      </c>
      <c r="AB1041" s="198">
        <v>-0.16</v>
      </c>
      <c r="AC1041" s="213">
        <f t="shared" si="183"/>
        <v>1537</v>
      </c>
      <c r="AD1041" s="213">
        <f t="shared" si="184"/>
        <v>1547</v>
      </c>
      <c r="AE1041" s="213">
        <v>0.51</v>
      </c>
      <c r="AF1041" s="196">
        <v>-18000000</v>
      </c>
      <c r="AG1041" s="104">
        <f t="shared" si="185"/>
        <v>-1.2765957446808511</v>
      </c>
      <c r="AH1041" s="104">
        <f t="shared" si="186"/>
        <v>0</v>
      </c>
      <c r="AI1041" s="195">
        <v>0.7</v>
      </c>
    </row>
    <row r="1042" spans="1:48">
      <c r="A1042">
        <v>5281</v>
      </c>
      <c r="C1042" s="107">
        <f>VLOOKUP(5281,收盤價!$A:$C,3,0)</f>
        <v>25.65</v>
      </c>
      <c r="D1042" s="107">
        <f t="shared" si="176"/>
        <v>0</v>
      </c>
      <c r="E1042" s="167">
        <f t="shared" si="177"/>
        <v>0</v>
      </c>
      <c r="F1042" s="104">
        <f t="shared" si="178"/>
        <v>1.4131473854428174</v>
      </c>
      <c r="G1042" s="167">
        <f>RANK(0.59,AE:AE,0)</f>
        <v>1348</v>
      </c>
      <c r="H1042" s="365">
        <f t="shared" si="179"/>
        <v>0.13513513513513514</v>
      </c>
      <c r="I1042" s="213">
        <f t="shared" si="180"/>
        <v>1164</v>
      </c>
      <c r="J1042" s="213">
        <f t="shared" si="181"/>
        <v>768</v>
      </c>
      <c r="K1042">
        <f>RANK(0.81,AI:AI,0)</f>
        <v>1144</v>
      </c>
      <c r="L1042" s="357">
        <v>0</v>
      </c>
      <c r="M1042" s="357">
        <v>0</v>
      </c>
      <c r="N1042" s="357">
        <v>0</v>
      </c>
      <c r="O1042" s="357">
        <v>0</v>
      </c>
      <c r="P1042" s="357">
        <v>0</v>
      </c>
      <c r="Q1042" s="358">
        <v>0.35658914728682173</v>
      </c>
      <c r="R1042" s="359">
        <v>0</v>
      </c>
      <c r="S1042" s="196">
        <v>671586000</v>
      </c>
      <c r="T1042" s="196">
        <v>37000000</v>
      </c>
      <c r="U1042" s="200">
        <f t="shared" si="182"/>
        <v>949050000</v>
      </c>
      <c r="V1042" s="196">
        <v>-10000000</v>
      </c>
      <c r="W1042" s="196">
        <v>50000000</v>
      </c>
      <c r="X1042" s="196">
        <v>610000000</v>
      </c>
      <c r="Y1042" s="196">
        <v>670000000</v>
      </c>
      <c r="Z1042" s="196">
        <v>41000000</v>
      </c>
      <c r="AA1042" s="198">
        <v>-0.02</v>
      </c>
      <c r="AB1042" s="198">
        <v>-0.01</v>
      </c>
      <c r="AC1042" s="213">
        <f t="shared" si="183"/>
        <v>1353</v>
      </c>
      <c r="AD1042" s="213">
        <f t="shared" si="184"/>
        <v>1294</v>
      </c>
      <c r="AE1042" s="213">
        <v>0.59</v>
      </c>
      <c r="AF1042" s="196">
        <v>-5000000</v>
      </c>
      <c r="AG1042" s="104">
        <f t="shared" si="185"/>
        <v>-0.13513513513513514</v>
      </c>
      <c r="AH1042" s="104">
        <f t="shared" si="186"/>
        <v>0</v>
      </c>
      <c r="AI1042" s="195">
        <v>0.81</v>
      </c>
    </row>
    <row r="1043" spans="1:48">
      <c r="A1043">
        <v>5284</v>
      </c>
      <c r="C1043" s="107">
        <f>VLOOKUP(5284,收盤價!$A:$C,3,0)</f>
        <v>63.9</v>
      </c>
      <c r="D1043" s="107">
        <f t="shared" si="176"/>
        <v>15.279621315635369</v>
      </c>
      <c r="E1043" s="167">
        <f t="shared" si="177"/>
        <v>3</v>
      </c>
      <c r="F1043" s="104">
        <f t="shared" si="178"/>
        <v>2.0491476081753452</v>
      </c>
      <c r="G1043" s="167">
        <f>RANK(2.76,AE:AE,0)</f>
        <v>305</v>
      </c>
      <c r="H1043" s="365">
        <f t="shared" si="179"/>
        <v>-0.38020833333333348</v>
      </c>
      <c r="I1043" s="213">
        <f t="shared" si="180"/>
        <v>245</v>
      </c>
      <c r="J1043" s="213">
        <f t="shared" si="181"/>
        <v>370</v>
      </c>
      <c r="K1043">
        <f>RANK(2.53,AI:AI,0)</f>
        <v>233</v>
      </c>
      <c r="L1043" s="357">
        <v>0</v>
      </c>
      <c r="M1043" s="357">
        <v>1</v>
      </c>
      <c r="N1043" s="357">
        <v>1</v>
      </c>
      <c r="O1043" s="357">
        <v>1</v>
      </c>
      <c r="P1043" s="357">
        <v>0</v>
      </c>
      <c r="Q1043" s="358">
        <v>0.30927835051546393</v>
      </c>
      <c r="R1043" s="359">
        <v>1.0455102040816326</v>
      </c>
      <c r="S1043" s="196">
        <v>1197454000</v>
      </c>
      <c r="T1043" s="196">
        <v>38400000</v>
      </c>
      <c r="U1043" s="200">
        <f t="shared" si="182"/>
        <v>2453760000</v>
      </c>
      <c r="V1043" s="196">
        <v>48000000</v>
      </c>
      <c r="W1043" s="196">
        <v>522000000</v>
      </c>
      <c r="X1043" s="196">
        <v>727000000</v>
      </c>
      <c r="Y1043" s="196">
        <v>1277000000</v>
      </c>
      <c r="Z1043" s="196">
        <v>2000000</v>
      </c>
      <c r="AA1043" s="198">
        <v>0.04</v>
      </c>
      <c r="AB1043" s="198">
        <v>0.04</v>
      </c>
      <c r="AC1043" s="213">
        <f t="shared" si="183"/>
        <v>337</v>
      </c>
      <c r="AD1043" s="213">
        <f t="shared" si="184"/>
        <v>228</v>
      </c>
      <c r="AE1043" s="213">
        <v>2.76</v>
      </c>
      <c r="AF1043" s="196">
        <v>73000000</v>
      </c>
      <c r="AG1043" s="104">
        <f t="shared" si="185"/>
        <v>1.9010416666666667</v>
      </c>
      <c r="AH1043" s="104">
        <f t="shared" si="186"/>
        <v>1.5208333333333333</v>
      </c>
      <c r="AI1043" s="195">
        <v>2.5299999999999998</v>
      </c>
      <c r="AO1043" s="213"/>
      <c r="AP1043" s="213"/>
      <c r="AQ1043" s="213"/>
      <c r="AR1043" s="213"/>
      <c r="AS1043" s="213"/>
      <c r="AT1043" s="213"/>
      <c r="AU1043" s="213"/>
      <c r="AV1043" s="213"/>
    </row>
    <row r="1044" spans="1:48">
      <c r="A1044">
        <v>5285</v>
      </c>
      <c r="C1044" s="107">
        <f>VLOOKUP(5285,收盤價!$A:$C,3,0)</f>
        <v>33.35</v>
      </c>
      <c r="D1044" s="107">
        <f t="shared" si="176"/>
        <v>22.026029526029525</v>
      </c>
      <c r="E1044" s="167">
        <f t="shared" si="177"/>
        <v>0</v>
      </c>
      <c r="F1044" s="104">
        <f t="shared" si="178"/>
        <v>1.1517303564593864</v>
      </c>
      <c r="G1044" s="167">
        <f>RANK(1.64,AE:AE,0)</f>
        <v>539</v>
      </c>
      <c r="H1044" s="365">
        <f t="shared" si="179"/>
        <v>6.684491978609626E-2</v>
      </c>
      <c r="I1044" s="213">
        <f t="shared" si="180"/>
        <v>1113</v>
      </c>
      <c r="J1044" s="213">
        <f t="shared" si="181"/>
        <v>768</v>
      </c>
      <c r="K1044">
        <f>RANK(0.83,AI:AI,0)</f>
        <v>1098</v>
      </c>
      <c r="L1044" s="357">
        <v>0</v>
      </c>
      <c r="M1044" s="357">
        <v>0</v>
      </c>
      <c r="N1044" s="357">
        <v>0</v>
      </c>
      <c r="O1044" s="357">
        <v>0</v>
      </c>
      <c r="P1044" s="357">
        <v>0</v>
      </c>
      <c r="Q1044" s="358">
        <v>0.18587360594795538</v>
      </c>
      <c r="R1044" s="359">
        <v>0.37852941176470589</v>
      </c>
      <c r="S1044" s="196">
        <v>2165941000</v>
      </c>
      <c r="T1044" s="196">
        <v>74800000</v>
      </c>
      <c r="U1044" s="200">
        <f t="shared" si="182"/>
        <v>2494580000</v>
      </c>
      <c r="V1044" s="196">
        <v>43000000</v>
      </c>
      <c r="W1044" s="196">
        <v>1185000000</v>
      </c>
      <c r="X1044" s="196">
        <v>952000000</v>
      </c>
      <c r="Y1044" s="196">
        <v>1500000000</v>
      </c>
      <c r="Z1044" s="196">
        <v>126000000</v>
      </c>
      <c r="AA1044" s="198">
        <v>0.02</v>
      </c>
      <c r="AB1044" s="198">
        <v>0.03</v>
      </c>
      <c r="AC1044" s="213">
        <f t="shared" si="183"/>
        <v>616</v>
      </c>
      <c r="AD1044" s="213">
        <f t="shared" si="184"/>
        <v>334</v>
      </c>
      <c r="AE1044" s="213">
        <v>1.64</v>
      </c>
      <c r="AF1044" s="196">
        <v>-5000000</v>
      </c>
      <c r="AG1044" s="104">
        <f t="shared" si="185"/>
        <v>-6.684491978609626E-2</v>
      </c>
      <c r="AH1044" s="104">
        <f t="shared" si="186"/>
        <v>0</v>
      </c>
      <c r="AI1044" s="195">
        <v>0.83</v>
      </c>
    </row>
    <row r="1045" spans="1:48">
      <c r="A1045">
        <v>5287</v>
      </c>
      <c r="C1045" s="107">
        <f>VLOOKUP(5287,收盤價!$A:$C,3,0)</f>
        <v>200</v>
      </c>
      <c r="D1045" s="107">
        <f t="shared" si="176"/>
        <v>14.163372859025031</v>
      </c>
      <c r="E1045" s="167">
        <f t="shared" si="177"/>
        <v>4</v>
      </c>
      <c r="F1045" s="104">
        <f t="shared" si="178"/>
        <v>5.8927857929246326</v>
      </c>
      <c r="G1045" s="167">
        <f>RANK(39.95,AE:AE,0)</f>
        <v>13</v>
      </c>
      <c r="H1045" s="365">
        <f t="shared" si="179"/>
        <v>-3.0120481927710845</v>
      </c>
      <c r="I1045" s="213">
        <f t="shared" si="180"/>
        <v>66</v>
      </c>
      <c r="J1045" s="213">
        <f t="shared" si="181"/>
        <v>533</v>
      </c>
      <c r="K1045">
        <f>RANK(2.6,AI:AI,0)</f>
        <v>216</v>
      </c>
      <c r="L1045" s="357">
        <v>1</v>
      </c>
      <c r="M1045" s="357">
        <v>1</v>
      </c>
      <c r="N1045" s="357">
        <v>1</v>
      </c>
      <c r="O1045" s="357">
        <v>1</v>
      </c>
      <c r="P1045" s="357">
        <v>0</v>
      </c>
      <c r="Q1045" s="358">
        <v>0.79076086956521741</v>
      </c>
      <c r="R1045" s="359">
        <v>3.5302325581395353</v>
      </c>
      <c r="S1045" s="196">
        <v>1391532000</v>
      </c>
      <c r="T1045" s="196">
        <v>41000000</v>
      </c>
      <c r="U1045" s="200">
        <f t="shared" si="182"/>
        <v>8200000000</v>
      </c>
      <c r="V1045" s="196">
        <v>166000000</v>
      </c>
      <c r="W1045" s="196">
        <v>502000000</v>
      </c>
      <c r="X1045" s="196">
        <v>714000000</v>
      </c>
      <c r="Y1045" s="196">
        <v>1583000000</v>
      </c>
      <c r="Z1045" s="196">
        <v>0</v>
      </c>
      <c r="AA1045" s="198">
        <v>0.14000000000000001</v>
      </c>
      <c r="AB1045" s="198">
        <v>0.1</v>
      </c>
      <c r="AC1045" s="213">
        <f t="shared" si="183"/>
        <v>22</v>
      </c>
      <c r="AD1045" s="213">
        <f t="shared" si="184"/>
        <v>17</v>
      </c>
      <c r="AE1045" s="213">
        <v>39.950000000000003</v>
      </c>
      <c r="AF1045" s="196">
        <v>164000000</v>
      </c>
      <c r="AG1045" s="104">
        <f t="shared" si="185"/>
        <v>4</v>
      </c>
      <c r="AH1045" s="104">
        <f t="shared" si="186"/>
        <v>0.98795180722891562</v>
      </c>
      <c r="AI1045" s="195">
        <v>2.6</v>
      </c>
    </row>
    <row r="1046" spans="1:48">
      <c r="A1046">
        <v>5288</v>
      </c>
      <c r="C1046" s="107">
        <f>VLOOKUP(5288,收盤價!$A:$C,3,0)</f>
        <v>92.7</v>
      </c>
      <c r="D1046" s="107">
        <f t="shared" si="176"/>
        <v>18.744192049561178</v>
      </c>
      <c r="E1046" s="167">
        <f t="shared" si="177"/>
        <v>2</v>
      </c>
      <c r="F1046" s="104">
        <f t="shared" si="178"/>
        <v>1.4085922716755941</v>
      </c>
      <c r="G1046" s="167">
        <f>RANK(3.92,AE:AE,0)</f>
        <v>209</v>
      </c>
      <c r="H1046" s="365">
        <f t="shared" si="179"/>
        <v>-1.6398535551077926</v>
      </c>
      <c r="I1046" s="213">
        <f t="shared" si="180"/>
        <v>82</v>
      </c>
      <c r="J1046" s="213">
        <f t="shared" si="181"/>
        <v>258</v>
      </c>
      <c r="K1046">
        <f>RANK(4.58,AI:AI,0)</f>
        <v>79</v>
      </c>
      <c r="L1046" s="357">
        <v>0</v>
      </c>
      <c r="M1046" s="357">
        <v>1</v>
      </c>
      <c r="N1046" s="357">
        <v>0</v>
      </c>
      <c r="O1046" s="357">
        <v>1</v>
      </c>
      <c r="P1046" s="357">
        <v>0</v>
      </c>
      <c r="Q1046" s="358">
        <v>0.1707070707070707</v>
      </c>
      <c r="R1046" s="359">
        <v>1.2363829787234042</v>
      </c>
      <c r="S1046" s="196">
        <v>4271094000</v>
      </c>
      <c r="T1046" s="196">
        <v>64900000</v>
      </c>
      <c r="U1046" s="200">
        <f t="shared" si="182"/>
        <v>6016230000</v>
      </c>
      <c r="V1046" s="196">
        <v>117000000</v>
      </c>
      <c r="W1046" s="196">
        <v>1496000000</v>
      </c>
      <c r="X1046" s="196">
        <v>644000000</v>
      </c>
      <c r="Y1046" s="196">
        <v>2335000000</v>
      </c>
      <c r="Z1046" s="196">
        <v>51000000</v>
      </c>
      <c r="AA1046" s="198">
        <v>0.05</v>
      </c>
      <c r="AB1046" s="198">
        <v>0.05</v>
      </c>
      <c r="AC1046" s="213">
        <f t="shared" si="183"/>
        <v>247</v>
      </c>
      <c r="AD1046" s="213">
        <f t="shared" si="184"/>
        <v>150</v>
      </c>
      <c r="AE1046" s="213">
        <v>3.92</v>
      </c>
      <c r="AF1046" s="196">
        <v>239000000</v>
      </c>
      <c r="AG1046" s="104">
        <f t="shared" si="185"/>
        <v>3.6825885978428352</v>
      </c>
      <c r="AH1046" s="104">
        <f t="shared" si="186"/>
        <v>2.0427350427350426</v>
      </c>
      <c r="AI1046" s="195">
        <v>4.58</v>
      </c>
      <c r="AO1046" s="213"/>
      <c r="AP1046" s="213"/>
      <c r="AQ1046" s="213"/>
      <c r="AR1046" s="213"/>
      <c r="AS1046" s="213"/>
      <c r="AT1046" s="213"/>
      <c r="AU1046" s="213"/>
      <c r="AV1046" s="213"/>
    </row>
    <row r="1047" spans="1:48">
      <c r="A1047">
        <v>5289</v>
      </c>
      <c r="C1047" s="107">
        <f>VLOOKUP(5289,收盤價!$A:$C,3,0)</f>
        <v>83.6</v>
      </c>
      <c r="D1047" s="107">
        <f t="shared" si="176"/>
        <v>13.476502732240437</v>
      </c>
      <c r="E1047" s="167">
        <f t="shared" si="177"/>
        <v>0</v>
      </c>
      <c r="F1047" s="104">
        <f t="shared" si="178"/>
        <v>1.1624308125816427</v>
      </c>
      <c r="G1047" s="167">
        <f>RANK(3.92,AE:AE,0)</f>
        <v>209</v>
      </c>
      <c r="H1047" s="365">
        <f t="shared" si="179"/>
        <v>1.5175718849840256</v>
      </c>
      <c r="I1047" s="213">
        <f t="shared" si="180"/>
        <v>1481</v>
      </c>
      <c r="J1047" s="213">
        <f t="shared" si="181"/>
        <v>768</v>
      </c>
      <c r="K1047">
        <f>RANK(0.69,AI:AI,0)</f>
        <v>1474</v>
      </c>
      <c r="L1047" s="357">
        <v>0</v>
      </c>
      <c r="M1047" s="357">
        <v>0</v>
      </c>
      <c r="N1047" s="357">
        <v>0</v>
      </c>
      <c r="O1047" s="357">
        <v>0</v>
      </c>
      <c r="P1047" s="357">
        <v>0</v>
      </c>
      <c r="Q1047" s="358">
        <v>0.2786259541984733</v>
      </c>
      <c r="R1047" s="359">
        <v>1.5508474576271185</v>
      </c>
      <c r="S1047" s="196">
        <v>4502083000</v>
      </c>
      <c r="T1047" s="196">
        <v>62600000</v>
      </c>
      <c r="U1047" s="200">
        <f t="shared" si="182"/>
        <v>5233360000</v>
      </c>
      <c r="V1047" s="196">
        <v>125000000</v>
      </c>
      <c r="W1047" s="196">
        <v>1571000000</v>
      </c>
      <c r="X1047" s="196">
        <v>941000000</v>
      </c>
      <c r="Y1047" s="196">
        <v>2299000000</v>
      </c>
      <c r="Z1047" s="196">
        <v>21000000</v>
      </c>
      <c r="AA1047" s="198">
        <v>0.05</v>
      </c>
      <c r="AB1047" s="198">
        <v>0.05</v>
      </c>
      <c r="AC1047" s="213">
        <f t="shared" si="183"/>
        <v>247</v>
      </c>
      <c r="AD1047" s="213">
        <f t="shared" si="184"/>
        <v>150</v>
      </c>
      <c r="AE1047" s="213">
        <v>3.92</v>
      </c>
      <c r="AF1047" s="196">
        <v>-95000000</v>
      </c>
      <c r="AG1047" s="104">
        <f t="shared" si="185"/>
        <v>-1.5175718849840256</v>
      </c>
      <c r="AH1047" s="104">
        <f t="shared" si="186"/>
        <v>0</v>
      </c>
      <c r="AI1047" s="195">
        <v>0.69</v>
      </c>
    </row>
    <row r="1048" spans="1:48">
      <c r="A1048">
        <v>5291</v>
      </c>
      <c r="C1048" s="107">
        <f>VLOOKUP(5291,收盤價!$A:$C,3,0)</f>
        <v>13.95</v>
      </c>
      <c r="D1048" s="107">
        <f t="shared" si="176"/>
        <v>0</v>
      </c>
      <c r="E1048" s="167">
        <f t="shared" si="177"/>
        <v>2</v>
      </c>
      <c r="F1048" s="104">
        <f t="shared" si="178"/>
        <v>0.46428532398387756</v>
      </c>
      <c r="G1048" s="167">
        <f>RANK(0.84,AE:AE,0)</f>
        <v>946</v>
      </c>
      <c r="H1048" s="365">
        <f t="shared" si="179"/>
        <v>30.074626865671643</v>
      </c>
      <c r="I1048" s="213">
        <f t="shared" si="180"/>
        <v>548</v>
      </c>
      <c r="J1048" s="213">
        <f t="shared" si="181"/>
        <v>8</v>
      </c>
      <c r="K1048">
        <f>RANK(2.8,AI:AI,0)</f>
        <v>187</v>
      </c>
      <c r="L1048" s="357">
        <v>0</v>
      </c>
      <c r="M1048" s="357">
        <v>0</v>
      </c>
      <c r="N1048" s="357">
        <v>1</v>
      </c>
      <c r="O1048" s="357">
        <v>1</v>
      </c>
      <c r="P1048" s="357">
        <v>0</v>
      </c>
      <c r="Q1048" s="358">
        <v>0.13284132841328414</v>
      </c>
      <c r="R1048" s="359">
        <v>0</v>
      </c>
      <c r="S1048" s="196">
        <v>1006547000</v>
      </c>
      <c r="T1048" s="196">
        <v>33500000</v>
      </c>
      <c r="U1048" s="200">
        <f t="shared" si="182"/>
        <v>467325000</v>
      </c>
      <c r="V1048" s="196">
        <v>1000000</v>
      </c>
      <c r="W1048" s="196">
        <v>372000000</v>
      </c>
      <c r="X1048" s="196">
        <v>376000000</v>
      </c>
      <c r="Y1048" s="196">
        <v>683000000</v>
      </c>
      <c r="Z1048" s="196">
        <v>20000000</v>
      </c>
      <c r="AA1048" s="198">
        <v>0</v>
      </c>
      <c r="AB1048" s="198">
        <v>0</v>
      </c>
      <c r="AC1048" s="213">
        <f t="shared" si="183"/>
        <v>945</v>
      </c>
      <c r="AD1048" s="213">
        <f t="shared" si="184"/>
        <v>911</v>
      </c>
      <c r="AE1048" s="213">
        <v>0.84</v>
      </c>
      <c r="AF1048" s="196">
        <v>31000000</v>
      </c>
      <c r="AG1048" s="104">
        <f t="shared" si="185"/>
        <v>0.92537313432835822</v>
      </c>
      <c r="AH1048" s="104">
        <f t="shared" si="186"/>
        <v>31</v>
      </c>
      <c r="AI1048" s="195">
        <v>2.8</v>
      </c>
    </row>
    <row r="1049" spans="1:48">
      <c r="A1049">
        <v>5301</v>
      </c>
      <c r="C1049" s="107">
        <f>VLOOKUP(5301,收盤價!$A:$C,3,0)</f>
        <v>26.6</v>
      </c>
      <c r="D1049" s="107">
        <f t="shared" si="176"/>
        <v>0</v>
      </c>
      <c r="E1049" s="167">
        <f t="shared" si="177"/>
        <v>0</v>
      </c>
      <c r="F1049" s="104">
        <f t="shared" si="178"/>
        <v>1.2791894734813496</v>
      </c>
      <c r="G1049" s="167">
        <f>RANK(0.57,AE:AE,0)</f>
        <v>1389</v>
      </c>
      <c r="H1049" s="365">
        <f t="shared" si="179"/>
        <v>6.5237651444547989E-2</v>
      </c>
      <c r="I1049" s="213">
        <f t="shared" si="180"/>
        <v>1108</v>
      </c>
      <c r="J1049" s="213">
        <f t="shared" si="181"/>
        <v>768</v>
      </c>
      <c r="K1049">
        <f>RANK(0.83,AI:AI,0)</f>
        <v>1098</v>
      </c>
      <c r="L1049" s="357">
        <v>0</v>
      </c>
      <c r="M1049" s="357">
        <v>0</v>
      </c>
      <c r="N1049" s="357">
        <v>0</v>
      </c>
      <c r="O1049" s="357">
        <v>0</v>
      </c>
      <c r="P1049" s="357">
        <v>0</v>
      </c>
      <c r="Q1049" s="358">
        <v>0.63583815028901736</v>
      </c>
      <c r="R1049" s="359">
        <v>0</v>
      </c>
      <c r="S1049" s="196">
        <v>2231241000</v>
      </c>
      <c r="T1049" s="196">
        <v>107300000</v>
      </c>
      <c r="U1049" s="200">
        <f t="shared" si="182"/>
        <v>2854180000</v>
      </c>
      <c r="V1049" s="196">
        <v>-30000000</v>
      </c>
      <c r="W1049" s="196">
        <v>820000000</v>
      </c>
      <c r="X1049" s="196">
        <v>596000000</v>
      </c>
      <c r="Y1049" s="196">
        <v>1632000000</v>
      </c>
      <c r="Z1049" s="196">
        <v>285000000</v>
      </c>
      <c r="AA1049" s="198">
        <v>-0.02</v>
      </c>
      <c r="AB1049" s="198">
        <v>-0.02</v>
      </c>
      <c r="AC1049" s="213">
        <f t="shared" si="183"/>
        <v>1353</v>
      </c>
      <c r="AD1049" s="213">
        <f t="shared" si="184"/>
        <v>1388</v>
      </c>
      <c r="AE1049" s="213">
        <v>0.56999999999999995</v>
      </c>
      <c r="AF1049" s="196">
        <v>-7000000</v>
      </c>
      <c r="AG1049" s="104">
        <f t="shared" si="185"/>
        <v>-6.5237651444547989E-2</v>
      </c>
      <c r="AH1049" s="104">
        <f t="shared" si="186"/>
        <v>0</v>
      </c>
      <c r="AI1049" s="195">
        <v>0.83</v>
      </c>
    </row>
    <row r="1050" spans="1:48">
      <c r="A1050">
        <v>5302</v>
      </c>
      <c r="C1050" s="107">
        <f>VLOOKUP(5302,收盤價!$A:$C,3,0)</f>
        <v>5.57</v>
      </c>
      <c r="D1050" s="107">
        <f t="shared" si="176"/>
        <v>0</v>
      </c>
      <c r="E1050" s="167">
        <f t="shared" si="177"/>
        <v>1</v>
      </c>
      <c r="F1050" s="104">
        <f t="shared" si="178"/>
        <v>4.8036620855194681</v>
      </c>
      <c r="G1050" s="167">
        <f>RANK(0.57,AE:AE,0)</f>
        <v>1389</v>
      </c>
      <c r="H1050" s="365">
        <f t="shared" si="179"/>
        <v>1.8472906403940888E-2</v>
      </c>
      <c r="I1050" s="213">
        <f t="shared" si="180"/>
        <v>1082</v>
      </c>
      <c r="J1050" s="213">
        <f t="shared" si="181"/>
        <v>768</v>
      </c>
      <c r="K1050">
        <f>RANK(0.84,AI:AI,0)</f>
        <v>1076</v>
      </c>
      <c r="L1050" s="357">
        <v>0</v>
      </c>
      <c r="M1050" s="357">
        <v>1</v>
      </c>
      <c r="N1050" s="357">
        <v>0</v>
      </c>
      <c r="O1050" s="357">
        <v>0</v>
      </c>
      <c r="P1050" s="357">
        <v>0</v>
      </c>
      <c r="Q1050" s="358">
        <v>0.43181818181818182</v>
      </c>
      <c r="R1050" s="359">
        <v>0</v>
      </c>
      <c r="S1050" s="196">
        <v>188308000</v>
      </c>
      <c r="T1050" s="196">
        <v>162400000</v>
      </c>
      <c r="U1050" s="200">
        <f t="shared" si="182"/>
        <v>904568000</v>
      </c>
      <c r="V1050" s="196">
        <v>-14000000</v>
      </c>
      <c r="W1050" s="196">
        <v>0</v>
      </c>
      <c r="X1050" s="196">
        <v>341000000</v>
      </c>
      <c r="Y1050" s="196">
        <v>1671000000</v>
      </c>
      <c r="Z1050" s="196">
        <v>210000000</v>
      </c>
      <c r="AA1050" s="198">
        <v>-0.04</v>
      </c>
      <c r="AB1050" s="198">
        <v>-0.01</v>
      </c>
      <c r="AC1050" s="213">
        <f t="shared" si="183"/>
        <v>1444</v>
      </c>
      <c r="AD1050" s="213">
        <f t="shared" si="184"/>
        <v>1294</v>
      </c>
      <c r="AE1050" s="213">
        <v>0.56999999999999995</v>
      </c>
      <c r="AF1050" s="196">
        <v>-3000000</v>
      </c>
      <c r="AG1050" s="104">
        <f t="shared" si="185"/>
        <v>-1.8472906403940888E-2</v>
      </c>
      <c r="AH1050" s="104">
        <f t="shared" si="186"/>
        <v>0</v>
      </c>
      <c r="AI1050" s="195">
        <v>0.84</v>
      </c>
    </row>
    <row r="1051" spans="1:48">
      <c r="A1051">
        <v>5304</v>
      </c>
      <c r="C1051" s="107">
        <f>VLOOKUP(5304,收盤價!$A:$C,3,0)</f>
        <v>2.29</v>
      </c>
      <c r="D1051" s="107">
        <f t="shared" si="176"/>
        <v>0</v>
      </c>
      <c r="E1051" s="167">
        <f t="shared" si="177"/>
        <v>2</v>
      </c>
      <c r="F1051" s="104">
        <f t="shared" si="178"/>
        <v>0.51455452146936886</v>
      </c>
      <c r="G1051" s="167">
        <f>RANK(1.02,AE:AE,0)</f>
        <v>912</v>
      </c>
      <c r="H1051" s="365">
        <f t="shared" si="179"/>
        <v>14.711632453567939</v>
      </c>
      <c r="I1051" s="213">
        <f t="shared" si="180"/>
        <v>549</v>
      </c>
      <c r="J1051" s="213">
        <f t="shared" si="181"/>
        <v>20</v>
      </c>
      <c r="K1051">
        <f>RANK(2.74,AI:AI,0)</f>
        <v>194</v>
      </c>
      <c r="L1051" s="357">
        <v>0</v>
      </c>
      <c r="M1051" s="357">
        <v>1</v>
      </c>
      <c r="N1051" s="357">
        <v>0</v>
      </c>
      <c r="O1051" s="357">
        <v>1</v>
      </c>
      <c r="P1051" s="357">
        <v>0</v>
      </c>
      <c r="Q1051" s="358">
        <v>0.29482071713147412</v>
      </c>
      <c r="R1051" s="359">
        <v>0</v>
      </c>
      <c r="S1051" s="196">
        <v>827784000</v>
      </c>
      <c r="T1051" s="196">
        <v>186000000</v>
      </c>
      <c r="U1051" s="200">
        <f t="shared" si="182"/>
        <v>425940000</v>
      </c>
      <c r="V1051" s="196">
        <v>11000000</v>
      </c>
      <c r="W1051" s="196">
        <v>0</v>
      </c>
      <c r="X1051" s="196">
        <v>662000000</v>
      </c>
      <c r="Y1051" s="196">
        <v>822000000</v>
      </c>
      <c r="Z1051" s="196">
        <v>1562000000</v>
      </c>
      <c r="AA1051" s="198">
        <v>0.02</v>
      </c>
      <c r="AB1051" s="198">
        <v>0</v>
      </c>
      <c r="AC1051" s="213">
        <f t="shared" si="183"/>
        <v>616</v>
      </c>
      <c r="AD1051" s="213">
        <f t="shared" si="184"/>
        <v>911</v>
      </c>
      <c r="AE1051" s="213">
        <v>1.02</v>
      </c>
      <c r="AF1051" s="196">
        <v>172000000</v>
      </c>
      <c r="AG1051" s="104">
        <f t="shared" si="185"/>
        <v>0.92473118279569888</v>
      </c>
      <c r="AH1051" s="104">
        <f t="shared" si="186"/>
        <v>15.636363636363637</v>
      </c>
      <c r="AI1051" s="195">
        <v>2.74</v>
      </c>
    </row>
    <row r="1052" spans="1:48">
      <c r="A1052">
        <v>5305</v>
      </c>
      <c r="C1052" s="107">
        <f>VLOOKUP(5305,收盤價!$A:$C,3,0)</f>
        <v>22.4</v>
      </c>
      <c r="D1052" s="107">
        <f t="shared" si="176"/>
        <v>13.630498533724339</v>
      </c>
      <c r="E1052" s="167">
        <f t="shared" si="177"/>
        <v>2</v>
      </c>
      <c r="F1052" s="104">
        <f t="shared" si="178"/>
        <v>0.68757616777353903</v>
      </c>
      <c r="G1052" s="167">
        <f>RANK(3.33,AE:AE,0)</f>
        <v>253</v>
      </c>
      <c r="H1052" s="365">
        <f t="shared" si="179"/>
        <v>-8.5663045944058269E-2</v>
      </c>
      <c r="I1052" s="213">
        <f t="shared" si="180"/>
        <v>700</v>
      </c>
      <c r="J1052" s="213">
        <f t="shared" si="181"/>
        <v>676</v>
      </c>
      <c r="K1052">
        <f>RANK(1.13,AI:AI,0)</f>
        <v>777</v>
      </c>
      <c r="L1052" s="357">
        <v>0</v>
      </c>
      <c r="M1052" s="357">
        <v>1</v>
      </c>
      <c r="N1052" s="357">
        <v>1</v>
      </c>
      <c r="O1052" s="357">
        <v>0</v>
      </c>
      <c r="P1052" s="357">
        <v>0</v>
      </c>
      <c r="Q1052" s="358">
        <v>0.2883116883116883</v>
      </c>
      <c r="R1052" s="359">
        <v>0.41084337349397593</v>
      </c>
      <c r="S1052" s="196">
        <v>10076440000</v>
      </c>
      <c r="T1052" s="196">
        <v>309300000</v>
      </c>
      <c r="U1052" s="200">
        <f t="shared" si="182"/>
        <v>6928320000</v>
      </c>
      <c r="V1052" s="196">
        <v>362000000</v>
      </c>
      <c r="W1052" s="196">
        <v>1366000000</v>
      </c>
      <c r="X1052" s="196">
        <v>3822000000</v>
      </c>
      <c r="Y1052" s="196">
        <v>9838000000</v>
      </c>
      <c r="Z1052" s="196">
        <v>4641000000</v>
      </c>
      <c r="AA1052" s="198">
        <v>7.0000000000000007E-2</v>
      </c>
      <c r="AB1052" s="198">
        <v>0.03</v>
      </c>
      <c r="AC1052" s="213">
        <f t="shared" si="183"/>
        <v>134</v>
      </c>
      <c r="AD1052" s="213">
        <f t="shared" si="184"/>
        <v>334</v>
      </c>
      <c r="AE1052" s="213">
        <v>3.33</v>
      </c>
      <c r="AF1052" s="196">
        <v>182000000</v>
      </c>
      <c r="AG1052" s="104">
        <f t="shared" si="185"/>
        <v>0.58842547688328484</v>
      </c>
      <c r="AH1052" s="104">
        <f t="shared" si="186"/>
        <v>0.50276243093922657</v>
      </c>
      <c r="AI1052" s="195">
        <v>1.1299999999999999</v>
      </c>
    </row>
    <row r="1053" spans="1:48">
      <c r="A1053">
        <v>5306</v>
      </c>
      <c r="C1053" s="107">
        <f>VLOOKUP(5306,收盤價!$A:$C,3,0)</f>
        <v>113</v>
      </c>
      <c r="D1053" s="107">
        <f t="shared" si="176"/>
        <v>18.09113300492611</v>
      </c>
      <c r="E1053" s="167">
        <f t="shared" si="177"/>
        <v>2</v>
      </c>
      <c r="F1053" s="104">
        <f t="shared" si="178"/>
        <v>3.6138326640902561</v>
      </c>
      <c r="G1053" s="167">
        <f>RANK(6.31,AE:AE,0)</f>
        <v>125</v>
      </c>
      <c r="H1053" s="365">
        <f t="shared" si="179"/>
        <v>-1.1759670079635951</v>
      </c>
      <c r="I1053" s="213">
        <f t="shared" si="180"/>
        <v>231</v>
      </c>
      <c r="J1053" s="213">
        <f t="shared" si="181"/>
        <v>590</v>
      </c>
      <c r="K1053">
        <f>RANK(1.9,AI:AI,0)</f>
        <v>379</v>
      </c>
      <c r="L1053" s="357">
        <v>0</v>
      </c>
      <c r="M1053" s="357">
        <v>1</v>
      </c>
      <c r="N1053" s="357">
        <v>0</v>
      </c>
      <c r="O1053" s="357">
        <v>1</v>
      </c>
      <c r="P1053" s="357">
        <v>0</v>
      </c>
      <c r="Q1053" s="358">
        <v>0.45512820512820512</v>
      </c>
      <c r="R1053" s="359">
        <v>1.5615384615384613</v>
      </c>
      <c r="S1053" s="196">
        <v>3752249000</v>
      </c>
      <c r="T1053" s="196">
        <v>120000000</v>
      </c>
      <c r="U1053" s="200">
        <f t="shared" si="182"/>
        <v>13560000000</v>
      </c>
      <c r="V1053" s="196">
        <v>293000000</v>
      </c>
      <c r="W1053" s="196">
        <v>1086000000</v>
      </c>
      <c r="X1053" s="196">
        <v>2383000000</v>
      </c>
      <c r="Y1053" s="196">
        <v>3952000000</v>
      </c>
      <c r="Z1053" s="196">
        <v>1833000000</v>
      </c>
      <c r="AA1053" s="198">
        <v>0.08</v>
      </c>
      <c r="AB1053" s="198">
        <v>0.05</v>
      </c>
      <c r="AC1053" s="213">
        <f t="shared" si="183"/>
        <v>97</v>
      </c>
      <c r="AD1053" s="213">
        <f t="shared" si="184"/>
        <v>150</v>
      </c>
      <c r="AE1053" s="213">
        <v>6.31</v>
      </c>
      <c r="AF1053" s="196">
        <v>239000000</v>
      </c>
      <c r="AG1053" s="104">
        <f t="shared" si="185"/>
        <v>1.9916666666666667</v>
      </c>
      <c r="AH1053" s="104">
        <f t="shared" si="186"/>
        <v>0.81569965870307171</v>
      </c>
      <c r="AI1053" s="195">
        <v>1.9</v>
      </c>
    </row>
    <row r="1054" spans="1:48">
      <c r="A1054">
        <v>5309</v>
      </c>
      <c r="C1054" s="107">
        <f>VLOOKUP(5309,收盤價!$A:$C,3,0)</f>
        <v>12.2</v>
      </c>
      <c r="D1054" s="107">
        <f t="shared" si="176"/>
        <v>0</v>
      </c>
      <c r="E1054" s="167">
        <f t="shared" si="177"/>
        <v>1</v>
      </c>
      <c r="F1054" s="104">
        <f t="shared" si="178"/>
        <v>1.1607749368258022</v>
      </c>
      <c r="G1054" s="167">
        <f>RANK(0.59,AE:AE,0)</f>
        <v>1348</v>
      </c>
      <c r="H1054" s="365">
        <f t="shared" si="179"/>
        <v>0.37453183520599254</v>
      </c>
      <c r="I1054" s="213">
        <f t="shared" si="180"/>
        <v>1301</v>
      </c>
      <c r="J1054" s="213">
        <f t="shared" si="181"/>
        <v>768</v>
      </c>
      <c r="K1054">
        <f>RANK(0.75,AI:AI,0)</f>
        <v>1296</v>
      </c>
      <c r="L1054" s="357">
        <v>0</v>
      </c>
      <c r="M1054" s="357">
        <v>0</v>
      </c>
      <c r="N1054" s="357">
        <v>1</v>
      </c>
      <c r="O1054" s="357">
        <v>0</v>
      </c>
      <c r="P1054" s="357">
        <v>0</v>
      </c>
      <c r="Q1054" s="358">
        <v>0.17003367003367004</v>
      </c>
      <c r="R1054" s="359">
        <v>0</v>
      </c>
      <c r="S1054" s="196">
        <v>2244983000</v>
      </c>
      <c r="T1054" s="196">
        <v>213600000</v>
      </c>
      <c r="U1054" s="200">
        <f t="shared" si="182"/>
        <v>2605920000</v>
      </c>
      <c r="V1054" s="196">
        <v>-36000000</v>
      </c>
      <c r="W1054" s="196">
        <v>959000000</v>
      </c>
      <c r="X1054" s="196">
        <v>603000000</v>
      </c>
      <c r="Y1054" s="196">
        <v>2365000000</v>
      </c>
      <c r="Z1054" s="196">
        <v>359000000</v>
      </c>
      <c r="AA1054" s="198">
        <v>-0.02</v>
      </c>
      <c r="AB1054" s="198">
        <v>-0.01</v>
      </c>
      <c r="AC1054" s="213">
        <f t="shared" si="183"/>
        <v>1353</v>
      </c>
      <c r="AD1054" s="213">
        <f t="shared" si="184"/>
        <v>1294</v>
      </c>
      <c r="AE1054" s="213">
        <v>0.59</v>
      </c>
      <c r="AF1054" s="196">
        <v>-80000000</v>
      </c>
      <c r="AG1054" s="104">
        <f t="shared" si="185"/>
        <v>-0.37453183520599254</v>
      </c>
      <c r="AH1054" s="104">
        <f t="shared" si="186"/>
        <v>0</v>
      </c>
      <c r="AI1054" s="195">
        <v>0.75</v>
      </c>
    </row>
    <row r="1055" spans="1:48">
      <c r="A1055">
        <v>5310</v>
      </c>
      <c r="C1055" s="107">
        <f>VLOOKUP(5310,收盤價!$A:$C,3,0)</f>
        <v>23.4</v>
      </c>
      <c r="D1055" s="107">
        <f t="shared" si="176"/>
        <v>0</v>
      </c>
      <c r="E1055" s="167">
        <f t="shared" si="177"/>
        <v>1</v>
      </c>
      <c r="F1055" s="104">
        <f t="shared" si="178"/>
        <v>1.724717473196175</v>
      </c>
      <c r="G1055" s="167">
        <f>RANK(0.84,AE:AE,0)</f>
        <v>946</v>
      </c>
      <c r="H1055" s="365">
        <f t="shared" si="179"/>
        <v>-0.40322580645161288</v>
      </c>
      <c r="I1055" s="213">
        <f t="shared" si="180"/>
        <v>802</v>
      </c>
      <c r="J1055" s="213">
        <f t="shared" si="181"/>
        <v>768</v>
      </c>
      <c r="K1055">
        <f>RANK(0.99,AI:AI,0)</f>
        <v>893</v>
      </c>
      <c r="L1055" s="357">
        <v>0</v>
      </c>
      <c r="M1055" s="357">
        <v>0</v>
      </c>
      <c r="N1055" s="357">
        <v>1</v>
      </c>
      <c r="O1055" s="357">
        <v>0</v>
      </c>
      <c r="P1055" s="357">
        <v>0</v>
      </c>
      <c r="Q1055" s="358">
        <v>0.22988505747126436</v>
      </c>
      <c r="R1055" s="359">
        <v>0</v>
      </c>
      <c r="S1055" s="196">
        <v>672945000</v>
      </c>
      <c r="T1055" s="196">
        <v>49600000</v>
      </c>
      <c r="U1055" s="200">
        <f t="shared" si="182"/>
        <v>1160640000</v>
      </c>
      <c r="V1055" s="196">
        <v>0</v>
      </c>
      <c r="W1055" s="196">
        <v>87000000</v>
      </c>
      <c r="X1055" s="196">
        <v>1000000</v>
      </c>
      <c r="Y1055" s="196">
        <v>586000000</v>
      </c>
      <c r="Z1055" s="196">
        <v>323000000</v>
      </c>
      <c r="AA1055" s="198">
        <v>0</v>
      </c>
      <c r="AB1055" s="198">
        <v>0</v>
      </c>
      <c r="AC1055" s="213">
        <f t="shared" si="183"/>
        <v>945</v>
      </c>
      <c r="AD1055" s="213">
        <f t="shared" si="184"/>
        <v>911</v>
      </c>
      <c r="AE1055" s="213">
        <v>0.84</v>
      </c>
      <c r="AF1055" s="196">
        <v>20000000</v>
      </c>
      <c r="AG1055" s="104">
        <f t="shared" si="185"/>
        <v>0.40322580645161288</v>
      </c>
      <c r="AH1055" s="104">
        <f t="shared" si="186"/>
        <v>0</v>
      </c>
      <c r="AI1055" s="195">
        <v>0.99</v>
      </c>
      <c r="AO1055" s="213"/>
      <c r="AP1055" s="213"/>
      <c r="AQ1055" s="213"/>
      <c r="AR1055" s="213"/>
      <c r="AS1055" s="213"/>
      <c r="AT1055" s="213"/>
      <c r="AU1055" s="213"/>
      <c r="AV1055" s="213"/>
    </row>
    <row r="1056" spans="1:48">
      <c r="A1056">
        <v>5312</v>
      </c>
      <c r="C1056" s="107">
        <f>VLOOKUP(5312,收盤價!$A:$C,3,0)</f>
        <v>73.099999999999994</v>
      </c>
      <c r="D1056" s="107">
        <f t="shared" si="176"/>
        <v>12.869718309859154</v>
      </c>
      <c r="E1056" s="167">
        <f t="shared" si="177"/>
        <v>1</v>
      </c>
      <c r="F1056" s="104">
        <f t="shared" si="178"/>
        <v>1.6822943451251562</v>
      </c>
      <c r="G1056" s="167">
        <f>RANK(0.84,AE:AE,0)</f>
        <v>946</v>
      </c>
      <c r="H1056" s="365">
        <f t="shared" si="179"/>
        <v>8.3194675540765387E-2</v>
      </c>
      <c r="I1056" s="213">
        <f t="shared" si="180"/>
        <v>1125</v>
      </c>
      <c r="J1056" s="213">
        <f t="shared" si="181"/>
        <v>768</v>
      </c>
      <c r="K1056">
        <f>RANK(0.82,AI:AI,0)</f>
        <v>1121</v>
      </c>
      <c r="L1056" s="357">
        <v>0</v>
      </c>
      <c r="M1056" s="357">
        <v>0</v>
      </c>
      <c r="N1056" s="357">
        <v>1</v>
      </c>
      <c r="O1056" s="357">
        <v>0</v>
      </c>
      <c r="P1056" s="357">
        <v>0</v>
      </c>
      <c r="Q1056" s="358">
        <v>0.59939301972685888</v>
      </c>
      <c r="R1056" s="359">
        <v>1.42</v>
      </c>
      <c r="S1056" s="196">
        <v>2611499000</v>
      </c>
      <c r="T1056" s="196">
        <v>60100000</v>
      </c>
      <c r="U1056" s="200">
        <f t="shared" si="182"/>
        <v>4393310000</v>
      </c>
      <c r="V1056" s="196">
        <v>0</v>
      </c>
      <c r="W1056" s="196">
        <v>123000000</v>
      </c>
      <c r="X1056" s="196">
        <v>989000000</v>
      </c>
      <c r="Y1056" s="196">
        <v>2187000000</v>
      </c>
      <c r="Z1056" s="196">
        <v>90000000</v>
      </c>
      <c r="AA1056" s="198">
        <v>0</v>
      </c>
      <c r="AB1056" s="198">
        <v>0</v>
      </c>
      <c r="AC1056" s="213">
        <f t="shared" si="183"/>
        <v>945</v>
      </c>
      <c r="AD1056" s="213">
        <f t="shared" si="184"/>
        <v>911</v>
      </c>
      <c r="AE1056" s="213">
        <v>0.84</v>
      </c>
      <c r="AF1056" s="196">
        <v>-5000000</v>
      </c>
      <c r="AG1056" s="104">
        <f t="shared" si="185"/>
        <v>-8.3194675540765387E-2</v>
      </c>
      <c r="AH1056" s="104">
        <f t="shared" si="186"/>
        <v>0</v>
      </c>
      <c r="AI1056" s="195">
        <v>0.82</v>
      </c>
    </row>
    <row r="1057" spans="1:48">
      <c r="A1057">
        <v>5314</v>
      </c>
      <c r="C1057" s="107">
        <f>VLOOKUP(5314,收盤價!$A:$C,3,0)</f>
        <v>5.05</v>
      </c>
      <c r="D1057" s="107">
        <f t="shared" si="176"/>
        <v>0</v>
      </c>
      <c r="E1057" s="167">
        <f t="shared" si="177"/>
        <v>1</v>
      </c>
      <c r="F1057" s="104">
        <f t="shared" si="178"/>
        <v>1.6967945702573752</v>
      </c>
      <c r="G1057" s="167">
        <f>RANK(0.51,AE:AE,0)</f>
        <v>1523</v>
      </c>
      <c r="H1057" s="365">
        <f t="shared" si="179"/>
        <v>-8.3333333333333329E-2</v>
      </c>
      <c r="I1057" s="213">
        <f t="shared" si="180"/>
        <v>1009</v>
      </c>
      <c r="J1057" s="213">
        <f t="shared" si="181"/>
        <v>768</v>
      </c>
      <c r="K1057">
        <f>RANK(0.88,AI:AI,0)</f>
        <v>1021</v>
      </c>
      <c r="L1057" s="357">
        <v>0</v>
      </c>
      <c r="M1057" s="357">
        <v>0</v>
      </c>
      <c r="N1057" s="357">
        <v>0</v>
      </c>
      <c r="O1057" s="357">
        <v>1</v>
      </c>
      <c r="P1057" s="357">
        <v>0</v>
      </c>
      <c r="Q1057" s="358">
        <v>9.7560975609756101E-2</v>
      </c>
      <c r="R1057" s="359">
        <v>0</v>
      </c>
      <c r="S1057" s="196">
        <v>178572000</v>
      </c>
      <c r="T1057" s="196">
        <v>60000000</v>
      </c>
      <c r="U1057" s="200">
        <f t="shared" si="182"/>
        <v>303000000</v>
      </c>
      <c r="V1057" s="196">
        <v>-41000000</v>
      </c>
      <c r="W1057" s="196">
        <v>139000000</v>
      </c>
      <c r="X1057" s="196">
        <v>73000000</v>
      </c>
      <c r="Y1057" s="196">
        <v>343000000</v>
      </c>
      <c r="Z1057" s="196">
        <v>21000000</v>
      </c>
      <c r="AA1057" s="198">
        <v>-0.19</v>
      </c>
      <c r="AB1057" s="198">
        <v>-0.11</v>
      </c>
      <c r="AC1057" s="213">
        <f t="shared" si="183"/>
        <v>1537</v>
      </c>
      <c r="AD1057" s="213">
        <f t="shared" si="184"/>
        <v>1540</v>
      </c>
      <c r="AE1057" s="213">
        <v>0.51</v>
      </c>
      <c r="AF1057" s="196">
        <v>5000000</v>
      </c>
      <c r="AG1057" s="104">
        <f t="shared" si="185"/>
        <v>8.3333333333333329E-2</v>
      </c>
      <c r="AH1057" s="104">
        <f t="shared" si="186"/>
        <v>0</v>
      </c>
      <c r="AI1057" s="195">
        <v>0.88</v>
      </c>
    </row>
    <row r="1058" spans="1:48">
      <c r="A1058">
        <v>5315</v>
      </c>
      <c r="C1058" s="107">
        <f>VLOOKUP(5315,收盤價!$A:$C,3,0)</f>
        <v>28.05</v>
      </c>
      <c r="D1058" s="107">
        <f t="shared" si="176"/>
        <v>5.9427966101694922</v>
      </c>
      <c r="E1058" s="167">
        <f t="shared" si="177"/>
        <v>3</v>
      </c>
      <c r="F1058" s="104">
        <f t="shared" si="178"/>
        <v>1.0882717579965286</v>
      </c>
      <c r="G1058" s="167">
        <f>RANK(22.58,AE:AE,0)</f>
        <v>29</v>
      </c>
      <c r="H1058" s="365">
        <f t="shared" si="179"/>
        <v>-0.16159493221242083</v>
      </c>
      <c r="I1058" s="213">
        <f t="shared" si="180"/>
        <v>516</v>
      </c>
      <c r="J1058" s="213">
        <f t="shared" si="181"/>
        <v>583</v>
      </c>
      <c r="K1058">
        <f>RANK(1.42,AI:AI,0)</f>
        <v>606</v>
      </c>
      <c r="L1058" s="357">
        <v>1</v>
      </c>
      <c r="M1058" s="357">
        <v>1</v>
      </c>
      <c r="N1058" s="357">
        <v>0</v>
      </c>
      <c r="O1058" s="357">
        <v>1</v>
      </c>
      <c r="P1058" s="357">
        <v>0</v>
      </c>
      <c r="Q1058" s="358">
        <v>0.24821683309557774</v>
      </c>
      <c r="R1058" s="359">
        <v>1.18</v>
      </c>
      <c r="S1058" s="196">
        <v>2742440000</v>
      </c>
      <c r="T1058" s="196">
        <v>106400000</v>
      </c>
      <c r="U1058" s="200">
        <f t="shared" si="182"/>
        <v>2984520000</v>
      </c>
      <c r="V1058" s="196">
        <v>127000000</v>
      </c>
      <c r="W1058" s="196">
        <v>1132000000</v>
      </c>
      <c r="X1058" s="196">
        <v>190000000</v>
      </c>
      <c r="Y1058" s="196">
        <v>1299000000</v>
      </c>
      <c r="Z1058" s="196">
        <v>0</v>
      </c>
      <c r="AA1058" s="198">
        <v>0.1</v>
      </c>
      <c r="AB1058" s="198">
        <v>0.1</v>
      </c>
      <c r="AC1058" s="213">
        <f t="shared" si="183"/>
        <v>52</v>
      </c>
      <c r="AD1058" s="213">
        <f t="shared" si="184"/>
        <v>17</v>
      </c>
      <c r="AE1058" s="213">
        <v>22.58</v>
      </c>
      <c r="AF1058" s="196">
        <v>106000000</v>
      </c>
      <c r="AG1058" s="104">
        <f t="shared" si="185"/>
        <v>0.99624060150375937</v>
      </c>
      <c r="AH1058" s="104">
        <f t="shared" si="186"/>
        <v>0.83464566929133854</v>
      </c>
      <c r="AI1058" s="195">
        <v>1.42</v>
      </c>
      <c r="AO1058" s="213"/>
      <c r="AP1058" s="213"/>
      <c r="AQ1058" s="213"/>
      <c r="AR1058" s="213"/>
      <c r="AS1058" s="213"/>
      <c r="AT1058" s="213"/>
      <c r="AU1058" s="213"/>
      <c r="AV1058" s="213"/>
    </row>
    <row r="1059" spans="1:48">
      <c r="A1059">
        <v>5317</v>
      </c>
      <c r="C1059" s="107">
        <f>VLOOKUP(5317,收盤價!$A:$C,3,0)</f>
        <v>18.05</v>
      </c>
      <c r="D1059" s="107">
        <f t="shared" si="176"/>
        <v>0</v>
      </c>
      <c r="E1059" s="167">
        <f t="shared" si="177"/>
        <v>2</v>
      </c>
      <c r="F1059" s="104">
        <f t="shared" si="178"/>
        <v>1.5740517566006385</v>
      </c>
      <c r="G1059" s="167">
        <f>RANK(0.52,AE:AE,0)</f>
        <v>1493</v>
      </c>
      <c r="H1059" s="365">
        <f t="shared" si="179"/>
        <v>-6.5982404692082108E-2</v>
      </c>
      <c r="I1059" s="213">
        <f t="shared" si="180"/>
        <v>1022</v>
      </c>
      <c r="J1059" s="213">
        <f t="shared" si="181"/>
        <v>768</v>
      </c>
      <c r="K1059">
        <f>RANK(0.87,AI:AI,0)</f>
        <v>1035</v>
      </c>
      <c r="L1059" s="357">
        <v>0</v>
      </c>
      <c r="M1059" s="357">
        <v>0</v>
      </c>
      <c r="N1059" s="357">
        <v>2</v>
      </c>
      <c r="O1059" s="357">
        <v>0</v>
      </c>
      <c r="P1059" s="357">
        <v>0</v>
      </c>
      <c r="Q1059" s="358">
        <v>7.7306733167082295E-2</v>
      </c>
      <c r="R1059" s="359">
        <v>0</v>
      </c>
      <c r="S1059" s="196">
        <v>1564129000</v>
      </c>
      <c r="T1059" s="196">
        <v>136400000</v>
      </c>
      <c r="U1059" s="200">
        <f t="shared" si="182"/>
        <v>2462020000</v>
      </c>
      <c r="V1059" s="196">
        <v>-81000000</v>
      </c>
      <c r="W1059" s="196">
        <v>965000000</v>
      </c>
      <c r="X1059" s="196">
        <v>370000000</v>
      </c>
      <c r="Y1059" s="196">
        <v>1442000000</v>
      </c>
      <c r="Z1059" s="196">
        <v>85000000</v>
      </c>
      <c r="AA1059" s="198">
        <v>-0.06</v>
      </c>
      <c r="AB1059" s="198">
        <v>-0.05</v>
      </c>
      <c r="AC1059" s="213">
        <f t="shared" si="183"/>
        <v>1484</v>
      </c>
      <c r="AD1059" s="213">
        <f t="shared" si="184"/>
        <v>1500</v>
      </c>
      <c r="AE1059" s="213">
        <v>0.52</v>
      </c>
      <c r="AF1059" s="196">
        <v>9000000</v>
      </c>
      <c r="AG1059" s="104">
        <f t="shared" si="185"/>
        <v>6.5982404692082108E-2</v>
      </c>
      <c r="AH1059" s="104">
        <f t="shared" si="186"/>
        <v>0</v>
      </c>
      <c r="AI1059" s="195">
        <v>0.87</v>
      </c>
    </row>
    <row r="1060" spans="1:48">
      <c r="A1060">
        <v>5321</v>
      </c>
      <c r="C1060" s="107">
        <f>VLOOKUP(5321,收盤價!$A:$C,3,0)</f>
        <v>38.700000000000003</v>
      </c>
      <c r="D1060" s="107">
        <f t="shared" si="176"/>
        <v>32.250000000000007</v>
      </c>
      <c r="E1060" s="167">
        <f t="shared" si="177"/>
        <v>2</v>
      </c>
      <c r="F1060" s="104">
        <f t="shared" si="178"/>
        <v>1.1949797470145878</v>
      </c>
      <c r="G1060" s="167">
        <f>RANK(0.84,AE:AE,0)</f>
        <v>946</v>
      </c>
      <c r="H1060" s="365">
        <f t="shared" si="179"/>
        <v>3.4722222222222224E-2</v>
      </c>
      <c r="I1060" s="213">
        <f t="shared" si="180"/>
        <v>1094</v>
      </c>
      <c r="J1060" s="213">
        <f t="shared" si="181"/>
        <v>768</v>
      </c>
      <c r="K1060">
        <f>RANK(0.84,AI:AI,0)</f>
        <v>1076</v>
      </c>
      <c r="L1060" s="357">
        <v>0</v>
      </c>
      <c r="M1060" s="357">
        <v>1</v>
      </c>
      <c r="N1060" s="357">
        <v>1</v>
      </c>
      <c r="O1060" s="357">
        <v>0</v>
      </c>
      <c r="P1060" s="357">
        <v>0</v>
      </c>
      <c r="Q1060" s="358">
        <v>0.15517241379310345</v>
      </c>
      <c r="R1060" s="359">
        <v>0.3</v>
      </c>
      <c r="S1060" s="196">
        <v>932702000</v>
      </c>
      <c r="T1060" s="196">
        <v>28800000</v>
      </c>
      <c r="U1060" s="200">
        <f t="shared" si="182"/>
        <v>1114560000</v>
      </c>
      <c r="V1060" s="196">
        <v>0</v>
      </c>
      <c r="W1060" s="196">
        <v>96000000</v>
      </c>
      <c r="X1060" s="196">
        <v>117000000</v>
      </c>
      <c r="Y1060" s="196">
        <v>342000000</v>
      </c>
      <c r="Z1060" s="196">
        <v>39000000</v>
      </c>
      <c r="AA1060" s="198">
        <v>0</v>
      </c>
      <c r="AB1060" s="198">
        <v>0</v>
      </c>
      <c r="AC1060" s="213">
        <f t="shared" si="183"/>
        <v>945</v>
      </c>
      <c r="AD1060" s="213">
        <f t="shared" si="184"/>
        <v>911</v>
      </c>
      <c r="AE1060" s="213">
        <v>0.84</v>
      </c>
      <c r="AF1060" s="196">
        <v>-1000000</v>
      </c>
      <c r="AG1060" s="104">
        <f t="shared" si="185"/>
        <v>-3.4722222222222224E-2</v>
      </c>
      <c r="AH1060" s="104">
        <f t="shared" si="186"/>
        <v>0</v>
      </c>
      <c r="AI1060" s="195">
        <v>0.84</v>
      </c>
    </row>
    <row r="1061" spans="1:48">
      <c r="A1061">
        <v>5324</v>
      </c>
      <c r="C1061" s="107">
        <f>VLOOKUP(5324,收盤價!$A:$C,3,0)</f>
        <v>11.5</v>
      </c>
      <c r="D1061" s="107">
        <f t="shared" si="176"/>
        <v>1.622309482257126</v>
      </c>
      <c r="E1061" s="167">
        <f t="shared" si="177"/>
        <v>5</v>
      </c>
      <c r="F1061" s="104">
        <f t="shared" si="178"/>
        <v>1.4903957417264522</v>
      </c>
      <c r="G1061" s="167">
        <f>RANK(47.21,AE:AE,0)</f>
        <v>10</v>
      </c>
      <c r="H1061" s="365">
        <f t="shared" si="179"/>
        <v>-1.430719656283566</v>
      </c>
      <c r="I1061" s="213">
        <f t="shared" si="180"/>
        <v>107</v>
      </c>
      <c r="J1061" s="213">
        <f t="shared" si="181"/>
        <v>322</v>
      </c>
      <c r="K1061">
        <f>RANK(3.63,AI:AI,0)</f>
        <v>119</v>
      </c>
      <c r="L1061" s="357">
        <v>1</v>
      </c>
      <c r="M1061" s="357">
        <v>1</v>
      </c>
      <c r="N1061" s="357">
        <v>2</v>
      </c>
      <c r="O1061" s="357">
        <v>1</v>
      </c>
      <c r="P1061" s="357">
        <v>0</v>
      </c>
      <c r="Q1061" s="358">
        <v>0.3795518207282913</v>
      </c>
      <c r="R1061" s="359">
        <v>1.7721649484536084</v>
      </c>
      <c r="S1061" s="196">
        <v>820990000</v>
      </c>
      <c r="T1061" s="196">
        <v>106400000</v>
      </c>
      <c r="U1061" s="200">
        <f t="shared" si="182"/>
        <v>1223600000</v>
      </c>
      <c r="V1061" s="196">
        <v>196000000</v>
      </c>
      <c r="W1061" s="196">
        <v>1299000000</v>
      </c>
      <c r="X1061" s="196">
        <v>72000000</v>
      </c>
      <c r="Y1061" s="196">
        <v>1039000000</v>
      </c>
      <c r="Z1061" s="196">
        <v>674000000</v>
      </c>
      <c r="AA1061" s="198">
        <v>0.14000000000000001</v>
      </c>
      <c r="AB1061" s="198">
        <v>0.11</v>
      </c>
      <c r="AC1061" s="213">
        <f t="shared" si="183"/>
        <v>22</v>
      </c>
      <c r="AD1061" s="213">
        <f t="shared" si="184"/>
        <v>11</v>
      </c>
      <c r="AE1061" s="213">
        <v>47.21</v>
      </c>
      <c r="AF1061" s="196">
        <v>333000000</v>
      </c>
      <c r="AG1061" s="104">
        <f t="shared" si="185"/>
        <v>3.1296992481203008</v>
      </c>
      <c r="AH1061" s="104">
        <f t="shared" si="186"/>
        <v>1.6989795918367347</v>
      </c>
      <c r="AI1061" s="195">
        <v>3.63</v>
      </c>
    </row>
    <row r="1062" spans="1:48">
      <c r="A1062">
        <v>5328</v>
      </c>
      <c r="C1062" s="107">
        <f>VLOOKUP(5328,收盤價!$A:$C,3,0)</f>
        <v>6.35</v>
      </c>
      <c r="D1062" s="107">
        <f t="shared" si="176"/>
        <v>17.638888888888889</v>
      </c>
      <c r="E1062" s="167">
        <f t="shared" si="177"/>
        <v>4</v>
      </c>
      <c r="F1062" s="104">
        <f t="shared" si="178"/>
        <v>1.0441497622499383</v>
      </c>
      <c r="G1062" s="167">
        <f>RANK(0.84,AE:AE,0)</f>
        <v>946</v>
      </c>
      <c r="H1062" s="365">
        <f t="shared" si="179"/>
        <v>-0.45429052159282107</v>
      </c>
      <c r="I1062" s="213">
        <f t="shared" si="180"/>
        <v>771</v>
      </c>
      <c r="J1062" s="213">
        <f t="shared" si="181"/>
        <v>768</v>
      </c>
      <c r="K1062">
        <f>RANK(1.01,AI:AI,0)</f>
        <v>874</v>
      </c>
      <c r="L1062" s="357">
        <v>0</v>
      </c>
      <c r="M1062" s="357">
        <v>1</v>
      </c>
      <c r="N1062" s="357">
        <v>2</v>
      </c>
      <c r="O1062" s="357">
        <v>1</v>
      </c>
      <c r="P1062" s="357">
        <v>0</v>
      </c>
      <c r="Q1062" s="358">
        <v>0.23616236162361623</v>
      </c>
      <c r="R1062" s="359">
        <v>0.09</v>
      </c>
      <c r="S1062" s="196">
        <v>1084332000</v>
      </c>
      <c r="T1062" s="196">
        <v>178300000</v>
      </c>
      <c r="U1062" s="200">
        <f t="shared" si="182"/>
        <v>1132205000</v>
      </c>
      <c r="V1062" s="196">
        <v>0</v>
      </c>
      <c r="W1062" s="196">
        <v>1096000000</v>
      </c>
      <c r="X1062" s="196">
        <v>264000000</v>
      </c>
      <c r="Y1062" s="196">
        <v>1837000000</v>
      </c>
      <c r="Z1062" s="196">
        <v>294000000</v>
      </c>
      <c r="AA1062" s="198">
        <v>0</v>
      </c>
      <c r="AB1062" s="198">
        <v>0</v>
      </c>
      <c r="AC1062" s="213">
        <f t="shared" si="183"/>
        <v>945</v>
      </c>
      <c r="AD1062" s="213">
        <f t="shared" si="184"/>
        <v>911</v>
      </c>
      <c r="AE1062" s="213">
        <v>0.84</v>
      </c>
      <c r="AF1062" s="196">
        <v>81000000</v>
      </c>
      <c r="AG1062" s="104">
        <f t="shared" si="185"/>
        <v>0.45429052159282107</v>
      </c>
      <c r="AH1062" s="104">
        <f t="shared" si="186"/>
        <v>0</v>
      </c>
      <c r="AI1062" s="195">
        <v>1.01</v>
      </c>
    </row>
    <row r="1063" spans="1:48">
      <c r="A1063" s="213">
        <v>5340</v>
      </c>
      <c r="C1063" s="107">
        <f>VLOOKUP(5340,收盤價!$A:$C,3,0)</f>
        <v>5.08</v>
      </c>
      <c r="D1063" s="107">
        <f t="shared" si="176"/>
        <v>31.75</v>
      </c>
      <c r="E1063" s="167">
        <f t="shared" si="177"/>
        <v>2</v>
      </c>
      <c r="F1063" s="104">
        <f t="shared" si="178"/>
        <v>0.94567731903423802</v>
      </c>
      <c r="G1063" s="167">
        <f>RANK(1.08,AE:AE,0)</f>
        <v>769</v>
      </c>
      <c r="H1063" s="365">
        <f t="shared" si="179"/>
        <v>0.12827090815802974</v>
      </c>
      <c r="I1063" s="213">
        <f t="shared" si="180"/>
        <v>1158</v>
      </c>
      <c r="J1063" s="213">
        <f t="shared" si="181"/>
        <v>768</v>
      </c>
      <c r="K1063" s="213">
        <f>RANK(0.81,AI:AI,0)</f>
        <v>1144</v>
      </c>
      <c r="L1063" s="357">
        <v>0</v>
      </c>
      <c r="M1063" s="357">
        <v>1</v>
      </c>
      <c r="N1063" s="357">
        <v>0</v>
      </c>
      <c r="O1063" s="357">
        <v>0</v>
      </c>
      <c r="P1063" s="357">
        <v>1</v>
      </c>
      <c r="Q1063" s="358">
        <v>8.8435374149659865E-2</v>
      </c>
      <c r="R1063" s="359">
        <v>0.04</v>
      </c>
      <c r="S1063" s="196">
        <v>1046966000</v>
      </c>
      <c r="T1063" s="196">
        <v>194900000</v>
      </c>
      <c r="U1063" s="200">
        <f t="shared" si="182"/>
        <v>990092000</v>
      </c>
      <c r="V1063" s="196">
        <v>10000000</v>
      </c>
      <c r="W1063" s="196">
        <v>284000000</v>
      </c>
      <c r="X1063" s="196">
        <v>942000000</v>
      </c>
      <c r="Y1063" s="196">
        <v>1236000000</v>
      </c>
      <c r="Z1063" s="196">
        <v>412000000</v>
      </c>
      <c r="AA1063" s="198">
        <v>0.01</v>
      </c>
      <c r="AB1063" s="198">
        <v>0.01</v>
      </c>
      <c r="AC1063" s="213">
        <f t="shared" si="183"/>
        <v>769</v>
      </c>
      <c r="AD1063" s="213">
        <f t="shared" si="184"/>
        <v>680</v>
      </c>
      <c r="AE1063" s="213">
        <v>1.08</v>
      </c>
      <c r="AF1063" s="196">
        <v>-25000000</v>
      </c>
      <c r="AG1063" s="104">
        <f t="shared" si="185"/>
        <v>-0.12827090815802974</v>
      </c>
      <c r="AH1063" s="104">
        <f t="shared" si="186"/>
        <v>0</v>
      </c>
      <c r="AI1063" s="195">
        <v>0.81</v>
      </c>
    </row>
    <row r="1064" spans="1:48">
      <c r="A1064">
        <v>5344</v>
      </c>
      <c r="C1064" s="107">
        <f>VLOOKUP(5344,收盤價!$A:$C,3,0)</f>
        <v>5.65</v>
      </c>
      <c r="D1064" s="107">
        <f t="shared" si="176"/>
        <v>0</v>
      </c>
      <c r="E1064" s="167">
        <f t="shared" si="177"/>
        <v>4</v>
      </c>
      <c r="F1064" s="104">
        <f t="shared" si="178"/>
        <v>3.1104439529353032</v>
      </c>
      <c r="G1064" s="167">
        <f>RANK(0.55,AE:AE,0)</f>
        <v>1436</v>
      </c>
      <c r="H1064" s="365">
        <f t="shared" si="179"/>
        <v>-0.20151133501259447</v>
      </c>
      <c r="I1064" s="213">
        <f t="shared" si="180"/>
        <v>932</v>
      </c>
      <c r="J1064" s="213">
        <f t="shared" si="181"/>
        <v>768</v>
      </c>
      <c r="K1064">
        <f>RANK(0.92,AI:AI,0)</f>
        <v>958</v>
      </c>
      <c r="L1064" s="357">
        <v>0</v>
      </c>
      <c r="M1064" s="357">
        <v>1</v>
      </c>
      <c r="N1064" s="357">
        <v>2</v>
      </c>
      <c r="O1064" s="357">
        <v>1</v>
      </c>
      <c r="P1064" s="357">
        <v>0</v>
      </c>
      <c r="Q1064" s="358">
        <v>-0.32432432432432434</v>
      </c>
      <c r="R1064" s="359">
        <v>0</v>
      </c>
      <c r="S1064" s="196">
        <v>144227000</v>
      </c>
      <c r="T1064" s="196">
        <v>79400000</v>
      </c>
      <c r="U1064" s="200">
        <f t="shared" si="182"/>
        <v>448610000</v>
      </c>
      <c r="V1064" s="196">
        <v>-18000000</v>
      </c>
      <c r="W1064" s="196">
        <v>182000000</v>
      </c>
      <c r="X1064" s="196">
        <v>334000000</v>
      </c>
      <c r="Y1064" s="196">
        <v>625000000</v>
      </c>
      <c r="Z1064" s="196">
        <v>0</v>
      </c>
      <c r="AA1064" s="198">
        <v>-0.03</v>
      </c>
      <c r="AB1064" s="198">
        <v>-0.03</v>
      </c>
      <c r="AC1064" s="213">
        <f t="shared" si="183"/>
        <v>1405</v>
      </c>
      <c r="AD1064" s="213">
        <f t="shared" si="184"/>
        <v>1444</v>
      </c>
      <c r="AE1064" s="213">
        <v>0.55000000000000004</v>
      </c>
      <c r="AF1064" s="196">
        <v>16000000</v>
      </c>
      <c r="AG1064" s="104">
        <f t="shared" si="185"/>
        <v>0.20151133501259447</v>
      </c>
      <c r="AH1064" s="104">
        <f t="shared" si="186"/>
        <v>0</v>
      </c>
      <c r="AI1064" s="195">
        <v>0.92</v>
      </c>
      <c r="AO1064" s="213"/>
      <c r="AP1064" s="213"/>
      <c r="AQ1064" s="213"/>
      <c r="AR1064" s="213"/>
      <c r="AS1064" s="213"/>
      <c r="AT1064" s="213"/>
      <c r="AU1064" s="213"/>
      <c r="AV1064" s="213"/>
    </row>
    <row r="1065" spans="1:48">
      <c r="A1065">
        <v>5345</v>
      </c>
      <c r="C1065" s="107">
        <f>VLOOKUP(5345,收盤價!$A:$C,3,0)</f>
        <v>8.4700000000000006</v>
      </c>
      <c r="D1065" s="107">
        <f t="shared" si="176"/>
        <v>0</v>
      </c>
      <c r="E1065" s="167">
        <f t="shared" si="177"/>
        <v>2</v>
      </c>
      <c r="F1065" s="104">
        <f t="shared" si="178"/>
        <v>3.4474618214971837</v>
      </c>
      <c r="G1065" s="167">
        <f>RANK(0.57,AE:AE,0)</f>
        <v>1389</v>
      </c>
      <c r="H1065" s="365">
        <f t="shared" si="179"/>
        <v>0.6</v>
      </c>
      <c r="I1065" s="213">
        <f t="shared" si="180"/>
        <v>1375</v>
      </c>
      <c r="J1065" s="213">
        <f t="shared" si="181"/>
        <v>768</v>
      </c>
      <c r="K1065">
        <f>RANK(0.73,AI:AI,0)</f>
        <v>1352</v>
      </c>
      <c r="L1065" s="357">
        <v>0</v>
      </c>
      <c r="M1065" s="357">
        <v>1</v>
      </c>
      <c r="N1065" s="357">
        <v>1</v>
      </c>
      <c r="O1065" s="357">
        <v>0</v>
      </c>
      <c r="P1065" s="357">
        <v>0</v>
      </c>
      <c r="Q1065" s="358">
        <v>0.27586206896551724</v>
      </c>
      <c r="R1065" s="359">
        <v>-0.20344827586206896</v>
      </c>
      <c r="S1065" s="196">
        <v>122844000</v>
      </c>
      <c r="T1065" s="196">
        <v>50000000</v>
      </c>
      <c r="U1065" s="200">
        <f t="shared" si="182"/>
        <v>423500000.00000006</v>
      </c>
      <c r="V1065" s="196">
        <v>-10000000</v>
      </c>
      <c r="W1065" s="196">
        <v>450000000</v>
      </c>
      <c r="X1065" s="196">
        <v>8000000</v>
      </c>
      <c r="Y1065" s="196">
        <v>487000000</v>
      </c>
      <c r="Z1065" s="196">
        <v>0</v>
      </c>
      <c r="AA1065" s="198">
        <v>-0.02</v>
      </c>
      <c r="AB1065" s="198">
        <v>-0.02</v>
      </c>
      <c r="AC1065" s="213">
        <f t="shared" si="183"/>
        <v>1353</v>
      </c>
      <c r="AD1065" s="213">
        <f t="shared" si="184"/>
        <v>1388</v>
      </c>
      <c r="AE1065" s="213">
        <v>0.56999999999999995</v>
      </c>
      <c r="AF1065" s="196">
        <v>-30000000</v>
      </c>
      <c r="AG1065" s="104">
        <f t="shared" si="185"/>
        <v>-0.6</v>
      </c>
      <c r="AH1065" s="104">
        <f t="shared" si="186"/>
        <v>0</v>
      </c>
      <c r="AI1065" s="195">
        <v>0.73</v>
      </c>
    </row>
    <row r="1066" spans="1:48">
      <c r="A1066">
        <v>5347</v>
      </c>
      <c r="C1066" s="107">
        <f>VLOOKUP(5347,收盤價!$A:$C,3,0)</f>
        <v>67.099999999999994</v>
      </c>
      <c r="D1066" s="107">
        <f t="shared" si="176"/>
        <v>18.963234634829327</v>
      </c>
      <c r="E1066" s="167">
        <f t="shared" si="177"/>
        <v>4</v>
      </c>
      <c r="F1066" s="104">
        <f t="shared" si="178"/>
        <v>4.6216082876958708</v>
      </c>
      <c r="G1066" s="167">
        <f>RANK(5.79,AE:AE,0)</f>
        <v>129</v>
      </c>
      <c r="H1066" s="365">
        <f t="shared" si="179"/>
        <v>8.0839041625296648E-2</v>
      </c>
      <c r="I1066" s="213">
        <f t="shared" si="180"/>
        <v>322</v>
      </c>
      <c r="J1066" s="213">
        <f t="shared" si="181"/>
        <v>334</v>
      </c>
      <c r="K1066">
        <f>RANK(2.38,AI:AI,0)</f>
        <v>261</v>
      </c>
      <c r="L1066" s="357">
        <v>1</v>
      </c>
      <c r="M1066" s="357">
        <v>1</v>
      </c>
      <c r="N1066" s="357">
        <v>1</v>
      </c>
      <c r="O1066" s="357">
        <v>1</v>
      </c>
      <c r="P1066" s="357">
        <v>0</v>
      </c>
      <c r="Q1066" s="358">
        <v>0.34829026767754911</v>
      </c>
      <c r="R1066" s="359">
        <v>0.8846064673581453</v>
      </c>
      <c r="S1066" s="196">
        <v>23796240000</v>
      </c>
      <c r="T1066" s="196">
        <v>1639000000</v>
      </c>
      <c r="U1066" s="200">
        <f t="shared" si="182"/>
        <v>109976899999.99998</v>
      </c>
      <c r="V1066" s="196">
        <v>1559000000</v>
      </c>
      <c r="W1066" s="196">
        <v>18742000000</v>
      </c>
      <c r="X1066" s="196">
        <v>6635000000</v>
      </c>
      <c r="Y1066" s="196">
        <v>26086000000</v>
      </c>
      <c r="Z1066" s="196">
        <v>0</v>
      </c>
      <c r="AA1066" s="198">
        <v>0.06</v>
      </c>
      <c r="AB1066" s="198">
        <v>0.06</v>
      </c>
      <c r="AC1066" s="213">
        <f t="shared" si="183"/>
        <v>174</v>
      </c>
      <c r="AD1066" s="213">
        <f t="shared" si="184"/>
        <v>95</v>
      </c>
      <c r="AE1066" s="213">
        <v>5.79</v>
      </c>
      <c r="AF1066" s="196">
        <v>2582000000</v>
      </c>
      <c r="AG1066" s="104">
        <f t="shared" si="185"/>
        <v>1.5753508236729714</v>
      </c>
      <c r="AH1066" s="104">
        <f t="shared" si="186"/>
        <v>1.6561898652982681</v>
      </c>
      <c r="AI1066" s="195">
        <v>2.38</v>
      </c>
    </row>
    <row r="1067" spans="1:48">
      <c r="A1067">
        <v>5348</v>
      </c>
      <c r="C1067" s="107">
        <f>VLOOKUP(5348,收盤價!$A:$C,3,0)</f>
        <v>5.3</v>
      </c>
      <c r="D1067" s="107">
        <f t="shared" si="176"/>
        <v>0</v>
      </c>
      <c r="E1067" s="167">
        <f t="shared" si="177"/>
        <v>0</v>
      </c>
      <c r="F1067" s="104">
        <f t="shared" si="178"/>
        <v>0.78240774912986943</v>
      </c>
      <c r="G1067" s="167">
        <f>RANK(0.84,AE:AE,0)</f>
        <v>946</v>
      </c>
      <c r="H1067" s="365">
        <f t="shared" si="179"/>
        <v>0.42307692307692307</v>
      </c>
      <c r="I1067" s="213">
        <f t="shared" si="180"/>
        <v>1321</v>
      </c>
      <c r="J1067" s="213">
        <f t="shared" si="181"/>
        <v>768</v>
      </c>
      <c r="K1067">
        <f>RANK(0.75,AI:AI,0)</f>
        <v>1296</v>
      </c>
      <c r="L1067" s="357">
        <v>0</v>
      </c>
      <c r="M1067" s="357">
        <v>0</v>
      </c>
      <c r="N1067" s="357">
        <v>0</v>
      </c>
      <c r="O1067" s="357">
        <v>0</v>
      </c>
      <c r="P1067" s="357">
        <v>0</v>
      </c>
      <c r="Q1067" s="358">
        <v>0.25</v>
      </c>
      <c r="R1067" s="359">
        <v>-0.5</v>
      </c>
      <c r="S1067" s="196">
        <v>176123000</v>
      </c>
      <c r="T1067" s="196">
        <v>26000000</v>
      </c>
      <c r="U1067" s="200">
        <f t="shared" si="182"/>
        <v>137800000</v>
      </c>
      <c r="V1067" s="196">
        <v>0</v>
      </c>
      <c r="W1067" s="196">
        <v>69000000</v>
      </c>
      <c r="X1067" s="196">
        <v>65000000</v>
      </c>
      <c r="Y1067" s="196">
        <v>90000000</v>
      </c>
      <c r="Z1067" s="196">
        <v>36000000</v>
      </c>
      <c r="AA1067" s="198">
        <v>0</v>
      </c>
      <c r="AB1067" s="198">
        <v>0</v>
      </c>
      <c r="AC1067" s="213">
        <f t="shared" si="183"/>
        <v>945</v>
      </c>
      <c r="AD1067" s="213">
        <f t="shared" si="184"/>
        <v>911</v>
      </c>
      <c r="AE1067" s="213">
        <v>0.84</v>
      </c>
      <c r="AF1067" s="196">
        <v>-11000000</v>
      </c>
      <c r="AG1067" s="104">
        <f t="shared" si="185"/>
        <v>-0.42307692307692307</v>
      </c>
      <c r="AH1067" s="104">
        <f t="shared" si="186"/>
        <v>0</v>
      </c>
      <c r="AI1067" s="195">
        <v>0.75</v>
      </c>
    </row>
    <row r="1068" spans="1:48">
      <c r="A1068">
        <v>5349</v>
      </c>
      <c r="C1068" s="107">
        <f>VLOOKUP(5349,收盤價!$A:$C,3,0)</f>
        <v>32</v>
      </c>
      <c r="D1068" s="107">
        <f t="shared" si="176"/>
        <v>8.6531288852051382</v>
      </c>
      <c r="E1068" s="167">
        <f t="shared" si="177"/>
        <v>4</v>
      </c>
      <c r="F1068" s="104">
        <f t="shared" si="178"/>
        <v>0.92161160712449774</v>
      </c>
      <c r="G1068" s="167">
        <f>RANK(8.11,AE:AE,0)</f>
        <v>90</v>
      </c>
      <c r="H1068" s="365">
        <f t="shared" si="179"/>
        <v>0.214190093708166</v>
      </c>
      <c r="I1068" s="213">
        <f t="shared" si="180"/>
        <v>1217</v>
      </c>
      <c r="J1068" s="213">
        <f t="shared" si="181"/>
        <v>768</v>
      </c>
      <c r="K1068">
        <f>RANK(0.78,AI:AI,0)</f>
        <v>1217</v>
      </c>
      <c r="L1068" s="357">
        <v>1</v>
      </c>
      <c r="M1068" s="357">
        <v>1</v>
      </c>
      <c r="N1068" s="357">
        <v>2</v>
      </c>
      <c r="O1068" s="357">
        <v>0</v>
      </c>
      <c r="P1068" s="357">
        <v>0</v>
      </c>
      <c r="Q1068" s="358">
        <v>0.18267929634641408</v>
      </c>
      <c r="R1068" s="359">
        <v>0.92452107279693485</v>
      </c>
      <c r="S1068" s="196">
        <v>7781152000</v>
      </c>
      <c r="T1068" s="196">
        <v>224100000</v>
      </c>
      <c r="U1068" s="200">
        <f t="shared" si="182"/>
        <v>7171200000</v>
      </c>
      <c r="V1068" s="196">
        <v>256000000</v>
      </c>
      <c r="W1068" s="196">
        <v>485000000</v>
      </c>
      <c r="X1068" s="196">
        <v>2634000000</v>
      </c>
      <c r="Y1068" s="196">
        <v>3540000000</v>
      </c>
      <c r="Z1068" s="196">
        <v>845000000</v>
      </c>
      <c r="AA1068" s="198">
        <v>0.08</v>
      </c>
      <c r="AB1068" s="198">
        <v>0.06</v>
      </c>
      <c r="AC1068" s="213">
        <f t="shared" si="183"/>
        <v>97</v>
      </c>
      <c r="AD1068" s="213">
        <f t="shared" si="184"/>
        <v>95</v>
      </c>
      <c r="AE1068" s="213">
        <v>8.11</v>
      </c>
      <c r="AF1068" s="196">
        <v>-48000000</v>
      </c>
      <c r="AG1068" s="104">
        <f t="shared" si="185"/>
        <v>-0.214190093708166</v>
      </c>
      <c r="AH1068" s="104">
        <f t="shared" si="186"/>
        <v>0</v>
      </c>
      <c r="AI1068" s="195">
        <v>0.78</v>
      </c>
    </row>
    <row r="1069" spans="1:48">
      <c r="A1069">
        <v>5351</v>
      </c>
      <c r="C1069" s="107">
        <f>VLOOKUP(5351,收盤價!$A:$C,3,0)</f>
        <v>12.25</v>
      </c>
      <c r="D1069" s="107">
        <f t="shared" si="176"/>
        <v>0</v>
      </c>
      <c r="E1069" s="167">
        <f t="shared" si="177"/>
        <v>0</v>
      </c>
      <c r="F1069" s="104">
        <f t="shared" si="178"/>
        <v>0.79575157180724243</v>
      </c>
      <c r="G1069" s="167">
        <f>RANK(0.61,AE:AE,0)</f>
        <v>1295</v>
      </c>
      <c r="H1069" s="365">
        <f t="shared" si="179"/>
        <v>0.27231121281464532</v>
      </c>
      <c r="I1069" s="213">
        <f t="shared" si="180"/>
        <v>1257</v>
      </c>
      <c r="J1069" s="213">
        <f t="shared" si="181"/>
        <v>768</v>
      </c>
      <c r="K1069">
        <f>RANK(0.77,AI:AI,0)</f>
        <v>1243</v>
      </c>
      <c r="L1069" s="357">
        <v>0</v>
      </c>
      <c r="M1069" s="357">
        <v>0</v>
      </c>
      <c r="N1069" s="357">
        <v>0</v>
      </c>
      <c r="O1069" s="357">
        <v>0</v>
      </c>
      <c r="P1069" s="357">
        <v>0</v>
      </c>
      <c r="Q1069" s="358">
        <v>0.13916256157635468</v>
      </c>
      <c r="R1069" s="359">
        <v>0</v>
      </c>
      <c r="S1069" s="196">
        <v>6727288000</v>
      </c>
      <c r="T1069" s="196">
        <v>437000000</v>
      </c>
      <c r="U1069" s="200">
        <f t="shared" si="182"/>
        <v>5353250000</v>
      </c>
      <c r="V1069" s="196">
        <v>-46000000</v>
      </c>
      <c r="W1069" s="196">
        <v>3221000000</v>
      </c>
      <c r="X1069" s="196">
        <v>948000000</v>
      </c>
      <c r="Y1069" s="196">
        <v>4400000000</v>
      </c>
      <c r="Z1069" s="196">
        <v>780000000</v>
      </c>
      <c r="AA1069" s="198">
        <v>-0.01</v>
      </c>
      <c r="AB1069" s="198">
        <v>-0.01</v>
      </c>
      <c r="AC1069" s="213">
        <f t="shared" si="183"/>
        <v>1277</v>
      </c>
      <c r="AD1069" s="213">
        <f t="shared" si="184"/>
        <v>1294</v>
      </c>
      <c r="AE1069" s="213">
        <v>0.61</v>
      </c>
      <c r="AF1069" s="196">
        <v>-119000000</v>
      </c>
      <c r="AG1069" s="104">
        <f t="shared" si="185"/>
        <v>-0.27231121281464532</v>
      </c>
      <c r="AH1069" s="104">
        <f t="shared" si="186"/>
        <v>0</v>
      </c>
      <c r="AI1069" s="195">
        <v>0.77</v>
      </c>
    </row>
    <row r="1070" spans="1:48">
      <c r="A1070">
        <v>5353</v>
      </c>
      <c r="C1070" s="107">
        <f>VLOOKUP(5353,收盤價!$A:$C,3,0)</f>
        <v>10.8</v>
      </c>
      <c r="D1070" s="107">
        <f t="shared" si="176"/>
        <v>29.076923076923077</v>
      </c>
      <c r="E1070" s="167">
        <f t="shared" si="177"/>
        <v>1</v>
      </c>
      <c r="F1070" s="104">
        <f t="shared" si="178"/>
        <v>0.87684887459807082</v>
      </c>
      <c r="G1070" s="167">
        <f>RANK(1.08,AE:AE,0)</f>
        <v>769</v>
      </c>
      <c r="H1070" s="365">
        <f t="shared" si="179"/>
        <v>1.4239823982398241</v>
      </c>
      <c r="I1070" s="213">
        <f t="shared" si="180"/>
        <v>947</v>
      </c>
      <c r="J1070" s="213">
        <f t="shared" si="181"/>
        <v>344</v>
      </c>
      <c r="K1070">
        <f>RANK(1.21,AI:AI,0)</f>
        <v>730</v>
      </c>
      <c r="L1070" s="357">
        <v>0</v>
      </c>
      <c r="M1070" s="357">
        <v>1</v>
      </c>
      <c r="N1070" s="357">
        <v>0</v>
      </c>
      <c r="O1070" s="357">
        <v>0</v>
      </c>
      <c r="P1070" s="357">
        <v>0</v>
      </c>
      <c r="Q1070" s="358">
        <v>0.19736842105263158</v>
      </c>
      <c r="R1070" s="359">
        <v>9.285714285714286E-2</v>
      </c>
      <c r="S1070" s="196">
        <v>1119600000</v>
      </c>
      <c r="T1070" s="196">
        <v>90900000</v>
      </c>
      <c r="U1070" s="200">
        <f t="shared" si="182"/>
        <v>981720000.00000012</v>
      </c>
      <c r="V1070" s="196">
        <v>10000000</v>
      </c>
      <c r="W1070" s="196">
        <v>764000000</v>
      </c>
      <c r="X1070" s="196">
        <v>396000000</v>
      </c>
      <c r="Y1070" s="196">
        <v>1188000000</v>
      </c>
      <c r="Z1070" s="196">
        <v>0</v>
      </c>
      <c r="AA1070" s="198">
        <v>0.01</v>
      </c>
      <c r="AB1070" s="198">
        <v>0.01</v>
      </c>
      <c r="AC1070" s="213">
        <f t="shared" si="183"/>
        <v>769</v>
      </c>
      <c r="AD1070" s="213">
        <f t="shared" si="184"/>
        <v>680</v>
      </c>
      <c r="AE1070" s="213">
        <v>1.08</v>
      </c>
      <c r="AF1070" s="196">
        <v>16000000</v>
      </c>
      <c r="AG1070" s="104">
        <f t="shared" si="185"/>
        <v>0.17601760176017603</v>
      </c>
      <c r="AH1070" s="104">
        <f t="shared" si="186"/>
        <v>1.6</v>
      </c>
      <c r="AI1070" s="195">
        <v>1.21</v>
      </c>
    </row>
    <row r="1071" spans="1:48">
      <c r="A1071">
        <v>5355</v>
      </c>
      <c r="C1071" s="107">
        <f>VLOOKUP(5355,收盤價!$A:$C,3,0)</f>
        <v>6.55</v>
      </c>
      <c r="D1071" s="107">
        <f t="shared" si="176"/>
        <v>0</v>
      </c>
      <c r="E1071" s="167">
        <f t="shared" si="177"/>
        <v>4</v>
      </c>
      <c r="F1071" s="104">
        <f t="shared" si="178"/>
        <v>0.95231238538735241</v>
      </c>
      <c r="G1071" s="167">
        <f>RANK(0.84,AE:AE,0)</f>
        <v>946</v>
      </c>
      <c r="H1071" s="365">
        <f t="shared" si="179"/>
        <v>-0.41541240216736908</v>
      </c>
      <c r="I1071" s="213">
        <f t="shared" si="180"/>
        <v>795</v>
      </c>
      <c r="J1071" s="213">
        <f t="shared" si="181"/>
        <v>768</v>
      </c>
      <c r="K1071">
        <f>RANK(1,AI:AI,0)</f>
        <v>884</v>
      </c>
      <c r="L1071" s="357">
        <v>0</v>
      </c>
      <c r="M1071" s="357">
        <v>1</v>
      </c>
      <c r="N1071" s="357">
        <v>2</v>
      </c>
      <c r="O1071" s="357">
        <v>1</v>
      </c>
      <c r="P1071" s="357">
        <v>0</v>
      </c>
      <c r="Q1071" s="358">
        <v>9.8976109215017066E-2</v>
      </c>
      <c r="R1071" s="359">
        <v>0</v>
      </c>
      <c r="S1071" s="196">
        <v>1142435000</v>
      </c>
      <c r="T1071" s="196">
        <v>166100000</v>
      </c>
      <c r="U1071" s="200">
        <f t="shared" si="182"/>
        <v>1087955000</v>
      </c>
      <c r="V1071" s="196">
        <v>-6000000</v>
      </c>
      <c r="W1071" s="196">
        <v>1261000000</v>
      </c>
      <c r="X1071" s="196">
        <v>609000000</v>
      </c>
      <c r="Y1071" s="196">
        <v>1778000000</v>
      </c>
      <c r="Z1071" s="196">
        <v>73000000</v>
      </c>
      <c r="AA1071" s="198">
        <v>0</v>
      </c>
      <c r="AB1071" s="198">
        <v>0</v>
      </c>
      <c r="AC1071" s="213">
        <f t="shared" si="183"/>
        <v>945</v>
      </c>
      <c r="AD1071" s="213">
        <f t="shared" si="184"/>
        <v>911</v>
      </c>
      <c r="AE1071" s="213">
        <v>0.84</v>
      </c>
      <c r="AF1071" s="196">
        <v>69000000</v>
      </c>
      <c r="AG1071" s="104">
        <f t="shared" si="185"/>
        <v>0.41541240216736908</v>
      </c>
      <c r="AH1071" s="104">
        <f t="shared" si="186"/>
        <v>0</v>
      </c>
      <c r="AI1071" s="195">
        <v>1</v>
      </c>
    </row>
    <row r="1072" spans="1:48">
      <c r="A1072">
        <v>5356</v>
      </c>
      <c r="C1072" s="107">
        <f>VLOOKUP(5356,收盤價!$A:$C,3,0)</f>
        <v>40</v>
      </c>
      <c r="D1072" s="107">
        <f t="shared" si="176"/>
        <v>11.598157939621354</v>
      </c>
      <c r="E1072" s="167">
        <f t="shared" si="177"/>
        <v>3</v>
      </c>
      <c r="F1072" s="104">
        <f t="shared" si="178"/>
        <v>0.54186017062705594</v>
      </c>
      <c r="G1072" s="167">
        <f>RANK(1.94,AE:AE,0)</f>
        <v>435</v>
      </c>
      <c r="H1072" s="365">
        <f t="shared" si="179"/>
        <v>-3.1961697722567295E-2</v>
      </c>
      <c r="I1072" s="213">
        <f t="shared" si="180"/>
        <v>857</v>
      </c>
      <c r="J1072" s="213">
        <f t="shared" si="181"/>
        <v>731</v>
      </c>
      <c r="K1072">
        <f>RANK(0.98,AI:AI,0)</f>
        <v>903</v>
      </c>
      <c r="L1072" s="357">
        <v>0</v>
      </c>
      <c r="M1072" s="357">
        <v>1</v>
      </c>
      <c r="N1072" s="357">
        <v>2</v>
      </c>
      <c r="O1072" s="357">
        <v>0</v>
      </c>
      <c r="P1072" s="357">
        <v>0</v>
      </c>
      <c r="Q1072" s="358">
        <v>0.10301605953779867</v>
      </c>
      <c r="R1072" s="359">
        <v>0.86220588235294116</v>
      </c>
      <c r="S1072" s="196">
        <v>9507988000</v>
      </c>
      <c r="T1072" s="196">
        <v>128800000</v>
      </c>
      <c r="U1072" s="200">
        <f t="shared" si="182"/>
        <v>5152000000</v>
      </c>
      <c r="V1072" s="196">
        <v>144000000</v>
      </c>
      <c r="W1072" s="196">
        <v>4366000000</v>
      </c>
      <c r="X1072" s="196">
        <v>690000000</v>
      </c>
      <c r="Y1072" s="196">
        <v>5126000000</v>
      </c>
      <c r="Z1072" s="196">
        <v>420000000</v>
      </c>
      <c r="AA1072" s="198">
        <v>0.03</v>
      </c>
      <c r="AB1072" s="198">
        <v>0.03</v>
      </c>
      <c r="AC1072" s="213">
        <f t="shared" si="183"/>
        <v>469</v>
      </c>
      <c r="AD1072" s="213">
        <f t="shared" si="184"/>
        <v>334</v>
      </c>
      <c r="AE1072" s="213">
        <v>1.94</v>
      </c>
      <c r="AF1072" s="196">
        <v>39000000</v>
      </c>
      <c r="AG1072" s="104">
        <f t="shared" si="185"/>
        <v>0.30279503105590061</v>
      </c>
      <c r="AH1072" s="104">
        <f t="shared" si="186"/>
        <v>0.27083333333333331</v>
      </c>
      <c r="AI1072" s="195">
        <v>0.98</v>
      </c>
    </row>
    <row r="1073" spans="1:48">
      <c r="A1073">
        <v>5364</v>
      </c>
      <c r="C1073" s="107">
        <f>VLOOKUP(5364,收盤價!$A:$C,3,0)</f>
        <v>22</v>
      </c>
      <c r="D1073" s="107">
        <f t="shared" si="176"/>
        <v>0</v>
      </c>
      <c r="E1073" s="167">
        <f t="shared" si="177"/>
        <v>3</v>
      </c>
      <c r="F1073" s="104">
        <f t="shared" si="178"/>
        <v>0.45369994139879244</v>
      </c>
      <c r="G1073" s="167">
        <f>RANK(0.55,AE:AE,0)</f>
        <v>1436</v>
      </c>
      <c r="H1073" s="365">
        <f t="shared" si="179"/>
        <v>1.386138613861386</v>
      </c>
      <c r="I1073" s="213">
        <f t="shared" si="180"/>
        <v>1470</v>
      </c>
      <c r="J1073" s="213">
        <f t="shared" si="181"/>
        <v>768</v>
      </c>
      <c r="K1073">
        <f>RANK(0.7,AI:AI,0)</f>
        <v>1442</v>
      </c>
      <c r="L1073" s="357">
        <v>0</v>
      </c>
      <c r="M1073" s="357">
        <v>1</v>
      </c>
      <c r="N1073" s="357">
        <v>2</v>
      </c>
      <c r="O1073" s="357">
        <v>0</v>
      </c>
      <c r="P1073" s="357">
        <v>0</v>
      </c>
      <c r="Q1073" s="358">
        <v>9.0090090090090089E-3</v>
      </c>
      <c r="R1073" s="359">
        <v>0</v>
      </c>
      <c r="S1073" s="196">
        <v>489751000</v>
      </c>
      <c r="T1073" s="196">
        <v>10100000</v>
      </c>
      <c r="U1073" s="200">
        <f t="shared" si="182"/>
        <v>222200000</v>
      </c>
      <c r="V1073" s="196">
        <v>-13000000</v>
      </c>
      <c r="W1073" s="196">
        <v>0</v>
      </c>
      <c r="X1073" s="196">
        <v>500000000</v>
      </c>
      <c r="Y1073" s="196">
        <v>264000000</v>
      </c>
      <c r="Z1073" s="196">
        <v>205000000</v>
      </c>
      <c r="AA1073" s="198">
        <v>-0.03</v>
      </c>
      <c r="AB1073" s="198">
        <v>-0.03</v>
      </c>
      <c r="AC1073" s="213">
        <f t="shared" si="183"/>
        <v>1405</v>
      </c>
      <c r="AD1073" s="213">
        <f t="shared" si="184"/>
        <v>1444</v>
      </c>
      <c r="AE1073" s="213">
        <v>0.55000000000000004</v>
      </c>
      <c r="AF1073" s="196">
        <v>-14000000</v>
      </c>
      <c r="AG1073" s="104">
        <f t="shared" si="185"/>
        <v>-1.386138613861386</v>
      </c>
      <c r="AH1073" s="104">
        <f t="shared" si="186"/>
        <v>0</v>
      </c>
      <c r="AI1073" s="195">
        <v>0.7</v>
      </c>
    </row>
    <row r="1074" spans="1:48">
      <c r="A1074">
        <v>5371</v>
      </c>
      <c r="C1074" s="107">
        <f>VLOOKUP(5371,收盤價!$A:$C,3,0)</f>
        <v>32.85</v>
      </c>
      <c r="D1074" s="107">
        <f t="shared" si="176"/>
        <v>26.095479704797047</v>
      </c>
      <c r="E1074" s="167">
        <f t="shared" si="177"/>
        <v>2</v>
      </c>
      <c r="F1074" s="104">
        <f t="shared" si="178"/>
        <v>0.28747461426977922</v>
      </c>
      <c r="G1074" s="167">
        <f>RANK(1.08,AE:AE,0)</f>
        <v>769</v>
      </c>
      <c r="H1074" s="365">
        <f t="shared" si="179"/>
        <v>1.5132087568117962</v>
      </c>
      <c r="I1074" s="213">
        <f t="shared" si="180"/>
        <v>271</v>
      </c>
      <c r="J1074" s="213">
        <f t="shared" si="181"/>
        <v>142</v>
      </c>
      <c r="K1074">
        <f>RANK(3.77,AI:AI,0)</f>
        <v>109</v>
      </c>
      <c r="L1074" s="357">
        <v>0</v>
      </c>
      <c r="M1074" s="357">
        <v>1</v>
      </c>
      <c r="N1074" s="357">
        <v>1</v>
      </c>
      <c r="O1074" s="357">
        <v>0</v>
      </c>
      <c r="P1074" s="357">
        <v>0</v>
      </c>
      <c r="Q1074" s="358">
        <v>0.15568818155025052</v>
      </c>
      <c r="R1074" s="359">
        <v>0.31470967741935485</v>
      </c>
      <c r="S1074" s="196">
        <v>62049131000</v>
      </c>
      <c r="T1074" s="196">
        <v>543000000</v>
      </c>
      <c r="U1074" s="200">
        <f t="shared" si="182"/>
        <v>17837550000</v>
      </c>
      <c r="V1074" s="196">
        <v>293000000</v>
      </c>
      <c r="W1074" s="196">
        <v>14513000000</v>
      </c>
      <c r="X1074" s="196">
        <v>8255000000</v>
      </c>
      <c r="Y1074" s="196">
        <v>24496000000</v>
      </c>
      <c r="Z1074" s="196">
        <v>2347000000</v>
      </c>
      <c r="AA1074" s="198">
        <v>0.01</v>
      </c>
      <c r="AB1074" s="198">
        <v>0.01</v>
      </c>
      <c r="AC1074" s="213">
        <f t="shared" si="183"/>
        <v>769</v>
      </c>
      <c r="AD1074" s="213">
        <f t="shared" si="184"/>
        <v>680</v>
      </c>
      <c r="AE1074" s="213">
        <v>1.08</v>
      </c>
      <c r="AF1074" s="196">
        <v>963000000</v>
      </c>
      <c r="AG1074" s="104">
        <f t="shared" si="185"/>
        <v>1.7734806629834254</v>
      </c>
      <c r="AH1074" s="104">
        <f t="shared" si="186"/>
        <v>3.2866894197952217</v>
      </c>
      <c r="AI1074" s="195">
        <v>3.77</v>
      </c>
    </row>
    <row r="1075" spans="1:48">
      <c r="A1075">
        <v>5381</v>
      </c>
      <c r="C1075" s="107">
        <f>VLOOKUP(5381,收盤價!$A:$C,3,0)</f>
        <v>1.81</v>
      </c>
      <c r="D1075" s="107">
        <f t="shared" si="176"/>
        <v>8.912878787878789</v>
      </c>
      <c r="E1075" s="167">
        <f t="shared" si="177"/>
        <v>3</v>
      </c>
      <c r="F1075" s="104">
        <f t="shared" si="178"/>
        <v>0.60410070158601614</v>
      </c>
      <c r="G1075" s="167">
        <f>RANK(1.94,AE:AE,0)</f>
        <v>435</v>
      </c>
      <c r="H1075" s="365">
        <f t="shared" si="179"/>
        <v>1.013851772670586</v>
      </c>
      <c r="I1075" s="213">
        <f t="shared" si="180"/>
        <v>1019</v>
      </c>
      <c r="J1075" s="213">
        <f t="shared" si="181"/>
        <v>509</v>
      </c>
      <c r="K1075">
        <f>RANK(1.02,AI:AI,0)</f>
        <v>862</v>
      </c>
      <c r="L1075" s="357">
        <v>0</v>
      </c>
      <c r="M1075" s="357">
        <v>1</v>
      </c>
      <c r="N1075" s="357">
        <v>1</v>
      </c>
      <c r="O1075" s="357">
        <v>1</v>
      </c>
      <c r="P1075" s="357">
        <v>0</v>
      </c>
      <c r="Q1075" s="358">
        <v>0.23728813559322035</v>
      </c>
      <c r="R1075" s="359">
        <v>5.0769230769230768E-2</v>
      </c>
      <c r="S1075" s="196">
        <v>560587000</v>
      </c>
      <c r="T1075" s="196">
        <v>187100000</v>
      </c>
      <c r="U1075" s="200">
        <f t="shared" si="182"/>
        <v>338651000</v>
      </c>
      <c r="V1075" s="196">
        <v>12000000</v>
      </c>
      <c r="W1075" s="196">
        <v>437000000</v>
      </c>
      <c r="X1075" s="196">
        <v>28000000</v>
      </c>
      <c r="Y1075" s="196">
        <v>463000000</v>
      </c>
      <c r="Z1075" s="196">
        <v>10000000</v>
      </c>
      <c r="AA1075" s="198">
        <v>0.03</v>
      </c>
      <c r="AB1075" s="198">
        <v>0.03</v>
      </c>
      <c r="AC1075" s="213">
        <f t="shared" si="183"/>
        <v>469</v>
      </c>
      <c r="AD1075" s="213">
        <f t="shared" si="184"/>
        <v>334</v>
      </c>
      <c r="AE1075" s="213">
        <v>1.94</v>
      </c>
      <c r="AF1075" s="196">
        <v>13000000</v>
      </c>
      <c r="AG1075" s="104">
        <f t="shared" si="185"/>
        <v>6.9481560662747188E-2</v>
      </c>
      <c r="AH1075" s="104">
        <f t="shared" si="186"/>
        <v>1.0833333333333333</v>
      </c>
      <c r="AI1075" s="195">
        <v>1.02</v>
      </c>
    </row>
    <row r="1076" spans="1:48">
      <c r="A1076">
        <v>5383</v>
      </c>
      <c r="C1076" s="107">
        <f>VLOOKUP(5383,收盤價!$A:$C,3,0)</f>
        <v>8.52</v>
      </c>
      <c r="D1076" s="107">
        <f t="shared" si="176"/>
        <v>0</v>
      </c>
      <c r="E1076" s="167">
        <f t="shared" si="177"/>
        <v>3</v>
      </c>
      <c r="F1076" s="104">
        <f t="shared" si="178"/>
        <v>0.66102706033074821</v>
      </c>
      <c r="G1076" s="167">
        <f>RANK(0.84,AE:AE,0)</f>
        <v>946</v>
      </c>
      <c r="H1076" s="365">
        <f t="shared" si="179"/>
        <v>0.7142857142857143</v>
      </c>
      <c r="I1076" s="213">
        <f t="shared" si="180"/>
        <v>1391</v>
      </c>
      <c r="J1076" s="213">
        <f t="shared" si="181"/>
        <v>768</v>
      </c>
      <c r="K1076">
        <f>RANK(0.72,AI:AI,0)</f>
        <v>1381</v>
      </c>
      <c r="L1076" s="357">
        <v>0</v>
      </c>
      <c r="M1076" s="357">
        <v>1</v>
      </c>
      <c r="N1076" s="357">
        <v>2</v>
      </c>
      <c r="O1076" s="357">
        <v>0</v>
      </c>
      <c r="P1076" s="357">
        <v>0</v>
      </c>
      <c r="Q1076" s="358">
        <v>9.5238095238095233E-2</v>
      </c>
      <c r="R1076" s="359">
        <v>-0.42</v>
      </c>
      <c r="S1076" s="196">
        <v>920277000</v>
      </c>
      <c r="T1076" s="196">
        <v>71400000</v>
      </c>
      <c r="U1076" s="200">
        <f t="shared" si="182"/>
        <v>608328000</v>
      </c>
      <c r="V1076" s="196">
        <v>0</v>
      </c>
      <c r="W1076" s="196">
        <v>297000000</v>
      </c>
      <c r="X1076" s="196">
        <v>857000000</v>
      </c>
      <c r="Y1076" s="196">
        <v>868000000</v>
      </c>
      <c r="Z1076" s="196">
        <v>402000000</v>
      </c>
      <c r="AA1076" s="198">
        <v>0</v>
      </c>
      <c r="AB1076" s="198">
        <v>0</v>
      </c>
      <c r="AC1076" s="213">
        <f t="shared" si="183"/>
        <v>945</v>
      </c>
      <c r="AD1076" s="213">
        <f t="shared" si="184"/>
        <v>911</v>
      </c>
      <c r="AE1076" s="213">
        <v>0.84</v>
      </c>
      <c r="AF1076" s="196">
        <v>-51000000</v>
      </c>
      <c r="AG1076" s="104">
        <f t="shared" si="185"/>
        <v>-0.7142857142857143</v>
      </c>
      <c r="AH1076" s="104">
        <f t="shared" si="186"/>
        <v>0</v>
      </c>
      <c r="AI1076" s="195">
        <v>0.72</v>
      </c>
    </row>
    <row r="1077" spans="1:48">
      <c r="A1077">
        <v>5384</v>
      </c>
      <c r="C1077" s="107">
        <f>VLOOKUP(5384,收盤價!$A:$C,3,0)</f>
        <v>11.85</v>
      </c>
      <c r="D1077" s="107">
        <f t="shared" si="176"/>
        <v>22.21875</v>
      </c>
      <c r="E1077" s="167">
        <f t="shared" si="177"/>
        <v>2</v>
      </c>
      <c r="F1077" s="104">
        <f t="shared" si="178"/>
        <v>7.9151913337188864E-2</v>
      </c>
      <c r="G1077" s="167">
        <f>RANK(1.08,AE:AE,0)</f>
        <v>769</v>
      </c>
      <c r="H1077" s="365">
        <f t="shared" si="179"/>
        <v>1.136180904522613</v>
      </c>
      <c r="I1077" s="213">
        <f t="shared" si="180"/>
        <v>883</v>
      </c>
      <c r="J1077" s="213">
        <f t="shared" si="181"/>
        <v>407</v>
      </c>
      <c r="K1077">
        <f>RANK(1.21,AI:AI,0)</f>
        <v>730</v>
      </c>
      <c r="L1077" s="357">
        <v>0</v>
      </c>
      <c r="M1077" s="357">
        <v>1</v>
      </c>
      <c r="N1077" s="357">
        <v>0</v>
      </c>
      <c r="O1077" s="357">
        <v>1</v>
      </c>
      <c r="P1077" s="357">
        <v>0</v>
      </c>
      <c r="Q1077" s="358">
        <v>5.1426426426426426E-2</v>
      </c>
      <c r="R1077" s="359">
        <v>0.13333333333333333</v>
      </c>
      <c r="S1077" s="196">
        <v>11917084000</v>
      </c>
      <c r="T1077" s="196">
        <v>79600000</v>
      </c>
      <c r="U1077" s="200">
        <f t="shared" si="182"/>
        <v>943260000</v>
      </c>
      <c r="V1077" s="196">
        <v>15000000</v>
      </c>
      <c r="W1077" s="196">
        <v>997000000</v>
      </c>
      <c r="X1077" s="196">
        <v>20000000</v>
      </c>
      <c r="Y1077" s="196">
        <v>1088000000</v>
      </c>
      <c r="Z1077" s="196">
        <v>210000000</v>
      </c>
      <c r="AA1077" s="198">
        <v>0.01</v>
      </c>
      <c r="AB1077" s="198">
        <v>0.01</v>
      </c>
      <c r="AC1077" s="213">
        <f t="shared" si="183"/>
        <v>769</v>
      </c>
      <c r="AD1077" s="213">
        <f t="shared" si="184"/>
        <v>680</v>
      </c>
      <c r="AE1077" s="213">
        <v>1.08</v>
      </c>
      <c r="AF1077" s="196">
        <v>21000000</v>
      </c>
      <c r="AG1077" s="104">
        <f t="shared" si="185"/>
        <v>0.26381909547738691</v>
      </c>
      <c r="AH1077" s="104">
        <f t="shared" si="186"/>
        <v>1.4</v>
      </c>
      <c r="AI1077" s="195">
        <v>1.21</v>
      </c>
    </row>
    <row r="1078" spans="1:48">
      <c r="A1078">
        <v>5386</v>
      </c>
      <c r="C1078" s="107">
        <f>VLOOKUP(5386,收盤價!$A:$C,3,0)</f>
        <v>26</v>
      </c>
      <c r="D1078" s="107">
        <f t="shared" si="176"/>
        <v>0</v>
      </c>
      <c r="E1078" s="167">
        <f t="shared" si="177"/>
        <v>1</v>
      </c>
      <c r="F1078" s="104">
        <f t="shared" si="178"/>
        <v>0.27534381384760692</v>
      </c>
      <c r="G1078" s="167">
        <f>RANK(0.58,AE:AE,0)</f>
        <v>1374</v>
      </c>
      <c r="H1078" s="365">
        <f t="shared" si="179"/>
        <v>8.6991869918699187</v>
      </c>
      <c r="I1078" s="213">
        <f t="shared" si="180"/>
        <v>1552</v>
      </c>
      <c r="J1078" s="213">
        <f t="shared" si="181"/>
        <v>768</v>
      </c>
      <c r="K1078">
        <f>RANK(0.67,AI:AI,0)</f>
        <v>1541</v>
      </c>
      <c r="L1078" s="357">
        <v>0</v>
      </c>
      <c r="M1078" s="357">
        <v>0</v>
      </c>
      <c r="N1078" s="357">
        <v>1</v>
      </c>
      <c r="O1078" s="357">
        <v>0</v>
      </c>
      <c r="P1078" s="357">
        <v>0</v>
      </c>
      <c r="Q1078" s="358">
        <v>2.9925187032418952E-2</v>
      </c>
      <c r="R1078" s="359">
        <v>0</v>
      </c>
      <c r="S1078" s="196">
        <v>1161457000</v>
      </c>
      <c r="T1078" s="196">
        <v>12300000</v>
      </c>
      <c r="U1078" s="200">
        <f t="shared" si="182"/>
        <v>319800000</v>
      </c>
      <c r="V1078" s="196">
        <v>-3000000</v>
      </c>
      <c r="W1078" s="196">
        <v>105000000</v>
      </c>
      <c r="X1078" s="196">
        <v>2000000</v>
      </c>
      <c r="Y1078" s="196">
        <v>155000000</v>
      </c>
      <c r="Z1078" s="196">
        <v>85000000</v>
      </c>
      <c r="AA1078" s="198">
        <v>-0.03</v>
      </c>
      <c r="AB1078" s="198">
        <v>-0.01</v>
      </c>
      <c r="AC1078" s="213">
        <f t="shared" si="183"/>
        <v>1405</v>
      </c>
      <c r="AD1078" s="213">
        <f t="shared" si="184"/>
        <v>1294</v>
      </c>
      <c r="AE1078" s="213">
        <v>0.57999999999999996</v>
      </c>
      <c r="AF1078" s="196">
        <v>-107000000</v>
      </c>
      <c r="AG1078" s="104">
        <f t="shared" si="185"/>
        <v>-8.6991869918699187</v>
      </c>
      <c r="AH1078" s="104">
        <f t="shared" si="186"/>
        <v>0</v>
      </c>
      <c r="AI1078" s="195">
        <v>0.67</v>
      </c>
    </row>
    <row r="1079" spans="1:48">
      <c r="A1079">
        <v>5388</v>
      </c>
      <c r="C1079" s="107">
        <f>VLOOKUP(5388,收盤價!$A:$C,3,0)</f>
        <v>72</v>
      </c>
      <c r="D1079" s="107">
        <f t="shared" si="176"/>
        <v>12.587412587412588</v>
      </c>
      <c r="E1079" s="167">
        <f t="shared" si="177"/>
        <v>4</v>
      </c>
      <c r="F1079" s="104">
        <f t="shared" si="178"/>
        <v>0.46298269522492574</v>
      </c>
      <c r="G1079" s="167">
        <f>RANK(0.84,AE:AE,0)</f>
        <v>946</v>
      </c>
      <c r="H1079" s="365">
        <f t="shared" si="179"/>
        <v>-1.6055990119390695</v>
      </c>
      <c r="I1079" s="213">
        <f t="shared" si="180"/>
        <v>312</v>
      </c>
      <c r="J1079" s="213">
        <f t="shared" si="181"/>
        <v>768</v>
      </c>
      <c r="K1079">
        <f>RANK(1.44,AI:AI,0)</f>
        <v>595</v>
      </c>
      <c r="L1079" s="357">
        <v>0</v>
      </c>
      <c r="M1079" s="357">
        <v>1</v>
      </c>
      <c r="N1079" s="357">
        <v>2</v>
      </c>
      <c r="O1079" s="357">
        <v>1</v>
      </c>
      <c r="P1079" s="357">
        <v>0</v>
      </c>
      <c r="Q1079" s="358">
        <v>0.13832542080276219</v>
      </c>
      <c r="R1079" s="359">
        <v>1.43</v>
      </c>
      <c r="S1079" s="196">
        <v>37774198000</v>
      </c>
      <c r="T1079" s="196">
        <v>242900000</v>
      </c>
      <c r="U1079" s="200">
        <f t="shared" si="182"/>
        <v>17488800000</v>
      </c>
      <c r="V1079" s="196">
        <v>0</v>
      </c>
      <c r="W1079" s="196">
        <v>2202000000</v>
      </c>
      <c r="X1079" s="196">
        <v>3361000000</v>
      </c>
      <c r="Y1079" s="196">
        <v>6568000000</v>
      </c>
      <c r="Z1079" s="196">
        <v>1817000000</v>
      </c>
      <c r="AA1079" s="198">
        <v>0</v>
      </c>
      <c r="AB1079" s="198">
        <v>0</v>
      </c>
      <c r="AC1079" s="213">
        <f t="shared" si="183"/>
        <v>945</v>
      </c>
      <c r="AD1079" s="213">
        <f t="shared" si="184"/>
        <v>911</v>
      </c>
      <c r="AE1079" s="213">
        <v>0.84</v>
      </c>
      <c r="AF1079" s="196">
        <v>390000000</v>
      </c>
      <c r="AG1079" s="104">
        <f t="shared" si="185"/>
        <v>1.6055990119390695</v>
      </c>
      <c r="AH1079" s="104">
        <f t="shared" si="186"/>
        <v>0</v>
      </c>
      <c r="AI1079" s="195">
        <v>1.44</v>
      </c>
    </row>
    <row r="1080" spans="1:48">
      <c r="A1080">
        <v>5392</v>
      </c>
      <c r="C1080" s="107">
        <f>VLOOKUP(5392,收盤價!$A:$C,3,0)</f>
        <v>50.1</v>
      </c>
      <c r="D1080" s="107">
        <f t="shared" si="176"/>
        <v>0</v>
      </c>
      <c r="E1080" s="167">
        <f t="shared" si="177"/>
        <v>2</v>
      </c>
      <c r="F1080" s="104">
        <f t="shared" si="178"/>
        <v>0.72449972820153041</v>
      </c>
      <c r="G1080" s="167">
        <f>RANK(1.08,AE:AE,0)</f>
        <v>769</v>
      </c>
      <c r="H1080" s="365">
        <f t="shared" si="179"/>
        <v>0.17068273092369479</v>
      </c>
      <c r="I1080" s="213">
        <f t="shared" si="180"/>
        <v>1188</v>
      </c>
      <c r="J1080" s="213">
        <f t="shared" si="181"/>
        <v>768</v>
      </c>
      <c r="K1080">
        <f>RANK(0.8,AI:AI,0)</f>
        <v>1168</v>
      </c>
      <c r="L1080" s="357">
        <v>0</v>
      </c>
      <c r="M1080" s="357">
        <v>1</v>
      </c>
      <c r="N1080" s="357">
        <v>1</v>
      </c>
      <c r="O1080" s="357">
        <v>0</v>
      </c>
      <c r="P1080" s="357">
        <v>0</v>
      </c>
      <c r="Q1080" s="358">
        <v>0.14910765687967761</v>
      </c>
      <c r="R1080" s="359">
        <v>0</v>
      </c>
      <c r="S1080" s="196">
        <v>6887456000</v>
      </c>
      <c r="T1080" s="196">
        <v>99600000</v>
      </c>
      <c r="U1080" s="200">
        <f t="shared" si="182"/>
        <v>4989960000</v>
      </c>
      <c r="V1080" s="196">
        <v>41000000</v>
      </c>
      <c r="W1080" s="196">
        <v>2794000000</v>
      </c>
      <c r="X1080" s="196">
        <v>3637000000</v>
      </c>
      <c r="Y1080" s="196">
        <v>5781000000</v>
      </c>
      <c r="Z1080" s="196">
        <v>1386000000</v>
      </c>
      <c r="AA1080" s="198">
        <v>0.01</v>
      </c>
      <c r="AB1080" s="198">
        <v>0.01</v>
      </c>
      <c r="AC1080" s="213">
        <f t="shared" si="183"/>
        <v>769</v>
      </c>
      <c r="AD1080" s="213">
        <f t="shared" si="184"/>
        <v>680</v>
      </c>
      <c r="AE1080" s="213">
        <v>1.08</v>
      </c>
      <c r="AF1080" s="196">
        <v>-17000000</v>
      </c>
      <c r="AG1080" s="104">
        <f t="shared" si="185"/>
        <v>-0.17068273092369479</v>
      </c>
      <c r="AH1080" s="104">
        <f t="shared" si="186"/>
        <v>0</v>
      </c>
      <c r="AI1080" s="195">
        <v>0.8</v>
      </c>
    </row>
    <row r="1081" spans="1:48">
      <c r="A1081">
        <v>5395</v>
      </c>
      <c r="C1081" s="107" t="e">
        <f>VLOOKUP(5395,收盤價!$A:$C,3,0)</f>
        <v>#N/A</v>
      </c>
      <c r="D1081" s="107">
        <f t="shared" si="176"/>
        <v>0</v>
      </c>
      <c r="E1081" s="167">
        <f t="shared" si="177"/>
        <v>2</v>
      </c>
      <c r="F1081" s="104">
        <f t="shared" si="178"/>
        <v>0</v>
      </c>
      <c r="G1081" s="167">
        <f>RANK(1.08,AE:AE,0)</f>
        <v>769</v>
      </c>
      <c r="H1081" s="365">
        <f t="shared" si="179"/>
        <v>6.7406400966183577</v>
      </c>
      <c r="I1081" s="213">
        <f t="shared" si="180"/>
        <v>18</v>
      </c>
      <c r="J1081" s="213">
        <f t="shared" si="181"/>
        <v>24</v>
      </c>
      <c r="K1081">
        <f>RANK(37.1,AI:AI,0)</f>
        <v>3</v>
      </c>
      <c r="L1081" s="357">
        <v>0</v>
      </c>
      <c r="M1081" s="357">
        <v>1</v>
      </c>
      <c r="N1081" s="357">
        <v>0</v>
      </c>
      <c r="O1081" s="357">
        <v>1</v>
      </c>
      <c r="P1081" s="357">
        <v>0</v>
      </c>
      <c r="Q1081" s="358">
        <v>0.21008403361344538</v>
      </c>
      <c r="R1081" s="359">
        <v>0</v>
      </c>
      <c r="S1081" s="196">
        <v>1076217000</v>
      </c>
      <c r="T1081" s="196">
        <v>73600000</v>
      </c>
      <c r="U1081" s="200" t="e">
        <f t="shared" si="182"/>
        <v>#N/A</v>
      </c>
      <c r="V1081" s="196">
        <v>36000000</v>
      </c>
      <c r="W1081" s="196">
        <v>0</v>
      </c>
      <c r="X1081" s="196">
        <v>2662000000</v>
      </c>
      <c r="Y1081" s="196">
        <v>2925000000</v>
      </c>
      <c r="Z1081" s="196">
        <v>2686000000</v>
      </c>
      <c r="AA1081" s="198">
        <v>0.01</v>
      </c>
      <c r="AB1081" s="198">
        <v>0.01</v>
      </c>
      <c r="AC1081" s="213">
        <f t="shared" si="183"/>
        <v>769</v>
      </c>
      <c r="AD1081" s="213">
        <f t="shared" si="184"/>
        <v>680</v>
      </c>
      <c r="AE1081" s="213">
        <v>1.08</v>
      </c>
      <c r="AF1081" s="196">
        <v>475000000</v>
      </c>
      <c r="AG1081" s="104">
        <f t="shared" si="185"/>
        <v>6.4538043478260869</v>
      </c>
      <c r="AH1081" s="104">
        <f t="shared" si="186"/>
        <v>13.194444444444445</v>
      </c>
      <c r="AI1081" s="195">
        <v>37.1</v>
      </c>
    </row>
    <row r="1082" spans="1:48">
      <c r="A1082">
        <v>5398</v>
      </c>
      <c r="C1082" s="107">
        <f>VLOOKUP(5398,收盤價!$A:$C,3,0)</f>
        <v>48.3</v>
      </c>
      <c r="D1082" s="107">
        <f t="shared" si="176"/>
        <v>301.875</v>
      </c>
      <c r="E1082" s="167">
        <f t="shared" si="177"/>
        <v>2</v>
      </c>
      <c r="F1082" s="104">
        <f t="shared" si="178"/>
        <v>8.9127362366474934</v>
      </c>
      <c r="G1082" s="167">
        <f>RANK(0.84,AE:AE,0)</f>
        <v>946</v>
      </c>
      <c r="H1082" s="365">
        <f t="shared" si="179"/>
        <v>0.17811704834605599</v>
      </c>
      <c r="I1082" s="213">
        <f t="shared" si="180"/>
        <v>1198</v>
      </c>
      <c r="J1082" s="213">
        <f t="shared" si="181"/>
        <v>768</v>
      </c>
      <c r="K1082">
        <f>RANK(0.79,AI:AI,0)</f>
        <v>1192</v>
      </c>
      <c r="L1082" s="357">
        <v>1</v>
      </c>
      <c r="M1082" s="357">
        <v>1</v>
      </c>
      <c r="N1082" s="357">
        <v>0</v>
      </c>
      <c r="O1082" s="357">
        <v>0</v>
      </c>
      <c r="P1082" s="357">
        <v>0</v>
      </c>
      <c r="Q1082" s="358">
        <v>0.33962264150943394</v>
      </c>
      <c r="R1082" s="359">
        <v>0.04</v>
      </c>
      <c r="S1082" s="196">
        <v>212975000</v>
      </c>
      <c r="T1082" s="196">
        <v>39300000</v>
      </c>
      <c r="U1082" s="200">
        <f t="shared" si="182"/>
        <v>1898190000</v>
      </c>
      <c r="V1082" s="196">
        <v>1000000</v>
      </c>
      <c r="W1082" s="196">
        <v>339000000</v>
      </c>
      <c r="X1082" s="196">
        <v>37000000</v>
      </c>
      <c r="Y1082" s="196">
        <v>424000000</v>
      </c>
      <c r="Z1082" s="196">
        <v>0</v>
      </c>
      <c r="AA1082" s="198">
        <v>0</v>
      </c>
      <c r="AB1082" s="198">
        <v>0</v>
      </c>
      <c r="AC1082" s="213">
        <f t="shared" si="183"/>
        <v>945</v>
      </c>
      <c r="AD1082" s="213">
        <f t="shared" si="184"/>
        <v>911</v>
      </c>
      <c r="AE1082" s="213">
        <v>0.84</v>
      </c>
      <c r="AF1082" s="196">
        <v>-7000000</v>
      </c>
      <c r="AG1082" s="104">
        <f t="shared" si="185"/>
        <v>-0.17811704834605599</v>
      </c>
      <c r="AH1082" s="104">
        <f t="shared" si="186"/>
        <v>0</v>
      </c>
      <c r="AI1082" s="195">
        <v>0.79</v>
      </c>
    </row>
    <row r="1083" spans="1:48">
      <c r="A1083">
        <v>5403</v>
      </c>
      <c r="C1083" s="107">
        <f>VLOOKUP(5403,收盤價!$A:$C,3,0)</f>
        <v>30</v>
      </c>
      <c r="D1083" s="107">
        <f t="shared" si="176"/>
        <v>7.6551168412570512</v>
      </c>
      <c r="E1083" s="167">
        <f t="shared" si="177"/>
        <v>3</v>
      </c>
      <c r="F1083" s="104">
        <f t="shared" si="178"/>
        <v>1.3185165214753904</v>
      </c>
      <c r="G1083" s="167">
        <f>RANK(7.11,AE:AE,0)</f>
        <v>108</v>
      </c>
      <c r="H1083" s="365">
        <f t="shared" si="179"/>
        <v>-0.16335967714814192</v>
      </c>
      <c r="I1083" s="213">
        <f t="shared" si="180"/>
        <v>547</v>
      </c>
      <c r="J1083" s="213">
        <f t="shared" si="181"/>
        <v>610</v>
      </c>
      <c r="K1083">
        <f>RANK(1.35,AI:AI,0)</f>
        <v>650</v>
      </c>
      <c r="L1083" s="357">
        <v>1</v>
      </c>
      <c r="M1083" s="357">
        <v>1</v>
      </c>
      <c r="N1083" s="357">
        <v>0</v>
      </c>
      <c r="O1083" s="357">
        <v>1</v>
      </c>
      <c r="P1083" s="357">
        <v>0</v>
      </c>
      <c r="Q1083" s="358">
        <v>0.37640449438202245</v>
      </c>
      <c r="R1083" s="359">
        <v>0.97973684210526313</v>
      </c>
      <c r="S1083" s="196">
        <v>1424328000</v>
      </c>
      <c r="T1083" s="196">
        <v>62600000</v>
      </c>
      <c r="U1083" s="200">
        <f t="shared" si="182"/>
        <v>1878000000</v>
      </c>
      <c r="V1083" s="196">
        <v>76000000</v>
      </c>
      <c r="W1083" s="196">
        <v>0</v>
      </c>
      <c r="X1083" s="196">
        <v>835000000</v>
      </c>
      <c r="Y1083" s="196">
        <v>1158000000</v>
      </c>
      <c r="Z1083" s="196">
        <v>477000000</v>
      </c>
      <c r="AA1083" s="198">
        <v>0.09</v>
      </c>
      <c r="AB1083" s="198">
        <v>0.05</v>
      </c>
      <c r="AC1083" s="213">
        <f t="shared" si="183"/>
        <v>69</v>
      </c>
      <c r="AD1083" s="213">
        <f t="shared" si="184"/>
        <v>150</v>
      </c>
      <c r="AE1083" s="213">
        <v>7.11</v>
      </c>
      <c r="AF1083" s="196">
        <v>58000000</v>
      </c>
      <c r="AG1083" s="104">
        <f t="shared" si="185"/>
        <v>0.92651757188498407</v>
      </c>
      <c r="AH1083" s="104">
        <f t="shared" si="186"/>
        <v>0.76315789473684215</v>
      </c>
      <c r="AI1083" s="195">
        <v>1.35</v>
      </c>
    </row>
    <row r="1084" spans="1:48">
      <c r="A1084">
        <v>5410</v>
      </c>
      <c r="C1084" s="107">
        <f>VLOOKUP(5410,收盤價!$A:$C,3,0)</f>
        <v>13.25</v>
      </c>
      <c r="D1084" s="107">
        <f t="shared" si="176"/>
        <v>13.25</v>
      </c>
      <c r="E1084" s="167">
        <f t="shared" si="177"/>
        <v>1</v>
      </c>
      <c r="F1084" s="104">
        <f t="shared" si="178"/>
        <v>0.44035159260508777</v>
      </c>
      <c r="G1084" s="167">
        <f>RANK(1.89,AE:AE,0)</f>
        <v>498</v>
      </c>
      <c r="H1084" s="365">
        <f t="shared" si="179"/>
        <v>0.23282887077997672</v>
      </c>
      <c r="I1084" s="213">
        <f t="shared" si="180"/>
        <v>1234</v>
      </c>
      <c r="J1084" s="213">
        <f t="shared" si="181"/>
        <v>768</v>
      </c>
      <c r="K1084">
        <f>RANK(0.78,AI:AI,0)</f>
        <v>1217</v>
      </c>
      <c r="L1084" s="357">
        <v>0</v>
      </c>
      <c r="M1084" s="357">
        <v>1</v>
      </c>
      <c r="N1084" s="357">
        <v>0</v>
      </c>
      <c r="O1084" s="357">
        <v>0</v>
      </c>
      <c r="P1084" s="357">
        <v>0</v>
      </c>
      <c r="Q1084" s="358">
        <v>0.22659176029962547</v>
      </c>
      <c r="R1084" s="359">
        <v>0.25</v>
      </c>
      <c r="S1084" s="196">
        <v>2584696000</v>
      </c>
      <c r="T1084" s="196">
        <v>85900000</v>
      </c>
      <c r="U1084" s="200">
        <f t="shared" si="182"/>
        <v>1138175000</v>
      </c>
      <c r="V1084" s="196">
        <v>25000000</v>
      </c>
      <c r="W1084" s="196">
        <v>499000000</v>
      </c>
      <c r="X1084" s="196">
        <v>67000000</v>
      </c>
      <c r="Y1084" s="196">
        <v>1036000000</v>
      </c>
      <c r="Z1084" s="196">
        <v>60000000</v>
      </c>
      <c r="AA1084" s="198">
        <v>0.04</v>
      </c>
      <c r="AB1084" s="198">
        <v>0.02</v>
      </c>
      <c r="AC1084" s="213">
        <f t="shared" si="183"/>
        <v>337</v>
      </c>
      <c r="AD1084" s="213">
        <f t="shared" si="184"/>
        <v>487</v>
      </c>
      <c r="AE1084" s="213">
        <v>1.89</v>
      </c>
      <c r="AF1084" s="196">
        <v>-20000000</v>
      </c>
      <c r="AG1084" s="104">
        <f t="shared" si="185"/>
        <v>-0.23282887077997672</v>
      </c>
      <c r="AH1084" s="104">
        <f t="shared" si="186"/>
        <v>0</v>
      </c>
      <c r="AI1084" s="195">
        <v>0.78</v>
      </c>
      <c r="AO1084" s="213"/>
      <c r="AP1084" s="213"/>
      <c r="AQ1084" s="213"/>
      <c r="AR1084" s="213"/>
      <c r="AS1084" s="213"/>
      <c r="AT1084" s="213"/>
      <c r="AU1084" s="213"/>
      <c r="AV1084" s="213"/>
    </row>
    <row r="1085" spans="1:48">
      <c r="A1085">
        <v>5425</v>
      </c>
      <c r="C1085" s="107">
        <f>VLOOKUP(5425,收盤價!$A:$C,3,0)</f>
        <v>36.5</v>
      </c>
      <c r="D1085" s="107">
        <f t="shared" si="176"/>
        <v>12.424972561393883</v>
      </c>
      <c r="E1085" s="167">
        <f t="shared" si="177"/>
        <v>2</v>
      </c>
      <c r="F1085" s="104">
        <f t="shared" si="178"/>
        <v>1.0683950947826917</v>
      </c>
      <c r="G1085" s="167">
        <f>RANK(6.8,AE:AE,0)</f>
        <v>115</v>
      </c>
      <c r="H1085" s="365">
        <f t="shared" si="179"/>
        <v>-1.0496177807297529</v>
      </c>
      <c r="I1085" s="213">
        <f t="shared" si="180"/>
        <v>154</v>
      </c>
      <c r="J1085" s="213">
        <f t="shared" si="181"/>
        <v>368</v>
      </c>
      <c r="K1085">
        <f>RANK(2.98,AI:AI,0)</f>
        <v>169</v>
      </c>
      <c r="L1085" s="357">
        <v>0</v>
      </c>
      <c r="M1085" s="357">
        <v>1</v>
      </c>
      <c r="N1085" s="357">
        <v>0</v>
      </c>
      <c r="O1085" s="357">
        <v>1</v>
      </c>
      <c r="P1085" s="357">
        <v>0</v>
      </c>
      <c r="Q1085" s="358">
        <v>0.36973266878115091</v>
      </c>
      <c r="R1085" s="359">
        <v>0.73440806045340046</v>
      </c>
      <c r="S1085" s="196">
        <v>8209463000</v>
      </c>
      <c r="T1085" s="196">
        <v>240300000</v>
      </c>
      <c r="U1085" s="200">
        <f t="shared" si="182"/>
        <v>8770950000</v>
      </c>
      <c r="V1085" s="196">
        <v>406000000</v>
      </c>
      <c r="W1085" s="196">
        <v>3232000000</v>
      </c>
      <c r="X1085" s="196">
        <v>3009000000</v>
      </c>
      <c r="Y1085" s="196">
        <v>6227000000</v>
      </c>
      <c r="Z1085" s="196">
        <v>562000000</v>
      </c>
      <c r="AA1085" s="198">
        <v>7.0000000000000007E-2</v>
      </c>
      <c r="AB1085" s="198">
        <v>0.06</v>
      </c>
      <c r="AC1085" s="213">
        <f t="shared" si="183"/>
        <v>134</v>
      </c>
      <c r="AD1085" s="213">
        <f t="shared" si="184"/>
        <v>95</v>
      </c>
      <c r="AE1085" s="213">
        <v>6.8</v>
      </c>
      <c r="AF1085" s="196">
        <v>618000000</v>
      </c>
      <c r="AG1085" s="104">
        <f t="shared" si="185"/>
        <v>2.571785268414482</v>
      </c>
      <c r="AH1085" s="104">
        <f t="shared" si="186"/>
        <v>1.5221674876847291</v>
      </c>
      <c r="AI1085" s="195">
        <v>2.98</v>
      </c>
    </row>
    <row r="1086" spans="1:48">
      <c r="A1086">
        <v>5426</v>
      </c>
      <c r="C1086" s="107">
        <f>VLOOKUP(5426,收盤價!$A:$C,3,0)</f>
        <v>12.95</v>
      </c>
      <c r="D1086" s="107">
        <f t="shared" si="176"/>
        <v>10.340193432298694</v>
      </c>
      <c r="E1086" s="167">
        <f t="shared" si="177"/>
        <v>5</v>
      </c>
      <c r="F1086" s="104">
        <f t="shared" si="178"/>
        <v>1.1142624468286892</v>
      </c>
      <c r="G1086" s="167">
        <f>RANK(1.63,AE:AE,0)</f>
        <v>551</v>
      </c>
      <c r="H1086" s="365">
        <f t="shared" si="179"/>
        <v>1.0903039936419629E-2</v>
      </c>
      <c r="I1086" s="213">
        <f t="shared" si="180"/>
        <v>1062</v>
      </c>
      <c r="J1086" s="213">
        <f t="shared" si="181"/>
        <v>766</v>
      </c>
      <c r="K1086">
        <f>RANK(0.85,AI:AI,0)</f>
        <v>1059</v>
      </c>
      <c r="L1086" s="357">
        <v>1</v>
      </c>
      <c r="M1086" s="357">
        <v>1</v>
      </c>
      <c r="N1086" s="357">
        <v>2</v>
      </c>
      <c r="O1086" s="357">
        <v>1</v>
      </c>
      <c r="P1086" s="357">
        <v>0</v>
      </c>
      <c r="Q1086" s="358">
        <v>0.22698072805139186</v>
      </c>
      <c r="R1086" s="359">
        <v>0.31309859154929581</v>
      </c>
      <c r="S1086" s="196">
        <v>1671249000</v>
      </c>
      <c r="T1086" s="196">
        <v>143800000</v>
      </c>
      <c r="U1086" s="200">
        <f t="shared" si="182"/>
        <v>1862210000</v>
      </c>
      <c r="V1086" s="196">
        <v>56000000</v>
      </c>
      <c r="W1086" s="196">
        <v>1108000000</v>
      </c>
      <c r="X1086" s="196">
        <v>1111000000</v>
      </c>
      <c r="Y1086" s="196">
        <v>2281000000</v>
      </c>
      <c r="Z1086" s="196">
        <v>0</v>
      </c>
      <c r="AA1086" s="198">
        <v>0.03</v>
      </c>
      <c r="AB1086" s="198">
        <v>0.02</v>
      </c>
      <c r="AC1086" s="213">
        <f t="shared" si="183"/>
        <v>469</v>
      </c>
      <c r="AD1086" s="213">
        <f t="shared" si="184"/>
        <v>487</v>
      </c>
      <c r="AE1086" s="213">
        <v>1.63</v>
      </c>
      <c r="AF1086" s="196">
        <v>1000000</v>
      </c>
      <c r="AG1086" s="104">
        <f t="shared" si="185"/>
        <v>6.954102920723227E-3</v>
      </c>
      <c r="AH1086" s="104">
        <f t="shared" si="186"/>
        <v>1.7857142857142856E-2</v>
      </c>
      <c r="AI1086" s="195">
        <v>0.85</v>
      </c>
    </row>
    <row r="1087" spans="1:48">
      <c r="A1087">
        <v>5432</v>
      </c>
      <c r="C1087" s="107">
        <f>VLOOKUP(5432,收盤價!$A:$C,3,0)</f>
        <v>15.1</v>
      </c>
      <c r="D1087" s="107">
        <f t="shared" si="176"/>
        <v>29.038461538461537</v>
      </c>
      <c r="E1087" s="167">
        <f t="shared" si="177"/>
        <v>3</v>
      </c>
      <c r="F1087" s="104">
        <f t="shared" si="178"/>
        <v>2.5960532217072805</v>
      </c>
      <c r="G1087" s="167">
        <f>RANK(1.41,AE:AE,0)</f>
        <v>618</v>
      </c>
      <c r="H1087" s="365">
        <f t="shared" si="179"/>
        <v>1.0618357487922705</v>
      </c>
      <c r="I1087" s="213">
        <f t="shared" si="180"/>
        <v>834</v>
      </c>
      <c r="J1087" s="213">
        <f t="shared" si="181"/>
        <v>407</v>
      </c>
      <c r="K1087">
        <f>RANK(1.26,AI:AI,0)</f>
        <v>696</v>
      </c>
      <c r="L1087" s="357">
        <v>0</v>
      </c>
      <c r="M1087" s="357">
        <v>0</v>
      </c>
      <c r="N1087" s="357">
        <v>2</v>
      </c>
      <c r="O1087" s="357">
        <v>1</v>
      </c>
      <c r="P1087" s="357">
        <v>0</v>
      </c>
      <c r="Q1087" s="358">
        <v>0.30303030303030304</v>
      </c>
      <c r="R1087" s="359">
        <v>0.13</v>
      </c>
      <c r="S1087" s="196">
        <v>120402000</v>
      </c>
      <c r="T1087" s="196">
        <v>20700000</v>
      </c>
      <c r="U1087" s="200">
        <f t="shared" si="182"/>
        <v>312570000</v>
      </c>
      <c r="V1087" s="196">
        <v>5000000</v>
      </c>
      <c r="W1087" s="196">
        <v>210000000</v>
      </c>
      <c r="X1087" s="196">
        <v>41000000</v>
      </c>
      <c r="Y1087" s="196">
        <v>274000000</v>
      </c>
      <c r="Z1087" s="196">
        <v>0</v>
      </c>
      <c r="AA1087" s="198">
        <v>0.02</v>
      </c>
      <c r="AB1087" s="198">
        <v>0.02</v>
      </c>
      <c r="AC1087" s="213">
        <f t="shared" si="183"/>
        <v>616</v>
      </c>
      <c r="AD1087" s="213">
        <f t="shared" si="184"/>
        <v>487</v>
      </c>
      <c r="AE1087" s="213">
        <v>1.41</v>
      </c>
      <c r="AF1087" s="196">
        <v>7000000</v>
      </c>
      <c r="AG1087" s="104">
        <f t="shared" si="185"/>
        <v>0.33816425120772947</v>
      </c>
      <c r="AH1087" s="104">
        <f t="shared" si="186"/>
        <v>1.4</v>
      </c>
      <c r="AI1087" s="195">
        <v>1.26</v>
      </c>
    </row>
    <row r="1088" spans="1:48">
      <c r="A1088">
        <v>5434</v>
      </c>
      <c r="C1088" s="107">
        <f>VLOOKUP(5434,收盤價!$A:$C,3,0)</f>
        <v>83.8</v>
      </c>
      <c r="D1088" s="107">
        <f t="shared" si="176"/>
        <v>11.385869565217391</v>
      </c>
      <c r="E1088" s="167">
        <f t="shared" si="177"/>
        <v>4</v>
      </c>
      <c r="F1088" s="104">
        <f t="shared" si="178"/>
        <v>0.63345942042090142</v>
      </c>
      <c r="G1088" s="167">
        <f>RANK(0.84,AE:AE,0)</f>
        <v>946</v>
      </c>
      <c r="H1088" s="365">
        <f t="shared" si="179"/>
        <v>-7.6014760147601477</v>
      </c>
      <c r="I1088" s="213">
        <f t="shared" si="180"/>
        <v>14</v>
      </c>
      <c r="J1088" s="213">
        <f t="shared" si="181"/>
        <v>768</v>
      </c>
      <c r="K1088">
        <f>RANK(1.99,AI:AI,0)</f>
        <v>342</v>
      </c>
      <c r="L1088" s="357">
        <v>1</v>
      </c>
      <c r="M1088" s="357">
        <v>0</v>
      </c>
      <c r="N1088" s="357">
        <v>2</v>
      </c>
      <c r="O1088" s="357">
        <v>1</v>
      </c>
      <c r="P1088" s="357">
        <v>0</v>
      </c>
      <c r="Q1088" s="358">
        <v>0.12703583061889251</v>
      </c>
      <c r="R1088" s="359">
        <v>1.84</v>
      </c>
      <c r="S1088" s="196">
        <v>21510265000</v>
      </c>
      <c r="T1088" s="196">
        <v>162600000</v>
      </c>
      <c r="U1088" s="200">
        <f t="shared" si="182"/>
        <v>13625880000</v>
      </c>
      <c r="V1088" s="196">
        <v>0</v>
      </c>
      <c r="W1088" s="196">
        <v>2239000000</v>
      </c>
      <c r="X1088" s="196">
        <v>2855000000</v>
      </c>
      <c r="Y1088" s="196">
        <v>5846000000</v>
      </c>
      <c r="Z1088" s="196">
        <v>265000000</v>
      </c>
      <c r="AA1088" s="198">
        <v>0</v>
      </c>
      <c r="AB1088" s="198">
        <v>0</v>
      </c>
      <c r="AC1088" s="213">
        <f t="shared" si="183"/>
        <v>945</v>
      </c>
      <c r="AD1088" s="213">
        <f t="shared" si="184"/>
        <v>911</v>
      </c>
      <c r="AE1088" s="213">
        <v>0.84</v>
      </c>
      <c r="AF1088" s="196">
        <v>1236000000</v>
      </c>
      <c r="AG1088" s="104">
        <f t="shared" si="185"/>
        <v>7.6014760147601477</v>
      </c>
      <c r="AH1088" s="104">
        <f t="shared" si="186"/>
        <v>0</v>
      </c>
      <c r="AI1088" s="195">
        <v>1.99</v>
      </c>
    </row>
    <row r="1089" spans="1:48">
      <c r="A1089">
        <v>5438</v>
      </c>
      <c r="C1089" s="107">
        <f>VLOOKUP(5438,收盤價!$A:$C,3,0)</f>
        <v>11.8</v>
      </c>
      <c r="D1089" s="107">
        <f t="shared" si="176"/>
        <v>9.3650793650793656</v>
      </c>
      <c r="E1089" s="167">
        <f t="shared" si="177"/>
        <v>3</v>
      </c>
      <c r="F1089" s="104">
        <f t="shared" si="178"/>
        <v>0.52520135685918912</v>
      </c>
      <c r="G1089" s="167">
        <f>RANK(3.07,AE:AE,0)</f>
        <v>293</v>
      </c>
      <c r="H1089" s="365">
        <f t="shared" si="179"/>
        <v>0.9754248366013073</v>
      </c>
      <c r="I1089" s="213">
        <f t="shared" si="180"/>
        <v>603</v>
      </c>
      <c r="J1089" s="213">
        <f t="shared" si="181"/>
        <v>308</v>
      </c>
      <c r="K1089">
        <f>RANK(1.71,AI:AI,0)</f>
        <v>449</v>
      </c>
      <c r="L1089" s="357">
        <v>0</v>
      </c>
      <c r="M1089" s="357">
        <v>1</v>
      </c>
      <c r="N1089" s="357">
        <v>1</v>
      </c>
      <c r="O1089" s="357">
        <v>1</v>
      </c>
      <c r="P1089" s="357">
        <v>0</v>
      </c>
      <c r="Q1089" s="358">
        <v>0.27333333333333332</v>
      </c>
      <c r="R1089" s="359">
        <v>0.315</v>
      </c>
      <c r="S1089" s="196">
        <v>2527602000</v>
      </c>
      <c r="T1089" s="196">
        <v>112500000</v>
      </c>
      <c r="U1089" s="200">
        <f t="shared" si="182"/>
        <v>1327500000</v>
      </c>
      <c r="V1089" s="196">
        <v>51000000</v>
      </c>
      <c r="W1089" s="196">
        <v>882000000</v>
      </c>
      <c r="X1089" s="196">
        <v>36000000</v>
      </c>
      <c r="Y1089" s="196">
        <v>1687000000</v>
      </c>
      <c r="Z1089" s="196">
        <v>0</v>
      </c>
      <c r="AA1089" s="198">
        <v>0.06</v>
      </c>
      <c r="AB1089" s="198">
        <v>0.03</v>
      </c>
      <c r="AC1089" s="213">
        <f t="shared" si="183"/>
        <v>174</v>
      </c>
      <c r="AD1089" s="213">
        <f t="shared" si="184"/>
        <v>334</v>
      </c>
      <c r="AE1089" s="213">
        <v>3.07</v>
      </c>
      <c r="AF1089" s="196">
        <v>91000000</v>
      </c>
      <c r="AG1089" s="104">
        <f t="shared" si="185"/>
        <v>0.80888888888888888</v>
      </c>
      <c r="AH1089" s="104">
        <f t="shared" si="186"/>
        <v>1.7843137254901962</v>
      </c>
      <c r="AI1089" s="195">
        <v>1.71</v>
      </c>
    </row>
    <row r="1090" spans="1:48">
      <c r="A1090">
        <v>5439</v>
      </c>
      <c r="C1090" s="107">
        <f>VLOOKUP(5439,收盤價!$A:$C,3,0)</f>
        <v>28.1</v>
      </c>
      <c r="D1090" s="107">
        <f t="shared" ref="D1090:D1153" si="187">IF(AND(ISNUMBER(C1090),R1090&gt;0),C1090/(R1090*4),0)</f>
        <v>9.2836028516779692</v>
      </c>
      <c r="E1090" s="167">
        <f t="shared" ref="E1090:E1153" si="188">SUM(L1090:P1090)</f>
        <v>6</v>
      </c>
      <c r="F1090" s="104">
        <f t="shared" ref="F1090:F1153" si="189">IF(AND(ISNUMBER(U1090),ISNUMBER(S1090)),U1090/S1090,0)</f>
        <v>1.1192486460042956</v>
      </c>
      <c r="G1090" s="167">
        <f>RANK(5.79,AE:AE,0)</f>
        <v>129</v>
      </c>
      <c r="H1090" s="365">
        <f t="shared" ref="H1090:H1153" si="190">AH1090-AG1090</f>
        <v>8.2264957264957195E-2</v>
      </c>
      <c r="I1090" s="213">
        <f t="shared" ref="I1090:I1153" si="191">RANK(AG1090,AG:AG)</f>
        <v>523</v>
      </c>
      <c r="J1090" s="213">
        <f t="shared" ref="J1090:J1153" si="192">RANK(AH1090,AH:AH)</f>
        <v>511</v>
      </c>
      <c r="K1090">
        <f>RANK(1.51,AI:AI,0)</f>
        <v>558</v>
      </c>
      <c r="L1090" s="357">
        <v>1</v>
      </c>
      <c r="M1090" s="357">
        <v>1</v>
      </c>
      <c r="N1090" s="357">
        <v>2</v>
      </c>
      <c r="O1090" s="357">
        <v>1</v>
      </c>
      <c r="P1090" s="357">
        <v>1</v>
      </c>
      <c r="Q1090" s="358">
        <v>0.1980392156862745</v>
      </c>
      <c r="R1090" s="359">
        <v>0.7567105263157895</v>
      </c>
      <c r="S1090" s="196">
        <v>1958278000</v>
      </c>
      <c r="T1090" s="196">
        <v>78000000</v>
      </c>
      <c r="U1090" s="200">
        <f t="shared" ref="U1090:U1153" si="193">C1090*T1090</f>
        <v>2191800000</v>
      </c>
      <c r="V1090" s="196">
        <v>72000000</v>
      </c>
      <c r="W1090" s="196">
        <v>592000000</v>
      </c>
      <c r="X1090" s="196">
        <v>657000000</v>
      </c>
      <c r="Y1090" s="196">
        <v>1216000000</v>
      </c>
      <c r="Z1090" s="196">
        <v>9000000</v>
      </c>
      <c r="AA1090" s="198">
        <v>0.06</v>
      </c>
      <c r="AB1090" s="198">
        <v>0.06</v>
      </c>
      <c r="AC1090" s="213">
        <f t="shared" ref="AC1090:AC1153" si="194">RANK(AA1090,AA:AA)</f>
        <v>174</v>
      </c>
      <c r="AD1090" s="213">
        <f t="shared" ref="AD1090:AD1153" si="195">RANK(AB1090,AB:AB)</f>
        <v>95</v>
      </c>
      <c r="AE1090" s="213">
        <v>5.79</v>
      </c>
      <c r="AF1090" s="196">
        <v>77000000</v>
      </c>
      <c r="AG1090" s="104">
        <f t="shared" ref="AG1090:AG1153" si="196">AF1090/T1090</f>
        <v>0.98717948717948723</v>
      </c>
      <c r="AH1090" s="104">
        <f t="shared" ref="AH1090:AH1153" si="197">IF(AND(AF1090&gt;0,V1090&gt;0),AF1090/V1090,0)</f>
        <v>1.0694444444444444</v>
      </c>
      <c r="AI1090" s="195">
        <v>1.51</v>
      </c>
    </row>
    <row r="1091" spans="1:48">
      <c r="A1091">
        <v>5443</v>
      </c>
      <c r="C1091" s="107">
        <f>VLOOKUP(5443,收盤價!$A:$C,3,0)</f>
        <v>20.25</v>
      </c>
      <c r="D1091" s="107">
        <f t="shared" si="187"/>
        <v>5.0203027707310639</v>
      </c>
      <c r="E1091" s="167">
        <f t="shared" si="188"/>
        <v>5</v>
      </c>
      <c r="F1091" s="104">
        <f t="shared" si="189"/>
        <v>0.83114831980394166</v>
      </c>
      <c r="G1091" s="167">
        <f>RANK(16.57,AE:AE,0)</f>
        <v>46</v>
      </c>
      <c r="H1091" s="365">
        <f t="shared" si="190"/>
        <v>-4.8117594645869524E-2</v>
      </c>
      <c r="I1091" s="213">
        <f t="shared" si="191"/>
        <v>963</v>
      </c>
      <c r="J1091" s="213">
        <f t="shared" si="192"/>
        <v>754</v>
      </c>
      <c r="K1091">
        <f>RANK(0.91,AI:AI,0)</f>
        <v>974</v>
      </c>
      <c r="L1091" s="357">
        <v>1</v>
      </c>
      <c r="M1091" s="357">
        <v>1</v>
      </c>
      <c r="N1091" s="357">
        <v>2</v>
      </c>
      <c r="O1091" s="357">
        <v>1</v>
      </c>
      <c r="P1091" s="357">
        <v>0</v>
      </c>
      <c r="Q1091" s="358">
        <v>0.32102486812358705</v>
      </c>
      <c r="R1091" s="359">
        <v>1.008405315614618</v>
      </c>
      <c r="S1091" s="196">
        <v>4022477000</v>
      </c>
      <c r="T1091" s="196">
        <v>165100000</v>
      </c>
      <c r="U1091" s="200">
        <f t="shared" si="193"/>
        <v>3343275000</v>
      </c>
      <c r="V1091" s="196">
        <v>242000000</v>
      </c>
      <c r="W1091" s="196">
        <v>2026000000</v>
      </c>
      <c r="X1091" s="196">
        <v>490000000</v>
      </c>
      <c r="Y1091" s="196">
        <v>2639000000</v>
      </c>
      <c r="Z1091" s="196">
        <v>564000000</v>
      </c>
      <c r="AA1091" s="198">
        <v>0.1</v>
      </c>
      <c r="AB1091" s="198">
        <v>0.08</v>
      </c>
      <c r="AC1091" s="213">
        <f t="shared" si="194"/>
        <v>52</v>
      </c>
      <c r="AD1091" s="213">
        <f t="shared" si="195"/>
        <v>42</v>
      </c>
      <c r="AE1091" s="213">
        <v>16.57</v>
      </c>
      <c r="AF1091" s="196">
        <v>25000000</v>
      </c>
      <c r="AG1091" s="104">
        <f t="shared" si="196"/>
        <v>0.15142337976983647</v>
      </c>
      <c r="AH1091" s="104">
        <f t="shared" si="197"/>
        <v>0.10330578512396695</v>
      </c>
      <c r="AI1091" s="195">
        <v>0.91</v>
      </c>
      <c r="AO1091" s="213"/>
      <c r="AP1091" s="213"/>
      <c r="AQ1091" s="213"/>
      <c r="AR1091" s="213"/>
      <c r="AS1091" s="213"/>
      <c r="AT1091" s="213"/>
      <c r="AU1091" s="213"/>
      <c r="AV1091" s="213"/>
    </row>
    <row r="1092" spans="1:48">
      <c r="A1092">
        <v>5450</v>
      </c>
      <c r="C1092" s="107">
        <f>VLOOKUP(5450,收盤價!$A:$C,3,0)</f>
        <v>0</v>
      </c>
      <c r="D1092" s="107">
        <f t="shared" si="187"/>
        <v>0</v>
      </c>
      <c r="E1092" s="167">
        <f t="shared" si="188"/>
        <v>2</v>
      </c>
      <c r="F1092" s="104">
        <f t="shared" si="189"/>
        <v>0</v>
      </c>
      <c r="G1092" s="167">
        <f>RANK(0.84,AE:AE,0)</f>
        <v>946</v>
      </c>
      <c r="H1092" s="365">
        <f t="shared" si="190"/>
        <v>-1.984126984126984E-2</v>
      </c>
      <c r="I1092" s="213">
        <f t="shared" si="191"/>
        <v>1054</v>
      </c>
      <c r="J1092" s="213">
        <f t="shared" si="192"/>
        <v>768</v>
      </c>
      <c r="K1092">
        <f>RANK(0.86,AI:AI,0)</f>
        <v>1045</v>
      </c>
      <c r="L1092" s="357">
        <v>0</v>
      </c>
      <c r="M1092" s="357">
        <v>1</v>
      </c>
      <c r="N1092" s="357">
        <v>0</v>
      </c>
      <c r="O1092" s="357">
        <v>1</v>
      </c>
      <c r="P1092" s="357">
        <v>0</v>
      </c>
      <c r="Q1092" s="358">
        <v>0.25</v>
      </c>
      <c r="R1092" s="359">
        <v>0</v>
      </c>
      <c r="S1092" s="196">
        <v>822177000</v>
      </c>
      <c r="T1092" s="196">
        <v>50400000</v>
      </c>
      <c r="U1092" s="200">
        <f t="shared" si="193"/>
        <v>0</v>
      </c>
      <c r="V1092" s="196">
        <v>0</v>
      </c>
      <c r="W1092" s="196">
        <v>170000000</v>
      </c>
      <c r="X1092" s="196">
        <v>276000000</v>
      </c>
      <c r="Y1092" s="196">
        <v>493000000</v>
      </c>
      <c r="Z1092" s="196">
        <v>65000000</v>
      </c>
      <c r="AA1092" s="198">
        <v>0</v>
      </c>
      <c r="AB1092" s="198">
        <v>0</v>
      </c>
      <c r="AC1092" s="213">
        <f t="shared" si="194"/>
        <v>945</v>
      </c>
      <c r="AD1092" s="213">
        <f t="shared" si="195"/>
        <v>911</v>
      </c>
      <c r="AE1092" s="213">
        <v>0.84</v>
      </c>
      <c r="AF1092" s="196">
        <v>1000000</v>
      </c>
      <c r="AG1092" s="104">
        <f t="shared" si="196"/>
        <v>1.984126984126984E-2</v>
      </c>
      <c r="AH1092" s="104">
        <f t="shared" si="197"/>
        <v>0</v>
      </c>
      <c r="AI1092" s="195">
        <v>0.86</v>
      </c>
    </row>
    <row r="1093" spans="1:48">
      <c r="A1093">
        <v>5452</v>
      </c>
      <c r="C1093" s="107">
        <f>VLOOKUP(5452,收盤價!$A:$C,3,0)</f>
        <v>9.5399999999999991</v>
      </c>
      <c r="D1093" s="107">
        <f t="shared" si="187"/>
        <v>0</v>
      </c>
      <c r="E1093" s="167">
        <f t="shared" si="188"/>
        <v>2</v>
      </c>
      <c r="F1093" s="104">
        <f t="shared" si="189"/>
        <v>0.26309011842559021</v>
      </c>
      <c r="G1093" s="167">
        <f>RANK(0.84,AE:AE,0)</f>
        <v>946</v>
      </c>
      <c r="H1093" s="365">
        <f t="shared" si="190"/>
        <v>-0.45969353764157228</v>
      </c>
      <c r="I1093" s="213">
        <f t="shared" si="191"/>
        <v>768</v>
      </c>
      <c r="J1093" s="213">
        <f t="shared" si="192"/>
        <v>768</v>
      </c>
      <c r="K1093">
        <f>RANK(1.01,AI:AI,0)</f>
        <v>874</v>
      </c>
      <c r="L1093" s="357">
        <v>0</v>
      </c>
      <c r="M1093" s="357">
        <v>0</v>
      </c>
      <c r="N1093" s="357">
        <v>1</v>
      </c>
      <c r="O1093" s="357">
        <v>1</v>
      </c>
      <c r="P1093" s="357">
        <v>0</v>
      </c>
      <c r="Q1093" s="358">
        <v>9.3430656934306563E-2</v>
      </c>
      <c r="R1093" s="359">
        <v>-7.0000000000000007E-2</v>
      </c>
      <c r="S1093" s="196">
        <v>5442827000</v>
      </c>
      <c r="T1093" s="196">
        <v>150100000</v>
      </c>
      <c r="U1093" s="200">
        <f t="shared" si="193"/>
        <v>1431953999.9999998</v>
      </c>
      <c r="V1093" s="196">
        <v>0</v>
      </c>
      <c r="W1093" s="196">
        <v>1582000000</v>
      </c>
      <c r="X1093" s="196">
        <v>448000000</v>
      </c>
      <c r="Y1093" s="196">
        <v>2157000000</v>
      </c>
      <c r="Z1093" s="196">
        <v>1034000000</v>
      </c>
      <c r="AA1093" s="198">
        <v>0</v>
      </c>
      <c r="AB1093" s="198">
        <v>0</v>
      </c>
      <c r="AC1093" s="213">
        <f t="shared" si="194"/>
        <v>945</v>
      </c>
      <c r="AD1093" s="213">
        <f t="shared" si="195"/>
        <v>911</v>
      </c>
      <c r="AE1093" s="213">
        <v>0.84</v>
      </c>
      <c r="AF1093" s="196">
        <v>69000000</v>
      </c>
      <c r="AG1093" s="104">
        <f t="shared" si="196"/>
        <v>0.45969353764157228</v>
      </c>
      <c r="AH1093" s="104">
        <f t="shared" si="197"/>
        <v>0</v>
      </c>
      <c r="AI1093" s="195">
        <v>1.01</v>
      </c>
    </row>
    <row r="1094" spans="1:48">
      <c r="A1094">
        <v>5455</v>
      </c>
      <c r="C1094" s="107">
        <f>VLOOKUP(5455,收盤價!$A:$C,3,0)</f>
        <v>0</v>
      </c>
      <c r="D1094" s="107">
        <f t="shared" si="187"/>
        <v>0</v>
      </c>
      <c r="E1094" s="167">
        <f t="shared" si="188"/>
        <v>3</v>
      </c>
      <c r="F1094" s="104">
        <f t="shared" si="189"/>
        <v>0</v>
      </c>
      <c r="G1094" s="167">
        <f>RANK(0.84,AE:AE,0)</f>
        <v>946</v>
      </c>
      <c r="H1094" s="365">
        <f t="shared" si="190"/>
        <v>2.1690140845070425</v>
      </c>
      <c r="I1094" s="213">
        <f t="shared" si="191"/>
        <v>1518</v>
      </c>
      <c r="J1094" s="213">
        <f t="shared" si="192"/>
        <v>768</v>
      </c>
      <c r="K1094">
        <f>RANK(0.68,AI:AI,0)</f>
        <v>1507</v>
      </c>
      <c r="L1094" s="357">
        <v>0</v>
      </c>
      <c r="M1094" s="357">
        <v>1</v>
      </c>
      <c r="N1094" s="357">
        <v>2</v>
      </c>
      <c r="O1094" s="357">
        <v>0</v>
      </c>
      <c r="P1094" s="357">
        <v>0</v>
      </c>
      <c r="Q1094" s="358">
        <v>2.7777777777777776E-2</v>
      </c>
      <c r="R1094" s="359">
        <v>0</v>
      </c>
      <c r="S1094" s="196">
        <v>61608000</v>
      </c>
      <c r="T1094" s="196">
        <v>35500000</v>
      </c>
      <c r="U1094" s="200">
        <f t="shared" si="193"/>
        <v>0</v>
      </c>
      <c r="V1094" s="196">
        <v>-1000000</v>
      </c>
      <c r="W1094" s="196">
        <v>107000000</v>
      </c>
      <c r="X1094" s="196">
        <v>0</v>
      </c>
      <c r="Y1094" s="196">
        <v>114000000</v>
      </c>
      <c r="Z1094" s="196">
        <v>0</v>
      </c>
      <c r="AA1094" s="198">
        <v>0</v>
      </c>
      <c r="AB1094" s="198">
        <v>0</v>
      </c>
      <c r="AC1094" s="213">
        <f t="shared" si="194"/>
        <v>945</v>
      </c>
      <c r="AD1094" s="213">
        <f t="shared" si="195"/>
        <v>911</v>
      </c>
      <c r="AE1094" s="213">
        <v>0.84</v>
      </c>
      <c r="AF1094" s="196">
        <v>-77000000</v>
      </c>
      <c r="AG1094" s="104">
        <f t="shared" si="196"/>
        <v>-2.1690140845070425</v>
      </c>
      <c r="AH1094" s="104">
        <f t="shared" si="197"/>
        <v>0</v>
      </c>
      <c r="AI1094" s="195">
        <v>0.68</v>
      </c>
    </row>
    <row r="1095" spans="1:48">
      <c r="A1095">
        <v>5457</v>
      </c>
      <c r="C1095" s="107">
        <f>VLOOKUP(5457,收盤價!$A:$C,3,0)</f>
        <v>24</v>
      </c>
      <c r="D1095" s="107">
        <f t="shared" si="187"/>
        <v>0</v>
      </c>
      <c r="E1095" s="167">
        <f t="shared" si="188"/>
        <v>3</v>
      </c>
      <c r="F1095" s="104">
        <f t="shared" si="189"/>
        <v>1.5390336021572151</v>
      </c>
      <c r="G1095" s="167">
        <f>RANK(0.84,AE:AE,0)</f>
        <v>946</v>
      </c>
      <c r="H1095" s="365">
        <f t="shared" si="190"/>
        <v>0.34564958283671038</v>
      </c>
      <c r="I1095" s="213">
        <f t="shared" si="191"/>
        <v>1289</v>
      </c>
      <c r="J1095" s="213">
        <f t="shared" si="192"/>
        <v>768</v>
      </c>
      <c r="K1095">
        <f>RANK(0.76,AI:AI,0)</f>
        <v>1269</v>
      </c>
      <c r="L1095" s="357">
        <v>0</v>
      </c>
      <c r="M1095" s="357">
        <v>0</v>
      </c>
      <c r="N1095" s="357">
        <v>2</v>
      </c>
      <c r="O1095" s="357">
        <v>0</v>
      </c>
      <c r="P1095" s="357">
        <v>1</v>
      </c>
      <c r="Q1095" s="358">
        <v>0.14698795180722893</v>
      </c>
      <c r="R1095" s="359">
        <v>0</v>
      </c>
      <c r="S1095" s="196">
        <v>2616707000</v>
      </c>
      <c r="T1095" s="196">
        <v>167800000</v>
      </c>
      <c r="U1095" s="200">
        <f t="shared" si="193"/>
        <v>4027200000</v>
      </c>
      <c r="V1095" s="196">
        <v>3000000</v>
      </c>
      <c r="W1095" s="196">
        <v>233000000</v>
      </c>
      <c r="X1095" s="196">
        <v>1413000000</v>
      </c>
      <c r="Y1095" s="196">
        <v>2183000000</v>
      </c>
      <c r="Z1095" s="196">
        <v>1048000000</v>
      </c>
      <c r="AA1095" s="198">
        <v>0</v>
      </c>
      <c r="AB1095" s="198">
        <v>0</v>
      </c>
      <c r="AC1095" s="213">
        <f t="shared" si="194"/>
        <v>945</v>
      </c>
      <c r="AD1095" s="213">
        <f t="shared" si="195"/>
        <v>911</v>
      </c>
      <c r="AE1095" s="213">
        <v>0.84</v>
      </c>
      <c r="AF1095" s="196">
        <v>-58000000</v>
      </c>
      <c r="AG1095" s="104">
        <f t="shared" si="196"/>
        <v>-0.34564958283671038</v>
      </c>
      <c r="AH1095" s="104">
        <f t="shared" si="197"/>
        <v>0</v>
      </c>
      <c r="AI1095" s="195">
        <v>0.76</v>
      </c>
    </row>
    <row r="1096" spans="1:48">
      <c r="A1096">
        <v>5460</v>
      </c>
      <c r="C1096" s="107">
        <f>VLOOKUP(5460,收盤價!$A:$C,3,0)</f>
        <v>11.75</v>
      </c>
      <c r="D1096" s="107">
        <f t="shared" si="187"/>
        <v>12.37408424908425</v>
      </c>
      <c r="E1096" s="167">
        <f t="shared" si="188"/>
        <v>2</v>
      </c>
      <c r="F1096" s="104">
        <f t="shared" si="189"/>
        <v>1.0287115084364071</v>
      </c>
      <c r="G1096" s="167">
        <f>RANK(1.41,AE:AE,0)</f>
        <v>618</v>
      </c>
      <c r="H1096" s="365">
        <f t="shared" si="190"/>
        <v>1.2817460317460316</v>
      </c>
      <c r="I1096" s="213">
        <f t="shared" si="191"/>
        <v>731</v>
      </c>
      <c r="J1096" s="213">
        <f t="shared" si="192"/>
        <v>295</v>
      </c>
      <c r="K1096">
        <f>RANK(1.52,AI:AI,0)</f>
        <v>548</v>
      </c>
      <c r="L1096" s="357">
        <v>0</v>
      </c>
      <c r="M1096" s="357">
        <v>1</v>
      </c>
      <c r="N1096" s="357">
        <v>1</v>
      </c>
      <c r="O1096" s="357">
        <v>0</v>
      </c>
      <c r="P1096" s="357">
        <v>0</v>
      </c>
      <c r="Q1096" s="358">
        <v>0.27853881278538811</v>
      </c>
      <c r="R1096" s="359">
        <v>0.23739130434782607</v>
      </c>
      <c r="S1096" s="196">
        <v>822388000</v>
      </c>
      <c r="T1096" s="196">
        <v>72000000</v>
      </c>
      <c r="U1096" s="200">
        <f t="shared" si="193"/>
        <v>846000000</v>
      </c>
      <c r="V1096" s="196">
        <v>21000000</v>
      </c>
      <c r="W1096" s="196">
        <v>637000000</v>
      </c>
      <c r="X1096" s="196">
        <v>360000000</v>
      </c>
      <c r="Y1096" s="196">
        <v>959000000</v>
      </c>
      <c r="Z1096" s="196">
        <v>0</v>
      </c>
      <c r="AA1096" s="198">
        <v>0.02</v>
      </c>
      <c r="AB1096" s="198">
        <v>0.02</v>
      </c>
      <c r="AC1096" s="213">
        <f t="shared" si="194"/>
        <v>616</v>
      </c>
      <c r="AD1096" s="213">
        <f t="shared" si="195"/>
        <v>487</v>
      </c>
      <c r="AE1096" s="213">
        <v>1.41</v>
      </c>
      <c r="AF1096" s="196">
        <v>38000000</v>
      </c>
      <c r="AG1096" s="104">
        <f t="shared" si="196"/>
        <v>0.52777777777777779</v>
      </c>
      <c r="AH1096" s="104">
        <f t="shared" si="197"/>
        <v>1.8095238095238095</v>
      </c>
      <c r="AI1096" s="195">
        <v>1.52</v>
      </c>
    </row>
    <row r="1097" spans="1:48">
      <c r="A1097">
        <v>5464</v>
      </c>
      <c r="C1097" s="107">
        <f>VLOOKUP(5464,收盤價!$A:$C,3,0)</f>
        <v>16.399999999999999</v>
      </c>
      <c r="D1097" s="107">
        <f t="shared" si="187"/>
        <v>16.839285714285712</v>
      </c>
      <c r="E1097" s="167">
        <f t="shared" si="188"/>
        <v>4</v>
      </c>
      <c r="F1097" s="104">
        <f t="shared" si="189"/>
        <v>0.93971598340805407</v>
      </c>
      <c r="G1097" s="167">
        <f>RANK(1.2,AE:AE,0)</f>
        <v>710</v>
      </c>
      <c r="H1097" s="365">
        <f t="shared" si="190"/>
        <v>0.59640710906533689</v>
      </c>
      <c r="I1097" s="213">
        <f t="shared" si="191"/>
        <v>880</v>
      </c>
      <c r="J1097" s="213">
        <f t="shared" si="192"/>
        <v>574</v>
      </c>
      <c r="K1097">
        <f>RANK(1.07,AI:AI,0)</f>
        <v>826</v>
      </c>
      <c r="L1097" s="357">
        <v>0</v>
      </c>
      <c r="M1097" s="357">
        <v>1</v>
      </c>
      <c r="N1097" s="357">
        <v>2</v>
      </c>
      <c r="O1097" s="357">
        <v>1</v>
      </c>
      <c r="P1097" s="357">
        <v>0</v>
      </c>
      <c r="Q1097" s="358">
        <v>0.11271676300578035</v>
      </c>
      <c r="R1097" s="359">
        <v>0.24347826086956523</v>
      </c>
      <c r="S1097" s="196">
        <v>1240843000</v>
      </c>
      <c r="T1097" s="196">
        <v>71100000</v>
      </c>
      <c r="U1097" s="200">
        <f t="shared" si="193"/>
        <v>1166040000</v>
      </c>
      <c r="V1097" s="196">
        <v>22000000</v>
      </c>
      <c r="W1097" s="196">
        <v>938000000</v>
      </c>
      <c r="X1097" s="196">
        <v>411000000</v>
      </c>
      <c r="Y1097" s="196">
        <v>1146000000</v>
      </c>
      <c r="Z1097" s="196">
        <v>909000000</v>
      </c>
      <c r="AA1097" s="198">
        <v>0.02</v>
      </c>
      <c r="AB1097" s="198">
        <v>0.01</v>
      </c>
      <c r="AC1097" s="213">
        <f t="shared" si="194"/>
        <v>616</v>
      </c>
      <c r="AD1097" s="213">
        <f t="shared" si="195"/>
        <v>680</v>
      </c>
      <c r="AE1097" s="213">
        <v>1.2</v>
      </c>
      <c r="AF1097" s="196">
        <v>19000000</v>
      </c>
      <c r="AG1097" s="104">
        <f t="shared" si="196"/>
        <v>0.2672292545710267</v>
      </c>
      <c r="AH1097" s="104">
        <f t="shared" si="197"/>
        <v>0.86363636363636365</v>
      </c>
      <c r="AI1097" s="195">
        <v>1.07</v>
      </c>
    </row>
    <row r="1098" spans="1:48">
      <c r="A1098">
        <v>5465</v>
      </c>
      <c r="C1098" s="107">
        <f>VLOOKUP(5465,收盤價!$A:$C,3,0)</f>
        <v>14.85</v>
      </c>
      <c r="D1098" s="107">
        <f t="shared" si="187"/>
        <v>0</v>
      </c>
      <c r="E1098" s="167">
        <f t="shared" si="188"/>
        <v>0</v>
      </c>
      <c r="F1098" s="104">
        <f t="shared" si="189"/>
        <v>0.98185534749911674</v>
      </c>
      <c r="G1098" s="167">
        <f>RANK(0.84,AE:AE,0)</f>
        <v>946</v>
      </c>
      <c r="H1098" s="365">
        <f t="shared" si="190"/>
        <v>-5.5517002081887576E-2</v>
      </c>
      <c r="I1098" s="213">
        <f t="shared" si="191"/>
        <v>1031</v>
      </c>
      <c r="J1098" s="213">
        <f t="shared" si="192"/>
        <v>768</v>
      </c>
      <c r="K1098">
        <f>RANK(0.87,AI:AI,0)</f>
        <v>1035</v>
      </c>
      <c r="L1098" s="357">
        <v>0</v>
      </c>
      <c r="M1098" s="357">
        <v>0</v>
      </c>
      <c r="N1098" s="357">
        <v>0</v>
      </c>
      <c r="O1098" s="357">
        <v>0</v>
      </c>
      <c r="P1098" s="357">
        <v>0</v>
      </c>
      <c r="Q1098" s="358">
        <v>0.1721311475409836</v>
      </c>
      <c r="R1098" s="359">
        <v>0</v>
      </c>
      <c r="S1098" s="196">
        <v>2179430000</v>
      </c>
      <c r="T1098" s="196">
        <v>144100000</v>
      </c>
      <c r="U1098" s="200">
        <f t="shared" si="193"/>
        <v>2139885000</v>
      </c>
      <c r="V1098" s="196">
        <v>-3000000</v>
      </c>
      <c r="W1098" s="196">
        <v>1116000000</v>
      </c>
      <c r="X1098" s="196">
        <v>330000000</v>
      </c>
      <c r="Y1098" s="196">
        <v>1541000000</v>
      </c>
      <c r="Z1098" s="196">
        <v>3000000</v>
      </c>
      <c r="AA1098" s="198">
        <v>0</v>
      </c>
      <c r="AB1098" s="198">
        <v>0</v>
      </c>
      <c r="AC1098" s="213">
        <f t="shared" si="194"/>
        <v>945</v>
      </c>
      <c r="AD1098" s="213">
        <f t="shared" si="195"/>
        <v>911</v>
      </c>
      <c r="AE1098" s="213">
        <v>0.84</v>
      </c>
      <c r="AF1098" s="196">
        <v>8000000</v>
      </c>
      <c r="AG1098" s="104">
        <f t="shared" si="196"/>
        <v>5.5517002081887576E-2</v>
      </c>
      <c r="AH1098" s="104">
        <f t="shared" si="197"/>
        <v>0</v>
      </c>
      <c r="AI1098" s="195">
        <v>0.87</v>
      </c>
      <c r="AO1098" s="213"/>
      <c r="AP1098" s="213"/>
      <c r="AQ1098" s="213"/>
      <c r="AR1098" s="213"/>
      <c r="AS1098" s="213"/>
      <c r="AT1098" s="213"/>
      <c r="AU1098" s="213"/>
      <c r="AV1098" s="213"/>
    </row>
    <row r="1099" spans="1:48">
      <c r="A1099">
        <v>5468</v>
      </c>
      <c r="C1099" s="107">
        <f>VLOOKUP(5468,收盤價!$A:$C,3,0)</f>
        <v>0</v>
      </c>
      <c r="D1099" s="107">
        <f t="shared" si="187"/>
        <v>0</v>
      </c>
      <c r="E1099" s="167">
        <f t="shared" si="188"/>
        <v>2</v>
      </c>
      <c r="F1099" s="104">
        <f t="shared" si="189"/>
        <v>0</v>
      </c>
      <c r="G1099" s="167">
        <f>RANK(0.51,AE:AE,0)</f>
        <v>1523</v>
      </c>
      <c r="H1099" s="365">
        <f t="shared" si="190"/>
        <v>0</v>
      </c>
      <c r="I1099" s="213">
        <f t="shared" si="191"/>
        <v>1067</v>
      </c>
      <c r="J1099" s="213">
        <f t="shared" si="192"/>
        <v>768</v>
      </c>
      <c r="K1099">
        <f>RANK(0.85,AI:AI,0)</f>
        <v>1059</v>
      </c>
      <c r="L1099" s="357">
        <v>0</v>
      </c>
      <c r="M1099" s="357">
        <v>1</v>
      </c>
      <c r="N1099" s="357">
        <v>1</v>
      </c>
      <c r="O1099" s="357">
        <v>0</v>
      </c>
      <c r="P1099" s="357">
        <v>0</v>
      </c>
      <c r="Q1099" s="358">
        <v>0.22641509433962265</v>
      </c>
      <c r="R1099" s="359">
        <v>0</v>
      </c>
      <c r="S1099" s="196">
        <v>255017000</v>
      </c>
      <c r="T1099" s="196">
        <v>53000000</v>
      </c>
      <c r="U1099" s="200">
        <f t="shared" si="193"/>
        <v>0</v>
      </c>
      <c r="V1099" s="196">
        <v>-15000000</v>
      </c>
      <c r="W1099" s="196">
        <v>0</v>
      </c>
      <c r="X1099" s="196">
        <v>29000000</v>
      </c>
      <c r="Y1099" s="196">
        <v>334000000</v>
      </c>
      <c r="Z1099" s="196">
        <v>54000000</v>
      </c>
      <c r="AA1099" s="198">
        <v>-0.52</v>
      </c>
      <c r="AB1099" s="198">
        <v>-0.04</v>
      </c>
      <c r="AC1099" s="213">
        <f t="shared" si="194"/>
        <v>1554</v>
      </c>
      <c r="AD1099" s="213">
        <f t="shared" si="195"/>
        <v>1483</v>
      </c>
      <c r="AE1099" s="213">
        <v>0.51</v>
      </c>
      <c r="AF1099" s="196">
        <v>0</v>
      </c>
      <c r="AG1099" s="104">
        <f t="shared" si="196"/>
        <v>0</v>
      </c>
      <c r="AH1099" s="104">
        <f t="shared" si="197"/>
        <v>0</v>
      </c>
      <c r="AI1099" s="195">
        <v>0.85</v>
      </c>
    </row>
    <row r="1100" spans="1:48">
      <c r="A1100">
        <v>5469</v>
      </c>
      <c r="C1100" s="107">
        <f>VLOOKUP(5469,收盤價!$A:$C,3,0)</f>
        <v>14.4</v>
      </c>
      <c r="D1100" s="107">
        <f t="shared" si="187"/>
        <v>12.758796532381439</v>
      </c>
      <c r="E1100" s="167">
        <f t="shared" si="188"/>
        <v>3</v>
      </c>
      <c r="F1100" s="104">
        <f t="shared" si="189"/>
        <v>0.16424602380086623</v>
      </c>
      <c r="G1100" s="167">
        <f>RANK(1.08,AE:AE,0)</f>
        <v>769</v>
      </c>
      <c r="H1100" s="365">
        <f t="shared" si="190"/>
        <v>0.62286458420195379</v>
      </c>
      <c r="I1100" s="213">
        <f t="shared" si="191"/>
        <v>371</v>
      </c>
      <c r="J1100" s="213">
        <f t="shared" si="192"/>
        <v>259</v>
      </c>
      <c r="K1100">
        <f>RANK(2.47,AI:AI,0)</f>
        <v>244</v>
      </c>
      <c r="L1100" s="357">
        <v>0</v>
      </c>
      <c r="M1100" s="357">
        <v>1</v>
      </c>
      <c r="N1100" s="357">
        <v>2</v>
      </c>
      <c r="O1100" s="357">
        <v>0</v>
      </c>
      <c r="P1100" s="357">
        <v>0</v>
      </c>
      <c r="Q1100" s="358">
        <v>0.1201302003865324</v>
      </c>
      <c r="R1100" s="359">
        <v>0.28215827338129496</v>
      </c>
      <c r="S1100" s="196">
        <v>39926446000</v>
      </c>
      <c r="T1100" s="196">
        <v>455400000</v>
      </c>
      <c r="U1100" s="200">
        <f t="shared" si="193"/>
        <v>6557760000</v>
      </c>
      <c r="V1100" s="196">
        <v>316000000</v>
      </c>
      <c r="W1100" s="196">
        <v>10133000000</v>
      </c>
      <c r="X1100" s="196">
        <v>13065000000</v>
      </c>
      <c r="Y1100" s="196">
        <v>19843000000</v>
      </c>
      <c r="Z1100" s="196">
        <v>11383000000</v>
      </c>
      <c r="AA1100" s="198">
        <v>0.01</v>
      </c>
      <c r="AB1100" s="198">
        <v>0.01</v>
      </c>
      <c r="AC1100" s="213">
        <f t="shared" si="194"/>
        <v>769</v>
      </c>
      <c r="AD1100" s="213">
        <f t="shared" si="195"/>
        <v>680</v>
      </c>
      <c r="AE1100" s="213">
        <v>1.08</v>
      </c>
      <c r="AF1100" s="196">
        <v>643000000</v>
      </c>
      <c r="AG1100" s="104">
        <f t="shared" si="196"/>
        <v>1.4119455423803249</v>
      </c>
      <c r="AH1100" s="104">
        <f t="shared" si="197"/>
        <v>2.0348101265822787</v>
      </c>
      <c r="AI1100" s="195">
        <v>2.4700000000000002</v>
      </c>
      <c r="AO1100" s="213"/>
      <c r="AP1100" s="213"/>
      <c r="AQ1100" s="213"/>
      <c r="AR1100" s="213"/>
      <c r="AS1100" s="213"/>
      <c r="AT1100" s="213"/>
      <c r="AU1100" s="213"/>
      <c r="AV1100" s="213"/>
    </row>
    <row r="1101" spans="1:48">
      <c r="A1101">
        <v>5471</v>
      </c>
      <c r="C1101" s="107">
        <f>VLOOKUP(5471,收盤價!$A:$C,3,0)</f>
        <v>32.25</v>
      </c>
      <c r="D1101" s="107">
        <f t="shared" si="187"/>
        <v>12.480650154798761</v>
      </c>
      <c r="E1101" s="167">
        <f t="shared" si="188"/>
        <v>4</v>
      </c>
      <c r="F1101" s="104">
        <f t="shared" si="189"/>
        <v>1.7022937120976336</v>
      </c>
      <c r="G1101" s="167">
        <f>RANK(3.92,AE:AE,0)</f>
        <v>209</v>
      </c>
      <c r="H1101" s="365">
        <f t="shared" si="190"/>
        <v>0.25943656043025975</v>
      </c>
      <c r="I1101" s="213">
        <f t="shared" si="191"/>
        <v>520</v>
      </c>
      <c r="J1101" s="213">
        <f t="shared" si="192"/>
        <v>443</v>
      </c>
      <c r="K1101">
        <f>RANK(1.62,AI:AI,0)</f>
        <v>493</v>
      </c>
      <c r="L1101" s="357">
        <v>0</v>
      </c>
      <c r="M1101" s="357">
        <v>1</v>
      </c>
      <c r="N1101" s="357">
        <v>2</v>
      </c>
      <c r="O1101" s="357">
        <v>1</v>
      </c>
      <c r="P1101" s="357">
        <v>0</v>
      </c>
      <c r="Q1101" s="358">
        <v>0.41437632135306551</v>
      </c>
      <c r="R1101" s="359">
        <v>0.64600000000000002</v>
      </c>
      <c r="S1101" s="196">
        <v>3180870000</v>
      </c>
      <c r="T1101" s="196">
        <v>167900000</v>
      </c>
      <c r="U1101" s="200">
        <f t="shared" si="193"/>
        <v>5414775000</v>
      </c>
      <c r="V1101" s="196">
        <v>133000000</v>
      </c>
      <c r="W1101" s="196">
        <v>2234000000</v>
      </c>
      <c r="X1101" s="196">
        <v>450000000</v>
      </c>
      <c r="Y1101" s="196">
        <v>2878000000</v>
      </c>
      <c r="Z1101" s="196">
        <v>0</v>
      </c>
      <c r="AA1101" s="198">
        <v>0.05</v>
      </c>
      <c r="AB1101" s="198">
        <v>0.05</v>
      </c>
      <c r="AC1101" s="213">
        <f t="shared" si="194"/>
        <v>247</v>
      </c>
      <c r="AD1101" s="213">
        <f t="shared" si="195"/>
        <v>150</v>
      </c>
      <c r="AE1101" s="213">
        <v>3.92</v>
      </c>
      <c r="AF1101" s="196">
        <v>166000000</v>
      </c>
      <c r="AG1101" s="104">
        <f t="shared" si="196"/>
        <v>0.98868374032161999</v>
      </c>
      <c r="AH1101" s="104">
        <f t="shared" si="197"/>
        <v>1.2481203007518797</v>
      </c>
      <c r="AI1101" s="195">
        <v>1.62</v>
      </c>
    </row>
    <row r="1102" spans="1:48">
      <c r="A1102">
        <v>5474</v>
      </c>
      <c r="C1102" s="107">
        <f>VLOOKUP(5474,收盤價!$A:$C,3,0)</f>
        <v>70.8</v>
      </c>
      <c r="D1102" s="107">
        <f t="shared" si="187"/>
        <v>11.598107025846378</v>
      </c>
      <c r="E1102" s="167">
        <f t="shared" si="188"/>
        <v>3</v>
      </c>
      <c r="F1102" s="104">
        <f t="shared" si="189"/>
        <v>2.2508037371892593</v>
      </c>
      <c r="G1102" s="167">
        <f>RANK(30.55,AE:AE,0)</f>
        <v>20</v>
      </c>
      <c r="H1102" s="365">
        <f t="shared" si="190"/>
        <v>-0.29935416303019718</v>
      </c>
      <c r="I1102" s="213">
        <f t="shared" si="191"/>
        <v>698</v>
      </c>
      <c r="J1102" s="213">
        <f t="shared" si="192"/>
        <v>724</v>
      </c>
      <c r="K1102">
        <f>RANK(1.1,AI:AI,0)</f>
        <v>795</v>
      </c>
      <c r="L1102" s="357">
        <v>0</v>
      </c>
      <c r="M1102" s="357">
        <v>1</v>
      </c>
      <c r="N1102" s="357">
        <v>1</v>
      </c>
      <c r="O1102" s="357">
        <v>1</v>
      </c>
      <c r="P1102" s="357">
        <v>0</v>
      </c>
      <c r="Q1102" s="358">
        <v>0.43893129770992367</v>
      </c>
      <c r="R1102" s="359">
        <v>1.526111111111111</v>
      </c>
      <c r="S1102" s="196">
        <v>1060048000</v>
      </c>
      <c r="T1102" s="196">
        <v>33700000</v>
      </c>
      <c r="U1102" s="200">
        <f t="shared" si="193"/>
        <v>2385960000</v>
      </c>
      <c r="V1102" s="196">
        <v>68000000</v>
      </c>
      <c r="W1102" s="196">
        <v>618000000</v>
      </c>
      <c r="X1102" s="196">
        <v>3000000</v>
      </c>
      <c r="Y1102" s="196">
        <v>637000000</v>
      </c>
      <c r="Z1102" s="196">
        <v>0</v>
      </c>
      <c r="AA1102" s="198">
        <v>0.11</v>
      </c>
      <c r="AB1102" s="198">
        <v>0.11</v>
      </c>
      <c r="AC1102" s="213">
        <f t="shared" si="194"/>
        <v>40</v>
      </c>
      <c r="AD1102" s="213">
        <f t="shared" si="195"/>
        <v>11</v>
      </c>
      <c r="AE1102" s="213">
        <v>30.55</v>
      </c>
      <c r="AF1102" s="196">
        <v>20000000</v>
      </c>
      <c r="AG1102" s="104">
        <f t="shared" si="196"/>
        <v>0.59347181008902072</v>
      </c>
      <c r="AH1102" s="104">
        <f t="shared" si="197"/>
        <v>0.29411764705882354</v>
      </c>
      <c r="AI1102" s="195">
        <v>1.1000000000000001</v>
      </c>
    </row>
    <row r="1103" spans="1:48">
      <c r="A1103">
        <v>5475</v>
      </c>
      <c r="C1103" s="107">
        <f>VLOOKUP(5475,收盤價!$A:$C,3,0)</f>
        <v>3.87</v>
      </c>
      <c r="D1103" s="107">
        <f t="shared" si="187"/>
        <v>0</v>
      </c>
      <c r="E1103" s="167">
        <f t="shared" si="188"/>
        <v>3</v>
      </c>
      <c r="F1103" s="104">
        <f t="shared" si="189"/>
        <v>0.4103639713742796</v>
      </c>
      <c r="G1103" s="167">
        <f>RANK(0.52,AE:AE,0)</f>
        <v>1493</v>
      </c>
      <c r="H1103" s="365">
        <f t="shared" si="190"/>
        <v>-0.42591753511554148</v>
      </c>
      <c r="I1103" s="213">
        <f t="shared" si="191"/>
        <v>789</v>
      </c>
      <c r="J1103" s="213">
        <f t="shared" si="192"/>
        <v>768</v>
      </c>
      <c r="K1103">
        <f>RANK(1,AI:AI,0)</f>
        <v>884</v>
      </c>
      <c r="L1103" s="357">
        <v>0</v>
      </c>
      <c r="M1103" s="357">
        <v>0</v>
      </c>
      <c r="N1103" s="357">
        <v>2</v>
      </c>
      <c r="O1103" s="357">
        <v>1</v>
      </c>
      <c r="P1103" s="357">
        <v>0</v>
      </c>
      <c r="Q1103" s="358">
        <v>-0.11293634496919917</v>
      </c>
      <c r="R1103" s="359">
        <v>0</v>
      </c>
      <c r="S1103" s="196">
        <v>2081345000</v>
      </c>
      <c r="T1103" s="196">
        <v>220700000</v>
      </c>
      <c r="U1103" s="200">
        <f t="shared" si="193"/>
        <v>854109000</v>
      </c>
      <c r="V1103" s="196">
        <v>-146000000</v>
      </c>
      <c r="W1103" s="196">
        <v>616000000</v>
      </c>
      <c r="X1103" s="196">
        <v>1862000000</v>
      </c>
      <c r="Y1103" s="196">
        <v>1292000000</v>
      </c>
      <c r="Z1103" s="196">
        <v>1681000000</v>
      </c>
      <c r="AA1103" s="198">
        <v>-0.06</v>
      </c>
      <c r="AB1103" s="198">
        <v>-0.05</v>
      </c>
      <c r="AC1103" s="213">
        <f t="shared" si="194"/>
        <v>1484</v>
      </c>
      <c r="AD1103" s="213">
        <f t="shared" si="195"/>
        <v>1500</v>
      </c>
      <c r="AE1103" s="213">
        <v>0.52</v>
      </c>
      <c r="AF1103" s="196">
        <v>94000000</v>
      </c>
      <c r="AG1103" s="104">
        <f t="shared" si="196"/>
        <v>0.42591753511554148</v>
      </c>
      <c r="AH1103" s="104">
        <f t="shared" si="197"/>
        <v>0</v>
      </c>
      <c r="AI1103" s="195">
        <v>1</v>
      </c>
    </row>
    <row r="1104" spans="1:48">
      <c r="A1104">
        <v>5478</v>
      </c>
      <c r="C1104" s="107">
        <f>VLOOKUP(5478,收盤價!$A:$C,3,0)</f>
        <v>62.8</v>
      </c>
      <c r="D1104" s="107">
        <f t="shared" si="187"/>
        <v>25.177548682703321</v>
      </c>
      <c r="E1104" s="167">
        <f t="shared" si="188"/>
        <v>3</v>
      </c>
      <c r="F1104" s="104">
        <f t="shared" si="189"/>
        <v>0.50757595303296443</v>
      </c>
      <c r="G1104" s="167">
        <f>RANK(1.41,AE:AE,0)</f>
        <v>618</v>
      </c>
      <c r="H1104" s="365">
        <f t="shared" si="190"/>
        <v>0.2096219931271478</v>
      </c>
      <c r="I1104" s="213">
        <f t="shared" si="191"/>
        <v>662</v>
      </c>
      <c r="J1104" s="213">
        <f t="shared" si="192"/>
        <v>566</v>
      </c>
      <c r="K1104">
        <f>RANK(1.27,AI:AI,0)</f>
        <v>690</v>
      </c>
      <c r="L1104" s="357">
        <v>0</v>
      </c>
      <c r="M1104" s="357">
        <v>1</v>
      </c>
      <c r="N1104" s="357">
        <v>0</v>
      </c>
      <c r="O1104" s="357">
        <v>1</v>
      </c>
      <c r="P1104" s="357">
        <v>1</v>
      </c>
      <c r="Q1104" s="358">
        <v>0.20282899722152059</v>
      </c>
      <c r="R1104" s="359">
        <v>0.62357142857142855</v>
      </c>
      <c r="S1104" s="196">
        <v>15774979000</v>
      </c>
      <c r="T1104" s="196">
        <v>127500000</v>
      </c>
      <c r="U1104" s="200">
        <f t="shared" si="193"/>
        <v>8007000000</v>
      </c>
      <c r="V1104" s="196">
        <v>97000000</v>
      </c>
      <c r="W1104" s="196">
        <v>4960000000</v>
      </c>
      <c r="X1104" s="196">
        <v>255000000</v>
      </c>
      <c r="Y1104" s="196">
        <v>6238000000</v>
      </c>
      <c r="Z1104" s="196">
        <v>0</v>
      </c>
      <c r="AA1104" s="198">
        <v>0.02</v>
      </c>
      <c r="AB1104" s="198">
        <v>0.02</v>
      </c>
      <c r="AC1104" s="213">
        <f t="shared" si="194"/>
        <v>616</v>
      </c>
      <c r="AD1104" s="213">
        <f t="shared" si="195"/>
        <v>487</v>
      </c>
      <c r="AE1104" s="213">
        <v>1.41</v>
      </c>
      <c r="AF1104" s="196">
        <v>85000000</v>
      </c>
      <c r="AG1104" s="104">
        <f t="shared" si="196"/>
        <v>0.66666666666666663</v>
      </c>
      <c r="AH1104" s="104">
        <f t="shared" si="197"/>
        <v>0.87628865979381443</v>
      </c>
      <c r="AI1104" s="195">
        <v>1.27</v>
      </c>
    </row>
    <row r="1105" spans="1:48">
      <c r="A1105">
        <v>5480</v>
      </c>
      <c r="C1105" s="107">
        <f>VLOOKUP(5480,收盤價!$A:$C,3,0)</f>
        <v>11.95</v>
      </c>
      <c r="D1105" s="107">
        <f t="shared" si="187"/>
        <v>10.309369202226344</v>
      </c>
      <c r="E1105" s="167">
        <f t="shared" si="188"/>
        <v>5</v>
      </c>
      <c r="F1105" s="104">
        <f t="shared" si="189"/>
        <v>0.39313815706094468</v>
      </c>
      <c r="G1105" s="167">
        <f>RANK(1.41,AE:AE,0)</f>
        <v>618</v>
      </c>
      <c r="H1105" s="365">
        <f t="shared" si="190"/>
        <v>0.43753139126067297</v>
      </c>
      <c r="I1105" s="213">
        <f t="shared" si="191"/>
        <v>830</v>
      </c>
      <c r="J1105" s="213">
        <f t="shared" si="192"/>
        <v>602</v>
      </c>
      <c r="K1105">
        <f>RANK(1.09,AI:AI,0)</f>
        <v>803</v>
      </c>
      <c r="L1105" s="357">
        <v>1</v>
      </c>
      <c r="M1105" s="357">
        <v>1</v>
      </c>
      <c r="N1105" s="357">
        <v>2</v>
      </c>
      <c r="O1105" s="357">
        <v>1</v>
      </c>
      <c r="P1105" s="357">
        <v>0</v>
      </c>
      <c r="Q1105" s="358">
        <v>0.13</v>
      </c>
      <c r="R1105" s="359">
        <v>0.28978494623655915</v>
      </c>
      <c r="S1105" s="196">
        <v>6051931000</v>
      </c>
      <c r="T1105" s="196">
        <v>199100000</v>
      </c>
      <c r="U1105" s="200">
        <f t="shared" si="193"/>
        <v>2379245000</v>
      </c>
      <c r="V1105" s="196">
        <v>88000000</v>
      </c>
      <c r="W1105" s="196">
        <v>1620000000</v>
      </c>
      <c r="X1105" s="196">
        <v>3131000000</v>
      </c>
      <c r="Y1105" s="196">
        <v>4035000000</v>
      </c>
      <c r="Z1105" s="196">
        <v>1347000000</v>
      </c>
      <c r="AA1105" s="198">
        <v>0.02</v>
      </c>
      <c r="AB1105" s="198">
        <v>0.02</v>
      </c>
      <c r="AC1105" s="213">
        <f t="shared" si="194"/>
        <v>616</v>
      </c>
      <c r="AD1105" s="213">
        <f t="shared" si="195"/>
        <v>487</v>
      </c>
      <c r="AE1105" s="213">
        <v>1.41</v>
      </c>
      <c r="AF1105" s="196">
        <v>69000000</v>
      </c>
      <c r="AG1105" s="104">
        <f t="shared" si="196"/>
        <v>0.34655951783023609</v>
      </c>
      <c r="AH1105" s="104">
        <f t="shared" si="197"/>
        <v>0.78409090909090906</v>
      </c>
      <c r="AI1105" s="195">
        <v>1.0900000000000001</v>
      </c>
    </row>
    <row r="1106" spans="1:48">
      <c r="A1106">
        <v>5481</v>
      </c>
      <c r="C1106" s="107">
        <f>VLOOKUP(5481,收盤價!$A:$C,3,0)</f>
        <v>17.2</v>
      </c>
      <c r="D1106" s="107">
        <f t="shared" si="187"/>
        <v>0</v>
      </c>
      <c r="E1106" s="167">
        <f t="shared" si="188"/>
        <v>4</v>
      </c>
      <c r="F1106" s="104">
        <f t="shared" si="189"/>
        <v>89.672614263516053</v>
      </c>
      <c r="G1106" s="167">
        <f>RANK(0.59,AE:AE,0)</f>
        <v>1348</v>
      </c>
      <c r="H1106" s="365">
        <f t="shared" si="190"/>
        <v>-6.1664953751284689E-2</v>
      </c>
      <c r="I1106" s="213">
        <f t="shared" si="191"/>
        <v>1028</v>
      </c>
      <c r="J1106" s="213">
        <f t="shared" si="192"/>
        <v>768</v>
      </c>
      <c r="K1106">
        <f>RANK(0.87,AI:AI,0)</f>
        <v>1035</v>
      </c>
      <c r="L1106" s="357">
        <v>0</v>
      </c>
      <c r="M1106" s="357">
        <v>1</v>
      </c>
      <c r="N1106" s="357">
        <v>2</v>
      </c>
      <c r="O1106" s="357">
        <v>1</v>
      </c>
      <c r="P1106" s="357">
        <v>0</v>
      </c>
      <c r="Q1106" s="358">
        <v>-0.63636363636363635</v>
      </c>
      <c r="R1106" s="359">
        <v>0</v>
      </c>
      <c r="S1106" s="196">
        <v>18663000</v>
      </c>
      <c r="T1106" s="196">
        <v>97300000</v>
      </c>
      <c r="U1106" s="200">
        <f t="shared" si="193"/>
        <v>1673560000</v>
      </c>
      <c r="V1106" s="196">
        <v>-14000000</v>
      </c>
      <c r="W1106" s="196">
        <v>221000000</v>
      </c>
      <c r="X1106" s="196">
        <v>495000000</v>
      </c>
      <c r="Y1106" s="196">
        <v>1023000000</v>
      </c>
      <c r="Z1106" s="196">
        <v>0</v>
      </c>
      <c r="AA1106" s="198">
        <v>-0.02</v>
      </c>
      <c r="AB1106" s="198">
        <v>-0.01</v>
      </c>
      <c r="AC1106" s="213">
        <f t="shared" si="194"/>
        <v>1353</v>
      </c>
      <c r="AD1106" s="213">
        <f t="shared" si="195"/>
        <v>1294</v>
      </c>
      <c r="AE1106" s="213">
        <v>0.59</v>
      </c>
      <c r="AF1106" s="196">
        <v>6000000</v>
      </c>
      <c r="AG1106" s="104">
        <f t="shared" si="196"/>
        <v>6.1664953751284689E-2</v>
      </c>
      <c r="AH1106" s="104">
        <f t="shared" si="197"/>
        <v>0</v>
      </c>
      <c r="AI1106" s="195">
        <v>0.87</v>
      </c>
      <c r="AO1106" s="213"/>
      <c r="AP1106" s="213"/>
      <c r="AQ1106" s="213"/>
      <c r="AR1106" s="213"/>
      <c r="AS1106" s="213"/>
      <c r="AT1106" s="213"/>
      <c r="AU1106" s="213"/>
      <c r="AV1106" s="213"/>
    </row>
    <row r="1107" spans="1:48">
      <c r="A1107">
        <v>5483</v>
      </c>
      <c r="C1107" s="107">
        <f>VLOOKUP(5483,收盤價!$A:$C,3,0)</f>
        <v>33.799999999999997</v>
      </c>
      <c r="D1107" s="107">
        <f t="shared" si="187"/>
        <v>10.91830065359477</v>
      </c>
      <c r="E1107" s="167">
        <f t="shared" si="188"/>
        <v>3</v>
      </c>
      <c r="F1107" s="104">
        <f t="shared" si="189"/>
        <v>0.67129284825199853</v>
      </c>
      <c r="G1107" s="167">
        <f>RANK(1.63,AE:AE,0)</f>
        <v>551</v>
      </c>
      <c r="H1107" s="365">
        <f t="shared" si="190"/>
        <v>1.2413793103448276</v>
      </c>
      <c r="I1107" s="213">
        <f t="shared" si="191"/>
        <v>1461</v>
      </c>
      <c r="J1107" s="213">
        <f t="shared" si="192"/>
        <v>768</v>
      </c>
      <c r="K1107">
        <f>RANK(0.7,AI:AI,0)</f>
        <v>1442</v>
      </c>
      <c r="L1107" s="357">
        <v>1</v>
      </c>
      <c r="M1107" s="357">
        <v>1</v>
      </c>
      <c r="N1107" s="357">
        <v>1</v>
      </c>
      <c r="O1107" s="357">
        <v>0</v>
      </c>
      <c r="P1107" s="357">
        <v>0</v>
      </c>
      <c r="Q1107" s="358">
        <v>0.18066225165562913</v>
      </c>
      <c r="R1107" s="359">
        <v>0.77392996108949419</v>
      </c>
      <c r="S1107" s="196">
        <v>29203350000</v>
      </c>
      <c r="T1107" s="196">
        <v>580000000</v>
      </c>
      <c r="U1107" s="200">
        <f t="shared" si="193"/>
        <v>19604000000</v>
      </c>
      <c r="V1107" s="196">
        <v>799000000</v>
      </c>
      <c r="W1107" s="196">
        <v>5601000000</v>
      </c>
      <c r="X1107" s="196">
        <v>20409000000</v>
      </c>
      <c r="Y1107" s="196">
        <v>28773000000</v>
      </c>
      <c r="Z1107" s="196">
        <v>4397000000</v>
      </c>
      <c r="AA1107" s="198">
        <v>0.03</v>
      </c>
      <c r="AB1107" s="198">
        <v>0.02</v>
      </c>
      <c r="AC1107" s="213">
        <f t="shared" si="194"/>
        <v>469</v>
      </c>
      <c r="AD1107" s="213">
        <f t="shared" si="195"/>
        <v>487</v>
      </c>
      <c r="AE1107" s="213">
        <v>1.63</v>
      </c>
      <c r="AF1107" s="196">
        <v>-720000000</v>
      </c>
      <c r="AG1107" s="104">
        <f t="shared" si="196"/>
        <v>-1.2413793103448276</v>
      </c>
      <c r="AH1107" s="104">
        <f t="shared" si="197"/>
        <v>0</v>
      </c>
      <c r="AI1107" s="195">
        <v>0.7</v>
      </c>
    </row>
    <row r="1108" spans="1:48">
      <c r="A1108">
        <v>5484</v>
      </c>
      <c r="C1108" s="107">
        <f>VLOOKUP(5484,收盤價!$A:$C,3,0)</f>
        <v>7.04</v>
      </c>
      <c r="D1108" s="107">
        <f t="shared" si="187"/>
        <v>14.556390977443607</v>
      </c>
      <c r="E1108" s="167">
        <f t="shared" si="188"/>
        <v>4</v>
      </c>
      <c r="F1108" s="104">
        <f t="shared" si="189"/>
        <v>0.65973921023102067</v>
      </c>
      <c r="G1108" s="167">
        <f>RANK(1.41,AE:AE,0)</f>
        <v>618</v>
      </c>
      <c r="H1108" s="365">
        <f t="shared" si="190"/>
        <v>0.40692640692640691</v>
      </c>
      <c r="I1108" s="213">
        <f t="shared" si="191"/>
        <v>1317</v>
      </c>
      <c r="J1108" s="213">
        <f t="shared" si="192"/>
        <v>768</v>
      </c>
      <c r="K1108">
        <f>RANK(0.75,AI:AI,0)</f>
        <v>1296</v>
      </c>
      <c r="L1108" s="357">
        <v>1</v>
      </c>
      <c r="M1108" s="357">
        <v>1</v>
      </c>
      <c r="N1108" s="357">
        <v>2</v>
      </c>
      <c r="O1108" s="357">
        <v>0</v>
      </c>
      <c r="P1108" s="357">
        <v>0</v>
      </c>
      <c r="Q1108" s="358">
        <v>0.31722054380664655</v>
      </c>
      <c r="R1108" s="359">
        <v>0.12090909090909092</v>
      </c>
      <c r="S1108" s="196">
        <v>1232487000</v>
      </c>
      <c r="T1108" s="196">
        <v>115500000</v>
      </c>
      <c r="U1108" s="200">
        <f t="shared" si="193"/>
        <v>813120000</v>
      </c>
      <c r="V1108" s="196">
        <v>19000000</v>
      </c>
      <c r="W1108" s="196">
        <v>660000000</v>
      </c>
      <c r="X1108" s="196">
        <v>257000000</v>
      </c>
      <c r="Y1108" s="196">
        <v>996000000</v>
      </c>
      <c r="Z1108" s="196">
        <v>71000000</v>
      </c>
      <c r="AA1108" s="198">
        <v>0.02</v>
      </c>
      <c r="AB1108" s="198">
        <v>0.02</v>
      </c>
      <c r="AC1108" s="213">
        <f t="shared" si="194"/>
        <v>616</v>
      </c>
      <c r="AD1108" s="213">
        <f t="shared" si="195"/>
        <v>487</v>
      </c>
      <c r="AE1108" s="213">
        <v>1.41</v>
      </c>
      <c r="AF1108" s="196">
        <v>-47000000</v>
      </c>
      <c r="AG1108" s="104">
        <f t="shared" si="196"/>
        <v>-0.40692640692640691</v>
      </c>
      <c r="AH1108" s="104">
        <f t="shared" si="197"/>
        <v>0</v>
      </c>
      <c r="AI1108" s="195">
        <v>0.75</v>
      </c>
      <c r="AO1108" s="213"/>
      <c r="AP1108" s="213"/>
      <c r="AQ1108" s="213"/>
      <c r="AR1108" s="213"/>
      <c r="AS1108" s="213"/>
      <c r="AT1108" s="213"/>
      <c r="AU1108" s="213"/>
      <c r="AV1108" s="213"/>
    </row>
    <row r="1109" spans="1:48">
      <c r="A1109">
        <v>5487</v>
      </c>
      <c r="C1109" s="107">
        <f>VLOOKUP(5487,收盤價!$A:$C,3,0)</f>
        <v>24.8</v>
      </c>
      <c r="D1109" s="107">
        <f t="shared" si="187"/>
        <v>10.333333333333334</v>
      </c>
      <c r="E1109" s="167">
        <f t="shared" si="188"/>
        <v>5</v>
      </c>
      <c r="F1109" s="104">
        <f t="shared" si="189"/>
        <v>1.4959780985836684</v>
      </c>
      <c r="G1109" s="167">
        <f>RANK(2.32,AE:AE,0)</f>
        <v>360</v>
      </c>
      <c r="H1109" s="365">
        <f t="shared" si="190"/>
        <v>0.10350678733031676</v>
      </c>
      <c r="I1109" s="213">
        <f t="shared" si="191"/>
        <v>879</v>
      </c>
      <c r="J1109" s="213">
        <f t="shared" si="192"/>
        <v>709</v>
      </c>
      <c r="K1109">
        <f>RANK(0.98,AI:AI,0)</f>
        <v>903</v>
      </c>
      <c r="L1109" s="357">
        <v>1</v>
      </c>
      <c r="M1109" s="357">
        <v>1</v>
      </c>
      <c r="N1109" s="357">
        <v>2</v>
      </c>
      <c r="O1109" s="357">
        <v>0</v>
      </c>
      <c r="P1109" s="357">
        <v>1</v>
      </c>
      <c r="Q1109" s="358">
        <v>0.375</v>
      </c>
      <c r="R1109" s="359">
        <v>0.6</v>
      </c>
      <c r="S1109" s="196">
        <v>366369000</v>
      </c>
      <c r="T1109" s="196">
        <v>22100000</v>
      </c>
      <c r="U1109" s="200">
        <f t="shared" si="193"/>
        <v>548080000</v>
      </c>
      <c r="V1109" s="196">
        <v>16000000</v>
      </c>
      <c r="W1109" s="196">
        <v>341000000</v>
      </c>
      <c r="X1109" s="196">
        <v>104000000</v>
      </c>
      <c r="Y1109" s="196">
        <v>466000000</v>
      </c>
      <c r="Z1109" s="196">
        <v>0</v>
      </c>
      <c r="AA1109" s="198">
        <v>0.04</v>
      </c>
      <c r="AB1109" s="198">
        <v>0.03</v>
      </c>
      <c r="AC1109" s="213">
        <f t="shared" si="194"/>
        <v>337</v>
      </c>
      <c r="AD1109" s="213">
        <f t="shared" si="195"/>
        <v>334</v>
      </c>
      <c r="AE1109" s="213">
        <v>2.3199999999999998</v>
      </c>
      <c r="AF1109" s="196">
        <v>6000000</v>
      </c>
      <c r="AG1109" s="104">
        <f t="shared" si="196"/>
        <v>0.27149321266968324</v>
      </c>
      <c r="AH1109" s="104">
        <f t="shared" si="197"/>
        <v>0.375</v>
      </c>
      <c r="AI1109" s="195">
        <v>0.98</v>
      </c>
    </row>
    <row r="1110" spans="1:48">
      <c r="A1110">
        <v>5488</v>
      </c>
      <c r="C1110" s="107">
        <f>VLOOKUP(5488,收盤價!$A:$C,3,0)</f>
        <v>6.68</v>
      </c>
      <c r="D1110" s="107">
        <f t="shared" si="187"/>
        <v>0</v>
      </c>
      <c r="E1110" s="167">
        <f t="shared" si="188"/>
        <v>3</v>
      </c>
      <c r="F1110" s="104">
        <f t="shared" si="189"/>
        <v>0.36153807066408739</v>
      </c>
      <c r="G1110" s="167">
        <f>RANK(0.61,AE:AE,0)</f>
        <v>1295</v>
      </c>
      <c r="H1110" s="365">
        <f t="shared" si="190"/>
        <v>-0.45851528384279477</v>
      </c>
      <c r="I1110" s="213">
        <f t="shared" si="191"/>
        <v>769</v>
      </c>
      <c r="J1110" s="213">
        <f t="shared" si="192"/>
        <v>768</v>
      </c>
      <c r="K1110">
        <f>RANK(1.01,AI:AI,0)</f>
        <v>874</v>
      </c>
      <c r="L1110" s="357">
        <v>0</v>
      </c>
      <c r="M1110" s="357">
        <v>0</v>
      </c>
      <c r="N1110" s="357">
        <v>2</v>
      </c>
      <c r="O1110" s="357">
        <v>1</v>
      </c>
      <c r="P1110" s="357">
        <v>0</v>
      </c>
      <c r="Q1110" s="358">
        <v>0.11627906976744186</v>
      </c>
      <c r="R1110" s="359">
        <v>0</v>
      </c>
      <c r="S1110" s="196">
        <v>1692458000</v>
      </c>
      <c r="T1110" s="196">
        <v>91600000</v>
      </c>
      <c r="U1110" s="200">
        <f t="shared" si="193"/>
        <v>611888000</v>
      </c>
      <c r="V1110" s="196">
        <v>-11000000</v>
      </c>
      <c r="W1110" s="196">
        <v>617000000</v>
      </c>
      <c r="X1110" s="196">
        <v>401000000</v>
      </c>
      <c r="Y1110" s="196">
        <v>1006000000</v>
      </c>
      <c r="Z1110" s="196">
        <v>249000000</v>
      </c>
      <c r="AA1110" s="198">
        <v>-0.01</v>
      </c>
      <c r="AB1110" s="198">
        <v>-0.01</v>
      </c>
      <c r="AC1110" s="213">
        <f t="shared" si="194"/>
        <v>1277</v>
      </c>
      <c r="AD1110" s="213">
        <f t="shared" si="195"/>
        <v>1294</v>
      </c>
      <c r="AE1110" s="213">
        <v>0.61</v>
      </c>
      <c r="AF1110" s="196">
        <v>42000000</v>
      </c>
      <c r="AG1110" s="104">
        <f t="shared" si="196"/>
        <v>0.45851528384279477</v>
      </c>
      <c r="AH1110" s="104">
        <f t="shared" si="197"/>
        <v>0</v>
      </c>
      <c r="AI1110" s="195">
        <v>1.01</v>
      </c>
    </row>
    <row r="1111" spans="1:48">
      <c r="A1111">
        <v>5489</v>
      </c>
      <c r="C1111" s="107">
        <f>VLOOKUP(5489,收盤價!$A:$C,3,0)</f>
        <v>42</v>
      </c>
      <c r="D1111" s="107">
        <f t="shared" si="187"/>
        <v>31.002331002331001</v>
      </c>
      <c r="E1111" s="167">
        <f t="shared" si="188"/>
        <v>0</v>
      </c>
      <c r="F1111" s="104">
        <f t="shared" si="189"/>
        <v>2.0643717567301754</v>
      </c>
      <c r="G1111" s="167">
        <f>RANK(1.41,AE:AE,0)</f>
        <v>618</v>
      </c>
      <c r="H1111" s="365">
        <f t="shared" si="190"/>
        <v>0.59363157635710417</v>
      </c>
      <c r="I1111" s="213">
        <f t="shared" si="191"/>
        <v>825</v>
      </c>
      <c r="J1111" s="213">
        <f t="shared" si="192"/>
        <v>544</v>
      </c>
      <c r="K1111">
        <f>RANK(1.14,AI:AI,0)</f>
        <v>767</v>
      </c>
      <c r="L1111" s="357">
        <v>0</v>
      </c>
      <c r="M1111" s="357">
        <v>0</v>
      </c>
      <c r="N1111" s="357">
        <v>0</v>
      </c>
      <c r="O1111" s="357">
        <v>0</v>
      </c>
      <c r="P1111" s="357">
        <v>0</v>
      </c>
      <c r="Q1111" s="358">
        <v>0.37360178970917224</v>
      </c>
      <c r="R1111" s="359">
        <v>0.33868421052631581</v>
      </c>
      <c r="S1111" s="196">
        <v>2119967000</v>
      </c>
      <c r="T1111" s="196">
        <v>104200000</v>
      </c>
      <c r="U1111" s="200">
        <f t="shared" si="193"/>
        <v>4376400000</v>
      </c>
      <c r="V1111" s="196">
        <v>39000000</v>
      </c>
      <c r="W1111" s="196">
        <v>1097000000</v>
      </c>
      <c r="X1111" s="196">
        <v>699000000</v>
      </c>
      <c r="Y1111" s="196">
        <v>1875000000</v>
      </c>
      <c r="Z1111" s="196">
        <v>27000000</v>
      </c>
      <c r="AA1111" s="198">
        <v>0.02</v>
      </c>
      <c r="AB1111" s="198">
        <v>0.02</v>
      </c>
      <c r="AC1111" s="213">
        <f t="shared" si="194"/>
        <v>616</v>
      </c>
      <c r="AD1111" s="213">
        <f t="shared" si="195"/>
        <v>487</v>
      </c>
      <c r="AE1111" s="213">
        <v>1.41</v>
      </c>
      <c r="AF1111" s="196">
        <v>37000000</v>
      </c>
      <c r="AG1111" s="104">
        <f t="shared" si="196"/>
        <v>0.3550863723608445</v>
      </c>
      <c r="AH1111" s="104">
        <f t="shared" si="197"/>
        <v>0.94871794871794868</v>
      </c>
      <c r="AI1111" s="195">
        <v>1.1399999999999999</v>
      </c>
    </row>
    <row r="1112" spans="1:48">
      <c r="A1112">
        <v>5490</v>
      </c>
      <c r="C1112" s="107">
        <f>VLOOKUP(5490,收盤價!$A:$C,3,0)</f>
        <v>43.9</v>
      </c>
      <c r="D1112" s="107">
        <f t="shared" si="187"/>
        <v>21.519607843137255</v>
      </c>
      <c r="E1112" s="167">
        <f t="shared" si="188"/>
        <v>0</v>
      </c>
      <c r="F1112" s="104">
        <f t="shared" si="189"/>
        <v>1.551277396170619</v>
      </c>
      <c r="G1112" s="167">
        <f>RANK(0.84,AE:AE,0)</f>
        <v>946</v>
      </c>
      <c r="H1112" s="365">
        <f t="shared" si="190"/>
        <v>1.8114406779661016</v>
      </c>
      <c r="I1112" s="213">
        <f t="shared" si="191"/>
        <v>1501</v>
      </c>
      <c r="J1112" s="213">
        <f t="shared" si="192"/>
        <v>768</v>
      </c>
      <c r="K1112">
        <f>RANK(0.69,AI:AI,0)</f>
        <v>1474</v>
      </c>
      <c r="L1112" s="357">
        <v>0</v>
      </c>
      <c r="M1112" s="357">
        <v>0</v>
      </c>
      <c r="N1112" s="357">
        <v>0</v>
      </c>
      <c r="O1112" s="357">
        <v>0</v>
      </c>
      <c r="P1112" s="357">
        <v>0</v>
      </c>
      <c r="Q1112" s="358">
        <v>0.36414048059149723</v>
      </c>
      <c r="R1112" s="359">
        <v>0.51</v>
      </c>
      <c r="S1112" s="196">
        <v>2671450000</v>
      </c>
      <c r="T1112" s="196">
        <v>94400000</v>
      </c>
      <c r="U1112" s="200">
        <f t="shared" si="193"/>
        <v>4144160000</v>
      </c>
      <c r="V1112" s="196">
        <v>0</v>
      </c>
      <c r="W1112" s="196">
        <v>1494000000</v>
      </c>
      <c r="X1112" s="196">
        <v>101000000</v>
      </c>
      <c r="Y1112" s="196">
        <v>1504000000</v>
      </c>
      <c r="Z1112" s="196">
        <v>0</v>
      </c>
      <c r="AA1112" s="198">
        <v>0</v>
      </c>
      <c r="AB1112" s="198">
        <v>0</v>
      </c>
      <c r="AC1112" s="213">
        <f t="shared" si="194"/>
        <v>945</v>
      </c>
      <c r="AD1112" s="213">
        <f t="shared" si="195"/>
        <v>911</v>
      </c>
      <c r="AE1112" s="213">
        <v>0.84</v>
      </c>
      <c r="AF1112" s="196">
        <v>-171000000</v>
      </c>
      <c r="AG1112" s="104">
        <f t="shared" si="196"/>
        <v>-1.8114406779661016</v>
      </c>
      <c r="AH1112" s="104">
        <f t="shared" si="197"/>
        <v>0</v>
      </c>
      <c r="AI1112" s="195">
        <v>0.69</v>
      </c>
      <c r="AO1112" s="213"/>
      <c r="AP1112" s="213"/>
      <c r="AQ1112" s="213"/>
      <c r="AR1112" s="213"/>
      <c r="AS1112" s="213"/>
      <c r="AT1112" s="213"/>
      <c r="AU1112" s="213"/>
      <c r="AV1112" s="213"/>
    </row>
    <row r="1113" spans="1:48">
      <c r="A1113">
        <v>5491</v>
      </c>
      <c r="C1113" s="107">
        <f>VLOOKUP(5491,收盤價!$A:$C,3,0)</f>
        <v>8.6</v>
      </c>
      <c r="D1113" s="107">
        <f t="shared" si="187"/>
        <v>0</v>
      </c>
      <c r="E1113" s="167">
        <f t="shared" si="188"/>
        <v>4</v>
      </c>
      <c r="F1113" s="104">
        <f t="shared" si="189"/>
        <v>0.23542918900416615</v>
      </c>
      <c r="G1113" s="167">
        <f>RANK(0.84,AE:AE,0)</f>
        <v>946</v>
      </c>
      <c r="H1113" s="365">
        <f t="shared" si="190"/>
        <v>-0.21225277375783888</v>
      </c>
      <c r="I1113" s="213">
        <f t="shared" si="191"/>
        <v>927</v>
      </c>
      <c r="J1113" s="213">
        <f t="shared" si="192"/>
        <v>768</v>
      </c>
      <c r="K1113">
        <f>RANK(0.92,AI:AI,0)</f>
        <v>958</v>
      </c>
      <c r="L1113" s="357">
        <v>0</v>
      </c>
      <c r="M1113" s="357">
        <v>1</v>
      </c>
      <c r="N1113" s="357">
        <v>2</v>
      </c>
      <c r="O1113" s="357">
        <v>1</v>
      </c>
      <c r="P1113" s="357">
        <v>0</v>
      </c>
      <c r="Q1113" s="358">
        <v>0.15540180947312401</v>
      </c>
      <c r="R1113" s="359">
        <v>0</v>
      </c>
      <c r="S1113" s="196">
        <v>7572468000</v>
      </c>
      <c r="T1113" s="196">
        <v>207300000</v>
      </c>
      <c r="U1113" s="200">
        <f t="shared" si="193"/>
        <v>1782780000</v>
      </c>
      <c r="V1113" s="196">
        <v>-16000000</v>
      </c>
      <c r="W1113" s="196">
        <v>0</v>
      </c>
      <c r="X1113" s="196">
        <v>4083000000</v>
      </c>
      <c r="Y1113" s="196">
        <v>2672000000</v>
      </c>
      <c r="Z1113" s="196">
        <v>2640000000</v>
      </c>
      <c r="AA1113" s="198">
        <v>0</v>
      </c>
      <c r="AB1113" s="198">
        <v>0</v>
      </c>
      <c r="AC1113" s="213">
        <f t="shared" si="194"/>
        <v>945</v>
      </c>
      <c r="AD1113" s="213">
        <f t="shared" si="195"/>
        <v>911</v>
      </c>
      <c r="AE1113" s="213">
        <v>0.84</v>
      </c>
      <c r="AF1113" s="196">
        <v>44000000</v>
      </c>
      <c r="AG1113" s="104">
        <f t="shared" si="196"/>
        <v>0.21225277375783888</v>
      </c>
      <c r="AH1113" s="104">
        <f t="shared" si="197"/>
        <v>0</v>
      </c>
      <c r="AI1113" s="195">
        <v>0.92</v>
      </c>
    </row>
    <row r="1114" spans="1:48">
      <c r="A1114">
        <v>5493</v>
      </c>
      <c r="C1114" s="107">
        <f>VLOOKUP(5493,收盤價!$A:$C,3,0)</f>
        <v>30.4</v>
      </c>
      <c r="D1114" s="107">
        <f t="shared" si="187"/>
        <v>13.167914438502674</v>
      </c>
      <c r="E1114" s="167">
        <f t="shared" si="188"/>
        <v>2</v>
      </c>
      <c r="F1114" s="104">
        <f t="shared" si="189"/>
        <v>0.68085829237391393</v>
      </c>
      <c r="G1114" s="167">
        <f>RANK(2.32,AE:AE,0)</f>
        <v>360</v>
      </c>
      <c r="H1114" s="365">
        <f t="shared" si="190"/>
        <v>-0.43389229280877162</v>
      </c>
      <c r="I1114" s="213">
        <f t="shared" si="191"/>
        <v>213</v>
      </c>
      <c r="J1114" s="213">
        <f t="shared" si="192"/>
        <v>337</v>
      </c>
      <c r="K1114">
        <f>RANK(2.83,AI:AI,0)</f>
        <v>184</v>
      </c>
      <c r="L1114" s="357">
        <v>0</v>
      </c>
      <c r="M1114" s="357">
        <v>1</v>
      </c>
      <c r="N1114" s="357">
        <v>1</v>
      </c>
      <c r="O1114" s="357">
        <v>0</v>
      </c>
      <c r="P1114" s="357">
        <v>0</v>
      </c>
      <c r="Q1114" s="358">
        <v>0.20437956204379562</v>
      </c>
      <c r="R1114" s="359">
        <v>0.5771604938271605</v>
      </c>
      <c r="S1114" s="196">
        <v>1977974000</v>
      </c>
      <c r="T1114" s="196">
        <v>44300000</v>
      </c>
      <c r="U1114" s="200">
        <f t="shared" si="193"/>
        <v>1346720000</v>
      </c>
      <c r="V1114" s="196">
        <v>56000000</v>
      </c>
      <c r="W1114" s="196">
        <v>747000000</v>
      </c>
      <c r="X1114" s="196">
        <v>807000000</v>
      </c>
      <c r="Y1114" s="196">
        <v>1806000000</v>
      </c>
      <c r="Z1114" s="196">
        <v>96000000</v>
      </c>
      <c r="AA1114" s="198">
        <v>0.04</v>
      </c>
      <c r="AB1114" s="198">
        <v>0.03</v>
      </c>
      <c r="AC1114" s="213">
        <f t="shared" si="194"/>
        <v>337</v>
      </c>
      <c r="AD1114" s="213">
        <f t="shared" si="195"/>
        <v>334</v>
      </c>
      <c r="AE1114" s="213">
        <v>2.3199999999999998</v>
      </c>
      <c r="AF1114" s="196">
        <v>92000000</v>
      </c>
      <c r="AG1114" s="104">
        <f t="shared" si="196"/>
        <v>2.0767494356659144</v>
      </c>
      <c r="AH1114" s="104">
        <f t="shared" si="197"/>
        <v>1.6428571428571428</v>
      </c>
      <c r="AI1114" s="195">
        <v>2.83</v>
      </c>
    </row>
    <row r="1115" spans="1:48">
      <c r="A1115">
        <v>5498</v>
      </c>
      <c r="C1115" s="107">
        <f>VLOOKUP(5498,收盤價!$A:$C,3,0)</f>
        <v>9.85</v>
      </c>
      <c r="D1115" s="107">
        <f t="shared" si="187"/>
        <v>82.083333333333329</v>
      </c>
      <c r="E1115" s="167">
        <f t="shared" si="188"/>
        <v>3</v>
      </c>
      <c r="F1115" s="104">
        <f t="shared" si="189"/>
        <v>2.0701443518446401</v>
      </c>
      <c r="G1115" s="167">
        <f>RANK(1.08,AE:AE,0)</f>
        <v>769</v>
      </c>
      <c r="H1115" s="365">
        <f t="shared" si="190"/>
        <v>10.493308626724316</v>
      </c>
      <c r="I1115" s="213">
        <f t="shared" si="191"/>
        <v>584</v>
      </c>
      <c r="J1115" s="213">
        <f t="shared" si="192"/>
        <v>29</v>
      </c>
      <c r="K1115">
        <f>RANK(2.54,AI:AI,0)</f>
        <v>231</v>
      </c>
      <c r="L1115" s="357">
        <v>0</v>
      </c>
      <c r="M1115" s="357">
        <v>1</v>
      </c>
      <c r="N1115" s="357">
        <v>1</v>
      </c>
      <c r="O1115" s="357">
        <v>1</v>
      </c>
      <c r="P1115" s="357">
        <v>0</v>
      </c>
      <c r="Q1115" s="358">
        <v>0.16402116402116401</v>
      </c>
      <c r="R1115" s="359">
        <v>0.03</v>
      </c>
      <c r="S1115" s="196">
        <v>770340000</v>
      </c>
      <c r="T1115" s="196">
        <v>161900000</v>
      </c>
      <c r="U1115" s="200">
        <f t="shared" si="193"/>
        <v>1594715000</v>
      </c>
      <c r="V1115" s="196">
        <v>12000000</v>
      </c>
      <c r="W1115" s="196">
        <v>716000000</v>
      </c>
      <c r="X1115" s="196">
        <v>1071000000</v>
      </c>
      <c r="Y1115" s="196">
        <v>1757000000</v>
      </c>
      <c r="Z1115" s="196">
        <v>439000000</v>
      </c>
      <c r="AA1115" s="198">
        <v>0.01</v>
      </c>
      <c r="AB1115" s="198">
        <v>0.01</v>
      </c>
      <c r="AC1115" s="213">
        <f t="shared" si="194"/>
        <v>769</v>
      </c>
      <c r="AD1115" s="213">
        <f t="shared" si="195"/>
        <v>680</v>
      </c>
      <c r="AE1115" s="213">
        <v>1.08</v>
      </c>
      <c r="AF1115" s="196">
        <v>136000000</v>
      </c>
      <c r="AG1115" s="104">
        <f t="shared" si="196"/>
        <v>0.84002470660901796</v>
      </c>
      <c r="AH1115" s="104">
        <f t="shared" si="197"/>
        <v>11.333333333333334</v>
      </c>
      <c r="AI1115" s="195">
        <v>2.54</v>
      </c>
      <c r="AO1115" s="213"/>
      <c r="AP1115" s="213"/>
      <c r="AQ1115" s="213"/>
      <c r="AR1115" s="213"/>
      <c r="AS1115" s="213"/>
      <c r="AT1115" s="213"/>
      <c r="AU1115" s="213"/>
      <c r="AV1115" s="213"/>
    </row>
    <row r="1116" spans="1:48">
      <c r="A1116">
        <v>5508</v>
      </c>
      <c r="C1116" s="107">
        <f>VLOOKUP(5508,收盤價!$A:$C,3,0)</f>
        <v>24.95</v>
      </c>
      <c r="D1116" s="107">
        <f t="shared" si="187"/>
        <v>14.176136363636363</v>
      </c>
      <c r="E1116" s="167">
        <f t="shared" si="188"/>
        <v>2</v>
      </c>
      <c r="F1116" s="104">
        <f t="shared" si="189"/>
        <v>3.0145410326778643</v>
      </c>
      <c r="G1116" s="167">
        <f>RANK(1.41,AE:AE,0)</f>
        <v>618</v>
      </c>
      <c r="H1116" s="365">
        <f t="shared" si="190"/>
        <v>1.8494076563468074</v>
      </c>
      <c r="I1116" s="213">
        <f t="shared" si="191"/>
        <v>339</v>
      </c>
      <c r="J1116" s="213">
        <f t="shared" si="192"/>
        <v>138</v>
      </c>
      <c r="K1116">
        <f>RANK(3.27,AI:AI,0)</f>
        <v>141</v>
      </c>
      <c r="L1116" s="357">
        <v>0</v>
      </c>
      <c r="M1116" s="357">
        <v>0</v>
      </c>
      <c r="N1116" s="357">
        <v>1</v>
      </c>
      <c r="O1116" s="357">
        <v>1</v>
      </c>
      <c r="P1116" s="357">
        <v>0</v>
      </c>
      <c r="Q1116" s="358">
        <v>0.28620689655172415</v>
      </c>
      <c r="R1116" s="359">
        <v>0.44</v>
      </c>
      <c r="S1116" s="196">
        <v>1799322000</v>
      </c>
      <c r="T1116" s="196">
        <v>217400000</v>
      </c>
      <c r="U1116" s="200">
        <f t="shared" si="193"/>
        <v>5424130000</v>
      </c>
      <c r="V1116" s="196">
        <v>98000000</v>
      </c>
      <c r="W1116" s="196">
        <v>3904000000</v>
      </c>
      <c r="X1116" s="196">
        <v>16000000</v>
      </c>
      <c r="Y1116" s="196">
        <v>3888000000</v>
      </c>
      <c r="Z1116" s="196">
        <v>793000000</v>
      </c>
      <c r="AA1116" s="198">
        <v>0.02</v>
      </c>
      <c r="AB1116" s="198">
        <v>0.02</v>
      </c>
      <c r="AC1116" s="213">
        <f t="shared" si="194"/>
        <v>616</v>
      </c>
      <c r="AD1116" s="213">
        <f t="shared" si="195"/>
        <v>487</v>
      </c>
      <c r="AE1116" s="213">
        <v>1.41</v>
      </c>
      <c r="AF1116" s="196">
        <v>330000000</v>
      </c>
      <c r="AG1116" s="104">
        <f t="shared" si="196"/>
        <v>1.5179392824287028</v>
      </c>
      <c r="AH1116" s="104">
        <f t="shared" si="197"/>
        <v>3.3673469387755102</v>
      </c>
      <c r="AI1116" s="195">
        <v>3.27</v>
      </c>
    </row>
    <row r="1117" spans="1:48">
      <c r="A1117">
        <v>5511</v>
      </c>
      <c r="C1117" s="107">
        <f>VLOOKUP(5511,收盤價!$A:$C,3,0)</f>
        <v>22.3</v>
      </c>
      <c r="D1117" s="107">
        <f t="shared" si="187"/>
        <v>26.962425595238098</v>
      </c>
      <c r="E1117" s="167">
        <f t="shared" si="188"/>
        <v>2</v>
      </c>
      <c r="F1117" s="104">
        <f t="shared" si="189"/>
        <v>0.80023532228129202</v>
      </c>
      <c r="G1117" s="167">
        <f>RANK(1.41,AE:AE,0)</f>
        <v>618</v>
      </c>
      <c r="H1117" s="365">
        <f t="shared" si="190"/>
        <v>0</v>
      </c>
      <c r="I1117" s="213">
        <f t="shared" si="191"/>
        <v>1067</v>
      </c>
      <c r="J1117" s="213">
        <f t="shared" si="192"/>
        <v>768</v>
      </c>
      <c r="K1117">
        <f>RANK(0.85,AI:AI,0)</f>
        <v>1059</v>
      </c>
      <c r="L1117" s="357">
        <v>0</v>
      </c>
      <c r="M1117" s="357">
        <v>0</v>
      </c>
      <c r="N1117" s="357">
        <v>2</v>
      </c>
      <c r="O1117" s="357">
        <v>0</v>
      </c>
      <c r="P1117" s="357">
        <v>0</v>
      </c>
      <c r="Q1117" s="358">
        <v>7.5144508670520235E-2</v>
      </c>
      <c r="R1117" s="359">
        <v>0.20676923076923076</v>
      </c>
      <c r="S1117" s="196">
        <v>4227394000</v>
      </c>
      <c r="T1117" s="196">
        <v>151700000</v>
      </c>
      <c r="U1117" s="200">
        <f t="shared" si="193"/>
        <v>3382910000</v>
      </c>
      <c r="V1117" s="196">
        <v>57000000</v>
      </c>
      <c r="W1117" s="196">
        <v>2796000000</v>
      </c>
      <c r="X1117" s="196">
        <v>80000000</v>
      </c>
      <c r="Y1117" s="196">
        <v>3290000000</v>
      </c>
      <c r="Z1117" s="196">
        <v>29000000</v>
      </c>
      <c r="AA1117" s="198">
        <v>0.02</v>
      </c>
      <c r="AB1117" s="198">
        <v>0.02</v>
      </c>
      <c r="AC1117" s="213">
        <f t="shared" si="194"/>
        <v>616</v>
      </c>
      <c r="AD1117" s="213">
        <f t="shared" si="195"/>
        <v>487</v>
      </c>
      <c r="AE1117" s="213">
        <v>1.41</v>
      </c>
      <c r="AF1117" s="196">
        <v>0</v>
      </c>
      <c r="AG1117" s="104">
        <f t="shared" si="196"/>
        <v>0</v>
      </c>
      <c r="AH1117" s="104">
        <f t="shared" si="197"/>
        <v>0</v>
      </c>
      <c r="AI1117" s="195">
        <v>0.85</v>
      </c>
      <c r="AO1117" s="213"/>
      <c r="AP1117" s="213"/>
      <c r="AQ1117" s="213"/>
      <c r="AR1117" s="213"/>
      <c r="AS1117" s="213"/>
      <c r="AT1117" s="213"/>
      <c r="AU1117" s="213"/>
      <c r="AV1117" s="213"/>
    </row>
    <row r="1118" spans="1:48">
      <c r="A1118">
        <v>5512</v>
      </c>
      <c r="C1118" s="107">
        <f>VLOOKUP(5512,收盤價!$A:$C,3,0)</f>
        <v>8.73</v>
      </c>
      <c r="D1118" s="107">
        <f t="shared" si="187"/>
        <v>34.656496062992126</v>
      </c>
      <c r="E1118" s="167">
        <f t="shared" si="188"/>
        <v>1</v>
      </c>
      <c r="F1118" s="104">
        <f t="shared" si="189"/>
        <v>2.9845440693449103</v>
      </c>
      <c r="G1118" s="167">
        <f>RANK(1.08,AE:AE,0)</f>
        <v>769</v>
      </c>
      <c r="H1118" s="365">
        <f t="shared" si="190"/>
        <v>0.33736559139784944</v>
      </c>
      <c r="I1118" s="213">
        <f t="shared" si="191"/>
        <v>1285</v>
      </c>
      <c r="J1118" s="213">
        <f t="shared" si="192"/>
        <v>768</v>
      </c>
      <c r="K1118">
        <f>RANK(0.76,AI:AI,0)</f>
        <v>1269</v>
      </c>
      <c r="L1118" s="357">
        <v>0</v>
      </c>
      <c r="M1118" s="357">
        <v>1</v>
      </c>
      <c r="N1118" s="357">
        <v>0</v>
      </c>
      <c r="O1118" s="357">
        <v>0</v>
      </c>
      <c r="P1118" s="357">
        <v>0</v>
      </c>
      <c r="Q1118" s="358">
        <v>0.40148698884758366</v>
      </c>
      <c r="R1118" s="359">
        <v>6.2975206611570245E-2</v>
      </c>
      <c r="S1118" s="196">
        <v>2176252000</v>
      </c>
      <c r="T1118" s="196">
        <v>744000000</v>
      </c>
      <c r="U1118" s="200">
        <f t="shared" si="193"/>
        <v>6495120000</v>
      </c>
      <c r="V1118" s="196">
        <v>160000000</v>
      </c>
      <c r="W1118" s="196">
        <v>10832000000</v>
      </c>
      <c r="X1118" s="196">
        <v>2212000000</v>
      </c>
      <c r="Y1118" s="196">
        <v>16249000000</v>
      </c>
      <c r="Z1118" s="196">
        <v>10038000000</v>
      </c>
      <c r="AA1118" s="198">
        <v>0.01</v>
      </c>
      <c r="AB1118" s="198">
        <v>0.01</v>
      </c>
      <c r="AC1118" s="213">
        <f t="shared" si="194"/>
        <v>769</v>
      </c>
      <c r="AD1118" s="213">
        <f t="shared" si="195"/>
        <v>680</v>
      </c>
      <c r="AE1118" s="213">
        <v>1.08</v>
      </c>
      <c r="AF1118" s="196">
        <v>-251000000</v>
      </c>
      <c r="AG1118" s="104">
        <f t="shared" si="196"/>
        <v>-0.33736559139784944</v>
      </c>
      <c r="AH1118" s="104">
        <f t="shared" si="197"/>
        <v>0</v>
      </c>
      <c r="AI1118" s="195">
        <v>0.76</v>
      </c>
    </row>
    <row r="1119" spans="1:48">
      <c r="A1119">
        <v>5514</v>
      </c>
      <c r="C1119" s="107">
        <f>VLOOKUP(5514,收盤價!$A:$C,3,0)</f>
        <v>9.25</v>
      </c>
      <c r="D1119" s="107">
        <f t="shared" si="187"/>
        <v>0</v>
      </c>
      <c r="E1119" s="167">
        <f t="shared" si="188"/>
        <v>2</v>
      </c>
      <c r="F1119" s="104">
        <f t="shared" si="189"/>
        <v>17.153913198710477</v>
      </c>
      <c r="G1119" s="167">
        <f>RANK(0.84,AE:AE,0)</f>
        <v>946</v>
      </c>
      <c r="H1119" s="365">
        <f t="shared" si="190"/>
        <v>0.20951302378255945</v>
      </c>
      <c r="I1119" s="213">
        <f t="shared" si="191"/>
        <v>1215</v>
      </c>
      <c r="J1119" s="213">
        <f t="shared" si="192"/>
        <v>768</v>
      </c>
      <c r="K1119">
        <f>RANK(0.79,AI:AI,0)</f>
        <v>1192</v>
      </c>
      <c r="L1119" s="357">
        <v>0</v>
      </c>
      <c r="M1119" s="357">
        <v>1</v>
      </c>
      <c r="N1119" s="357">
        <v>1</v>
      </c>
      <c r="O1119" s="357">
        <v>0</v>
      </c>
      <c r="P1119" s="357">
        <v>0</v>
      </c>
      <c r="Q1119" s="358">
        <v>0</v>
      </c>
      <c r="R1119" s="359">
        <v>0</v>
      </c>
      <c r="S1119" s="196">
        <v>95229000</v>
      </c>
      <c r="T1119" s="196">
        <v>176600000</v>
      </c>
      <c r="U1119" s="200">
        <f t="shared" si="193"/>
        <v>1633550000</v>
      </c>
      <c r="V1119" s="196">
        <v>-6000000</v>
      </c>
      <c r="W1119" s="196">
        <v>1835000000</v>
      </c>
      <c r="X1119" s="196">
        <v>27000000</v>
      </c>
      <c r="Y1119" s="196">
        <v>2170000000</v>
      </c>
      <c r="Z1119" s="196">
        <v>73000000</v>
      </c>
      <c r="AA1119" s="198">
        <v>0</v>
      </c>
      <c r="AB1119" s="198">
        <v>0</v>
      </c>
      <c r="AC1119" s="213">
        <f t="shared" si="194"/>
        <v>945</v>
      </c>
      <c r="AD1119" s="213">
        <f t="shared" si="195"/>
        <v>911</v>
      </c>
      <c r="AE1119" s="213">
        <v>0.84</v>
      </c>
      <c r="AF1119" s="196">
        <v>-37000000</v>
      </c>
      <c r="AG1119" s="104">
        <f t="shared" si="196"/>
        <v>-0.20951302378255945</v>
      </c>
      <c r="AH1119" s="104">
        <f t="shared" si="197"/>
        <v>0</v>
      </c>
      <c r="AI1119" s="195">
        <v>0.79</v>
      </c>
    </row>
    <row r="1120" spans="1:48">
      <c r="A1120">
        <v>5515</v>
      </c>
      <c r="C1120" s="107">
        <f>VLOOKUP(5515,收盤價!$A:$C,3,0)</f>
        <v>8.4499999999999993</v>
      </c>
      <c r="D1120" s="107">
        <f t="shared" si="187"/>
        <v>0</v>
      </c>
      <c r="E1120" s="167">
        <f t="shared" si="188"/>
        <v>3</v>
      </c>
      <c r="F1120" s="104">
        <f t="shared" si="189"/>
        <v>0.5362077889103728</v>
      </c>
      <c r="G1120" s="167">
        <f>RANK(0.84,AE:AE,0)</f>
        <v>946</v>
      </c>
      <c r="H1120" s="365">
        <f t="shared" si="190"/>
        <v>7.1352076551247903</v>
      </c>
      <c r="I1120" s="213">
        <f t="shared" si="191"/>
        <v>838</v>
      </c>
      <c r="J1120" s="213">
        <f t="shared" si="192"/>
        <v>54</v>
      </c>
      <c r="K1120">
        <f>RANK(1.75,AI:AI,0)</f>
        <v>437</v>
      </c>
      <c r="L1120" s="357">
        <v>0</v>
      </c>
      <c r="M1120" s="357">
        <v>1</v>
      </c>
      <c r="N1120" s="357">
        <v>2</v>
      </c>
      <c r="O1120" s="357">
        <v>0</v>
      </c>
      <c r="P1120" s="357">
        <v>0</v>
      </c>
      <c r="Q1120" s="358">
        <v>6.8340306834030681E-2</v>
      </c>
      <c r="R1120" s="359">
        <v>0</v>
      </c>
      <c r="S1120" s="196">
        <v>5324904000</v>
      </c>
      <c r="T1120" s="196">
        <v>337900000</v>
      </c>
      <c r="U1120" s="200">
        <f t="shared" si="193"/>
        <v>2855254999.9999995</v>
      </c>
      <c r="V1120" s="196">
        <v>15000000</v>
      </c>
      <c r="W1120" s="196">
        <v>5229000000</v>
      </c>
      <c r="X1120" s="196">
        <v>317000000</v>
      </c>
      <c r="Y1120" s="196">
        <v>5100000000</v>
      </c>
      <c r="Z1120" s="196">
        <v>180000000</v>
      </c>
      <c r="AA1120" s="198">
        <v>0</v>
      </c>
      <c r="AB1120" s="198">
        <v>0</v>
      </c>
      <c r="AC1120" s="213">
        <f t="shared" si="194"/>
        <v>945</v>
      </c>
      <c r="AD1120" s="213">
        <f t="shared" si="195"/>
        <v>911</v>
      </c>
      <c r="AE1120" s="213">
        <v>0.84</v>
      </c>
      <c r="AF1120" s="196">
        <v>112000000</v>
      </c>
      <c r="AG1120" s="104">
        <f t="shared" si="196"/>
        <v>0.33145901154187629</v>
      </c>
      <c r="AH1120" s="104">
        <f t="shared" si="197"/>
        <v>7.4666666666666668</v>
      </c>
      <c r="AI1120" s="195">
        <v>1.75</v>
      </c>
    </row>
    <row r="1121" spans="1:48">
      <c r="A1121">
        <v>5516</v>
      </c>
      <c r="C1121" s="107">
        <f>VLOOKUP(5516,收盤價!$A:$C,3,0)</f>
        <v>8.91</v>
      </c>
      <c r="D1121" s="107">
        <f t="shared" si="187"/>
        <v>0</v>
      </c>
      <c r="E1121" s="167">
        <f t="shared" si="188"/>
        <v>2</v>
      </c>
      <c r="F1121" s="104">
        <f t="shared" si="189"/>
        <v>0.52020353689563548</v>
      </c>
      <c r="G1121" s="167">
        <f>RANK(0.55,AE:AE,0)</f>
        <v>1436</v>
      </c>
      <c r="H1121" s="365">
        <f t="shared" si="190"/>
        <v>-1.9060052219321149</v>
      </c>
      <c r="I1121" s="213">
        <f t="shared" si="191"/>
        <v>244</v>
      </c>
      <c r="J1121" s="213">
        <f t="shared" si="192"/>
        <v>768</v>
      </c>
      <c r="K1121">
        <f>RANK(1.54,AI:AI,0)</f>
        <v>535</v>
      </c>
      <c r="L1121" s="357">
        <v>0</v>
      </c>
      <c r="M1121" s="357">
        <v>0</v>
      </c>
      <c r="N1121" s="357">
        <v>1</v>
      </c>
      <c r="O1121" s="357">
        <v>1</v>
      </c>
      <c r="P1121" s="357">
        <v>0</v>
      </c>
      <c r="Q1121" s="358">
        <v>-3.4188034188034191E-2</v>
      </c>
      <c r="R1121" s="359">
        <v>0</v>
      </c>
      <c r="S1121" s="196">
        <v>655999000</v>
      </c>
      <c r="T1121" s="196">
        <v>38300000</v>
      </c>
      <c r="U1121" s="200">
        <f t="shared" si="193"/>
        <v>341253000</v>
      </c>
      <c r="V1121" s="196">
        <v>-11000000</v>
      </c>
      <c r="W1121" s="196">
        <v>218000000</v>
      </c>
      <c r="X1121" s="196">
        <v>187000000</v>
      </c>
      <c r="Y1121" s="196">
        <v>417000000</v>
      </c>
      <c r="Z1121" s="196">
        <v>0</v>
      </c>
      <c r="AA1121" s="198">
        <v>-0.03</v>
      </c>
      <c r="AB1121" s="198">
        <v>-0.03</v>
      </c>
      <c r="AC1121" s="213">
        <f t="shared" si="194"/>
        <v>1405</v>
      </c>
      <c r="AD1121" s="213">
        <f t="shared" si="195"/>
        <v>1444</v>
      </c>
      <c r="AE1121" s="213">
        <v>0.55000000000000004</v>
      </c>
      <c r="AF1121" s="196">
        <v>73000000</v>
      </c>
      <c r="AG1121" s="104">
        <f t="shared" si="196"/>
        <v>1.9060052219321149</v>
      </c>
      <c r="AH1121" s="104">
        <f t="shared" si="197"/>
        <v>0</v>
      </c>
      <c r="AI1121" s="195">
        <v>1.54</v>
      </c>
    </row>
    <row r="1122" spans="1:48">
      <c r="A1122">
        <v>5519</v>
      </c>
      <c r="C1122" s="107">
        <f>VLOOKUP(5519,收盤價!$A:$C,3,0)</f>
        <v>10.3</v>
      </c>
      <c r="D1122" s="107">
        <f t="shared" si="187"/>
        <v>3.7762426674899667</v>
      </c>
      <c r="E1122" s="167">
        <f t="shared" si="188"/>
        <v>4</v>
      </c>
      <c r="F1122" s="104">
        <f t="shared" si="189"/>
        <v>1.0206303790056224</v>
      </c>
      <c r="G1122" s="167">
        <f>RANK(2.24,AE:AE,0)</f>
        <v>416</v>
      </c>
      <c r="H1122" s="365">
        <f t="shared" si="190"/>
        <v>8.6920231237698764E-2</v>
      </c>
      <c r="I1122" s="213">
        <f t="shared" si="191"/>
        <v>710</v>
      </c>
      <c r="J1122" s="213">
        <f t="shared" si="192"/>
        <v>636</v>
      </c>
      <c r="K1122">
        <f>RANK(1.16,AI:AI,0)</f>
        <v>750</v>
      </c>
      <c r="L1122" s="357">
        <v>1</v>
      </c>
      <c r="M1122" s="357">
        <v>1</v>
      </c>
      <c r="N1122" s="357">
        <v>1</v>
      </c>
      <c r="O1122" s="357">
        <v>1</v>
      </c>
      <c r="P1122" s="357">
        <v>0</v>
      </c>
      <c r="Q1122" s="358">
        <v>0.27058823529411763</v>
      </c>
      <c r="R1122" s="359">
        <v>0.68189473684210522</v>
      </c>
      <c r="S1122" s="196">
        <v>1847809000</v>
      </c>
      <c r="T1122" s="196">
        <v>183100000</v>
      </c>
      <c r="U1122" s="200">
        <f t="shared" si="193"/>
        <v>1885930000.0000002</v>
      </c>
      <c r="V1122" s="196">
        <v>159000000</v>
      </c>
      <c r="W1122" s="196">
        <v>5024000000</v>
      </c>
      <c r="X1122" s="196">
        <v>92000000</v>
      </c>
      <c r="Y1122" s="196">
        <v>2932000000</v>
      </c>
      <c r="Z1122" s="196">
        <v>720000000</v>
      </c>
      <c r="AA1122" s="198">
        <v>0.03</v>
      </c>
      <c r="AB1122" s="198">
        <v>0.04</v>
      </c>
      <c r="AC1122" s="213">
        <f t="shared" si="194"/>
        <v>469</v>
      </c>
      <c r="AD1122" s="213">
        <f t="shared" si="195"/>
        <v>228</v>
      </c>
      <c r="AE1122" s="213">
        <v>2.2400000000000002</v>
      </c>
      <c r="AF1122" s="196">
        <v>105000000</v>
      </c>
      <c r="AG1122" s="104">
        <f t="shared" si="196"/>
        <v>0.57345712725286724</v>
      </c>
      <c r="AH1122" s="104">
        <f t="shared" si="197"/>
        <v>0.660377358490566</v>
      </c>
      <c r="AI1122" s="195">
        <v>1.1599999999999999</v>
      </c>
    </row>
    <row r="1123" spans="1:48">
      <c r="A1123">
        <v>5520</v>
      </c>
      <c r="C1123" s="107">
        <f>VLOOKUP(5520,收盤價!$A:$C,3,0)</f>
        <v>27.1</v>
      </c>
      <c r="D1123" s="107">
        <f t="shared" si="187"/>
        <v>13.55</v>
      </c>
      <c r="E1123" s="167">
        <f t="shared" si="188"/>
        <v>2</v>
      </c>
      <c r="F1123" s="104">
        <f t="shared" si="189"/>
        <v>0.92247623093116837</v>
      </c>
      <c r="G1123" s="167">
        <f>RANK(1.63,AE:AE,0)</f>
        <v>551</v>
      </c>
      <c r="H1123" s="365">
        <f t="shared" si="190"/>
        <v>0.43661971830985913</v>
      </c>
      <c r="I1123" s="213">
        <f t="shared" si="191"/>
        <v>1330</v>
      </c>
      <c r="J1123" s="213">
        <f t="shared" si="192"/>
        <v>768</v>
      </c>
      <c r="K1123">
        <f>RANK(0.74,AI:AI,0)</f>
        <v>1324</v>
      </c>
      <c r="L1123" s="357">
        <v>0</v>
      </c>
      <c r="M1123" s="357">
        <v>0</v>
      </c>
      <c r="N1123" s="357">
        <v>2</v>
      </c>
      <c r="O1123" s="357">
        <v>0</v>
      </c>
      <c r="P1123" s="357">
        <v>0</v>
      </c>
      <c r="Q1123" s="358">
        <v>0.11070780399274047</v>
      </c>
      <c r="R1123" s="359">
        <v>0.5</v>
      </c>
      <c r="S1123" s="196">
        <v>2085799000</v>
      </c>
      <c r="T1123" s="196">
        <v>71000000</v>
      </c>
      <c r="U1123" s="200">
        <f t="shared" si="193"/>
        <v>1924100000</v>
      </c>
      <c r="V1123" s="196">
        <v>47000000</v>
      </c>
      <c r="W1123" s="196">
        <v>786000000</v>
      </c>
      <c r="X1123" s="196">
        <v>880000000</v>
      </c>
      <c r="Y1123" s="196">
        <v>1899000000</v>
      </c>
      <c r="Z1123" s="196">
        <v>0</v>
      </c>
      <c r="AA1123" s="198">
        <v>0.03</v>
      </c>
      <c r="AB1123" s="198">
        <v>0.02</v>
      </c>
      <c r="AC1123" s="213">
        <f t="shared" si="194"/>
        <v>469</v>
      </c>
      <c r="AD1123" s="213">
        <f t="shared" si="195"/>
        <v>487</v>
      </c>
      <c r="AE1123" s="213">
        <v>1.63</v>
      </c>
      <c r="AF1123" s="196">
        <v>-31000000</v>
      </c>
      <c r="AG1123" s="104">
        <f t="shared" si="196"/>
        <v>-0.43661971830985913</v>
      </c>
      <c r="AH1123" s="104">
        <f t="shared" si="197"/>
        <v>0</v>
      </c>
      <c r="AI1123" s="195">
        <v>0.74</v>
      </c>
    </row>
    <row r="1124" spans="1:48">
      <c r="A1124">
        <v>5521</v>
      </c>
      <c r="C1124" s="107">
        <f>VLOOKUP(5521,收盤價!$A:$C,3,0)</f>
        <v>10</v>
      </c>
      <c r="D1124" s="107">
        <f t="shared" si="187"/>
        <v>31.531531531531535</v>
      </c>
      <c r="E1124" s="167">
        <f t="shared" si="188"/>
        <v>1</v>
      </c>
      <c r="F1124" s="104">
        <f t="shared" si="189"/>
        <v>0.62622519382345532</v>
      </c>
      <c r="G1124" s="167">
        <f>RANK(1.08,AE:AE,0)</f>
        <v>769</v>
      </c>
      <c r="H1124" s="365">
        <f t="shared" si="190"/>
        <v>0.82589928057553952</v>
      </c>
      <c r="I1124" s="213">
        <f t="shared" si="191"/>
        <v>1415</v>
      </c>
      <c r="J1124" s="213">
        <f t="shared" si="192"/>
        <v>768</v>
      </c>
      <c r="K1124">
        <f>RANK(0.71,AI:AI,0)</f>
        <v>1412</v>
      </c>
      <c r="L1124" s="357">
        <v>0</v>
      </c>
      <c r="M1124" s="357">
        <v>1</v>
      </c>
      <c r="N1124" s="357">
        <v>0</v>
      </c>
      <c r="O1124" s="357">
        <v>0</v>
      </c>
      <c r="P1124" s="357">
        <v>0</v>
      </c>
      <c r="Q1124" s="358">
        <v>5.5915721231766614E-2</v>
      </c>
      <c r="R1124" s="359">
        <v>7.9285714285714279E-2</v>
      </c>
      <c r="S1124" s="196">
        <v>5549122000</v>
      </c>
      <c r="T1124" s="196">
        <v>347500000</v>
      </c>
      <c r="U1124" s="200">
        <f t="shared" si="193"/>
        <v>3475000000</v>
      </c>
      <c r="V1124" s="196">
        <v>45000000</v>
      </c>
      <c r="W1124" s="196">
        <v>2942000000</v>
      </c>
      <c r="X1124" s="196">
        <v>863000000</v>
      </c>
      <c r="Y1124" s="196">
        <v>4165000000</v>
      </c>
      <c r="Z1124" s="196">
        <v>2126000000</v>
      </c>
      <c r="AA1124" s="198">
        <v>0.01</v>
      </c>
      <c r="AB1124" s="198">
        <v>0.01</v>
      </c>
      <c r="AC1124" s="213">
        <f t="shared" si="194"/>
        <v>769</v>
      </c>
      <c r="AD1124" s="213">
        <f t="shared" si="195"/>
        <v>680</v>
      </c>
      <c r="AE1124" s="213">
        <v>1.08</v>
      </c>
      <c r="AF1124" s="196">
        <v>-287000000</v>
      </c>
      <c r="AG1124" s="104">
        <f t="shared" si="196"/>
        <v>-0.82589928057553952</v>
      </c>
      <c r="AH1124" s="104">
        <f t="shared" si="197"/>
        <v>0</v>
      </c>
      <c r="AI1124" s="195">
        <v>0.71</v>
      </c>
    </row>
    <row r="1125" spans="1:48">
      <c r="A1125">
        <v>5522</v>
      </c>
      <c r="C1125" s="107">
        <f>VLOOKUP(5522,收盤價!$A:$C,3,0)</f>
        <v>36.35</v>
      </c>
      <c r="D1125" s="107">
        <f t="shared" si="187"/>
        <v>4.5147490916259096</v>
      </c>
      <c r="E1125" s="167">
        <f t="shared" si="188"/>
        <v>5</v>
      </c>
      <c r="F1125" s="104">
        <f t="shared" si="189"/>
        <v>1.0506265953083058</v>
      </c>
      <c r="G1125" s="167">
        <f>RANK(3.61,AE:AE,0)</f>
        <v>249</v>
      </c>
      <c r="H1125" s="365">
        <f t="shared" si="190"/>
        <v>-4.9886570167062034</v>
      </c>
      <c r="I1125" s="213">
        <f t="shared" si="191"/>
        <v>13</v>
      </c>
      <c r="J1125" s="213">
        <f t="shared" si="192"/>
        <v>175</v>
      </c>
      <c r="K1125">
        <f>RANK(8.29,AI:AI,0)</f>
        <v>22</v>
      </c>
      <c r="L1125" s="357">
        <v>1</v>
      </c>
      <c r="M1125" s="357">
        <v>1</v>
      </c>
      <c r="N1125" s="357">
        <v>2</v>
      </c>
      <c r="O1125" s="357">
        <v>1</v>
      </c>
      <c r="P1125" s="357">
        <v>0</v>
      </c>
      <c r="Q1125" s="358">
        <v>0.29280354706684858</v>
      </c>
      <c r="R1125" s="359">
        <v>2.0128471849865952</v>
      </c>
      <c r="S1125" s="196">
        <v>28903504000</v>
      </c>
      <c r="T1125" s="196">
        <v>835400000</v>
      </c>
      <c r="U1125" s="200">
        <f t="shared" si="193"/>
        <v>30366790000</v>
      </c>
      <c r="V1125" s="196">
        <v>2397000000</v>
      </c>
      <c r="W1125" s="196">
        <v>30189000000</v>
      </c>
      <c r="X1125" s="196">
        <v>28000000</v>
      </c>
      <c r="Y1125" s="196">
        <v>43364000000</v>
      </c>
      <c r="Z1125" s="196">
        <v>29004000000</v>
      </c>
      <c r="AA1125" s="198">
        <v>0.08</v>
      </c>
      <c r="AB1125" s="198">
        <v>0.03</v>
      </c>
      <c r="AC1125" s="213">
        <f t="shared" si="194"/>
        <v>97</v>
      </c>
      <c r="AD1125" s="213">
        <f t="shared" si="195"/>
        <v>334</v>
      </c>
      <c r="AE1125" s="213">
        <v>3.61</v>
      </c>
      <c r="AF1125" s="196">
        <v>6397000000</v>
      </c>
      <c r="AG1125" s="104">
        <f t="shared" si="196"/>
        <v>7.6574096241321525</v>
      </c>
      <c r="AH1125" s="104">
        <f t="shared" si="197"/>
        <v>2.6687526074259491</v>
      </c>
      <c r="AI1125" s="195">
        <v>8.2899999999999991</v>
      </c>
      <c r="AO1125" s="213"/>
      <c r="AP1125" s="213"/>
      <c r="AQ1125" s="213"/>
      <c r="AR1125" s="213"/>
      <c r="AS1125" s="213"/>
      <c r="AT1125" s="213"/>
      <c r="AU1125" s="213"/>
      <c r="AV1125" s="213"/>
    </row>
    <row r="1126" spans="1:48">
      <c r="A1126">
        <v>5523</v>
      </c>
      <c r="C1126" s="107">
        <f>VLOOKUP(5523,收盤價!$A:$C,3,0)</f>
        <v>7.1</v>
      </c>
      <c r="D1126" s="107">
        <f t="shared" si="187"/>
        <v>0</v>
      </c>
      <c r="E1126" s="167">
        <f t="shared" si="188"/>
        <v>0</v>
      </c>
      <c r="F1126" s="104">
        <f t="shared" si="189"/>
        <v>223.65792410714286</v>
      </c>
      <c r="G1126" s="167">
        <f>RANK(0.84,AE:AE,0)</f>
        <v>946</v>
      </c>
      <c r="H1126" s="365">
        <f t="shared" si="190"/>
        <v>2.0372010628875112</v>
      </c>
      <c r="I1126" s="213">
        <f t="shared" si="191"/>
        <v>1514</v>
      </c>
      <c r="J1126" s="213">
        <f t="shared" si="192"/>
        <v>768</v>
      </c>
      <c r="K1126">
        <f>RANK(0.68,AI:AI,0)</f>
        <v>1507</v>
      </c>
      <c r="L1126" s="357">
        <v>0</v>
      </c>
      <c r="M1126" s="357">
        <v>0</v>
      </c>
      <c r="N1126" s="357">
        <v>0</v>
      </c>
      <c r="O1126" s="357">
        <v>0</v>
      </c>
      <c r="P1126" s="357">
        <v>0</v>
      </c>
      <c r="Q1126" s="358">
        <v>1</v>
      </c>
      <c r="R1126" s="359">
        <v>0</v>
      </c>
      <c r="S1126" s="196">
        <v>3584000</v>
      </c>
      <c r="T1126" s="196">
        <v>112900000</v>
      </c>
      <c r="U1126" s="200">
        <f t="shared" si="193"/>
        <v>801590000</v>
      </c>
      <c r="V1126" s="196">
        <v>-4000000</v>
      </c>
      <c r="W1126" s="196">
        <v>1641000000</v>
      </c>
      <c r="X1126" s="196">
        <v>2000000</v>
      </c>
      <c r="Y1126" s="196">
        <v>1047000000</v>
      </c>
      <c r="Z1126" s="196">
        <v>1460000000</v>
      </c>
      <c r="AA1126" s="198">
        <v>0</v>
      </c>
      <c r="AB1126" s="198">
        <v>0</v>
      </c>
      <c r="AC1126" s="213">
        <f t="shared" si="194"/>
        <v>945</v>
      </c>
      <c r="AD1126" s="213">
        <f t="shared" si="195"/>
        <v>911</v>
      </c>
      <c r="AE1126" s="213">
        <v>0.84</v>
      </c>
      <c r="AF1126" s="196">
        <v>-230000000</v>
      </c>
      <c r="AG1126" s="104">
        <f t="shared" si="196"/>
        <v>-2.0372010628875112</v>
      </c>
      <c r="AH1126" s="104">
        <f t="shared" si="197"/>
        <v>0</v>
      </c>
      <c r="AI1126" s="195">
        <v>0.68</v>
      </c>
    </row>
    <row r="1127" spans="1:48">
      <c r="A1127">
        <v>5525</v>
      </c>
      <c r="C1127" s="107">
        <f>VLOOKUP(5525,收盤價!$A:$C,3,0)</f>
        <v>14.7</v>
      </c>
      <c r="D1127" s="107">
        <f t="shared" si="187"/>
        <v>0</v>
      </c>
      <c r="E1127" s="167">
        <f t="shared" si="188"/>
        <v>1</v>
      </c>
      <c r="F1127" s="104">
        <f t="shared" si="189"/>
        <v>2.4540982438736094</v>
      </c>
      <c r="G1127" s="167">
        <f>RANK(0.84,AE:AE,0)</f>
        <v>946</v>
      </c>
      <c r="H1127" s="365">
        <f t="shared" si="190"/>
        <v>0.26076649545634134</v>
      </c>
      <c r="I1127" s="213">
        <f t="shared" si="191"/>
        <v>1251</v>
      </c>
      <c r="J1127" s="213">
        <f t="shared" si="192"/>
        <v>768</v>
      </c>
      <c r="K1127">
        <f>RANK(0.77,AI:AI,0)</f>
        <v>1243</v>
      </c>
      <c r="L1127" s="357">
        <v>0</v>
      </c>
      <c r="M1127" s="357">
        <v>1</v>
      </c>
      <c r="N1127" s="357">
        <v>0</v>
      </c>
      <c r="O1127" s="357">
        <v>0</v>
      </c>
      <c r="P1127" s="357">
        <v>0</v>
      </c>
      <c r="Q1127" s="358">
        <v>0.20873786407766989</v>
      </c>
      <c r="R1127" s="359">
        <v>0</v>
      </c>
      <c r="S1127" s="196">
        <v>1516064000</v>
      </c>
      <c r="T1127" s="196">
        <v>253100000</v>
      </c>
      <c r="U1127" s="200">
        <f t="shared" si="193"/>
        <v>3720570000</v>
      </c>
      <c r="V1127" s="196">
        <v>3000000</v>
      </c>
      <c r="W1127" s="196">
        <v>1340000000</v>
      </c>
      <c r="X1127" s="196">
        <v>86000000</v>
      </c>
      <c r="Y1127" s="196">
        <v>4053000000</v>
      </c>
      <c r="Z1127" s="196">
        <v>3866000000</v>
      </c>
      <c r="AA1127" s="198">
        <v>0</v>
      </c>
      <c r="AB1127" s="198">
        <v>0</v>
      </c>
      <c r="AC1127" s="213">
        <f t="shared" si="194"/>
        <v>945</v>
      </c>
      <c r="AD1127" s="213">
        <f t="shared" si="195"/>
        <v>911</v>
      </c>
      <c r="AE1127" s="213">
        <v>0.84</v>
      </c>
      <c r="AF1127" s="196">
        <v>-66000000</v>
      </c>
      <c r="AG1127" s="104">
        <f t="shared" si="196"/>
        <v>-0.26076649545634134</v>
      </c>
      <c r="AH1127" s="104">
        <f t="shared" si="197"/>
        <v>0</v>
      </c>
      <c r="AI1127" s="195">
        <v>0.77</v>
      </c>
    </row>
    <row r="1128" spans="1:48">
      <c r="A1128">
        <v>5529</v>
      </c>
      <c r="C1128" s="107">
        <f>VLOOKUP(5529,收盤價!$A:$C,3,0)</f>
        <v>8.7799999999999994</v>
      </c>
      <c r="D1128" s="107">
        <f t="shared" si="187"/>
        <v>0</v>
      </c>
      <c r="E1128" s="167">
        <f t="shared" si="188"/>
        <v>0</v>
      </c>
      <c r="F1128" s="104">
        <f t="shared" si="189"/>
        <v>21.312465090299757</v>
      </c>
      <c r="G1128" s="167">
        <f>RANK(0.59,AE:AE,0)</f>
        <v>1348</v>
      </c>
      <c r="H1128" s="365">
        <f t="shared" si="190"/>
        <v>1.7162032598274208</v>
      </c>
      <c r="I1128" s="213">
        <f t="shared" si="191"/>
        <v>1496</v>
      </c>
      <c r="J1128" s="213">
        <f t="shared" si="192"/>
        <v>768</v>
      </c>
      <c r="K1128">
        <f>RANK(0.69,AI:AI,0)</f>
        <v>1474</v>
      </c>
      <c r="L1128" s="357">
        <v>0</v>
      </c>
      <c r="M1128" s="357">
        <v>0</v>
      </c>
      <c r="N1128" s="357">
        <v>0</v>
      </c>
      <c r="O1128" s="357">
        <v>0</v>
      </c>
      <c r="P1128" s="357">
        <v>0</v>
      </c>
      <c r="Q1128" s="358">
        <v>0.5</v>
      </c>
      <c r="R1128" s="359">
        <v>0</v>
      </c>
      <c r="S1128" s="196">
        <v>42968000</v>
      </c>
      <c r="T1128" s="196">
        <v>104300000</v>
      </c>
      <c r="U1128" s="200">
        <f t="shared" si="193"/>
        <v>915753999.99999988</v>
      </c>
      <c r="V1128" s="196">
        <v>-16000000</v>
      </c>
      <c r="W1128" s="196">
        <v>805000000</v>
      </c>
      <c r="X1128" s="196">
        <v>59000000</v>
      </c>
      <c r="Y1128" s="196">
        <v>1062000000</v>
      </c>
      <c r="Z1128" s="196">
        <v>1086000000</v>
      </c>
      <c r="AA1128" s="198">
        <v>-0.02</v>
      </c>
      <c r="AB1128" s="198">
        <v>-0.01</v>
      </c>
      <c r="AC1128" s="213">
        <f t="shared" si="194"/>
        <v>1353</v>
      </c>
      <c r="AD1128" s="213">
        <f t="shared" si="195"/>
        <v>1294</v>
      </c>
      <c r="AE1128" s="213">
        <v>0.59</v>
      </c>
      <c r="AF1128" s="196">
        <v>-179000000</v>
      </c>
      <c r="AG1128" s="104">
        <f t="shared" si="196"/>
        <v>-1.7162032598274208</v>
      </c>
      <c r="AH1128" s="104">
        <f t="shared" si="197"/>
        <v>0</v>
      </c>
      <c r="AI1128" s="195">
        <v>0.69</v>
      </c>
    </row>
    <row r="1129" spans="1:48">
      <c r="A1129">
        <v>5530</v>
      </c>
      <c r="C1129" s="107">
        <f>VLOOKUP(5530,收盤價!$A:$C,3,0)</f>
        <v>53.5</v>
      </c>
      <c r="D1129" s="107">
        <f t="shared" si="187"/>
        <v>25.087833914053427</v>
      </c>
      <c r="E1129" s="167">
        <f t="shared" si="188"/>
        <v>2</v>
      </c>
      <c r="F1129" s="104">
        <f t="shared" si="189"/>
        <v>6.1248898834478505</v>
      </c>
      <c r="G1129" s="167">
        <f>RANK(2.12,AE:AE,0)</f>
        <v>430</v>
      </c>
      <c r="H1129" s="365">
        <f t="shared" si="190"/>
        <v>0.41948967169700979</v>
      </c>
      <c r="I1129" s="213">
        <f t="shared" si="191"/>
        <v>351</v>
      </c>
      <c r="J1129" s="213">
        <f t="shared" si="192"/>
        <v>283</v>
      </c>
      <c r="K1129">
        <f>RANK(2.46,AI:AI,0)</f>
        <v>246</v>
      </c>
      <c r="L1129" s="357">
        <v>0</v>
      </c>
      <c r="M1129" s="357">
        <v>1</v>
      </c>
      <c r="N1129" s="357">
        <v>0</v>
      </c>
      <c r="O1129" s="357">
        <v>1</v>
      </c>
      <c r="P1129" s="357">
        <v>0</v>
      </c>
      <c r="Q1129" s="358">
        <v>0.61440185830429728</v>
      </c>
      <c r="R1129" s="359">
        <v>0.53312693498452013</v>
      </c>
      <c r="S1129" s="196">
        <v>3486079000</v>
      </c>
      <c r="T1129" s="196">
        <v>399100000</v>
      </c>
      <c r="U1129" s="200">
        <f t="shared" si="193"/>
        <v>21351850000</v>
      </c>
      <c r="V1129" s="196">
        <v>311000000</v>
      </c>
      <c r="W1129" s="196">
        <v>0</v>
      </c>
      <c r="X1129" s="196">
        <v>6107000000</v>
      </c>
      <c r="Y1129" s="196">
        <v>10108000000</v>
      </c>
      <c r="Z1129" s="196">
        <v>6795000000</v>
      </c>
      <c r="AA1129" s="198">
        <v>0.05</v>
      </c>
      <c r="AB1129" s="198">
        <v>0.02</v>
      </c>
      <c r="AC1129" s="213">
        <f t="shared" si="194"/>
        <v>247</v>
      </c>
      <c r="AD1129" s="213">
        <f t="shared" si="195"/>
        <v>487</v>
      </c>
      <c r="AE1129" s="213">
        <v>2.12</v>
      </c>
      <c r="AF1129" s="196">
        <v>591000000</v>
      </c>
      <c r="AG1129" s="104">
        <f t="shared" si="196"/>
        <v>1.4808318717113504</v>
      </c>
      <c r="AH1129" s="104">
        <f t="shared" si="197"/>
        <v>1.9003215434083602</v>
      </c>
      <c r="AI1129" s="195">
        <v>2.46</v>
      </c>
    </row>
    <row r="1130" spans="1:48">
      <c r="A1130">
        <v>5531</v>
      </c>
      <c r="C1130" s="107">
        <f>VLOOKUP(5531,收盤價!$A:$C,3,0)</f>
        <v>10.050000000000001</v>
      </c>
      <c r="D1130" s="107">
        <f t="shared" si="187"/>
        <v>0</v>
      </c>
      <c r="E1130" s="167">
        <f t="shared" si="188"/>
        <v>1</v>
      </c>
      <c r="F1130" s="104">
        <f t="shared" si="189"/>
        <v>1.3451700798125918</v>
      </c>
      <c r="G1130" s="167">
        <f>RANK(0.84,AE:AE,0)</f>
        <v>946</v>
      </c>
      <c r="H1130" s="365">
        <f t="shared" si="190"/>
        <v>0.37515584268389435</v>
      </c>
      <c r="I1130" s="213">
        <f t="shared" si="191"/>
        <v>1302</v>
      </c>
      <c r="J1130" s="213">
        <f t="shared" si="192"/>
        <v>768</v>
      </c>
      <c r="K1130">
        <f>RANK(0.75,AI:AI,0)</f>
        <v>1296</v>
      </c>
      <c r="L1130" s="357">
        <v>0</v>
      </c>
      <c r="M1130" s="357">
        <v>0</v>
      </c>
      <c r="N1130" s="357">
        <v>1</v>
      </c>
      <c r="O1130" s="357">
        <v>0</v>
      </c>
      <c r="P1130" s="357">
        <v>0</v>
      </c>
      <c r="Q1130" s="358">
        <v>0.12946979038224415</v>
      </c>
      <c r="R1130" s="359">
        <v>0</v>
      </c>
      <c r="S1130" s="196">
        <v>6591817000</v>
      </c>
      <c r="T1130" s="196">
        <v>882300000</v>
      </c>
      <c r="U1130" s="200">
        <f t="shared" si="193"/>
        <v>8867115000</v>
      </c>
      <c r="V1130" s="196">
        <v>-76000000</v>
      </c>
      <c r="W1130" s="196">
        <v>15362000000</v>
      </c>
      <c r="X1130" s="196">
        <v>4261000000</v>
      </c>
      <c r="Y1130" s="196">
        <v>11689000000</v>
      </c>
      <c r="Z1130" s="196">
        <v>15898000000</v>
      </c>
      <c r="AA1130" s="198">
        <v>0</v>
      </c>
      <c r="AB1130" s="198">
        <v>0</v>
      </c>
      <c r="AC1130" s="213">
        <f t="shared" si="194"/>
        <v>945</v>
      </c>
      <c r="AD1130" s="213">
        <f t="shared" si="195"/>
        <v>911</v>
      </c>
      <c r="AE1130" s="213">
        <v>0.84</v>
      </c>
      <c r="AF1130" s="196">
        <v>-331000000</v>
      </c>
      <c r="AG1130" s="104">
        <f t="shared" si="196"/>
        <v>-0.37515584268389435</v>
      </c>
      <c r="AH1130" s="104">
        <f t="shared" si="197"/>
        <v>0</v>
      </c>
      <c r="AI1130" s="195">
        <v>0.75</v>
      </c>
      <c r="AO1130" s="213"/>
      <c r="AP1130" s="213"/>
      <c r="AQ1130" s="213"/>
      <c r="AR1130" s="213"/>
      <c r="AS1130" s="213"/>
      <c r="AT1130" s="213"/>
      <c r="AU1130" s="213"/>
      <c r="AV1130" s="213"/>
    </row>
    <row r="1131" spans="1:48">
      <c r="A1131">
        <v>5533</v>
      </c>
      <c r="C1131" s="107">
        <f>VLOOKUP(5533,收盤價!$A:$C,3,0)</f>
        <v>15.55</v>
      </c>
      <c r="D1131" s="107">
        <f t="shared" si="187"/>
        <v>14.021121541501978</v>
      </c>
      <c r="E1131" s="167">
        <f t="shared" si="188"/>
        <v>0</v>
      </c>
      <c r="F1131" s="104">
        <f t="shared" si="189"/>
        <v>2.4583125012382712</v>
      </c>
      <c r="G1131" s="167">
        <f>RANK(1.08,AE:AE,0)</f>
        <v>769</v>
      </c>
      <c r="H1131" s="365">
        <f t="shared" si="190"/>
        <v>0.94729082196830072</v>
      </c>
      <c r="I1131" s="213">
        <f t="shared" si="191"/>
        <v>1432</v>
      </c>
      <c r="J1131" s="213">
        <f t="shared" si="192"/>
        <v>768</v>
      </c>
      <c r="K1131">
        <f>RANK(0.71,AI:AI,0)</f>
        <v>1412</v>
      </c>
      <c r="L1131" s="357">
        <v>0</v>
      </c>
      <c r="M1131" s="357">
        <v>0</v>
      </c>
      <c r="N1131" s="357">
        <v>0</v>
      </c>
      <c r="O1131" s="357">
        <v>0</v>
      </c>
      <c r="P1131" s="357">
        <v>0</v>
      </c>
      <c r="Q1131" s="358">
        <v>0.35491606714628299</v>
      </c>
      <c r="R1131" s="359">
        <v>0.27726027397260272</v>
      </c>
      <c r="S1131" s="196">
        <v>1716102000</v>
      </c>
      <c r="T1131" s="196">
        <v>271300000</v>
      </c>
      <c r="U1131" s="200">
        <f t="shared" si="193"/>
        <v>4218715000</v>
      </c>
      <c r="V1131" s="196">
        <v>104000000</v>
      </c>
      <c r="W1131" s="196">
        <v>5159000000</v>
      </c>
      <c r="X1131" s="196">
        <v>4341000000</v>
      </c>
      <c r="Y1131" s="196">
        <v>7171000000</v>
      </c>
      <c r="Z1131" s="196">
        <v>3996000000</v>
      </c>
      <c r="AA1131" s="198">
        <v>0.01</v>
      </c>
      <c r="AB1131" s="198">
        <v>0.01</v>
      </c>
      <c r="AC1131" s="213">
        <f t="shared" si="194"/>
        <v>769</v>
      </c>
      <c r="AD1131" s="213">
        <f t="shared" si="195"/>
        <v>680</v>
      </c>
      <c r="AE1131" s="213">
        <v>1.08</v>
      </c>
      <c r="AF1131" s="196">
        <v>-257000000</v>
      </c>
      <c r="AG1131" s="104">
        <f t="shared" si="196"/>
        <v>-0.94729082196830072</v>
      </c>
      <c r="AH1131" s="104">
        <f t="shared" si="197"/>
        <v>0</v>
      </c>
      <c r="AI1131" s="195">
        <v>0.71</v>
      </c>
    </row>
    <row r="1132" spans="1:48">
      <c r="A1132">
        <v>5534</v>
      </c>
      <c r="C1132" s="107">
        <f>VLOOKUP(5534,收盤價!$A:$C,3,0)</f>
        <v>51.8</v>
      </c>
      <c r="D1132" s="107">
        <f t="shared" si="187"/>
        <v>14.624811778484188</v>
      </c>
      <c r="E1132" s="167">
        <f t="shared" si="188"/>
        <v>1</v>
      </c>
      <c r="F1132" s="104">
        <f t="shared" si="189"/>
        <v>2.4322273676487689</v>
      </c>
      <c r="G1132" s="167">
        <f>RANK(1.36,AE:AE,0)</f>
        <v>694</v>
      </c>
      <c r="H1132" s="365">
        <f t="shared" si="190"/>
        <v>0.77506028246641401</v>
      </c>
      <c r="I1132" s="213">
        <f t="shared" si="191"/>
        <v>1404</v>
      </c>
      <c r="J1132" s="213">
        <f t="shared" si="192"/>
        <v>768</v>
      </c>
      <c r="K1132">
        <f>RANK(0.72,AI:AI,0)</f>
        <v>1381</v>
      </c>
      <c r="L1132" s="357">
        <v>0</v>
      </c>
      <c r="M1132" s="357">
        <v>1</v>
      </c>
      <c r="N1132" s="357">
        <v>0</v>
      </c>
      <c r="O1132" s="357">
        <v>0</v>
      </c>
      <c r="P1132" s="357">
        <v>0</v>
      </c>
      <c r="Q1132" s="358">
        <v>0.36533957845433257</v>
      </c>
      <c r="R1132" s="359">
        <v>0.88548148148148154</v>
      </c>
      <c r="S1132" s="196">
        <v>6182621000</v>
      </c>
      <c r="T1132" s="196">
        <v>290300000</v>
      </c>
      <c r="U1132" s="200">
        <f t="shared" si="193"/>
        <v>15037540000</v>
      </c>
      <c r="V1132" s="196">
        <v>277000000</v>
      </c>
      <c r="W1132" s="196">
        <v>10174000000</v>
      </c>
      <c r="X1132" s="196">
        <v>88000000</v>
      </c>
      <c r="Y1132" s="196">
        <v>10518000000</v>
      </c>
      <c r="Z1132" s="196">
        <v>8827000000</v>
      </c>
      <c r="AA1132" s="198">
        <v>0.03</v>
      </c>
      <c r="AB1132" s="198">
        <v>0.01</v>
      </c>
      <c r="AC1132" s="213">
        <f t="shared" si="194"/>
        <v>469</v>
      </c>
      <c r="AD1132" s="213">
        <f t="shared" si="195"/>
        <v>680</v>
      </c>
      <c r="AE1132" s="213">
        <v>1.36</v>
      </c>
      <c r="AF1132" s="196">
        <v>-225000000</v>
      </c>
      <c r="AG1132" s="104">
        <f t="shared" si="196"/>
        <v>-0.77506028246641401</v>
      </c>
      <c r="AH1132" s="104">
        <f t="shared" si="197"/>
        <v>0</v>
      </c>
      <c r="AI1132" s="195">
        <v>0.72</v>
      </c>
      <c r="AO1132" s="213"/>
      <c r="AP1132" s="213"/>
      <c r="AQ1132" s="213"/>
      <c r="AR1132" s="213"/>
      <c r="AS1132" s="213"/>
      <c r="AT1132" s="213"/>
      <c r="AU1132" s="213"/>
      <c r="AV1132" s="213"/>
    </row>
    <row r="1133" spans="1:48">
      <c r="A1133">
        <v>5536</v>
      </c>
      <c r="C1133" s="107">
        <f>VLOOKUP(5536,收盤價!$A:$C,3,0)</f>
        <v>85</v>
      </c>
      <c r="D1133" s="107">
        <f t="shared" si="187"/>
        <v>8.7448559670781894</v>
      </c>
      <c r="E1133" s="167">
        <f t="shared" si="188"/>
        <v>3</v>
      </c>
      <c r="F1133" s="104">
        <f t="shared" si="189"/>
        <v>0.41750468751687464</v>
      </c>
      <c r="G1133" s="167">
        <f>RANK(0.84,AE:AE,0)</f>
        <v>946</v>
      </c>
      <c r="H1133" s="365">
        <f t="shared" si="190"/>
        <v>-9.7674418604651159</v>
      </c>
      <c r="I1133" s="213">
        <f t="shared" si="191"/>
        <v>8</v>
      </c>
      <c r="J1133" s="213">
        <f t="shared" si="192"/>
        <v>768</v>
      </c>
      <c r="K1133">
        <f>RANK(2.01,AI:AI,0)</f>
        <v>332</v>
      </c>
      <c r="L1133" s="357">
        <v>0</v>
      </c>
      <c r="M1133" s="357">
        <v>1</v>
      </c>
      <c r="N1133" s="357">
        <v>1</v>
      </c>
      <c r="O1133" s="357">
        <v>1</v>
      </c>
      <c r="P1133" s="357">
        <v>0</v>
      </c>
      <c r="Q1133" s="358">
        <v>0.14148351648351648</v>
      </c>
      <c r="R1133" s="359">
        <v>2.4300000000000002</v>
      </c>
      <c r="S1133" s="196">
        <v>9629832000</v>
      </c>
      <c r="T1133" s="196">
        <v>47300000</v>
      </c>
      <c r="U1133" s="200">
        <f t="shared" si="193"/>
        <v>4020500000</v>
      </c>
      <c r="V1133" s="196">
        <v>0</v>
      </c>
      <c r="W1133" s="196">
        <v>2473000000</v>
      </c>
      <c r="X1133" s="196">
        <v>373000000</v>
      </c>
      <c r="Y1133" s="196">
        <v>2960000000</v>
      </c>
      <c r="Z1133" s="196">
        <v>97000000</v>
      </c>
      <c r="AA1133" s="198">
        <v>0</v>
      </c>
      <c r="AB1133" s="198">
        <v>0</v>
      </c>
      <c r="AC1133" s="213">
        <f t="shared" si="194"/>
        <v>945</v>
      </c>
      <c r="AD1133" s="213">
        <f t="shared" si="195"/>
        <v>911</v>
      </c>
      <c r="AE1133" s="213">
        <v>0.84</v>
      </c>
      <c r="AF1133" s="196">
        <v>462000000</v>
      </c>
      <c r="AG1133" s="104">
        <f t="shared" si="196"/>
        <v>9.7674418604651159</v>
      </c>
      <c r="AH1133" s="104">
        <f t="shared" si="197"/>
        <v>0</v>
      </c>
      <c r="AI1133" s="195">
        <v>2.0099999999999998</v>
      </c>
    </row>
    <row r="1134" spans="1:48">
      <c r="A1134">
        <v>5538</v>
      </c>
      <c r="C1134" s="107">
        <f>VLOOKUP(5538,收盤價!$A:$C,3,0)</f>
        <v>25.4</v>
      </c>
      <c r="D1134" s="107">
        <f t="shared" si="187"/>
        <v>10.93630399125205</v>
      </c>
      <c r="E1134" s="167">
        <f t="shared" si="188"/>
        <v>3</v>
      </c>
      <c r="F1134" s="104">
        <f t="shared" si="189"/>
        <v>0.72596553399007979</v>
      </c>
      <c r="G1134" s="167">
        <f>RANK(2.32,AE:AE,0)</f>
        <v>360</v>
      </c>
      <c r="H1134" s="365">
        <f t="shared" si="190"/>
        <v>0.49007936507936489</v>
      </c>
      <c r="I1134" s="213">
        <f t="shared" si="191"/>
        <v>353</v>
      </c>
      <c r="J1134" s="213">
        <f t="shared" si="192"/>
        <v>276</v>
      </c>
      <c r="K1134">
        <f>RANK(2.48,AI:AI,0)</f>
        <v>241</v>
      </c>
      <c r="L1134" s="357">
        <v>1</v>
      </c>
      <c r="M1134" s="357">
        <v>1</v>
      </c>
      <c r="N1134" s="357">
        <v>0</v>
      </c>
      <c r="O1134" s="357">
        <v>1</v>
      </c>
      <c r="P1134" s="357">
        <v>0</v>
      </c>
      <c r="Q1134" s="358">
        <v>0.17184401850627892</v>
      </c>
      <c r="R1134" s="359">
        <v>0.58063492063492061</v>
      </c>
      <c r="S1134" s="196">
        <v>5877965000</v>
      </c>
      <c r="T1134" s="196">
        <v>168000000</v>
      </c>
      <c r="U1134" s="200">
        <f t="shared" si="193"/>
        <v>4267199999.9999995</v>
      </c>
      <c r="V1134" s="196">
        <v>126000000</v>
      </c>
      <c r="W1134" s="196">
        <v>2401000000</v>
      </c>
      <c r="X1134" s="196">
        <v>955000000</v>
      </c>
      <c r="Y1134" s="196">
        <v>3428000000</v>
      </c>
      <c r="Z1134" s="196">
        <v>664000000</v>
      </c>
      <c r="AA1134" s="198">
        <v>0.04</v>
      </c>
      <c r="AB1134" s="198">
        <v>0.03</v>
      </c>
      <c r="AC1134" s="213">
        <f t="shared" si="194"/>
        <v>337</v>
      </c>
      <c r="AD1134" s="213">
        <f t="shared" si="195"/>
        <v>334</v>
      </c>
      <c r="AE1134" s="213">
        <v>2.3199999999999998</v>
      </c>
      <c r="AF1134" s="196">
        <v>247000000</v>
      </c>
      <c r="AG1134" s="104">
        <f t="shared" si="196"/>
        <v>1.4702380952380953</v>
      </c>
      <c r="AH1134" s="104">
        <f t="shared" si="197"/>
        <v>1.9603174603174602</v>
      </c>
      <c r="AI1134" s="195">
        <v>2.48</v>
      </c>
    </row>
    <row r="1135" spans="1:48">
      <c r="A1135">
        <v>5543</v>
      </c>
      <c r="C1135" s="107">
        <f>VLOOKUP(5543,收盤價!$A:$C,3,0)</f>
        <v>28.8</v>
      </c>
      <c r="D1135" s="107">
        <f t="shared" si="187"/>
        <v>10.140845070422536</v>
      </c>
      <c r="E1135" s="167">
        <f t="shared" si="188"/>
        <v>3</v>
      </c>
      <c r="F1135" s="104">
        <f t="shared" si="189"/>
        <v>0.6791298648606473</v>
      </c>
      <c r="G1135" s="167">
        <f>RANK(3.88,AE:AE,0)</f>
        <v>240</v>
      </c>
      <c r="H1135" s="365">
        <f t="shared" si="190"/>
        <v>-0.36497326203208558</v>
      </c>
      <c r="I1135" s="213">
        <f t="shared" si="191"/>
        <v>537</v>
      </c>
      <c r="J1135" s="213">
        <f t="shared" si="192"/>
        <v>651</v>
      </c>
      <c r="K1135">
        <f>RANK(1.31,AI:AI,0)</f>
        <v>671</v>
      </c>
      <c r="L1135" s="357">
        <v>0</v>
      </c>
      <c r="M1135" s="357">
        <v>1</v>
      </c>
      <c r="N1135" s="357">
        <v>2</v>
      </c>
      <c r="O1135" s="357">
        <v>0</v>
      </c>
      <c r="P1135" s="357">
        <v>0</v>
      </c>
      <c r="Q1135" s="358">
        <v>0.32580645161290323</v>
      </c>
      <c r="R1135" s="359">
        <v>0.71</v>
      </c>
      <c r="S1135" s="196">
        <v>1153476000</v>
      </c>
      <c r="T1135" s="196">
        <v>27200000</v>
      </c>
      <c r="U1135" s="200">
        <f t="shared" si="193"/>
        <v>783360000</v>
      </c>
      <c r="V1135" s="196">
        <v>44000000</v>
      </c>
      <c r="W1135" s="196">
        <v>295000000</v>
      </c>
      <c r="X1135" s="196">
        <v>404000000</v>
      </c>
      <c r="Y1135" s="196">
        <v>792000000</v>
      </c>
      <c r="Z1135" s="196">
        <v>237000000</v>
      </c>
      <c r="AA1135" s="198">
        <v>0.06</v>
      </c>
      <c r="AB1135" s="198">
        <v>0.04</v>
      </c>
      <c r="AC1135" s="213">
        <f t="shared" si="194"/>
        <v>174</v>
      </c>
      <c r="AD1135" s="213">
        <f t="shared" si="195"/>
        <v>228</v>
      </c>
      <c r="AE1135" s="213">
        <v>3.88</v>
      </c>
      <c r="AF1135" s="196">
        <v>26000000</v>
      </c>
      <c r="AG1135" s="104">
        <f t="shared" si="196"/>
        <v>0.95588235294117652</v>
      </c>
      <c r="AH1135" s="104">
        <f t="shared" si="197"/>
        <v>0.59090909090909094</v>
      </c>
      <c r="AI1135" s="195">
        <v>1.31</v>
      </c>
    </row>
    <row r="1136" spans="1:48">
      <c r="A1136">
        <v>5601</v>
      </c>
      <c r="C1136" s="107">
        <f>VLOOKUP(5601,收盤價!$A:$C,3,0)</f>
        <v>24</v>
      </c>
      <c r="D1136" s="107">
        <f t="shared" si="187"/>
        <v>60</v>
      </c>
      <c r="E1136" s="167">
        <f t="shared" si="188"/>
        <v>4</v>
      </c>
      <c r="F1136" s="104">
        <f t="shared" si="189"/>
        <v>20.473125074049207</v>
      </c>
      <c r="G1136" s="167">
        <f>RANK(1.02,AE:AE,0)</f>
        <v>912</v>
      </c>
      <c r="H1136" s="365">
        <f t="shared" si="190"/>
        <v>3.0864197530864196E-2</v>
      </c>
      <c r="I1136" s="213">
        <f t="shared" si="191"/>
        <v>1090</v>
      </c>
      <c r="J1136" s="213">
        <f t="shared" si="192"/>
        <v>768</v>
      </c>
      <c r="K1136">
        <f>RANK(0.84,AI:AI,0)</f>
        <v>1076</v>
      </c>
      <c r="L1136" s="357">
        <v>1</v>
      </c>
      <c r="M1136" s="357">
        <v>1</v>
      </c>
      <c r="N1136" s="357">
        <v>2</v>
      </c>
      <c r="O1136" s="357">
        <v>0</v>
      </c>
      <c r="P1136" s="357">
        <v>0</v>
      </c>
      <c r="Q1136" s="358">
        <v>0.65</v>
      </c>
      <c r="R1136" s="359">
        <v>0.1</v>
      </c>
      <c r="S1136" s="196">
        <v>75963000</v>
      </c>
      <c r="T1136" s="196">
        <v>64800000</v>
      </c>
      <c r="U1136" s="200">
        <f t="shared" si="193"/>
        <v>1555200000</v>
      </c>
      <c r="V1136" s="196">
        <v>6000000</v>
      </c>
      <c r="W1136" s="196">
        <v>54000000</v>
      </c>
      <c r="X1136" s="196">
        <v>232000000</v>
      </c>
      <c r="Y1136" s="196">
        <v>1356000000</v>
      </c>
      <c r="Z1136" s="196">
        <v>0</v>
      </c>
      <c r="AA1136" s="198">
        <v>0.02</v>
      </c>
      <c r="AB1136" s="198">
        <v>0</v>
      </c>
      <c r="AC1136" s="213">
        <f t="shared" si="194"/>
        <v>616</v>
      </c>
      <c r="AD1136" s="213">
        <f t="shared" si="195"/>
        <v>911</v>
      </c>
      <c r="AE1136" s="213">
        <v>1.02</v>
      </c>
      <c r="AF1136" s="196">
        <v>-2000000</v>
      </c>
      <c r="AG1136" s="104">
        <f t="shared" si="196"/>
        <v>-3.0864197530864196E-2</v>
      </c>
      <c r="AH1136" s="104">
        <f t="shared" si="197"/>
        <v>0</v>
      </c>
      <c r="AI1136" s="195">
        <v>0.84</v>
      </c>
    </row>
    <row r="1137" spans="1:48">
      <c r="A1137">
        <v>5603</v>
      </c>
      <c r="C1137" s="107">
        <f>VLOOKUP(5603,收盤價!$A:$C,3,0)</f>
        <v>13.15</v>
      </c>
      <c r="D1137" s="107">
        <f t="shared" si="187"/>
        <v>12.75323275862069</v>
      </c>
      <c r="E1137" s="167">
        <f t="shared" si="188"/>
        <v>1</v>
      </c>
      <c r="F1137" s="104">
        <f t="shared" si="189"/>
        <v>0.53762421834860086</v>
      </c>
      <c r="G1137" s="167">
        <f>RANK(1.41,AE:AE,0)</f>
        <v>618</v>
      </c>
      <c r="H1137" s="365">
        <f t="shared" si="190"/>
        <v>0.85320197044334978</v>
      </c>
      <c r="I1137" s="213">
        <f t="shared" si="191"/>
        <v>655</v>
      </c>
      <c r="J1137" s="213">
        <f t="shared" si="192"/>
        <v>363</v>
      </c>
      <c r="K1137">
        <f>RANK(1.53,AI:AI,0)</f>
        <v>541</v>
      </c>
      <c r="L1137" s="357">
        <v>0</v>
      </c>
      <c r="M1137" s="357">
        <v>0</v>
      </c>
      <c r="N1137" s="357">
        <v>0</v>
      </c>
      <c r="O1137" s="357">
        <v>1</v>
      </c>
      <c r="P1137" s="357">
        <v>0</v>
      </c>
      <c r="Q1137" s="358">
        <v>0.16521739130434782</v>
      </c>
      <c r="R1137" s="359">
        <v>0.25777777777777777</v>
      </c>
      <c r="S1137" s="196">
        <v>1915176000</v>
      </c>
      <c r="T1137" s="196">
        <v>78300000</v>
      </c>
      <c r="U1137" s="200">
        <f t="shared" si="193"/>
        <v>1029645000</v>
      </c>
      <c r="V1137" s="196">
        <v>35000000</v>
      </c>
      <c r="W1137" s="196">
        <v>82000000</v>
      </c>
      <c r="X1137" s="196">
        <v>1347000000</v>
      </c>
      <c r="Y1137" s="196">
        <v>1251000000</v>
      </c>
      <c r="Z1137" s="196">
        <v>233000000</v>
      </c>
      <c r="AA1137" s="198">
        <v>0.02</v>
      </c>
      <c r="AB1137" s="198">
        <v>0.02</v>
      </c>
      <c r="AC1137" s="213">
        <f t="shared" si="194"/>
        <v>616</v>
      </c>
      <c r="AD1137" s="213">
        <f t="shared" si="195"/>
        <v>487</v>
      </c>
      <c r="AE1137" s="213">
        <v>1.41</v>
      </c>
      <c r="AF1137" s="196">
        <v>54000000</v>
      </c>
      <c r="AG1137" s="104">
        <f t="shared" si="196"/>
        <v>0.68965517241379315</v>
      </c>
      <c r="AH1137" s="104">
        <f t="shared" si="197"/>
        <v>1.5428571428571429</v>
      </c>
      <c r="AI1137" s="195">
        <v>1.53</v>
      </c>
      <c r="AO1137" s="213"/>
      <c r="AP1137" s="213"/>
      <c r="AQ1137" s="213"/>
      <c r="AR1137" s="213"/>
      <c r="AS1137" s="213"/>
      <c r="AT1137" s="213"/>
      <c r="AU1137" s="213"/>
      <c r="AV1137" s="213"/>
    </row>
    <row r="1138" spans="1:48">
      <c r="A1138">
        <v>5604</v>
      </c>
      <c r="C1138" s="107">
        <f>VLOOKUP(5604,收盤價!$A:$C,3,0)</f>
        <v>31.6</v>
      </c>
      <c r="D1138" s="107">
        <f t="shared" si="187"/>
        <v>41.145833333333336</v>
      </c>
      <c r="E1138" s="167">
        <f t="shared" si="188"/>
        <v>2</v>
      </c>
      <c r="F1138" s="104">
        <f t="shared" si="189"/>
        <v>2.5279479540127117</v>
      </c>
      <c r="G1138" s="167">
        <f>RANK(1.08,AE:AE,0)</f>
        <v>769</v>
      </c>
      <c r="H1138" s="365">
        <f t="shared" si="190"/>
        <v>0.61716751918158574</v>
      </c>
      <c r="I1138" s="213">
        <f t="shared" si="191"/>
        <v>953</v>
      </c>
      <c r="J1138" s="213">
        <f t="shared" si="192"/>
        <v>603</v>
      </c>
      <c r="K1138">
        <f>RANK(1,AI:AI,0)</f>
        <v>884</v>
      </c>
      <c r="L1138" s="357">
        <v>0</v>
      </c>
      <c r="M1138" s="357">
        <v>0</v>
      </c>
      <c r="N1138" s="357">
        <v>1</v>
      </c>
      <c r="O1138" s="357">
        <v>1</v>
      </c>
      <c r="P1138" s="357">
        <v>0</v>
      </c>
      <c r="Q1138" s="358">
        <v>0.30981595092024539</v>
      </c>
      <c r="R1138" s="359">
        <v>0.192</v>
      </c>
      <c r="S1138" s="196">
        <v>1360028000</v>
      </c>
      <c r="T1138" s="196">
        <v>108800000</v>
      </c>
      <c r="U1138" s="200">
        <f t="shared" si="193"/>
        <v>3438080000</v>
      </c>
      <c r="V1138" s="196">
        <v>23000000</v>
      </c>
      <c r="W1138" s="196">
        <v>49000000</v>
      </c>
      <c r="X1138" s="196">
        <v>3308000000</v>
      </c>
      <c r="Y1138" s="196">
        <v>2143000000</v>
      </c>
      <c r="Z1138" s="196">
        <v>0</v>
      </c>
      <c r="AA1138" s="198">
        <v>0.01</v>
      </c>
      <c r="AB1138" s="198">
        <v>0.01</v>
      </c>
      <c r="AC1138" s="213">
        <f t="shared" si="194"/>
        <v>769</v>
      </c>
      <c r="AD1138" s="213">
        <f t="shared" si="195"/>
        <v>680</v>
      </c>
      <c r="AE1138" s="213">
        <v>1.08</v>
      </c>
      <c r="AF1138" s="196">
        <v>18000000</v>
      </c>
      <c r="AG1138" s="104">
        <f t="shared" si="196"/>
        <v>0.16544117647058823</v>
      </c>
      <c r="AH1138" s="104">
        <f t="shared" si="197"/>
        <v>0.78260869565217395</v>
      </c>
      <c r="AI1138" s="195">
        <v>1</v>
      </c>
      <c r="AO1138" s="213"/>
      <c r="AP1138" s="213"/>
      <c r="AQ1138" s="213"/>
      <c r="AR1138" s="213"/>
      <c r="AS1138" s="213"/>
      <c r="AT1138" s="213"/>
      <c r="AU1138" s="213"/>
      <c r="AV1138" s="213"/>
    </row>
    <row r="1139" spans="1:48">
      <c r="A1139">
        <v>5607</v>
      </c>
      <c r="C1139" s="107">
        <f>VLOOKUP(5607,收盤價!$A:$C,3,0)</f>
        <v>13.85</v>
      </c>
      <c r="D1139" s="107">
        <f t="shared" si="187"/>
        <v>12.366071428571427</v>
      </c>
      <c r="E1139" s="167">
        <f t="shared" si="188"/>
        <v>3</v>
      </c>
      <c r="F1139" s="104">
        <f t="shared" si="189"/>
        <v>1.8481582390807954</v>
      </c>
      <c r="G1139" s="167">
        <f>RANK(0.84,AE:AE,0)</f>
        <v>946</v>
      </c>
      <c r="H1139" s="365">
        <f t="shared" si="190"/>
        <v>-1.0588235294117647</v>
      </c>
      <c r="I1139" s="213">
        <f t="shared" si="191"/>
        <v>486</v>
      </c>
      <c r="J1139" s="213">
        <f t="shared" si="192"/>
        <v>768</v>
      </c>
      <c r="K1139">
        <f>RANK(1.24,AI:AI,0)</f>
        <v>716</v>
      </c>
      <c r="L1139" s="357">
        <v>0</v>
      </c>
      <c r="M1139" s="357">
        <v>1</v>
      </c>
      <c r="N1139" s="357">
        <v>1</v>
      </c>
      <c r="O1139" s="357">
        <v>1</v>
      </c>
      <c r="P1139" s="357">
        <v>0</v>
      </c>
      <c r="Q1139" s="358">
        <v>0.47865853658536583</v>
      </c>
      <c r="R1139" s="359">
        <v>0.28000000000000003</v>
      </c>
      <c r="S1139" s="196">
        <v>1273971000</v>
      </c>
      <c r="T1139" s="196">
        <v>170000000</v>
      </c>
      <c r="U1139" s="200">
        <f t="shared" si="193"/>
        <v>2354500000</v>
      </c>
      <c r="V1139" s="196">
        <v>0</v>
      </c>
      <c r="W1139" s="196">
        <v>0</v>
      </c>
      <c r="X1139" s="196">
        <v>1531000000</v>
      </c>
      <c r="Y1139" s="196">
        <v>3954000000</v>
      </c>
      <c r="Z1139" s="196">
        <v>668000000</v>
      </c>
      <c r="AA1139" s="198">
        <v>0</v>
      </c>
      <c r="AB1139" s="198">
        <v>0</v>
      </c>
      <c r="AC1139" s="213">
        <f t="shared" si="194"/>
        <v>945</v>
      </c>
      <c r="AD1139" s="213">
        <f t="shared" si="195"/>
        <v>911</v>
      </c>
      <c r="AE1139" s="213">
        <v>0.84</v>
      </c>
      <c r="AF1139" s="196">
        <v>180000000</v>
      </c>
      <c r="AG1139" s="104">
        <f t="shared" si="196"/>
        <v>1.0588235294117647</v>
      </c>
      <c r="AH1139" s="104">
        <f t="shared" si="197"/>
        <v>0</v>
      </c>
      <c r="AI1139" s="195">
        <v>1.24</v>
      </c>
    </row>
    <row r="1140" spans="1:48">
      <c r="A1140">
        <v>5608</v>
      </c>
      <c r="C1140" s="107">
        <f>VLOOKUP(5608,收盤價!$A:$C,3,0)</f>
        <v>9</v>
      </c>
      <c r="D1140" s="107">
        <f t="shared" si="187"/>
        <v>0</v>
      </c>
      <c r="E1140" s="167">
        <f t="shared" si="188"/>
        <v>3</v>
      </c>
      <c r="F1140" s="104">
        <f t="shared" si="189"/>
        <v>0.97281159494252289</v>
      </c>
      <c r="G1140" s="167">
        <f>RANK(0.7,AE:AE,0)</f>
        <v>1292</v>
      </c>
      <c r="H1140" s="365">
        <f t="shared" si="190"/>
        <v>-0.49575070821529743</v>
      </c>
      <c r="I1140" s="213">
        <f t="shared" si="191"/>
        <v>743</v>
      </c>
      <c r="J1140" s="213">
        <f t="shared" si="192"/>
        <v>768</v>
      </c>
      <c r="K1140">
        <f>RANK(1.03,AI:AI,0)</f>
        <v>851</v>
      </c>
      <c r="L1140" s="357">
        <v>0</v>
      </c>
      <c r="M1140" s="357">
        <v>1</v>
      </c>
      <c r="N1140" s="357">
        <v>1</v>
      </c>
      <c r="O1140" s="357">
        <v>1</v>
      </c>
      <c r="P1140" s="357">
        <v>0</v>
      </c>
      <c r="Q1140" s="358">
        <v>-0.13895216400911162</v>
      </c>
      <c r="R1140" s="359">
        <v>0</v>
      </c>
      <c r="S1140" s="196">
        <v>3918950000</v>
      </c>
      <c r="T1140" s="196">
        <v>423600000</v>
      </c>
      <c r="U1140" s="200">
        <f t="shared" si="193"/>
        <v>3812400000</v>
      </c>
      <c r="V1140" s="196">
        <v>-89000000</v>
      </c>
      <c r="W1140" s="196">
        <v>0</v>
      </c>
      <c r="X1140" s="196">
        <v>30848000000</v>
      </c>
      <c r="Y1140" s="196">
        <v>8909000000</v>
      </c>
      <c r="Z1140" s="196">
        <v>3847000000</v>
      </c>
      <c r="AA1140" s="198">
        <v>0</v>
      </c>
      <c r="AB1140" s="198">
        <v>-0.01</v>
      </c>
      <c r="AC1140" s="213">
        <f t="shared" si="194"/>
        <v>945</v>
      </c>
      <c r="AD1140" s="213">
        <f t="shared" si="195"/>
        <v>1294</v>
      </c>
      <c r="AE1140" s="213">
        <v>0.7</v>
      </c>
      <c r="AF1140" s="196">
        <v>210000000</v>
      </c>
      <c r="AG1140" s="104">
        <f t="shared" si="196"/>
        <v>0.49575070821529743</v>
      </c>
      <c r="AH1140" s="104">
        <f t="shared" si="197"/>
        <v>0</v>
      </c>
      <c r="AI1140" s="195">
        <v>1.03</v>
      </c>
    </row>
    <row r="1141" spans="1:48">
      <c r="A1141">
        <v>5609</v>
      </c>
      <c r="C1141" s="107">
        <f>VLOOKUP(5609,收盤價!$A:$C,3,0)</f>
        <v>21.2</v>
      </c>
      <c r="D1141" s="107">
        <f t="shared" si="187"/>
        <v>7.3968847352024909</v>
      </c>
      <c r="E1141" s="167">
        <f t="shared" si="188"/>
        <v>4</v>
      </c>
      <c r="F1141" s="104">
        <f t="shared" si="189"/>
        <v>0.18016607849833668</v>
      </c>
      <c r="G1141" s="167">
        <f>RANK(3.28,AE:AE,0)</f>
        <v>256</v>
      </c>
      <c r="H1141" s="365">
        <f t="shared" si="190"/>
        <v>2.4101479915433405E-2</v>
      </c>
      <c r="I1141" s="213">
        <f t="shared" si="191"/>
        <v>969</v>
      </c>
      <c r="J1141" s="213">
        <f t="shared" si="192"/>
        <v>743</v>
      </c>
      <c r="K1141">
        <f>RANK(0.91,AI:AI,0)</f>
        <v>974</v>
      </c>
      <c r="L1141" s="357">
        <v>1</v>
      </c>
      <c r="M1141" s="357">
        <v>1</v>
      </c>
      <c r="N1141" s="357">
        <v>2</v>
      </c>
      <c r="O1141" s="357">
        <v>0</v>
      </c>
      <c r="P1141" s="357">
        <v>0</v>
      </c>
      <c r="Q1141" s="358">
        <v>0.16750250752256771</v>
      </c>
      <c r="R1141" s="359">
        <v>0.71651785714285721</v>
      </c>
      <c r="S1141" s="196">
        <v>15179328000</v>
      </c>
      <c r="T1141" s="196">
        <v>129000000</v>
      </c>
      <c r="U1141" s="200">
        <f t="shared" si="193"/>
        <v>2734800000</v>
      </c>
      <c r="V1141" s="196">
        <v>110000000</v>
      </c>
      <c r="W1141" s="196">
        <v>1352000000</v>
      </c>
      <c r="X1141" s="196">
        <v>704000000</v>
      </c>
      <c r="Y1141" s="196">
        <v>2069000000</v>
      </c>
      <c r="Z1141" s="196">
        <v>505000000</v>
      </c>
      <c r="AA1141" s="198">
        <v>0.05</v>
      </c>
      <c r="AB1141" s="198">
        <v>0.04</v>
      </c>
      <c r="AC1141" s="213">
        <f t="shared" si="194"/>
        <v>247</v>
      </c>
      <c r="AD1141" s="213">
        <f t="shared" si="195"/>
        <v>228</v>
      </c>
      <c r="AE1141" s="213">
        <v>3.28</v>
      </c>
      <c r="AF1141" s="196">
        <v>18000000</v>
      </c>
      <c r="AG1141" s="104">
        <f t="shared" si="196"/>
        <v>0.13953488372093023</v>
      </c>
      <c r="AH1141" s="104">
        <f t="shared" si="197"/>
        <v>0.16363636363636364</v>
      </c>
      <c r="AI1141" s="195">
        <v>0.91</v>
      </c>
      <c r="AO1141" s="213"/>
      <c r="AP1141" s="213"/>
      <c r="AQ1141" s="213"/>
      <c r="AR1141" s="213"/>
      <c r="AS1141" s="213"/>
      <c r="AT1141" s="213"/>
      <c r="AU1141" s="213"/>
      <c r="AV1141" s="213"/>
    </row>
    <row r="1142" spans="1:48">
      <c r="A1142">
        <v>5701</v>
      </c>
      <c r="C1142" s="107">
        <f>VLOOKUP(5701,收盤價!$A:$C,3,0)</f>
        <v>2.71</v>
      </c>
      <c r="D1142" s="107">
        <f t="shared" si="187"/>
        <v>0</v>
      </c>
      <c r="E1142" s="167">
        <f t="shared" si="188"/>
        <v>0</v>
      </c>
      <c r="F1142" s="104">
        <f t="shared" si="189"/>
        <v>0.47222721898691244</v>
      </c>
      <c r="G1142" s="167">
        <f>RANK(0.56,AE:AE,0)</f>
        <v>1414</v>
      </c>
      <c r="H1142" s="365">
        <f t="shared" si="190"/>
        <v>0.32308904649330183</v>
      </c>
      <c r="I1142" s="213">
        <f t="shared" si="191"/>
        <v>1277</v>
      </c>
      <c r="J1142" s="213">
        <f t="shared" si="192"/>
        <v>768</v>
      </c>
      <c r="K1142">
        <f>RANK(0.76,AI:AI,0)</f>
        <v>1269</v>
      </c>
      <c r="L1142" s="357">
        <v>0</v>
      </c>
      <c r="M1142" s="357">
        <v>0</v>
      </c>
      <c r="N1142" s="357">
        <v>0</v>
      </c>
      <c r="O1142" s="357">
        <v>0</v>
      </c>
      <c r="P1142" s="357">
        <v>0</v>
      </c>
      <c r="Q1142" s="358">
        <v>0.52870090634441091</v>
      </c>
      <c r="R1142" s="359">
        <v>0</v>
      </c>
      <c r="S1142" s="196">
        <v>1456498000</v>
      </c>
      <c r="T1142" s="196">
        <v>253800000</v>
      </c>
      <c r="U1142" s="200">
        <f t="shared" si="193"/>
        <v>687798000</v>
      </c>
      <c r="V1142" s="196">
        <v>-65000000</v>
      </c>
      <c r="W1142" s="196">
        <v>0</v>
      </c>
      <c r="X1142" s="196">
        <v>2889000000</v>
      </c>
      <c r="Y1142" s="196">
        <v>1581000000</v>
      </c>
      <c r="Z1142" s="196">
        <v>832000000</v>
      </c>
      <c r="AA1142" s="198">
        <v>-0.02</v>
      </c>
      <c r="AB1142" s="198">
        <v>-0.03</v>
      </c>
      <c r="AC1142" s="213">
        <f t="shared" si="194"/>
        <v>1353</v>
      </c>
      <c r="AD1142" s="213">
        <f t="shared" si="195"/>
        <v>1444</v>
      </c>
      <c r="AE1142" s="213">
        <v>0.56000000000000005</v>
      </c>
      <c r="AF1142" s="196">
        <v>-82000000</v>
      </c>
      <c r="AG1142" s="104">
        <f t="shared" si="196"/>
        <v>-0.32308904649330183</v>
      </c>
      <c r="AH1142" s="104">
        <f t="shared" si="197"/>
        <v>0</v>
      </c>
      <c r="AI1142" s="195">
        <v>0.76</v>
      </c>
    </row>
    <row r="1143" spans="1:48">
      <c r="A1143">
        <v>5703</v>
      </c>
      <c r="C1143" s="107">
        <f>VLOOKUP(5703,收盤價!$A:$C,3,0)</f>
        <v>24.05</v>
      </c>
      <c r="D1143" s="107">
        <f t="shared" si="187"/>
        <v>0</v>
      </c>
      <c r="E1143" s="167">
        <f t="shared" si="188"/>
        <v>0</v>
      </c>
      <c r="F1143" s="104">
        <f t="shared" si="189"/>
        <v>1.6884805365341899</v>
      </c>
      <c r="G1143" s="167">
        <f>RANK(0.84,AE:AE,0)</f>
        <v>946</v>
      </c>
      <c r="H1143" s="365">
        <f t="shared" si="190"/>
        <v>7.2863247863247862</v>
      </c>
      <c r="I1143" s="213">
        <f t="shared" si="191"/>
        <v>922</v>
      </c>
      <c r="J1143" s="213">
        <f t="shared" si="192"/>
        <v>53</v>
      </c>
      <c r="K1143">
        <f>RANK(1.6,AI:AI,0)</f>
        <v>503</v>
      </c>
      <c r="L1143" s="357">
        <v>0</v>
      </c>
      <c r="M1143" s="357">
        <v>0</v>
      </c>
      <c r="N1143" s="357">
        <v>0</v>
      </c>
      <c r="O1143" s="357">
        <v>0</v>
      </c>
      <c r="P1143" s="357">
        <v>0</v>
      </c>
      <c r="Q1143" s="358">
        <v>0.31779661016949151</v>
      </c>
      <c r="R1143" s="359">
        <v>-3.3333333333333333E-2</v>
      </c>
      <c r="S1143" s="196">
        <v>999899000</v>
      </c>
      <c r="T1143" s="196">
        <v>70200000</v>
      </c>
      <c r="U1143" s="200">
        <f t="shared" si="193"/>
        <v>1688310000</v>
      </c>
      <c r="V1143" s="196">
        <v>2000000</v>
      </c>
      <c r="W1143" s="196">
        <v>88000000</v>
      </c>
      <c r="X1143" s="196">
        <v>791000000</v>
      </c>
      <c r="Y1143" s="196">
        <v>894000000</v>
      </c>
      <c r="Z1143" s="196">
        <v>90000000</v>
      </c>
      <c r="AA1143" s="198">
        <v>0</v>
      </c>
      <c r="AB1143" s="198">
        <v>0</v>
      </c>
      <c r="AC1143" s="213">
        <f t="shared" si="194"/>
        <v>945</v>
      </c>
      <c r="AD1143" s="213">
        <f t="shared" si="195"/>
        <v>911</v>
      </c>
      <c r="AE1143" s="213">
        <v>0.84</v>
      </c>
      <c r="AF1143" s="196">
        <v>15000000</v>
      </c>
      <c r="AG1143" s="104">
        <f t="shared" si="196"/>
        <v>0.21367521367521367</v>
      </c>
      <c r="AH1143" s="104">
        <f t="shared" si="197"/>
        <v>7.5</v>
      </c>
      <c r="AI1143" s="195">
        <v>1.6</v>
      </c>
      <c r="AO1143" s="213"/>
      <c r="AP1143" s="213"/>
      <c r="AQ1143" s="213"/>
      <c r="AR1143" s="213"/>
      <c r="AS1143" s="213"/>
      <c r="AT1143" s="213"/>
      <c r="AU1143" s="213"/>
      <c r="AV1143" s="213"/>
    </row>
    <row r="1144" spans="1:48">
      <c r="A1144">
        <v>5704</v>
      </c>
      <c r="C1144" s="107">
        <f>VLOOKUP(5704,收盤價!$A:$C,3,0)</f>
        <v>26.35</v>
      </c>
      <c r="D1144" s="107">
        <f t="shared" si="187"/>
        <v>0</v>
      </c>
      <c r="E1144" s="167">
        <f t="shared" si="188"/>
        <v>0</v>
      </c>
      <c r="F1144" s="104">
        <f t="shared" si="189"/>
        <v>3.1789522326772901</v>
      </c>
      <c r="G1144" s="167">
        <f>RANK(0.84,AE:AE,0)</f>
        <v>946</v>
      </c>
      <c r="H1144" s="365">
        <f t="shared" si="190"/>
        <v>-0.12853470437017994</v>
      </c>
      <c r="I1144" s="213">
        <f t="shared" si="191"/>
        <v>975</v>
      </c>
      <c r="J1144" s="213">
        <f t="shared" si="192"/>
        <v>768</v>
      </c>
      <c r="K1144">
        <f>RANK(0.89,AI:AI,0)</f>
        <v>1004</v>
      </c>
      <c r="L1144" s="357">
        <v>0</v>
      </c>
      <c r="M1144" s="357">
        <v>0</v>
      </c>
      <c r="N1144" s="357">
        <v>0</v>
      </c>
      <c r="O1144" s="357">
        <v>0</v>
      </c>
      <c r="P1144" s="357">
        <v>0</v>
      </c>
      <c r="Q1144" s="358">
        <v>0.31147540983606559</v>
      </c>
      <c r="R1144" s="359">
        <v>0</v>
      </c>
      <c r="S1144" s="196">
        <v>322438000</v>
      </c>
      <c r="T1144" s="196">
        <v>38900000</v>
      </c>
      <c r="U1144" s="200">
        <f t="shared" si="193"/>
        <v>1025015000</v>
      </c>
      <c r="V1144" s="196">
        <v>-1000000</v>
      </c>
      <c r="W1144" s="196">
        <v>122000000</v>
      </c>
      <c r="X1144" s="196">
        <v>304000000</v>
      </c>
      <c r="Y1144" s="196">
        <v>451000000</v>
      </c>
      <c r="Z1144" s="196">
        <v>0</v>
      </c>
      <c r="AA1144" s="198">
        <v>0</v>
      </c>
      <c r="AB1144" s="198">
        <v>0</v>
      </c>
      <c r="AC1144" s="213">
        <f t="shared" si="194"/>
        <v>945</v>
      </c>
      <c r="AD1144" s="213">
        <f t="shared" si="195"/>
        <v>911</v>
      </c>
      <c r="AE1144" s="213">
        <v>0.84</v>
      </c>
      <c r="AF1144" s="196">
        <v>5000000</v>
      </c>
      <c r="AG1144" s="104">
        <f t="shared" si="196"/>
        <v>0.12853470437017994</v>
      </c>
      <c r="AH1144" s="104">
        <f t="shared" si="197"/>
        <v>0</v>
      </c>
      <c r="AI1144" s="195">
        <v>0.89</v>
      </c>
    </row>
    <row r="1145" spans="1:48">
      <c r="A1145">
        <v>5706</v>
      </c>
      <c r="C1145" s="107">
        <f>VLOOKUP(5706,收盤價!$A:$C,3,0)</f>
        <v>35.15</v>
      </c>
      <c r="D1145" s="107">
        <f t="shared" si="187"/>
        <v>16.89903846153846</v>
      </c>
      <c r="E1145" s="167">
        <f t="shared" si="188"/>
        <v>3</v>
      </c>
      <c r="F1145" s="104">
        <f t="shared" si="189"/>
        <v>0.81505887945345834</v>
      </c>
      <c r="G1145" s="167">
        <f>RANK(0.84,AE:AE,0)</f>
        <v>946</v>
      </c>
      <c r="H1145" s="365">
        <f t="shared" si="190"/>
        <v>-1.640625</v>
      </c>
      <c r="I1145" s="213">
        <f t="shared" si="191"/>
        <v>304</v>
      </c>
      <c r="J1145" s="213">
        <f t="shared" si="192"/>
        <v>768</v>
      </c>
      <c r="K1145">
        <f>RANK(1.45,AI:AI,0)</f>
        <v>582</v>
      </c>
      <c r="L1145" s="357">
        <v>0</v>
      </c>
      <c r="M1145" s="357">
        <v>0</v>
      </c>
      <c r="N1145" s="357">
        <v>2</v>
      </c>
      <c r="O1145" s="357">
        <v>1</v>
      </c>
      <c r="P1145" s="357">
        <v>0</v>
      </c>
      <c r="Q1145" s="358">
        <v>0.11311053984575835</v>
      </c>
      <c r="R1145" s="359">
        <v>0.52</v>
      </c>
      <c r="S1145" s="196">
        <v>2760046000</v>
      </c>
      <c r="T1145" s="196">
        <v>64000000</v>
      </c>
      <c r="U1145" s="200">
        <f t="shared" si="193"/>
        <v>2249600000</v>
      </c>
      <c r="V1145" s="196">
        <v>0</v>
      </c>
      <c r="W1145" s="196">
        <v>247000000</v>
      </c>
      <c r="X1145" s="196">
        <v>275000000</v>
      </c>
      <c r="Y1145" s="196">
        <v>946000000</v>
      </c>
      <c r="Z1145" s="196">
        <v>0</v>
      </c>
      <c r="AA1145" s="198">
        <v>0</v>
      </c>
      <c r="AB1145" s="198">
        <v>0</v>
      </c>
      <c r="AC1145" s="213">
        <f t="shared" si="194"/>
        <v>945</v>
      </c>
      <c r="AD1145" s="213">
        <f t="shared" si="195"/>
        <v>911</v>
      </c>
      <c r="AE1145" s="213">
        <v>0.84</v>
      </c>
      <c r="AF1145" s="196">
        <v>105000000</v>
      </c>
      <c r="AG1145" s="104">
        <f t="shared" si="196"/>
        <v>1.640625</v>
      </c>
      <c r="AH1145" s="104">
        <f t="shared" si="197"/>
        <v>0</v>
      </c>
      <c r="AI1145" s="195">
        <v>1.45</v>
      </c>
      <c r="AO1145" s="213"/>
      <c r="AP1145" s="213"/>
      <c r="AQ1145" s="213"/>
      <c r="AR1145" s="213"/>
      <c r="AS1145" s="213"/>
      <c r="AT1145" s="213"/>
      <c r="AU1145" s="213"/>
      <c r="AV1145" s="213"/>
    </row>
    <row r="1146" spans="1:48">
      <c r="A1146" s="213">
        <v>5871</v>
      </c>
      <c r="C1146" s="107">
        <f>VLOOKUP(5871,收盤價!$A:$C,3,0)</f>
        <v>54.8</v>
      </c>
      <c r="D1146" s="107">
        <f t="shared" si="187"/>
        <v>11.322451154314223</v>
      </c>
      <c r="E1146" s="167">
        <f t="shared" si="188"/>
        <v>3</v>
      </c>
      <c r="F1146" s="104">
        <f t="shared" si="189"/>
        <v>1.6533422545293062</v>
      </c>
      <c r="G1146" s="167">
        <f>RANK(1.82,AE:AE,0)</f>
        <v>530</v>
      </c>
      <c r="H1146" s="365">
        <f t="shared" si="190"/>
        <v>0.39150280898876405</v>
      </c>
      <c r="I1146" s="213">
        <f t="shared" si="191"/>
        <v>1310</v>
      </c>
      <c r="J1146" s="213">
        <f t="shared" si="192"/>
        <v>768</v>
      </c>
      <c r="K1146" s="213">
        <f>RANK(0.75,AI:AI,0)</f>
        <v>1296</v>
      </c>
      <c r="L1146" s="357">
        <v>1</v>
      </c>
      <c r="M1146" s="357">
        <v>1</v>
      </c>
      <c r="N1146" s="357">
        <v>1</v>
      </c>
      <c r="O1146" s="357">
        <v>0</v>
      </c>
      <c r="P1146" s="357">
        <v>0</v>
      </c>
      <c r="Q1146" s="358">
        <v>0.61167486138717442</v>
      </c>
      <c r="R1146" s="359">
        <v>1.209985347985348</v>
      </c>
      <c r="S1146" s="196">
        <v>37758764000</v>
      </c>
      <c r="T1146" s="196">
        <v>1139200000</v>
      </c>
      <c r="U1146" s="200">
        <f t="shared" si="193"/>
        <v>62428160000</v>
      </c>
      <c r="V1146" s="196">
        <v>1978000000</v>
      </c>
      <c r="W1146" s="196">
        <v>22651000000</v>
      </c>
      <c r="X1146" s="196">
        <v>10130000000</v>
      </c>
      <c r="Y1146" s="196">
        <v>38905000000</v>
      </c>
      <c r="Z1146" s="196">
        <v>154423000000</v>
      </c>
      <c r="AA1146" s="198">
        <v>0.06</v>
      </c>
      <c r="AB1146" s="198">
        <v>0.01</v>
      </c>
      <c r="AC1146" s="213">
        <f t="shared" si="194"/>
        <v>174</v>
      </c>
      <c r="AD1146" s="213">
        <f t="shared" si="195"/>
        <v>680</v>
      </c>
      <c r="AE1146" s="213">
        <v>1.82</v>
      </c>
      <c r="AF1146" s="196">
        <v>-446000000</v>
      </c>
      <c r="AG1146" s="104">
        <f t="shared" si="196"/>
        <v>-0.39150280898876405</v>
      </c>
      <c r="AH1146" s="104">
        <f t="shared" si="197"/>
        <v>0</v>
      </c>
      <c r="AI1146" s="195">
        <v>0.75</v>
      </c>
    </row>
    <row r="1147" spans="1:48">
      <c r="A1147">
        <v>5878</v>
      </c>
      <c r="C1147" s="107">
        <f>VLOOKUP(5878,收盤價!$A:$C,3,0)</f>
        <v>42.8</v>
      </c>
      <c r="D1147" s="107">
        <f t="shared" si="187"/>
        <v>13.477546549835706</v>
      </c>
      <c r="E1147" s="167">
        <f t="shared" si="188"/>
        <v>4</v>
      </c>
      <c r="F1147" s="104">
        <f t="shared" si="189"/>
        <v>1.4878134996824481</v>
      </c>
      <c r="G1147" s="167">
        <f>RANK(5.49,AE:AE,0)</f>
        <v>154</v>
      </c>
      <c r="H1147" s="365">
        <f t="shared" si="190"/>
        <v>2.6083621020329906E-2</v>
      </c>
      <c r="I1147" s="213">
        <f t="shared" si="191"/>
        <v>835</v>
      </c>
      <c r="J1147" s="213">
        <f t="shared" si="192"/>
        <v>713</v>
      </c>
      <c r="K1147">
        <f>RANK(1.01,AI:AI,0)</f>
        <v>874</v>
      </c>
      <c r="L1147" s="357">
        <v>0</v>
      </c>
      <c r="M1147" s="357">
        <v>1</v>
      </c>
      <c r="N1147" s="357">
        <v>2</v>
      </c>
      <c r="O1147" s="357">
        <v>1</v>
      </c>
      <c r="P1147" s="357">
        <v>0</v>
      </c>
      <c r="Q1147" s="358">
        <v>0.22222222222222221</v>
      </c>
      <c r="R1147" s="359">
        <v>0.79391304347826086</v>
      </c>
      <c r="S1147" s="196">
        <v>681779000</v>
      </c>
      <c r="T1147" s="196">
        <v>23700000</v>
      </c>
      <c r="U1147" s="200">
        <f t="shared" si="193"/>
        <v>1014359999.9999999</v>
      </c>
      <c r="V1147" s="196">
        <v>22000000</v>
      </c>
      <c r="W1147" s="196">
        <v>247000000</v>
      </c>
      <c r="X1147" s="196">
        <v>47000000</v>
      </c>
      <c r="Y1147" s="196">
        <v>405000000</v>
      </c>
      <c r="Z1147" s="196">
        <v>0</v>
      </c>
      <c r="AA1147" s="198">
        <v>7.0000000000000007E-2</v>
      </c>
      <c r="AB1147" s="198">
        <v>0.05</v>
      </c>
      <c r="AC1147" s="213">
        <f t="shared" si="194"/>
        <v>134</v>
      </c>
      <c r="AD1147" s="213">
        <f t="shared" si="195"/>
        <v>150</v>
      </c>
      <c r="AE1147" s="213">
        <v>5.49</v>
      </c>
      <c r="AF1147" s="196">
        <v>8000000</v>
      </c>
      <c r="AG1147" s="104">
        <f t="shared" si="196"/>
        <v>0.33755274261603374</v>
      </c>
      <c r="AH1147" s="104">
        <f t="shared" si="197"/>
        <v>0.36363636363636365</v>
      </c>
      <c r="AI1147" s="195">
        <v>1.01</v>
      </c>
    </row>
    <row r="1148" spans="1:48">
      <c r="A1148">
        <v>5902</v>
      </c>
      <c r="C1148" s="107">
        <f>VLOOKUP(5902,收盤價!$A:$C,3,0)</f>
        <v>12.75</v>
      </c>
      <c r="D1148" s="107">
        <f t="shared" si="187"/>
        <v>24.791666666666664</v>
      </c>
      <c r="E1148" s="167">
        <f t="shared" si="188"/>
        <v>2</v>
      </c>
      <c r="F1148" s="104">
        <f t="shared" si="189"/>
        <v>0.6062367859374701</v>
      </c>
      <c r="G1148" s="167">
        <f>RANK(2.29,AE:AE,0)</f>
        <v>414</v>
      </c>
      <c r="H1148" s="365">
        <f t="shared" si="190"/>
        <v>2.4142857142857146</v>
      </c>
      <c r="I1148" s="213">
        <f t="shared" si="191"/>
        <v>871</v>
      </c>
      <c r="J1148" s="213">
        <f t="shared" si="192"/>
        <v>171</v>
      </c>
      <c r="K1148">
        <f>RANK(1.5,AI:AI,0)</f>
        <v>562</v>
      </c>
      <c r="L1148" s="357">
        <v>0</v>
      </c>
      <c r="M1148" s="357">
        <v>1</v>
      </c>
      <c r="N1148" s="357">
        <v>0</v>
      </c>
      <c r="O1148" s="357">
        <v>1</v>
      </c>
      <c r="P1148" s="357">
        <v>0</v>
      </c>
      <c r="Q1148" s="358">
        <v>0.12549800796812749</v>
      </c>
      <c r="R1148" s="359">
        <v>0.12857142857142859</v>
      </c>
      <c r="S1148" s="196">
        <v>1987466000</v>
      </c>
      <c r="T1148" s="196">
        <v>94500000</v>
      </c>
      <c r="U1148" s="200">
        <f t="shared" si="193"/>
        <v>1204875000</v>
      </c>
      <c r="V1148" s="196">
        <v>10000000</v>
      </c>
      <c r="W1148" s="196">
        <v>0</v>
      </c>
      <c r="X1148" s="196">
        <v>7000000</v>
      </c>
      <c r="Y1148" s="196">
        <v>662000000</v>
      </c>
      <c r="Z1148" s="196">
        <v>338000000</v>
      </c>
      <c r="AA1148" s="198">
        <v>1.43</v>
      </c>
      <c r="AB1148" s="198">
        <v>0.01</v>
      </c>
      <c r="AC1148" s="213">
        <f t="shared" si="194"/>
        <v>1</v>
      </c>
      <c r="AD1148" s="213">
        <f t="shared" si="195"/>
        <v>680</v>
      </c>
      <c r="AE1148" s="213">
        <v>2.29</v>
      </c>
      <c r="AF1148" s="196">
        <v>27000000</v>
      </c>
      <c r="AG1148" s="104">
        <f t="shared" si="196"/>
        <v>0.2857142857142857</v>
      </c>
      <c r="AH1148" s="104">
        <f t="shared" si="197"/>
        <v>2.7</v>
      </c>
      <c r="AI1148" s="195">
        <v>1.5</v>
      </c>
    </row>
    <row r="1149" spans="1:48">
      <c r="A1149">
        <v>5903</v>
      </c>
      <c r="C1149" s="107">
        <f>VLOOKUP(5903,收盤價!$A:$C,3,0)</f>
        <v>0</v>
      </c>
      <c r="D1149" s="107">
        <f t="shared" si="187"/>
        <v>0</v>
      </c>
      <c r="E1149" s="167">
        <f t="shared" si="188"/>
        <v>2</v>
      </c>
      <c r="F1149" s="104">
        <f t="shared" si="189"/>
        <v>0</v>
      </c>
      <c r="G1149" s="167">
        <f>RANK(5.39,AE:AE,0)</f>
        <v>163</v>
      </c>
      <c r="H1149" s="365">
        <f t="shared" si="190"/>
        <v>-3.746334978553381</v>
      </c>
      <c r="I1149" s="213">
        <f t="shared" si="191"/>
        <v>16</v>
      </c>
      <c r="J1149" s="213">
        <f t="shared" si="192"/>
        <v>149</v>
      </c>
      <c r="K1149">
        <f>RANK(9.44,AI:AI,0)</f>
        <v>17</v>
      </c>
      <c r="L1149" s="357">
        <v>0</v>
      </c>
      <c r="M1149" s="357">
        <v>1</v>
      </c>
      <c r="N1149" s="357">
        <v>0</v>
      </c>
      <c r="O1149" s="357">
        <v>1</v>
      </c>
      <c r="P1149" s="357">
        <v>0</v>
      </c>
      <c r="Q1149" s="358">
        <v>0.37625253782173029</v>
      </c>
      <c r="R1149" s="359">
        <v>1.7285714285714284</v>
      </c>
      <c r="S1149" s="196">
        <v>59322555000</v>
      </c>
      <c r="T1149" s="196">
        <v>223200000</v>
      </c>
      <c r="U1149" s="200">
        <f t="shared" si="193"/>
        <v>0</v>
      </c>
      <c r="V1149" s="196">
        <v>488000000</v>
      </c>
      <c r="W1149" s="196">
        <v>0</v>
      </c>
      <c r="X1149" s="196">
        <v>9356000000</v>
      </c>
      <c r="Y1149" s="196">
        <v>4533000000</v>
      </c>
      <c r="Z1149" s="196">
        <v>1676000000</v>
      </c>
      <c r="AA1149" s="198">
        <v>0.05</v>
      </c>
      <c r="AB1149" s="198">
        <v>0.08</v>
      </c>
      <c r="AC1149" s="213">
        <f t="shared" si="194"/>
        <v>247</v>
      </c>
      <c r="AD1149" s="213">
        <f t="shared" si="195"/>
        <v>42</v>
      </c>
      <c r="AE1149" s="213">
        <v>5.39</v>
      </c>
      <c r="AF1149" s="196">
        <v>1541000000</v>
      </c>
      <c r="AG1149" s="104">
        <f t="shared" si="196"/>
        <v>6.9041218637992827</v>
      </c>
      <c r="AH1149" s="104">
        <f t="shared" si="197"/>
        <v>3.1577868852459017</v>
      </c>
      <c r="AI1149" s="195">
        <v>9.44</v>
      </c>
    </row>
    <row r="1150" spans="1:48">
      <c r="A1150">
        <v>5904</v>
      </c>
      <c r="C1150" s="107">
        <f>VLOOKUP(5904,收盤價!$A:$C,3,0)</f>
        <v>469.5</v>
      </c>
      <c r="D1150" s="107">
        <f t="shared" si="187"/>
        <v>42.892404033832136</v>
      </c>
      <c r="E1150" s="167">
        <f t="shared" si="188"/>
        <v>2</v>
      </c>
      <c r="F1150" s="104">
        <f t="shared" si="189"/>
        <v>3.778465893875957</v>
      </c>
      <c r="G1150" s="167">
        <f>RANK(55.64,AE:AE,0)</f>
        <v>5</v>
      </c>
      <c r="H1150" s="365">
        <f t="shared" si="190"/>
        <v>-2.5901508846835766</v>
      </c>
      <c r="I1150" s="213">
        <f t="shared" si="191"/>
        <v>81</v>
      </c>
      <c r="J1150" s="213">
        <f t="shared" si="192"/>
        <v>503</v>
      </c>
      <c r="K1150">
        <f>RANK(2.67,AI:AI,0)</f>
        <v>203</v>
      </c>
      <c r="L1150" s="357">
        <v>0</v>
      </c>
      <c r="M1150" s="357">
        <v>1</v>
      </c>
      <c r="N1150" s="357">
        <v>0</v>
      </c>
      <c r="O1150" s="357">
        <v>1</v>
      </c>
      <c r="P1150" s="357">
        <v>0</v>
      </c>
      <c r="Q1150" s="358">
        <v>0.40124467736652475</v>
      </c>
      <c r="R1150" s="359">
        <v>2.7364985163204749</v>
      </c>
      <c r="S1150" s="196">
        <v>11841671000</v>
      </c>
      <c r="T1150" s="196">
        <v>95300000</v>
      </c>
      <c r="U1150" s="200">
        <f t="shared" si="193"/>
        <v>44743350000</v>
      </c>
      <c r="V1150" s="196">
        <v>319000000</v>
      </c>
      <c r="W1150" s="196">
        <v>560000000</v>
      </c>
      <c r="X1150" s="196">
        <v>1732000000</v>
      </c>
      <c r="Y1150" s="196">
        <v>2506000000</v>
      </c>
      <c r="Z1150" s="196">
        <v>250000000</v>
      </c>
      <c r="AA1150" s="198">
        <v>0.14000000000000001</v>
      </c>
      <c r="AB1150" s="198">
        <v>0.12</v>
      </c>
      <c r="AC1150" s="213">
        <f t="shared" si="194"/>
        <v>22</v>
      </c>
      <c r="AD1150" s="213">
        <f t="shared" si="195"/>
        <v>6</v>
      </c>
      <c r="AE1150" s="213">
        <v>55.64</v>
      </c>
      <c r="AF1150" s="196">
        <v>352000000</v>
      </c>
      <c r="AG1150" s="104">
        <f t="shared" si="196"/>
        <v>3.6935991605456455</v>
      </c>
      <c r="AH1150" s="104">
        <f t="shared" si="197"/>
        <v>1.103448275862069</v>
      </c>
      <c r="AI1150" s="195">
        <v>2.67</v>
      </c>
      <c r="AO1150" s="213"/>
      <c r="AP1150" s="213"/>
      <c r="AQ1150" s="213"/>
      <c r="AR1150" s="213"/>
      <c r="AS1150" s="213"/>
      <c r="AT1150" s="213"/>
      <c r="AU1150" s="213"/>
      <c r="AV1150" s="213"/>
    </row>
    <row r="1151" spans="1:48">
      <c r="A1151">
        <v>5905</v>
      </c>
      <c r="C1151" s="107">
        <f>VLOOKUP(5905,收盤價!$A:$C,3,0)</f>
        <v>7.64</v>
      </c>
      <c r="D1151" s="107">
        <f t="shared" si="187"/>
        <v>13.772789115646258</v>
      </c>
      <c r="E1151" s="167">
        <f t="shared" si="188"/>
        <v>2</v>
      </c>
      <c r="F1151" s="104">
        <f t="shared" si="189"/>
        <v>0.96427207423019901</v>
      </c>
      <c r="G1151" s="167">
        <f>RANK(1.53,AE:AE,0)</f>
        <v>613</v>
      </c>
      <c r="H1151" s="365">
        <f t="shared" si="190"/>
        <v>2.1646504277696041</v>
      </c>
      <c r="I1151" s="213">
        <f t="shared" si="191"/>
        <v>620</v>
      </c>
      <c r="J1151" s="213">
        <f t="shared" si="192"/>
        <v>163</v>
      </c>
      <c r="K1151">
        <f>RANK(1.99,AI:AI,0)</f>
        <v>342</v>
      </c>
      <c r="L1151" s="357">
        <v>0</v>
      </c>
      <c r="M1151" s="357">
        <v>1</v>
      </c>
      <c r="N1151" s="357">
        <v>0</v>
      </c>
      <c r="O1151" s="357">
        <v>1</v>
      </c>
      <c r="P1151" s="357">
        <v>0</v>
      </c>
      <c r="Q1151" s="358">
        <v>0.74619289340101524</v>
      </c>
      <c r="R1151" s="359">
        <v>0.13867924528301886</v>
      </c>
      <c r="S1151" s="196">
        <v>1615515000</v>
      </c>
      <c r="T1151" s="196">
        <v>203900000</v>
      </c>
      <c r="U1151" s="200">
        <f t="shared" si="193"/>
        <v>1557796000</v>
      </c>
      <c r="V1151" s="196">
        <v>54000000</v>
      </c>
      <c r="W1151" s="196">
        <v>127000000</v>
      </c>
      <c r="X1151" s="196">
        <v>1085000000</v>
      </c>
      <c r="Y1151" s="196">
        <v>3070000000</v>
      </c>
      <c r="Z1151" s="196">
        <v>850000000</v>
      </c>
      <c r="AA1151" s="198">
        <v>0.04</v>
      </c>
      <c r="AB1151" s="198">
        <v>0.01</v>
      </c>
      <c r="AC1151" s="213">
        <f t="shared" si="194"/>
        <v>337</v>
      </c>
      <c r="AD1151" s="213">
        <f t="shared" si="195"/>
        <v>680</v>
      </c>
      <c r="AE1151" s="213">
        <v>1.53</v>
      </c>
      <c r="AF1151" s="196">
        <v>159000000</v>
      </c>
      <c r="AG1151" s="104">
        <f t="shared" si="196"/>
        <v>0.77979401667484061</v>
      </c>
      <c r="AH1151" s="104">
        <f t="shared" si="197"/>
        <v>2.9444444444444446</v>
      </c>
      <c r="AI1151" s="195">
        <v>1.99</v>
      </c>
      <c r="AO1151" s="213"/>
      <c r="AP1151" s="213"/>
      <c r="AQ1151" s="213"/>
      <c r="AR1151" s="213"/>
      <c r="AS1151" s="213"/>
      <c r="AT1151" s="213"/>
      <c r="AU1151" s="213"/>
      <c r="AV1151" s="213"/>
    </row>
    <row r="1152" spans="1:48">
      <c r="A1152">
        <v>5906</v>
      </c>
      <c r="C1152" s="107">
        <f>VLOOKUP(5906,收盤價!$A:$C,3,0)</f>
        <v>7.09</v>
      </c>
      <c r="D1152" s="107">
        <f t="shared" si="187"/>
        <v>0</v>
      </c>
      <c r="E1152" s="167">
        <f t="shared" si="188"/>
        <v>2</v>
      </c>
      <c r="F1152" s="104">
        <f t="shared" si="189"/>
        <v>0.25295019366685023</v>
      </c>
      <c r="G1152" s="167">
        <f>RANK(0.51,AE:AE,0)</f>
        <v>1523</v>
      </c>
      <c r="H1152" s="365">
        <f t="shared" si="190"/>
        <v>-0.26666666666666666</v>
      </c>
      <c r="I1152" s="213">
        <f t="shared" si="191"/>
        <v>881</v>
      </c>
      <c r="J1152" s="213">
        <f t="shared" si="192"/>
        <v>768</v>
      </c>
      <c r="K1152">
        <f>RANK(0.94,AI:AI,0)</f>
        <v>936</v>
      </c>
      <c r="L1152" s="357">
        <v>0</v>
      </c>
      <c r="M1152" s="357">
        <v>1</v>
      </c>
      <c r="N1152" s="357">
        <v>0</v>
      </c>
      <c r="O1152" s="357">
        <v>1</v>
      </c>
      <c r="P1152" s="357">
        <v>0</v>
      </c>
      <c r="Q1152" s="358">
        <v>0.56603773584905659</v>
      </c>
      <c r="R1152" s="359">
        <v>0</v>
      </c>
      <c r="S1152" s="196">
        <v>840877000</v>
      </c>
      <c r="T1152" s="196">
        <v>30000000</v>
      </c>
      <c r="U1152" s="200">
        <f t="shared" si="193"/>
        <v>212700000</v>
      </c>
      <c r="V1152" s="196">
        <v>-33000000</v>
      </c>
      <c r="W1152" s="196">
        <v>170000000</v>
      </c>
      <c r="X1152" s="196">
        <v>5000000</v>
      </c>
      <c r="Y1152" s="196">
        <v>235000000</v>
      </c>
      <c r="Z1152" s="196">
        <v>126000000</v>
      </c>
      <c r="AA1152" s="198">
        <v>-0.19</v>
      </c>
      <c r="AB1152" s="198">
        <v>-0.09</v>
      </c>
      <c r="AC1152" s="213">
        <f t="shared" si="194"/>
        <v>1537</v>
      </c>
      <c r="AD1152" s="213">
        <f t="shared" si="195"/>
        <v>1533</v>
      </c>
      <c r="AE1152" s="213">
        <v>0.51</v>
      </c>
      <c r="AF1152" s="196">
        <v>8000000</v>
      </c>
      <c r="AG1152" s="104">
        <f t="shared" si="196"/>
        <v>0.26666666666666666</v>
      </c>
      <c r="AH1152" s="104">
        <f t="shared" si="197"/>
        <v>0</v>
      </c>
      <c r="AI1152" s="195">
        <v>0.94</v>
      </c>
      <c r="AO1152" s="213"/>
      <c r="AP1152" s="213"/>
      <c r="AQ1152" s="213"/>
      <c r="AR1152" s="213"/>
      <c r="AS1152" s="213"/>
      <c r="AT1152" s="213"/>
      <c r="AU1152" s="213"/>
      <c r="AV1152" s="213"/>
    </row>
    <row r="1153" spans="1:48">
      <c r="A1153">
        <v>5907</v>
      </c>
      <c r="C1153" s="107">
        <f>VLOOKUP(5907,收盤價!$A:$C,3,0)</f>
        <v>22.9</v>
      </c>
      <c r="D1153" s="107">
        <f t="shared" si="187"/>
        <v>13.922212047212044</v>
      </c>
      <c r="E1153" s="167">
        <f t="shared" si="188"/>
        <v>2</v>
      </c>
      <c r="F1153" s="104">
        <f t="shared" si="189"/>
        <v>0.68241132260128734</v>
      </c>
      <c r="G1153" s="167">
        <f>RANK(1.2,AE:AE,0)</f>
        <v>710</v>
      </c>
      <c r="H1153" s="365">
        <f t="shared" si="190"/>
        <v>0.12531328320802004</v>
      </c>
      <c r="I1153" s="213">
        <f t="shared" si="191"/>
        <v>722</v>
      </c>
      <c r="J1153" s="213">
        <f t="shared" si="192"/>
        <v>632</v>
      </c>
      <c r="K1153">
        <f>RANK(1.15,AI:AI,0)</f>
        <v>757</v>
      </c>
      <c r="L1153" s="357">
        <v>0</v>
      </c>
      <c r="M1153" s="357">
        <v>1</v>
      </c>
      <c r="N1153" s="357">
        <v>0</v>
      </c>
      <c r="O1153" s="357">
        <v>1</v>
      </c>
      <c r="P1153" s="357">
        <v>0</v>
      </c>
      <c r="Q1153" s="358">
        <v>0.82649630127774043</v>
      </c>
      <c r="R1153" s="359">
        <v>0.41121338912133898</v>
      </c>
      <c r="S1153" s="196">
        <v>6694716000</v>
      </c>
      <c r="T1153" s="196">
        <v>199500000</v>
      </c>
      <c r="U1153" s="200">
        <f t="shared" si="193"/>
        <v>4568550000</v>
      </c>
      <c r="V1153" s="196">
        <v>162000000</v>
      </c>
      <c r="W1153" s="196">
        <v>2375000000</v>
      </c>
      <c r="X1153" s="196">
        <v>5690000000</v>
      </c>
      <c r="Y1153" s="196">
        <v>9950000000</v>
      </c>
      <c r="Z1153" s="196">
        <v>2937000000</v>
      </c>
      <c r="AA1153" s="198">
        <v>0.02</v>
      </c>
      <c r="AB1153" s="198">
        <v>0.01</v>
      </c>
      <c r="AC1153" s="213">
        <f t="shared" si="194"/>
        <v>616</v>
      </c>
      <c r="AD1153" s="213">
        <f t="shared" si="195"/>
        <v>680</v>
      </c>
      <c r="AE1153" s="213">
        <v>1.2</v>
      </c>
      <c r="AF1153" s="196">
        <v>108000000</v>
      </c>
      <c r="AG1153" s="104">
        <f t="shared" si="196"/>
        <v>0.54135338345864659</v>
      </c>
      <c r="AH1153" s="104">
        <f t="shared" si="197"/>
        <v>0.66666666666666663</v>
      </c>
      <c r="AI1153" s="195">
        <v>1.1499999999999999</v>
      </c>
      <c r="AO1153" s="213"/>
      <c r="AP1153" s="213"/>
      <c r="AQ1153" s="213"/>
      <c r="AR1153" s="213"/>
      <c r="AS1153" s="213"/>
      <c r="AT1153" s="213"/>
      <c r="AU1153" s="213"/>
      <c r="AV1153" s="213"/>
    </row>
    <row r="1154" spans="1:48">
      <c r="A1154">
        <v>6101</v>
      </c>
      <c r="C1154" s="107">
        <f>VLOOKUP(6101,收盤價!$A:$C,3,0)</f>
        <v>15.35</v>
      </c>
      <c r="D1154" s="107">
        <f t="shared" ref="D1154:D1217" si="198">IF(AND(ISNUMBER(C1154),R1154&gt;0),C1154/(R1154*4),0)</f>
        <v>0</v>
      </c>
      <c r="E1154" s="167">
        <f t="shared" ref="E1154:E1217" si="199">SUM(L1154:P1154)</f>
        <v>2</v>
      </c>
      <c r="F1154" s="104">
        <f t="shared" ref="F1154:F1217" si="200">IF(AND(ISNUMBER(U1154),ISNUMBER(S1154)),U1154/S1154,0)</f>
        <v>4.1187777021754259</v>
      </c>
      <c r="G1154" s="167">
        <f>RANK(0.5,AE:AE,0)</f>
        <v>1545</v>
      </c>
      <c r="H1154" s="365">
        <f t="shared" ref="H1154:H1217" si="201">AH1154-AG1154</f>
        <v>-0.4871060171919771</v>
      </c>
      <c r="I1154" s="213">
        <f t="shared" ref="I1154:I1217" si="202">RANK(AG1154,AG:AG)</f>
        <v>749</v>
      </c>
      <c r="J1154" s="213">
        <f t="shared" ref="J1154:J1217" si="203">RANK(AH1154,AH:AH)</f>
        <v>768</v>
      </c>
      <c r="K1154">
        <f>RANK(1.03,AI:AI,0)</f>
        <v>851</v>
      </c>
      <c r="L1154" s="357">
        <v>0</v>
      </c>
      <c r="M1154" s="357">
        <v>0</v>
      </c>
      <c r="N1154" s="357">
        <v>1</v>
      </c>
      <c r="O1154" s="357">
        <v>1</v>
      </c>
      <c r="P1154" s="357">
        <v>0</v>
      </c>
      <c r="Q1154" s="358">
        <v>-4.3076923076923075</v>
      </c>
      <c r="R1154" s="359">
        <v>0</v>
      </c>
      <c r="S1154" s="196">
        <v>260133000</v>
      </c>
      <c r="T1154" s="196">
        <v>69800000</v>
      </c>
      <c r="U1154" s="200">
        <f t="shared" ref="U1154:U1217" si="204">C1154*T1154</f>
        <v>1071430000</v>
      </c>
      <c r="V1154" s="196">
        <v>-81000000</v>
      </c>
      <c r="W1154" s="196">
        <v>166000000</v>
      </c>
      <c r="X1154" s="196">
        <v>221000000</v>
      </c>
      <c r="Y1154" s="196">
        <v>504000000</v>
      </c>
      <c r="Z1154" s="196">
        <v>0</v>
      </c>
      <c r="AA1154" s="198">
        <v>-0.21</v>
      </c>
      <c r="AB1154" s="198">
        <v>-0.16</v>
      </c>
      <c r="AC1154" s="213">
        <f t="shared" ref="AC1154:AC1217" si="205">RANK(AA1154,AA:AA)</f>
        <v>1540</v>
      </c>
      <c r="AD1154" s="213">
        <f t="shared" ref="AD1154:AD1217" si="206">RANK(AB1154,AB:AB)</f>
        <v>1547</v>
      </c>
      <c r="AE1154" s="213">
        <v>0.5</v>
      </c>
      <c r="AF1154" s="196">
        <v>34000000</v>
      </c>
      <c r="AG1154" s="104">
        <f t="shared" ref="AG1154:AG1217" si="207">AF1154/T1154</f>
        <v>0.4871060171919771</v>
      </c>
      <c r="AH1154" s="104">
        <f t="shared" ref="AH1154:AH1217" si="208">IF(AND(AF1154&gt;0,V1154&gt;0),AF1154/V1154,0)</f>
        <v>0</v>
      </c>
      <c r="AI1154" s="195">
        <v>1.03</v>
      </c>
    </row>
    <row r="1155" spans="1:48">
      <c r="A1155">
        <v>6103</v>
      </c>
      <c r="C1155" s="107">
        <f>VLOOKUP(6103,收盤價!$A:$C,3,0)</f>
        <v>0</v>
      </c>
      <c r="D1155" s="107">
        <f t="shared" si="198"/>
        <v>0</v>
      </c>
      <c r="E1155" s="167">
        <f t="shared" si="199"/>
        <v>3</v>
      </c>
      <c r="F1155" s="104">
        <f t="shared" si="200"/>
        <v>0</v>
      </c>
      <c r="G1155" s="167">
        <f>RANK(3.15,AE:AE,0)</f>
        <v>292</v>
      </c>
      <c r="H1155" s="365">
        <f t="shared" si="201"/>
        <v>1.5586690017513134</v>
      </c>
      <c r="I1155" s="213">
        <f t="shared" si="202"/>
        <v>1485</v>
      </c>
      <c r="J1155" s="213">
        <f t="shared" si="203"/>
        <v>768</v>
      </c>
      <c r="K1155">
        <f>RANK(0.69,AI:AI,0)</f>
        <v>1474</v>
      </c>
      <c r="L1155" s="357">
        <v>0</v>
      </c>
      <c r="M1155" s="357">
        <v>1</v>
      </c>
      <c r="N1155" s="357">
        <v>1</v>
      </c>
      <c r="O1155" s="357">
        <v>0</v>
      </c>
      <c r="P1155" s="357">
        <v>1</v>
      </c>
      <c r="Q1155" s="358">
        <v>3.6544850498338874E-2</v>
      </c>
      <c r="R1155" s="359">
        <v>0.15</v>
      </c>
      <c r="S1155" s="196">
        <v>982293000</v>
      </c>
      <c r="T1155" s="196">
        <v>57100000</v>
      </c>
      <c r="U1155" s="200">
        <f t="shared" si="204"/>
        <v>0</v>
      </c>
      <c r="V1155" s="196">
        <v>7000000</v>
      </c>
      <c r="W1155" s="196">
        <v>0</v>
      </c>
      <c r="X1155" s="196">
        <v>20000000</v>
      </c>
      <c r="Y1155" s="196">
        <v>74000000</v>
      </c>
      <c r="Z1155" s="196">
        <v>326000000</v>
      </c>
      <c r="AA1155" s="198">
        <v>0.35</v>
      </c>
      <c r="AB1155" s="198">
        <v>0.02</v>
      </c>
      <c r="AC1155" s="213">
        <f t="shared" si="205"/>
        <v>7</v>
      </c>
      <c r="AD1155" s="213">
        <f t="shared" si="206"/>
        <v>487</v>
      </c>
      <c r="AE1155" s="213">
        <v>3.15</v>
      </c>
      <c r="AF1155" s="196">
        <v>-89000000</v>
      </c>
      <c r="AG1155" s="104">
        <f t="shared" si="207"/>
        <v>-1.5586690017513134</v>
      </c>
      <c r="AH1155" s="104">
        <f t="shared" si="208"/>
        <v>0</v>
      </c>
      <c r="AI1155" s="195">
        <v>0.69</v>
      </c>
      <c r="AO1155" s="213"/>
      <c r="AP1155" s="213"/>
      <c r="AQ1155" s="213"/>
      <c r="AR1155" s="213"/>
      <c r="AS1155" s="213"/>
      <c r="AT1155" s="213"/>
      <c r="AU1155" s="213"/>
      <c r="AV1155" s="213"/>
    </row>
    <row r="1156" spans="1:48">
      <c r="A1156">
        <v>6104</v>
      </c>
      <c r="C1156" s="107">
        <f>VLOOKUP(6104,收盤價!$A:$C,3,0)</f>
        <v>39.799999999999997</v>
      </c>
      <c r="D1156" s="107">
        <f t="shared" si="198"/>
        <v>15.793650793650793</v>
      </c>
      <c r="E1156" s="167">
        <f t="shared" si="199"/>
        <v>4</v>
      </c>
      <c r="F1156" s="104">
        <f t="shared" si="200"/>
        <v>2.0247457200317145</v>
      </c>
      <c r="G1156" s="167">
        <f>RANK(0.84,AE:AE,0)</f>
        <v>946</v>
      </c>
      <c r="H1156" s="365">
        <f t="shared" si="201"/>
        <v>-0.61315496098104794</v>
      </c>
      <c r="I1156" s="213">
        <f t="shared" si="202"/>
        <v>691</v>
      </c>
      <c r="J1156" s="213">
        <f t="shared" si="203"/>
        <v>768</v>
      </c>
      <c r="K1156">
        <f>RANK(1.07,AI:AI,0)</f>
        <v>826</v>
      </c>
      <c r="L1156" s="357">
        <v>0</v>
      </c>
      <c r="M1156" s="357">
        <v>1</v>
      </c>
      <c r="N1156" s="357">
        <v>2</v>
      </c>
      <c r="O1156" s="357">
        <v>1</v>
      </c>
      <c r="P1156" s="357">
        <v>0</v>
      </c>
      <c r="Q1156" s="358">
        <v>0.51276102088167053</v>
      </c>
      <c r="R1156" s="359">
        <v>0.63</v>
      </c>
      <c r="S1156" s="196">
        <v>1763214000</v>
      </c>
      <c r="T1156" s="196">
        <v>89700000</v>
      </c>
      <c r="U1156" s="200">
        <f t="shared" si="204"/>
        <v>3570059999.9999995</v>
      </c>
      <c r="V1156" s="196">
        <v>0</v>
      </c>
      <c r="W1156" s="196">
        <v>619000000</v>
      </c>
      <c r="X1156" s="196">
        <v>880000000</v>
      </c>
      <c r="Y1156" s="196">
        <v>1330000000</v>
      </c>
      <c r="Z1156" s="196">
        <v>28000000</v>
      </c>
      <c r="AA1156" s="198">
        <v>0</v>
      </c>
      <c r="AB1156" s="198">
        <v>0</v>
      </c>
      <c r="AC1156" s="213">
        <f t="shared" si="205"/>
        <v>945</v>
      </c>
      <c r="AD1156" s="213">
        <f t="shared" si="206"/>
        <v>911</v>
      </c>
      <c r="AE1156" s="213">
        <v>0.84</v>
      </c>
      <c r="AF1156" s="196">
        <v>55000000</v>
      </c>
      <c r="AG1156" s="104">
        <f t="shared" si="207"/>
        <v>0.61315496098104794</v>
      </c>
      <c r="AH1156" s="104">
        <f t="shared" si="208"/>
        <v>0</v>
      </c>
      <c r="AI1156" s="195">
        <v>1.07</v>
      </c>
    </row>
    <row r="1157" spans="1:48">
      <c r="A1157">
        <v>6105</v>
      </c>
      <c r="C1157" s="107">
        <f>VLOOKUP(6105,收盤價!$A:$C,3,0)</f>
        <v>42.65</v>
      </c>
      <c r="D1157" s="107">
        <f t="shared" si="198"/>
        <v>8.8687147556390968</v>
      </c>
      <c r="E1157" s="167">
        <f t="shared" si="199"/>
        <v>4</v>
      </c>
      <c r="F1157" s="104">
        <f t="shared" si="200"/>
        <v>0.7385857735485567</v>
      </c>
      <c r="G1157" s="167">
        <f>RANK(2.24,AE:AE,0)</f>
        <v>416</v>
      </c>
      <c r="H1157" s="365">
        <f t="shared" si="201"/>
        <v>-0.18370738125758779</v>
      </c>
      <c r="I1157" s="213">
        <f t="shared" si="202"/>
        <v>706</v>
      </c>
      <c r="J1157" s="213">
        <f t="shared" si="203"/>
        <v>703</v>
      </c>
      <c r="K1157">
        <f>RANK(1.11,AI:AI,0)</f>
        <v>788</v>
      </c>
      <c r="L1157" s="357">
        <v>1</v>
      </c>
      <c r="M1157" s="357">
        <v>1</v>
      </c>
      <c r="N1157" s="357">
        <v>1</v>
      </c>
      <c r="O1157" s="357">
        <v>1</v>
      </c>
      <c r="P1157" s="357">
        <v>0</v>
      </c>
      <c r="Q1157" s="358">
        <v>0.29126213592233008</v>
      </c>
      <c r="R1157" s="359">
        <v>1.2022598870056498</v>
      </c>
      <c r="S1157" s="196">
        <v>5791873000</v>
      </c>
      <c r="T1157" s="196">
        <v>100300000</v>
      </c>
      <c r="U1157" s="200">
        <f t="shared" si="204"/>
        <v>4277795000</v>
      </c>
      <c r="V1157" s="196">
        <v>147000000</v>
      </c>
      <c r="W1157" s="196">
        <v>2083000000</v>
      </c>
      <c r="X1157" s="196">
        <v>2137000000</v>
      </c>
      <c r="Y1157" s="196">
        <v>3889000000</v>
      </c>
      <c r="Z1157" s="196">
        <v>17000000</v>
      </c>
      <c r="AA1157" s="198">
        <v>0.03</v>
      </c>
      <c r="AB1157" s="198">
        <v>0.04</v>
      </c>
      <c r="AC1157" s="213">
        <f t="shared" si="205"/>
        <v>469</v>
      </c>
      <c r="AD1157" s="213">
        <f t="shared" si="206"/>
        <v>228</v>
      </c>
      <c r="AE1157" s="213">
        <v>2.2400000000000002</v>
      </c>
      <c r="AF1157" s="196">
        <v>58000000</v>
      </c>
      <c r="AG1157" s="104">
        <f t="shared" si="207"/>
        <v>0.57826520438683948</v>
      </c>
      <c r="AH1157" s="104">
        <f t="shared" si="208"/>
        <v>0.39455782312925169</v>
      </c>
      <c r="AI1157" s="195">
        <v>1.1100000000000001</v>
      </c>
    </row>
    <row r="1158" spans="1:48">
      <c r="A1158">
        <v>6107</v>
      </c>
      <c r="C1158" s="107">
        <f>VLOOKUP(6107,收盤價!$A:$C,3,0)</f>
        <v>69.099999999999994</v>
      </c>
      <c r="D1158" s="107">
        <f t="shared" si="198"/>
        <v>8.2606856470242054</v>
      </c>
      <c r="E1158" s="167">
        <f t="shared" si="199"/>
        <v>1</v>
      </c>
      <c r="F1158" s="104">
        <f t="shared" si="200"/>
        <v>0.45476284260173239</v>
      </c>
      <c r="G1158" s="167">
        <f>RANK(14.04,AE:AE,0)</f>
        <v>54</v>
      </c>
      <c r="H1158" s="365">
        <f t="shared" si="201"/>
        <v>10.989159891598916</v>
      </c>
      <c r="I1158" s="213">
        <f t="shared" si="202"/>
        <v>1553</v>
      </c>
      <c r="J1158" s="213">
        <f t="shared" si="203"/>
        <v>768</v>
      </c>
      <c r="K1158">
        <f>RANK(0.67,AI:AI,0)</f>
        <v>1541</v>
      </c>
      <c r="L1158" s="357">
        <v>0</v>
      </c>
      <c r="M1158" s="357">
        <v>1</v>
      </c>
      <c r="N1158" s="357">
        <v>0</v>
      </c>
      <c r="O1158" s="357">
        <v>0</v>
      </c>
      <c r="P1158" s="357">
        <v>0</v>
      </c>
      <c r="Q1158" s="358">
        <v>6.9843878389482333E-2</v>
      </c>
      <c r="R1158" s="359">
        <v>2.0912307692307688</v>
      </c>
      <c r="S1158" s="196">
        <v>11213713000</v>
      </c>
      <c r="T1158" s="196">
        <v>73800000</v>
      </c>
      <c r="U1158" s="200">
        <f t="shared" si="204"/>
        <v>5099580000</v>
      </c>
      <c r="V1158" s="196">
        <v>211000000</v>
      </c>
      <c r="W1158" s="196">
        <v>1229000000</v>
      </c>
      <c r="X1158" s="196">
        <v>108000000</v>
      </c>
      <c r="Y1158" s="196">
        <v>1335000000</v>
      </c>
      <c r="Z1158" s="196">
        <v>2402000000</v>
      </c>
      <c r="AA1158" s="198">
        <v>0.16</v>
      </c>
      <c r="AB1158" s="198">
        <v>0.06</v>
      </c>
      <c r="AC1158" s="213">
        <f t="shared" si="205"/>
        <v>16</v>
      </c>
      <c r="AD1158" s="213">
        <f t="shared" si="206"/>
        <v>95</v>
      </c>
      <c r="AE1158" s="213">
        <v>14.04</v>
      </c>
      <c r="AF1158" s="196">
        <v>-811000000</v>
      </c>
      <c r="AG1158" s="104">
        <f t="shared" si="207"/>
        <v>-10.989159891598916</v>
      </c>
      <c r="AH1158" s="104">
        <f t="shared" si="208"/>
        <v>0</v>
      </c>
      <c r="AI1158" s="195">
        <v>0.67</v>
      </c>
      <c r="AO1158" s="213"/>
      <c r="AP1158" s="213"/>
      <c r="AQ1158" s="213"/>
      <c r="AR1158" s="213"/>
      <c r="AS1158" s="213"/>
      <c r="AT1158" s="213"/>
      <c r="AU1158" s="213"/>
      <c r="AV1158" s="213"/>
    </row>
    <row r="1159" spans="1:48">
      <c r="A1159">
        <v>6108</v>
      </c>
      <c r="C1159" s="107">
        <f>VLOOKUP(6108,收盤價!$A:$C,3,0)</f>
        <v>22.3</v>
      </c>
      <c r="D1159" s="107">
        <f t="shared" si="198"/>
        <v>8.3208955223880601</v>
      </c>
      <c r="E1159" s="167">
        <f t="shared" si="199"/>
        <v>3</v>
      </c>
      <c r="F1159" s="104">
        <f t="shared" si="200"/>
        <v>0.42851286949451328</v>
      </c>
      <c r="G1159" s="167">
        <f>RANK(0.84,AE:AE,0)</f>
        <v>946</v>
      </c>
      <c r="H1159" s="365">
        <f t="shared" si="201"/>
        <v>-1.9574734208880551</v>
      </c>
      <c r="I1159" s="213">
        <f t="shared" si="202"/>
        <v>238</v>
      </c>
      <c r="J1159" s="213">
        <f t="shared" si="203"/>
        <v>768</v>
      </c>
      <c r="K1159">
        <f>RANK(1.55,AI:AI,0)</f>
        <v>529</v>
      </c>
      <c r="L1159" s="357">
        <v>0</v>
      </c>
      <c r="M1159" s="357">
        <v>1</v>
      </c>
      <c r="N1159" s="357">
        <v>2</v>
      </c>
      <c r="O1159" s="357">
        <v>0</v>
      </c>
      <c r="P1159" s="357">
        <v>0</v>
      </c>
      <c r="Q1159" s="358">
        <v>0.14891611687087652</v>
      </c>
      <c r="R1159" s="359">
        <v>0.67</v>
      </c>
      <c r="S1159" s="196">
        <v>8321267000</v>
      </c>
      <c r="T1159" s="196">
        <v>159900000</v>
      </c>
      <c r="U1159" s="200">
        <f t="shared" si="204"/>
        <v>3565770000</v>
      </c>
      <c r="V1159" s="196">
        <v>0</v>
      </c>
      <c r="W1159" s="196">
        <v>1482000000</v>
      </c>
      <c r="X1159" s="196">
        <v>3822000000</v>
      </c>
      <c r="Y1159" s="196">
        <v>3585000000</v>
      </c>
      <c r="Z1159" s="196">
        <v>2867000000</v>
      </c>
      <c r="AA1159" s="198">
        <v>0</v>
      </c>
      <c r="AB1159" s="198">
        <v>0</v>
      </c>
      <c r="AC1159" s="213">
        <f t="shared" si="205"/>
        <v>945</v>
      </c>
      <c r="AD1159" s="213">
        <f t="shared" si="206"/>
        <v>911</v>
      </c>
      <c r="AE1159" s="213">
        <v>0.84</v>
      </c>
      <c r="AF1159" s="196">
        <v>313000000</v>
      </c>
      <c r="AG1159" s="104">
        <f t="shared" si="207"/>
        <v>1.9574734208880551</v>
      </c>
      <c r="AH1159" s="104">
        <f t="shared" si="208"/>
        <v>0</v>
      </c>
      <c r="AI1159" s="195">
        <v>1.55</v>
      </c>
    </row>
    <row r="1160" spans="1:48">
      <c r="A1160">
        <v>6109</v>
      </c>
      <c r="C1160" s="107">
        <f>VLOOKUP(6109,收盤價!$A:$C,3,0)</f>
        <v>12.25</v>
      </c>
      <c r="D1160" s="107">
        <f t="shared" si="198"/>
        <v>13.101604278074866</v>
      </c>
      <c r="E1160" s="167">
        <f t="shared" si="199"/>
        <v>2</v>
      </c>
      <c r="F1160" s="104">
        <f t="shared" si="200"/>
        <v>0.53484422359830663</v>
      </c>
      <c r="G1160" s="167">
        <f>RANK(2.32,AE:AE,0)</f>
        <v>360</v>
      </c>
      <c r="H1160" s="365">
        <f t="shared" si="201"/>
        <v>1.2780934154655823</v>
      </c>
      <c r="I1160" s="213">
        <f t="shared" si="202"/>
        <v>699</v>
      </c>
      <c r="J1160" s="213">
        <f t="shared" si="203"/>
        <v>287</v>
      </c>
      <c r="K1160">
        <f>RANK(1.58,AI:AI,0)</f>
        <v>513</v>
      </c>
      <c r="L1160" s="357">
        <v>0</v>
      </c>
      <c r="M1160" s="357">
        <v>1</v>
      </c>
      <c r="N1160" s="357">
        <v>0</v>
      </c>
      <c r="O1160" s="357">
        <v>1</v>
      </c>
      <c r="P1160" s="357">
        <v>0</v>
      </c>
      <c r="Q1160" s="358">
        <v>0.22811671087533156</v>
      </c>
      <c r="R1160" s="359">
        <v>0.23375000000000001</v>
      </c>
      <c r="S1160" s="196">
        <v>1665111000</v>
      </c>
      <c r="T1160" s="196">
        <v>72700000</v>
      </c>
      <c r="U1160" s="200">
        <f t="shared" si="204"/>
        <v>890575000</v>
      </c>
      <c r="V1160" s="196">
        <v>23000000</v>
      </c>
      <c r="W1160" s="196">
        <v>542000000</v>
      </c>
      <c r="X1160" s="196">
        <v>105000000</v>
      </c>
      <c r="Y1160" s="196">
        <v>802000000</v>
      </c>
      <c r="Z1160" s="196">
        <v>81000000</v>
      </c>
      <c r="AA1160" s="198">
        <v>0.04</v>
      </c>
      <c r="AB1160" s="198">
        <v>0.03</v>
      </c>
      <c r="AC1160" s="213">
        <f t="shared" si="205"/>
        <v>337</v>
      </c>
      <c r="AD1160" s="213">
        <f t="shared" si="206"/>
        <v>334</v>
      </c>
      <c r="AE1160" s="213">
        <v>2.3199999999999998</v>
      </c>
      <c r="AF1160" s="196">
        <v>43000000</v>
      </c>
      <c r="AG1160" s="104">
        <f t="shared" si="207"/>
        <v>0.59147180192572213</v>
      </c>
      <c r="AH1160" s="104">
        <f t="shared" si="208"/>
        <v>1.8695652173913044</v>
      </c>
      <c r="AI1160" s="195">
        <v>1.58</v>
      </c>
    </row>
    <row r="1161" spans="1:48">
      <c r="A1161">
        <v>6111</v>
      </c>
      <c r="C1161" s="107">
        <f>VLOOKUP(6111,收盤價!$A:$C,3,0)</f>
        <v>125</v>
      </c>
      <c r="D1161" s="107">
        <f t="shared" si="198"/>
        <v>49.603174603174601</v>
      </c>
      <c r="E1161" s="167">
        <f t="shared" si="199"/>
        <v>3</v>
      </c>
      <c r="F1161" s="104">
        <f t="shared" si="200"/>
        <v>8.1510232409009546</v>
      </c>
      <c r="G1161" s="167">
        <f>RANK(9.5,AE:AE,0)</f>
        <v>85</v>
      </c>
      <c r="H1161" s="365">
        <f t="shared" si="201"/>
        <v>0.33793019282401748</v>
      </c>
      <c r="I1161" s="213">
        <f t="shared" si="202"/>
        <v>602</v>
      </c>
      <c r="J1161" s="213">
        <f t="shared" si="203"/>
        <v>488</v>
      </c>
      <c r="K1161">
        <f>RANK(1.43,AI:AI,0)</f>
        <v>601</v>
      </c>
      <c r="L1161" s="357">
        <v>0</v>
      </c>
      <c r="M1161" s="357">
        <v>1</v>
      </c>
      <c r="N1161" s="357">
        <v>1</v>
      </c>
      <c r="O1161" s="357">
        <v>1</v>
      </c>
      <c r="P1161" s="357">
        <v>0</v>
      </c>
      <c r="Q1161" s="358">
        <v>0.87214611872146119</v>
      </c>
      <c r="R1161" s="359">
        <v>0.63</v>
      </c>
      <c r="S1161" s="196">
        <v>739171000</v>
      </c>
      <c r="T1161" s="196">
        <v>48200000</v>
      </c>
      <c r="U1161" s="200">
        <f t="shared" si="204"/>
        <v>6025000000</v>
      </c>
      <c r="V1161" s="196">
        <v>34000000</v>
      </c>
      <c r="W1161" s="196">
        <v>151000000</v>
      </c>
      <c r="X1161" s="196">
        <v>33000000</v>
      </c>
      <c r="Y1161" s="196">
        <v>592000000</v>
      </c>
      <c r="Z1161" s="196">
        <v>31000000</v>
      </c>
      <c r="AA1161" s="198">
        <v>0.18</v>
      </c>
      <c r="AB1161" s="198">
        <v>0.05</v>
      </c>
      <c r="AC1161" s="213">
        <f t="shared" si="205"/>
        <v>14</v>
      </c>
      <c r="AD1161" s="213">
        <f t="shared" si="206"/>
        <v>150</v>
      </c>
      <c r="AE1161" s="213">
        <v>9.5</v>
      </c>
      <c r="AF1161" s="196">
        <v>39000000</v>
      </c>
      <c r="AG1161" s="104">
        <f t="shared" si="207"/>
        <v>0.8091286307053942</v>
      </c>
      <c r="AH1161" s="104">
        <f t="shared" si="208"/>
        <v>1.1470588235294117</v>
      </c>
      <c r="AI1161" s="195">
        <v>1.43</v>
      </c>
      <c r="AO1161" s="213"/>
      <c r="AP1161" s="213"/>
      <c r="AQ1161" s="213"/>
      <c r="AR1161" s="213"/>
      <c r="AS1161" s="213"/>
      <c r="AT1161" s="213"/>
      <c r="AU1161" s="213"/>
      <c r="AV1161" s="213"/>
    </row>
    <row r="1162" spans="1:48">
      <c r="A1162">
        <v>6112</v>
      </c>
      <c r="C1162" s="107">
        <f>VLOOKUP(6112,收盤價!$A:$C,3,0)</f>
        <v>26.2</v>
      </c>
      <c r="D1162" s="107">
        <f t="shared" si="198"/>
        <v>10.234375</v>
      </c>
      <c r="E1162" s="167">
        <f t="shared" si="199"/>
        <v>2</v>
      </c>
      <c r="F1162" s="104">
        <f t="shared" si="200"/>
        <v>0.2715987193188994</v>
      </c>
      <c r="G1162" s="167">
        <f>RANK(2.36,AE:AE,0)</f>
        <v>355</v>
      </c>
      <c r="H1162" s="365">
        <f t="shared" si="201"/>
        <v>6.9574700109051255</v>
      </c>
      <c r="I1162" s="213">
        <f t="shared" si="202"/>
        <v>1548</v>
      </c>
      <c r="J1162" s="213">
        <f t="shared" si="203"/>
        <v>768</v>
      </c>
      <c r="K1162">
        <f>RANK(0.67,AI:AI,0)</f>
        <v>1541</v>
      </c>
      <c r="L1162" s="357">
        <v>0</v>
      </c>
      <c r="M1162" s="357">
        <v>1</v>
      </c>
      <c r="N1162" s="357">
        <v>1</v>
      </c>
      <c r="O1162" s="357">
        <v>0</v>
      </c>
      <c r="P1162" s="357">
        <v>0</v>
      </c>
      <c r="Q1162" s="358">
        <v>8.7637595258255721E-2</v>
      </c>
      <c r="R1162" s="359">
        <v>0.64</v>
      </c>
      <c r="S1162" s="196">
        <v>8845918000</v>
      </c>
      <c r="T1162" s="196">
        <v>91700000</v>
      </c>
      <c r="U1162" s="200">
        <f t="shared" si="204"/>
        <v>2402540000</v>
      </c>
      <c r="V1162" s="196">
        <v>83000000</v>
      </c>
      <c r="W1162" s="196">
        <v>1134000000</v>
      </c>
      <c r="X1162" s="196">
        <v>366000000</v>
      </c>
      <c r="Y1162" s="196">
        <v>1917000000</v>
      </c>
      <c r="Z1162" s="196">
        <v>1738000000</v>
      </c>
      <c r="AA1162" s="198">
        <v>0.06</v>
      </c>
      <c r="AB1162" s="198">
        <v>0.02</v>
      </c>
      <c r="AC1162" s="213">
        <f t="shared" si="205"/>
        <v>174</v>
      </c>
      <c r="AD1162" s="213">
        <f t="shared" si="206"/>
        <v>487</v>
      </c>
      <c r="AE1162" s="213">
        <v>2.36</v>
      </c>
      <c r="AF1162" s="196">
        <v>-638000000</v>
      </c>
      <c r="AG1162" s="104">
        <f t="shared" si="207"/>
        <v>-6.9574700109051255</v>
      </c>
      <c r="AH1162" s="104">
        <f t="shared" si="208"/>
        <v>0</v>
      </c>
      <c r="AI1162" s="195">
        <v>0.67</v>
      </c>
    </row>
    <row r="1163" spans="1:48">
      <c r="A1163">
        <v>6113</v>
      </c>
      <c r="C1163" s="107">
        <f>VLOOKUP(6113,收盤價!$A:$C,3,0)</f>
        <v>8.8000000000000007</v>
      </c>
      <c r="D1163" s="107">
        <f t="shared" si="198"/>
        <v>0</v>
      </c>
      <c r="E1163" s="167">
        <f t="shared" si="199"/>
        <v>3</v>
      </c>
      <c r="F1163" s="104">
        <f t="shared" si="200"/>
        <v>0.26358243271010068</v>
      </c>
      <c r="G1163" s="167">
        <f>RANK(0.61,AE:AE,0)</f>
        <v>1295</v>
      </c>
      <c r="H1163" s="365">
        <f t="shared" si="201"/>
        <v>-4.9800000000000004</v>
      </c>
      <c r="I1163" s="213">
        <f t="shared" si="202"/>
        <v>38</v>
      </c>
      <c r="J1163" s="213">
        <f t="shared" si="203"/>
        <v>768</v>
      </c>
      <c r="K1163">
        <f>RANK(1.93,AI:AI,0)</f>
        <v>367</v>
      </c>
      <c r="L1163" s="357">
        <v>0</v>
      </c>
      <c r="M1163" s="357">
        <v>1</v>
      </c>
      <c r="N1163" s="357">
        <v>0</v>
      </c>
      <c r="O1163" s="357">
        <v>1</v>
      </c>
      <c r="P1163" s="357">
        <v>1</v>
      </c>
      <c r="Q1163" s="358">
        <v>7.5801749271137031E-2</v>
      </c>
      <c r="R1163" s="359">
        <v>0</v>
      </c>
      <c r="S1163" s="196">
        <v>1669307000</v>
      </c>
      <c r="T1163" s="196">
        <v>50000000</v>
      </c>
      <c r="U1163" s="200">
        <f t="shared" si="204"/>
        <v>440000000.00000006</v>
      </c>
      <c r="V1163" s="196">
        <v>-6000000</v>
      </c>
      <c r="W1163" s="196">
        <v>524000000</v>
      </c>
      <c r="X1163" s="196">
        <v>4000000</v>
      </c>
      <c r="Y1163" s="196">
        <v>544000000</v>
      </c>
      <c r="Z1163" s="196">
        <v>70000000</v>
      </c>
      <c r="AA1163" s="198">
        <v>-0.01</v>
      </c>
      <c r="AB1163" s="198">
        <v>-0.01</v>
      </c>
      <c r="AC1163" s="213">
        <f t="shared" si="205"/>
        <v>1277</v>
      </c>
      <c r="AD1163" s="213">
        <f t="shared" si="206"/>
        <v>1294</v>
      </c>
      <c r="AE1163" s="213">
        <v>0.61</v>
      </c>
      <c r="AF1163" s="196">
        <v>249000000</v>
      </c>
      <c r="AG1163" s="104">
        <f t="shared" si="207"/>
        <v>4.9800000000000004</v>
      </c>
      <c r="AH1163" s="104">
        <f t="shared" si="208"/>
        <v>0</v>
      </c>
      <c r="AI1163" s="195">
        <v>1.93</v>
      </c>
    </row>
    <row r="1164" spans="1:48">
      <c r="A1164">
        <v>6114</v>
      </c>
      <c r="C1164" s="107">
        <f>VLOOKUP(6114,收盤價!$A:$C,3,0)</f>
        <v>67.5</v>
      </c>
      <c r="D1164" s="107">
        <f t="shared" si="198"/>
        <v>14.749236958934514</v>
      </c>
      <c r="E1164" s="167">
        <f t="shared" si="199"/>
        <v>2</v>
      </c>
      <c r="F1164" s="104">
        <f t="shared" si="200"/>
        <v>1.4327907668113238</v>
      </c>
      <c r="G1164" s="167">
        <f>RANK(5.79,AE:AE,0)</f>
        <v>129</v>
      </c>
      <c r="H1164" s="365">
        <f t="shared" si="201"/>
        <v>-0.42491210447011551</v>
      </c>
      <c r="I1164" s="213">
        <f t="shared" si="202"/>
        <v>421</v>
      </c>
      <c r="J1164" s="213">
        <f t="shared" si="203"/>
        <v>588</v>
      </c>
      <c r="K1164">
        <f>RANK(1.54,AI:AI,0)</f>
        <v>535</v>
      </c>
      <c r="L1164" s="357">
        <v>0</v>
      </c>
      <c r="M1164" s="357">
        <v>1</v>
      </c>
      <c r="N1164" s="357">
        <v>1</v>
      </c>
      <c r="O1164" s="357">
        <v>0</v>
      </c>
      <c r="P1164" s="357">
        <v>0</v>
      </c>
      <c r="Q1164" s="358">
        <v>0.20044052863436124</v>
      </c>
      <c r="R1164" s="359">
        <v>1.1441269841269843</v>
      </c>
      <c r="S1164" s="196">
        <v>1705413000</v>
      </c>
      <c r="T1164" s="196">
        <v>36200000</v>
      </c>
      <c r="U1164" s="200">
        <f t="shared" si="204"/>
        <v>2443500000</v>
      </c>
      <c r="V1164" s="196">
        <v>55000000</v>
      </c>
      <c r="W1164" s="196">
        <v>451000000</v>
      </c>
      <c r="X1164" s="196">
        <v>433000000</v>
      </c>
      <c r="Y1164" s="196">
        <v>759000000</v>
      </c>
      <c r="Z1164" s="196">
        <v>135000000</v>
      </c>
      <c r="AA1164" s="198">
        <v>0.06</v>
      </c>
      <c r="AB1164" s="198">
        <v>0.06</v>
      </c>
      <c r="AC1164" s="213">
        <f t="shared" si="205"/>
        <v>174</v>
      </c>
      <c r="AD1164" s="213">
        <f t="shared" si="206"/>
        <v>95</v>
      </c>
      <c r="AE1164" s="213">
        <v>5.79</v>
      </c>
      <c r="AF1164" s="196">
        <v>45000000</v>
      </c>
      <c r="AG1164" s="104">
        <f t="shared" si="207"/>
        <v>1.2430939226519337</v>
      </c>
      <c r="AH1164" s="104">
        <f t="shared" si="208"/>
        <v>0.81818181818181823</v>
      </c>
      <c r="AI1164" s="195">
        <v>1.54</v>
      </c>
    </row>
    <row r="1165" spans="1:48">
      <c r="A1165">
        <v>6115</v>
      </c>
      <c r="C1165" s="107">
        <f>VLOOKUP(6115,收盤價!$A:$C,3,0)</f>
        <v>45</v>
      </c>
      <c r="D1165" s="107">
        <f t="shared" si="198"/>
        <v>11.838461538461539</v>
      </c>
      <c r="E1165" s="167">
        <f t="shared" si="199"/>
        <v>3</v>
      </c>
      <c r="F1165" s="104">
        <f t="shared" si="200"/>
        <v>1.1477166931363882</v>
      </c>
      <c r="G1165" s="167">
        <f>RANK(3.88,AE:AE,0)</f>
        <v>240</v>
      </c>
      <c r="H1165" s="365">
        <f t="shared" si="201"/>
        <v>-0.13379427204182509</v>
      </c>
      <c r="I1165" s="213">
        <f t="shared" si="202"/>
        <v>790</v>
      </c>
      <c r="J1165" s="213">
        <f t="shared" si="203"/>
        <v>726</v>
      </c>
      <c r="K1165">
        <f>RANK(1.03,AI:AI,0)</f>
        <v>851</v>
      </c>
      <c r="L1165" s="357">
        <v>0</v>
      </c>
      <c r="M1165" s="357">
        <v>1</v>
      </c>
      <c r="N1165" s="357">
        <v>1</v>
      </c>
      <c r="O1165" s="357">
        <v>1</v>
      </c>
      <c r="P1165" s="357">
        <v>0</v>
      </c>
      <c r="Q1165" s="358">
        <v>0.23755924170616113</v>
      </c>
      <c r="R1165" s="359">
        <v>0.95029239766081863</v>
      </c>
      <c r="S1165" s="196">
        <v>7030045000</v>
      </c>
      <c r="T1165" s="196">
        <v>179300000</v>
      </c>
      <c r="U1165" s="200">
        <f t="shared" si="204"/>
        <v>8068500000</v>
      </c>
      <c r="V1165" s="196">
        <v>262000000</v>
      </c>
      <c r="W1165" s="196">
        <v>3621000000</v>
      </c>
      <c r="X1165" s="196">
        <v>760000000</v>
      </c>
      <c r="Y1165" s="196">
        <v>4848000000</v>
      </c>
      <c r="Z1165" s="196">
        <v>1603000000</v>
      </c>
      <c r="AA1165" s="198">
        <v>0.06</v>
      </c>
      <c r="AB1165" s="198">
        <v>0.04</v>
      </c>
      <c r="AC1165" s="213">
        <f t="shared" si="205"/>
        <v>174</v>
      </c>
      <c r="AD1165" s="213">
        <f t="shared" si="206"/>
        <v>228</v>
      </c>
      <c r="AE1165" s="213">
        <v>3.88</v>
      </c>
      <c r="AF1165" s="196">
        <v>76000000</v>
      </c>
      <c r="AG1165" s="104">
        <f t="shared" si="207"/>
        <v>0.42387060791968767</v>
      </c>
      <c r="AH1165" s="104">
        <f t="shared" si="208"/>
        <v>0.29007633587786258</v>
      </c>
      <c r="AI1165" s="195">
        <v>1.03</v>
      </c>
    </row>
    <row r="1166" spans="1:48">
      <c r="A1166">
        <v>6116</v>
      </c>
      <c r="C1166" s="107">
        <f>VLOOKUP(6116,收盤價!$A:$C,3,0)</f>
        <v>7.83</v>
      </c>
      <c r="D1166" s="107">
        <f t="shared" si="198"/>
        <v>0</v>
      </c>
      <c r="E1166" s="167">
        <f t="shared" si="199"/>
        <v>3</v>
      </c>
      <c r="F1166" s="104">
        <f t="shared" si="200"/>
        <v>1.6024561626226035</v>
      </c>
      <c r="G1166" s="167">
        <f>RANK(0.59,AE:AE,0)</f>
        <v>1348</v>
      </c>
      <c r="H1166" s="365">
        <f t="shared" si="201"/>
        <v>0.23253656575651691</v>
      </c>
      <c r="I1166" s="213">
        <f t="shared" si="202"/>
        <v>1232</v>
      </c>
      <c r="J1166" s="213">
        <f t="shared" si="203"/>
        <v>768</v>
      </c>
      <c r="K1166">
        <f>RANK(0.78,AI:AI,0)</f>
        <v>1217</v>
      </c>
      <c r="L1166" s="357">
        <v>0</v>
      </c>
      <c r="M1166" s="357">
        <v>1</v>
      </c>
      <c r="N1166" s="357">
        <v>2</v>
      </c>
      <c r="O1166" s="357">
        <v>0</v>
      </c>
      <c r="P1166" s="357">
        <v>0</v>
      </c>
      <c r="Q1166" s="358">
        <v>1.1931394481730051E-2</v>
      </c>
      <c r="R1166" s="359">
        <v>0</v>
      </c>
      <c r="S1166" s="196">
        <v>15801641000</v>
      </c>
      <c r="T1166" s="196">
        <v>3233900000</v>
      </c>
      <c r="U1166" s="200">
        <f t="shared" si="204"/>
        <v>25321437000</v>
      </c>
      <c r="V1166" s="196">
        <v>-390000000</v>
      </c>
      <c r="W1166" s="196">
        <v>4147000000</v>
      </c>
      <c r="X1166" s="196">
        <v>18322000000</v>
      </c>
      <c r="Y1166" s="196">
        <v>30925000000</v>
      </c>
      <c r="Z1166" s="196">
        <v>1759000000</v>
      </c>
      <c r="AA1166" s="198">
        <v>-0.02</v>
      </c>
      <c r="AB1166" s="198">
        <v>-0.01</v>
      </c>
      <c r="AC1166" s="213">
        <f t="shared" si="205"/>
        <v>1353</v>
      </c>
      <c r="AD1166" s="213">
        <f t="shared" si="206"/>
        <v>1294</v>
      </c>
      <c r="AE1166" s="213">
        <v>0.59</v>
      </c>
      <c r="AF1166" s="196">
        <v>-752000000</v>
      </c>
      <c r="AG1166" s="104">
        <f t="shared" si="207"/>
        <v>-0.23253656575651691</v>
      </c>
      <c r="AH1166" s="104">
        <f t="shared" si="208"/>
        <v>0</v>
      </c>
      <c r="AI1166" s="195">
        <v>0.78</v>
      </c>
      <c r="AO1166" s="213"/>
      <c r="AP1166" s="213"/>
      <c r="AQ1166" s="213"/>
      <c r="AR1166" s="213"/>
      <c r="AS1166" s="213"/>
      <c r="AT1166" s="213"/>
      <c r="AU1166" s="213"/>
      <c r="AV1166" s="213"/>
    </row>
    <row r="1167" spans="1:48">
      <c r="A1167">
        <v>6117</v>
      </c>
      <c r="C1167" s="107">
        <f>VLOOKUP(6117,收盤價!$A:$C,3,0)</f>
        <v>13.95</v>
      </c>
      <c r="D1167" s="107">
        <f t="shared" si="198"/>
        <v>0</v>
      </c>
      <c r="E1167" s="167">
        <f t="shared" si="199"/>
        <v>3</v>
      </c>
      <c r="F1167" s="104">
        <f t="shared" si="200"/>
        <v>0.53984018986996607</v>
      </c>
      <c r="G1167" s="167">
        <f>RANK(0.56,AE:AE,0)</f>
        <v>1414</v>
      </c>
      <c r="H1167" s="365">
        <f t="shared" si="201"/>
        <v>1.4768883878241263</v>
      </c>
      <c r="I1167" s="213">
        <f t="shared" si="202"/>
        <v>1477</v>
      </c>
      <c r="J1167" s="213">
        <f t="shared" si="203"/>
        <v>768</v>
      </c>
      <c r="K1167">
        <f>RANK(0.69,AI:AI,0)</f>
        <v>1474</v>
      </c>
      <c r="L1167" s="357">
        <v>1</v>
      </c>
      <c r="M1167" s="357">
        <v>1</v>
      </c>
      <c r="N1167" s="357">
        <v>1</v>
      </c>
      <c r="O1167" s="357">
        <v>0</v>
      </c>
      <c r="P1167" s="357">
        <v>0</v>
      </c>
      <c r="Q1167" s="358">
        <v>0.20593692022263452</v>
      </c>
      <c r="R1167" s="359">
        <v>0</v>
      </c>
      <c r="S1167" s="196">
        <v>2292095000</v>
      </c>
      <c r="T1167" s="196">
        <v>88700000</v>
      </c>
      <c r="U1167" s="200">
        <f t="shared" si="204"/>
        <v>1237365000</v>
      </c>
      <c r="V1167" s="196">
        <v>-42000000</v>
      </c>
      <c r="W1167" s="196">
        <v>85000000</v>
      </c>
      <c r="X1167" s="196">
        <v>1348000000</v>
      </c>
      <c r="Y1167" s="196">
        <v>1633000000</v>
      </c>
      <c r="Z1167" s="196">
        <v>837000000</v>
      </c>
      <c r="AA1167" s="198">
        <v>-0.03</v>
      </c>
      <c r="AB1167" s="198">
        <v>-0.02</v>
      </c>
      <c r="AC1167" s="213">
        <f t="shared" si="205"/>
        <v>1405</v>
      </c>
      <c r="AD1167" s="213">
        <f t="shared" si="206"/>
        <v>1388</v>
      </c>
      <c r="AE1167" s="213">
        <v>0.56000000000000005</v>
      </c>
      <c r="AF1167" s="196">
        <v>-131000000</v>
      </c>
      <c r="AG1167" s="104">
        <f t="shared" si="207"/>
        <v>-1.4768883878241263</v>
      </c>
      <c r="AH1167" s="104">
        <f t="shared" si="208"/>
        <v>0</v>
      </c>
      <c r="AI1167" s="195">
        <v>0.69</v>
      </c>
    </row>
    <row r="1168" spans="1:48">
      <c r="A1168">
        <v>6118</v>
      </c>
      <c r="C1168" s="107">
        <f>VLOOKUP(6118,收盤價!$A:$C,3,0)</f>
        <v>6.6</v>
      </c>
      <c r="D1168" s="107">
        <f t="shared" si="198"/>
        <v>0</v>
      </c>
      <c r="E1168" s="167">
        <f t="shared" si="199"/>
        <v>1</v>
      </c>
      <c r="F1168" s="104">
        <f t="shared" si="200"/>
        <v>8.6180891096106479E-2</v>
      </c>
      <c r="G1168" s="167">
        <f>RANK(0.84,AE:AE,0)</f>
        <v>946</v>
      </c>
      <c r="H1168" s="365">
        <f t="shared" si="201"/>
        <v>2.5632563256325631</v>
      </c>
      <c r="I1168" s="213">
        <f t="shared" si="202"/>
        <v>1529</v>
      </c>
      <c r="J1168" s="213">
        <f t="shared" si="203"/>
        <v>768</v>
      </c>
      <c r="K1168">
        <f>RANK(0.68,AI:AI,0)</f>
        <v>1507</v>
      </c>
      <c r="L1168" s="357">
        <v>0</v>
      </c>
      <c r="M1168" s="357">
        <v>0</v>
      </c>
      <c r="N1168" s="357">
        <v>1</v>
      </c>
      <c r="O1168" s="357">
        <v>0</v>
      </c>
      <c r="P1168" s="357">
        <v>0</v>
      </c>
      <c r="Q1168" s="358">
        <v>4.2312276519666271E-2</v>
      </c>
      <c r="R1168" s="359">
        <v>0</v>
      </c>
      <c r="S1168" s="196">
        <v>6961404000</v>
      </c>
      <c r="T1168" s="196">
        <v>90900000</v>
      </c>
      <c r="U1168" s="200">
        <f t="shared" si="204"/>
        <v>599940000</v>
      </c>
      <c r="V1168" s="196">
        <v>-2000000</v>
      </c>
      <c r="W1168" s="196">
        <v>793000000</v>
      </c>
      <c r="X1168" s="196">
        <v>137000000</v>
      </c>
      <c r="Y1168" s="196">
        <v>984000000</v>
      </c>
      <c r="Z1168" s="196">
        <v>464000000</v>
      </c>
      <c r="AA1168" s="198">
        <v>0</v>
      </c>
      <c r="AB1168" s="198">
        <v>0</v>
      </c>
      <c r="AC1168" s="213">
        <f t="shared" si="205"/>
        <v>945</v>
      </c>
      <c r="AD1168" s="213">
        <f t="shared" si="206"/>
        <v>911</v>
      </c>
      <c r="AE1168" s="213">
        <v>0.84</v>
      </c>
      <c r="AF1168" s="196">
        <v>-233000000</v>
      </c>
      <c r="AG1168" s="104">
        <f t="shared" si="207"/>
        <v>-2.5632563256325631</v>
      </c>
      <c r="AH1168" s="104">
        <f t="shared" si="208"/>
        <v>0</v>
      </c>
      <c r="AI1168" s="195">
        <v>0.68</v>
      </c>
    </row>
    <row r="1169" spans="1:48">
      <c r="A1169">
        <v>6120</v>
      </c>
      <c r="C1169" s="107">
        <f>VLOOKUP(6120,收盤價!$A:$C,3,0)</f>
        <v>12.1</v>
      </c>
      <c r="D1169" s="107">
        <f t="shared" si="198"/>
        <v>0</v>
      </c>
      <c r="E1169" s="167">
        <f t="shared" si="199"/>
        <v>4</v>
      </c>
      <c r="F1169" s="104">
        <f t="shared" si="200"/>
        <v>0.23069716293155029</v>
      </c>
      <c r="G1169" s="167">
        <f>RANK(0.84,AE:AE,0)</f>
        <v>946</v>
      </c>
      <c r="H1169" s="365">
        <f t="shared" si="201"/>
        <v>15.712144386662589</v>
      </c>
      <c r="I1169" s="213">
        <f t="shared" si="202"/>
        <v>510</v>
      </c>
      <c r="J1169" s="213">
        <f t="shared" si="203"/>
        <v>18</v>
      </c>
      <c r="K1169">
        <f>RANK(2.95,AI:AI,0)</f>
        <v>175</v>
      </c>
      <c r="L1169" s="357">
        <v>0</v>
      </c>
      <c r="M1169" s="357">
        <v>1</v>
      </c>
      <c r="N1169" s="357">
        <v>2</v>
      </c>
      <c r="O1169" s="357">
        <v>1</v>
      </c>
      <c r="P1169" s="357">
        <v>0</v>
      </c>
      <c r="Q1169" s="358">
        <v>5.5083773238466832E-2</v>
      </c>
      <c r="R1169" s="359">
        <v>0</v>
      </c>
      <c r="S1169" s="196">
        <v>36741024000</v>
      </c>
      <c r="T1169" s="196">
        <v>700500000</v>
      </c>
      <c r="U1169" s="200">
        <f t="shared" si="204"/>
        <v>8476050000</v>
      </c>
      <c r="V1169" s="196">
        <v>42000000</v>
      </c>
      <c r="W1169" s="196">
        <v>6767000000</v>
      </c>
      <c r="X1169" s="196">
        <v>7995000000</v>
      </c>
      <c r="Y1169" s="196">
        <v>12663000000</v>
      </c>
      <c r="Z1169" s="196">
        <v>97000000</v>
      </c>
      <c r="AA1169" s="198">
        <v>0</v>
      </c>
      <c r="AB1169" s="198">
        <v>0</v>
      </c>
      <c r="AC1169" s="213">
        <f t="shared" si="205"/>
        <v>945</v>
      </c>
      <c r="AD1169" s="213">
        <f t="shared" si="206"/>
        <v>911</v>
      </c>
      <c r="AE1169" s="213">
        <v>0.84</v>
      </c>
      <c r="AF1169" s="196">
        <v>702000000</v>
      </c>
      <c r="AG1169" s="104">
        <f t="shared" si="207"/>
        <v>1.0021413276231264</v>
      </c>
      <c r="AH1169" s="104">
        <f t="shared" si="208"/>
        <v>16.714285714285715</v>
      </c>
      <c r="AI1169" s="195">
        <v>2.95</v>
      </c>
    </row>
    <row r="1170" spans="1:48">
      <c r="A1170">
        <v>6121</v>
      </c>
      <c r="C1170" s="107">
        <f>VLOOKUP(6121,收盤價!$A:$C,3,0)</f>
        <v>99</v>
      </c>
      <c r="D1170" s="107">
        <f t="shared" si="198"/>
        <v>13.945637119113574</v>
      </c>
      <c r="E1170" s="167">
        <f t="shared" si="199"/>
        <v>4</v>
      </c>
      <c r="F1170" s="104">
        <f t="shared" si="200"/>
        <v>0.50898958620617663</v>
      </c>
      <c r="G1170" s="167">
        <f>RANK(2.76,AE:AE,0)</f>
        <v>305</v>
      </c>
      <c r="H1170" s="365">
        <f t="shared" si="201"/>
        <v>-1.210898730911961</v>
      </c>
      <c r="I1170" s="213">
        <f t="shared" si="202"/>
        <v>220</v>
      </c>
      <c r="J1170" s="213">
        <f t="shared" si="203"/>
        <v>587</v>
      </c>
      <c r="K1170">
        <f>RANK(1.93,AI:AI,0)</f>
        <v>367</v>
      </c>
      <c r="L1170" s="357">
        <v>0</v>
      </c>
      <c r="M1170" s="357">
        <v>1</v>
      </c>
      <c r="N1170" s="357">
        <v>2</v>
      </c>
      <c r="O1170" s="357">
        <v>1</v>
      </c>
      <c r="P1170" s="357">
        <v>0</v>
      </c>
      <c r="Q1170" s="358">
        <v>0.10034576620319283</v>
      </c>
      <c r="R1170" s="359">
        <v>1.7747486033519553</v>
      </c>
      <c r="S1170" s="196">
        <v>59965274000</v>
      </c>
      <c r="T1170" s="196">
        <v>308300000</v>
      </c>
      <c r="U1170" s="200">
        <f t="shared" si="204"/>
        <v>30521700000</v>
      </c>
      <c r="V1170" s="196">
        <v>762000000</v>
      </c>
      <c r="W1170" s="196">
        <v>12842000000</v>
      </c>
      <c r="X1170" s="196">
        <v>6069000000</v>
      </c>
      <c r="Y1170" s="196">
        <v>20172000000</v>
      </c>
      <c r="Z1170" s="196">
        <v>1120000000</v>
      </c>
      <c r="AA1170" s="198">
        <v>0.04</v>
      </c>
      <c r="AB1170" s="198">
        <v>0.04</v>
      </c>
      <c r="AC1170" s="213">
        <f t="shared" si="205"/>
        <v>337</v>
      </c>
      <c r="AD1170" s="213">
        <f t="shared" si="206"/>
        <v>228</v>
      </c>
      <c r="AE1170" s="213">
        <v>2.76</v>
      </c>
      <c r="AF1170" s="196">
        <v>627000000</v>
      </c>
      <c r="AG1170" s="104">
        <f t="shared" si="207"/>
        <v>2.0337333765812522</v>
      </c>
      <c r="AH1170" s="104">
        <f t="shared" si="208"/>
        <v>0.82283464566929132</v>
      </c>
      <c r="AI1170" s="195">
        <v>1.93</v>
      </c>
    </row>
    <row r="1171" spans="1:48">
      <c r="A1171">
        <v>6122</v>
      </c>
      <c r="C1171" s="107">
        <f>VLOOKUP(6122,收盤價!$A:$C,3,0)</f>
        <v>8.0500000000000007</v>
      </c>
      <c r="D1171" s="107">
        <f t="shared" si="198"/>
        <v>0</v>
      </c>
      <c r="E1171" s="167">
        <f t="shared" si="199"/>
        <v>1</v>
      </c>
      <c r="F1171" s="104">
        <f t="shared" si="200"/>
        <v>0.56526565293250053</v>
      </c>
      <c r="G1171" s="167">
        <f>RANK(0.84,AE:AE,0)</f>
        <v>946</v>
      </c>
      <c r="H1171" s="365">
        <f t="shared" si="201"/>
        <v>0.24745269286754004</v>
      </c>
      <c r="I1171" s="213">
        <f t="shared" si="202"/>
        <v>1242</v>
      </c>
      <c r="J1171" s="213">
        <f t="shared" si="203"/>
        <v>768</v>
      </c>
      <c r="K1171">
        <f>RANK(0.78,AI:AI,0)</f>
        <v>1217</v>
      </c>
      <c r="L1171" s="357">
        <v>0</v>
      </c>
      <c r="M1171" s="357">
        <v>1</v>
      </c>
      <c r="N1171" s="357">
        <v>0</v>
      </c>
      <c r="O1171" s="357">
        <v>0</v>
      </c>
      <c r="P1171" s="357">
        <v>0</v>
      </c>
      <c r="Q1171" s="358">
        <v>6.097560975609756E-2</v>
      </c>
      <c r="R1171" s="359">
        <v>-0.03</v>
      </c>
      <c r="S1171" s="196">
        <v>978363000</v>
      </c>
      <c r="T1171" s="196">
        <v>68700000</v>
      </c>
      <c r="U1171" s="200">
        <f t="shared" si="204"/>
        <v>553035000</v>
      </c>
      <c r="V1171" s="196">
        <v>0</v>
      </c>
      <c r="W1171" s="196">
        <v>703000000</v>
      </c>
      <c r="X1171" s="196">
        <v>168000000</v>
      </c>
      <c r="Y1171" s="196">
        <v>991000000</v>
      </c>
      <c r="Z1171" s="196">
        <v>413000000</v>
      </c>
      <c r="AA1171" s="198">
        <v>0</v>
      </c>
      <c r="AB1171" s="198">
        <v>0</v>
      </c>
      <c r="AC1171" s="213">
        <f t="shared" si="205"/>
        <v>945</v>
      </c>
      <c r="AD1171" s="213">
        <f t="shared" si="206"/>
        <v>911</v>
      </c>
      <c r="AE1171" s="213">
        <v>0.84</v>
      </c>
      <c r="AF1171" s="196">
        <v>-17000000</v>
      </c>
      <c r="AG1171" s="104">
        <f t="shared" si="207"/>
        <v>-0.24745269286754004</v>
      </c>
      <c r="AH1171" s="104">
        <f t="shared" si="208"/>
        <v>0</v>
      </c>
      <c r="AI1171" s="195">
        <v>0.78</v>
      </c>
    </row>
    <row r="1172" spans="1:48">
      <c r="A1172">
        <v>6123</v>
      </c>
      <c r="C1172" s="107">
        <f>VLOOKUP(6123,收盤價!$A:$C,3,0)</f>
        <v>32.200000000000003</v>
      </c>
      <c r="D1172" s="107">
        <f t="shared" si="198"/>
        <v>15.141065830721006</v>
      </c>
      <c r="E1172" s="167">
        <f t="shared" si="199"/>
        <v>1</v>
      </c>
      <c r="F1172" s="104">
        <f t="shared" si="200"/>
        <v>0.3828434056063853</v>
      </c>
      <c r="G1172" s="167">
        <f>RANK(1.89,AE:AE,0)</f>
        <v>498</v>
      </c>
      <c r="H1172" s="365">
        <f t="shared" si="201"/>
        <v>0.31277754180020856</v>
      </c>
      <c r="I1172" s="213">
        <f t="shared" si="202"/>
        <v>263</v>
      </c>
      <c r="J1172" s="213">
        <f t="shared" si="203"/>
        <v>247</v>
      </c>
      <c r="K1172">
        <f>RANK(3.05,AI:AI,0)</f>
        <v>161</v>
      </c>
      <c r="L1172" s="357">
        <v>0</v>
      </c>
      <c r="M1172" s="357">
        <v>1</v>
      </c>
      <c r="N1172" s="357">
        <v>0</v>
      </c>
      <c r="O1172" s="357">
        <v>0</v>
      </c>
      <c r="P1172" s="357">
        <v>0</v>
      </c>
      <c r="Q1172" s="358">
        <v>0.19786535303776684</v>
      </c>
      <c r="R1172" s="359">
        <v>0.53166666666666662</v>
      </c>
      <c r="S1172" s="196">
        <v>4634323000</v>
      </c>
      <c r="T1172" s="196">
        <v>55100000</v>
      </c>
      <c r="U1172" s="200">
        <f t="shared" si="204"/>
        <v>1774220000.0000002</v>
      </c>
      <c r="V1172" s="196">
        <v>47000000</v>
      </c>
      <c r="W1172" s="196">
        <v>560000000</v>
      </c>
      <c r="X1172" s="196">
        <v>722000000</v>
      </c>
      <c r="Y1172" s="196">
        <v>1430000000</v>
      </c>
      <c r="Z1172" s="196">
        <v>753000000</v>
      </c>
      <c r="AA1172" s="198">
        <v>0.04</v>
      </c>
      <c r="AB1172" s="198">
        <v>0.02</v>
      </c>
      <c r="AC1172" s="213">
        <f t="shared" si="205"/>
        <v>337</v>
      </c>
      <c r="AD1172" s="213">
        <f t="shared" si="206"/>
        <v>487</v>
      </c>
      <c r="AE1172" s="213">
        <v>1.89</v>
      </c>
      <c r="AF1172" s="196">
        <v>100000000</v>
      </c>
      <c r="AG1172" s="104">
        <f t="shared" si="207"/>
        <v>1.8148820326678765</v>
      </c>
      <c r="AH1172" s="104">
        <f t="shared" si="208"/>
        <v>2.1276595744680851</v>
      </c>
      <c r="AI1172" s="195">
        <v>3.05</v>
      </c>
    </row>
    <row r="1173" spans="1:48">
      <c r="A1173">
        <v>6124</v>
      </c>
      <c r="C1173" s="107">
        <f>VLOOKUP(6124,收盤價!$A:$C,3,0)</f>
        <v>31.8</v>
      </c>
      <c r="D1173" s="107">
        <f t="shared" si="198"/>
        <v>0</v>
      </c>
      <c r="E1173" s="167">
        <f t="shared" si="199"/>
        <v>3</v>
      </c>
      <c r="F1173" s="104">
        <f t="shared" si="200"/>
        <v>2.9571552609695249</v>
      </c>
      <c r="G1173" s="167">
        <f>RANK(0.57,AE:AE,0)</f>
        <v>1389</v>
      </c>
      <c r="H1173" s="365">
        <f t="shared" si="201"/>
        <v>0.41095890410958902</v>
      </c>
      <c r="I1173" s="213">
        <f t="shared" si="202"/>
        <v>1319</v>
      </c>
      <c r="J1173" s="213">
        <f t="shared" si="203"/>
        <v>768</v>
      </c>
      <c r="K1173">
        <f>RANK(0.75,AI:AI,0)</f>
        <v>1296</v>
      </c>
      <c r="L1173" s="357">
        <v>0</v>
      </c>
      <c r="M1173" s="357">
        <v>1</v>
      </c>
      <c r="N1173" s="357">
        <v>2</v>
      </c>
      <c r="O1173" s="357">
        <v>0</v>
      </c>
      <c r="P1173" s="357">
        <v>0</v>
      </c>
      <c r="Q1173" s="358">
        <v>8.4313725490196084E-2</v>
      </c>
      <c r="R1173" s="359">
        <v>0</v>
      </c>
      <c r="S1173" s="196">
        <v>1962528000</v>
      </c>
      <c r="T1173" s="196">
        <v>182500000</v>
      </c>
      <c r="U1173" s="200">
        <f t="shared" si="204"/>
        <v>5803500000</v>
      </c>
      <c r="V1173" s="196">
        <v>-64000000</v>
      </c>
      <c r="W1173" s="196">
        <v>2471000000</v>
      </c>
      <c r="X1173" s="196">
        <v>327000000</v>
      </c>
      <c r="Y1173" s="196">
        <v>2955000000</v>
      </c>
      <c r="Z1173" s="196">
        <v>54000000</v>
      </c>
      <c r="AA1173" s="198">
        <v>-0.02</v>
      </c>
      <c r="AB1173" s="198">
        <v>-0.02</v>
      </c>
      <c r="AC1173" s="213">
        <f t="shared" si="205"/>
        <v>1353</v>
      </c>
      <c r="AD1173" s="213">
        <f t="shared" si="206"/>
        <v>1388</v>
      </c>
      <c r="AE1173" s="213">
        <v>0.56999999999999995</v>
      </c>
      <c r="AF1173" s="196">
        <v>-75000000</v>
      </c>
      <c r="AG1173" s="104">
        <f t="shared" si="207"/>
        <v>-0.41095890410958902</v>
      </c>
      <c r="AH1173" s="104">
        <f t="shared" si="208"/>
        <v>0</v>
      </c>
      <c r="AI1173" s="195">
        <v>0.75</v>
      </c>
      <c r="AO1173" s="213"/>
      <c r="AP1173" s="213"/>
      <c r="AQ1173" s="213"/>
      <c r="AR1173" s="213"/>
      <c r="AS1173" s="213"/>
      <c r="AT1173" s="213"/>
      <c r="AU1173" s="213"/>
      <c r="AV1173" s="213"/>
    </row>
    <row r="1174" spans="1:48">
      <c r="A1174">
        <v>6125</v>
      </c>
      <c r="C1174" s="107">
        <f>VLOOKUP(6125,收盤價!$A:$C,3,0)</f>
        <v>11.7</v>
      </c>
      <c r="D1174" s="107">
        <f t="shared" si="198"/>
        <v>0</v>
      </c>
      <c r="E1174" s="167">
        <f t="shared" si="199"/>
        <v>3</v>
      </c>
      <c r="F1174" s="104">
        <f t="shared" si="200"/>
        <v>0.27959227584706781</v>
      </c>
      <c r="G1174" s="167">
        <f>RANK(0.55,AE:AE,0)</f>
        <v>1436</v>
      </c>
      <c r="H1174" s="365">
        <f t="shared" si="201"/>
        <v>7.4803149606299218E-2</v>
      </c>
      <c r="I1174" s="213">
        <f t="shared" si="202"/>
        <v>1118</v>
      </c>
      <c r="J1174" s="213">
        <f t="shared" si="203"/>
        <v>768</v>
      </c>
      <c r="K1174">
        <f>RANK(0.83,AI:AI,0)</f>
        <v>1098</v>
      </c>
      <c r="L1174" s="357">
        <v>0</v>
      </c>
      <c r="M1174" s="357">
        <v>1</v>
      </c>
      <c r="N1174" s="357">
        <v>2</v>
      </c>
      <c r="O1174" s="357">
        <v>0</v>
      </c>
      <c r="P1174" s="357">
        <v>0</v>
      </c>
      <c r="Q1174" s="358">
        <v>2.0882771713336499E-2</v>
      </c>
      <c r="R1174" s="359">
        <v>0</v>
      </c>
      <c r="S1174" s="196">
        <v>10629049000</v>
      </c>
      <c r="T1174" s="196">
        <v>254000000</v>
      </c>
      <c r="U1174" s="200">
        <f t="shared" si="204"/>
        <v>2971800000</v>
      </c>
      <c r="V1174" s="196">
        <v>-147000000</v>
      </c>
      <c r="W1174" s="196">
        <v>513000000</v>
      </c>
      <c r="X1174" s="196">
        <v>2628000000</v>
      </c>
      <c r="Y1174" s="196">
        <v>4968000000</v>
      </c>
      <c r="Z1174" s="196">
        <v>1104000000</v>
      </c>
      <c r="AA1174" s="198">
        <v>-0.05</v>
      </c>
      <c r="AB1174" s="198">
        <v>-0.02</v>
      </c>
      <c r="AC1174" s="213">
        <f t="shared" si="205"/>
        <v>1468</v>
      </c>
      <c r="AD1174" s="213">
        <f t="shared" si="206"/>
        <v>1388</v>
      </c>
      <c r="AE1174" s="213">
        <v>0.55000000000000004</v>
      </c>
      <c r="AF1174" s="196">
        <v>-19000000</v>
      </c>
      <c r="AG1174" s="104">
        <f t="shared" si="207"/>
        <v>-7.4803149606299218E-2</v>
      </c>
      <c r="AH1174" s="104">
        <f t="shared" si="208"/>
        <v>0</v>
      </c>
      <c r="AI1174" s="195">
        <v>0.83</v>
      </c>
    </row>
    <row r="1175" spans="1:48">
      <c r="A1175">
        <v>6126</v>
      </c>
      <c r="C1175" s="107">
        <f>VLOOKUP(6126,收盤價!$A:$C,3,0)</f>
        <v>11.2</v>
      </c>
      <c r="D1175" s="107">
        <f t="shared" si="198"/>
        <v>0</v>
      </c>
      <c r="E1175" s="167">
        <f t="shared" si="199"/>
        <v>5</v>
      </c>
      <c r="F1175" s="104">
        <f t="shared" si="200"/>
        <v>0.44626189430716812</v>
      </c>
      <c r="G1175" s="167">
        <f>RANK(1.08,AE:AE,0)</f>
        <v>769</v>
      </c>
      <c r="H1175" s="365">
        <f t="shared" si="201"/>
        <v>2.4625329815303432</v>
      </c>
      <c r="I1175" s="213">
        <f t="shared" si="202"/>
        <v>901</v>
      </c>
      <c r="J1175" s="213">
        <f t="shared" si="203"/>
        <v>171</v>
      </c>
      <c r="K1175">
        <f>RANK(1.45,AI:AI,0)</f>
        <v>582</v>
      </c>
      <c r="L1175" s="357">
        <v>1</v>
      </c>
      <c r="M1175" s="357">
        <v>1</v>
      </c>
      <c r="N1175" s="357">
        <v>2</v>
      </c>
      <c r="O1175" s="357">
        <v>1</v>
      </c>
      <c r="P1175" s="357">
        <v>0</v>
      </c>
      <c r="Q1175" s="358">
        <v>0.20057306590257878</v>
      </c>
      <c r="R1175" s="359">
        <v>0</v>
      </c>
      <c r="S1175" s="196">
        <v>2853571000</v>
      </c>
      <c r="T1175" s="196">
        <v>113700000</v>
      </c>
      <c r="U1175" s="200">
        <f t="shared" si="204"/>
        <v>1273440000</v>
      </c>
      <c r="V1175" s="196">
        <v>10000000</v>
      </c>
      <c r="W1175" s="196">
        <v>427000000</v>
      </c>
      <c r="X1175" s="196">
        <v>1038000000</v>
      </c>
      <c r="Y1175" s="196">
        <v>1288000000</v>
      </c>
      <c r="Z1175" s="196">
        <v>613000000</v>
      </c>
      <c r="AA1175" s="198">
        <v>0.01</v>
      </c>
      <c r="AB1175" s="198">
        <v>0.01</v>
      </c>
      <c r="AC1175" s="213">
        <f t="shared" si="205"/>
        <v>769</v>
      </c>
      <c r="AD1175" s="213">
        <f t="shared" si="206"/>
        <v>680</v>
      </c>
      <c r="AE1175" s="213">
        <v>1.08</v>
      </c>
      <c r="AF1175" s="196">
        <v>27000000</v>
      </c>
      <c r="AG1175" s="104">
        <f t="shared" si="207"/>
        <v>0.23746701846965698</v>
      </c>
      <c r="AH1175" s="104">
        <f t="shared" si="208"/>
        <v>2.7</v>
      </c>
      <c r="AI1175" s="195">
        <v>1.45</v>
      </c>
    </row>
    <row r="1176" spans="1:48">
      <c r="A1176">
        <v>6127</v>
      </c>
      <c r="C1176" s="107">
        <f>VLOOKUP(6127,收盤價!$A:$C,3,0)</f>
        <v>12</v>
      </c>
      <c r="D1176" s="107">
        <f t="shared" si="198"/>
        <v>24.137931034482758</v>
      </c>
      <c r="E1176" s="167">
        <f t="shared" si="199"/>
        <v>0</v>
      </c>
      <c r="F1176" s="104">
        <f t="shared" si="200"/>
        <v>0.95143928511463915</v>
      </c>
      <c r="G1176" s="167">
        <f>RANK(1.63,AE:AE,0)</f>
        <v>551</v>
      </c>
      <c r="H1176" s="365">
        <f t="shared" si="201"/>
        <v>0.37647058823529411</v>
      </c>
      <c r="I1176" s="213">
        <f t="shared" si="202"/>
        <v>1303</v>
      </c>
      <c r="J1176" s="213">
        <f t="shared" si="203"/>
        <v>768</v>
      </c>
      <c r="K1176">
        <f>RANK(0.75,AI:AI,0)</f>
        <v>1296</v>
      </c>
      <c r="L1176" s="357">
        <v>0</v>
      </c>
      <c r="M1176" s="357">
        <v>0</v>
      </c>
      <c r="N1176" s="357">
        <v>0</v>
      </c>
      <c r="O1176" s="357">
        <v>0</v>
      </c>
      <c r="P1176" s="357">
        <v>0</v>
      </c>
      <c r="Q1176" s="358">
        <v>0.22419928825622776</v>
      </c>
      <c r="R1176" s="359">
        <v>0.12428571428571429</v>
      </c>
      <c r="S1176" s="196">
        <v>1072060000</v>
      </c>
      <c r="T1176" s="196">
        <v>85000000</v>
      </c>
      <c r="U1176" s="200">
        <f t="shared" si="204"/>
        <v>1020000000</v>
      </c>
      <c r="V1176" s="196">
        <v>36000000</v>
      </c>
      <c r="W1176" s="196">
        <v>105000000</v>
      </c>
      <c r="X1176" s="196">
        <v>1183000000</v>
      </c>
      <c r="Y1176" s="196">
        <v>1122000000</v>
      </c>
      <c r="Z1176" s="196">
        <v>685000000</v>
      </c>
      <c r="AA1176" s="198">
        <v>0.03</v>
      </c>
      <c r="AB1176" s="198">
        <v>0.02</v>
      </c>
      <c r="AC1176" s="213">
        <f t="shared" si="205"/>
        <v>469</v>
      </c>
      <c r="AD1176" s="213">
        <f t="shared" si="206"/>
        <v>487</v>
      </c>
      <c r="AE1176" s="213">
        <v>1.63</v>
      </c>
      <c r="AF1176" s="196">
        <v>-32000000</v>
      </c>
      <c r="AG1176" s="104">
        <f t="shared" si="207"/>
        <v>-0.37647058823529411</v>
      </c>
      <c r="AH1176" s="104">
        <f t="shared" si="208"/>
        <v>0</v>
      </c>
      <c r="AI1176" s="195">
        <v>0.75</v>
      </c>
    </row>
    <row r="1177" spans="1:48">
      <c r="A1177">
        <v>6128</v>
      </c>
      <c r="C1177" s="107">
        <f>VLOOKUP(6128,收盤價!$A:$C,3,0)</f>
        <v>43.75</v>
      </c>
      <c r="D1177" s="107">
        <f t="shared" si="198"/>
        <v>9.3387600356824265</v>
      </c>
      <c r="E1177" s="167">
        <f t="shared" si="199"/>
        <v>4</v>
      </c>
      <c r="F1177" s="104">
        <f t="shared" si="200"/>
        <v>2.0883919336262737</v>
      </c>
      <c r="G1177" s="167">
        <f>RANK(7.11,AE:AE,0)</f>
        <v>108</v>
      </c>
      <c r="H1177" s="365">
        <f t="shared" si="201"/>
        <v>-0.43764372190662371</v>
      </c>
      <c r="I1177" s="213">
        <f t="shared" si="202"/>
        <v>403</v>
      </c>
      <c r="J1177" s="213">
        <f t="shared" si="203"/>
        <v>572</v>
      </c>
      <c r="K1177">
        <f>RANK(1.6,AI:AI,0)</f>
        <v>503</v>
      </c>
      <c r="L1177" s="357">
        <v>0</v>
      </c>
      <c r="M1177" s="357">
        <v>1</v>
      </c>
      <c r="N1177" s="357">
        <v>2</v>
      </c>
      <c r="O1177" s="357">
        <v>1</v>
      </c>
      <c r="P1177" s="357">
        <v>0</v>
      </c>
      <c r="Q1177" s="358">
        <v>0.48431372549019608</v>
      </c>
      <c r="R1177" s="359">
        <v>1.1711940298507462</v>
      </c>
      <c r="S1177" s="196">
        <v>1908466000</v>
      </c>
      <c r="T1177" s="196">
        <v>91100000</v>
      </c>
      <c r="U1177" s="200">
        <f t="shared" si="204"/>
        <v>3985625000</v>
      </c>
      <c r="V1177" s="196">
        <v>137000000</v>
      </c>
      <c r="W1177" s="196">
        <v>0</v>
      </c>
      <c r="X1177" s="196">
        <v>1530000000</v>
      </c>
      <c r="Y1177" s="196">
        <v>1778000000</v>
      </c>
      <c r="Z1177" s="196">
        <v>957000000</v>
      </c>
      <c r="AA1177" s="198">
        <v>0.09</v>
      </c>
      <c r="AB1177" s="198">
        <v>0.05</v>
      </c>
      <c r="AC1177" s="213">
        <f t="shared" si="205"/>
        <v>69</v>
      </c>
      <c r="AD1177" s="213">
        <f t="shared" si="206"/>
        <v>150</v>
      </c>
      <c r="AE1177" s="213">
        <v>7.11</v>
      </c>
      <c r="AF1177" s="196">
        <v>119000000</v>
      </c>
      <c r="AG1177" s="104">
        <f t="shared" si="207"/>
        <v>1.3062568605927551</v>
      </c>
      <c r="AH1177" s="104">
        <f t="shared" si="208"/>
        <v>0.86861313868613144</v>
      </c>
      <c r="AI1177" s="195">
        <v>1.6</v>
      </c>
    </row>
    <row r="1178" spans="1:48">
      <c r="A1178">
        <v>6129</v>
      </c>
      <c r="C1178" s="107">
        <f>VLOOKUP(6129,收盤價!$A:$C,3,0)</f>
        <v>8.85</v>
      </c>
      <c r="D1178" s="107">
        <f t="shared" si="198"/>
        <v>0</v>
      </c>
      <c r="E1178" s="167">
        <f t="shared" si="199"/>
        <v>4</v>
      </c>
      <c r="F1178" s="104">
        <f t="shared" si="200"/>
        <v>1.2139991340304059</v>
      </c>
      <c r="G1178" s="167">
        <f>RANK(0.61,AE:AE,0)</f>
        <v>1295</v>
      </c>
      <c r="H1178" s="365">
        <f t="shared" si="201"/>
        <v>0.11055831951354339</v>
      </c>
      <c r="I1178" s="213">
        <f t="shared" si="202"/>
        <v>1148</v>
      </c>
      <c r="J1178" s="213">
        <f t="shared" si="203"/>
        <v>768</v>
      </c>
      <c r="K1178">
        <f>RANK(0.81,AI:AI,0)</f>
        <v>1144</v>
      </c>
      <c r="L1178" s="357">
        <v>1</v>
      </c>
      <c r="M1178" s="357">
        <v>1</v>
      </c>
      <c r="N1178" s="357">
        <v>2</v>
      </c>
      <c r="O1178" s="357">
        <v>0</v>
      </c>
      <c r="P1178" s="357">
        <v>0</v>
      </c>
      <c r="Q1178" s="358">
        <v>0.3539325842696629</v>
      </c>
      <c r="R1178" s="359">
        <v>0</v>
      </c>
      <c r="S1178" s="196">
        <v>1318753000</v>
      </c>
      <c r="T1178" s="196">
        <v>180900000</v>
      </c>
      <c r="U1178" s="200">
        <f t="shared" si="204"/>
        <v>1600965000</v>
      </c>
      <c r="V1178" s="196">
        <v>-17000000</v>
      </c>
      <c r="W1178" s="196">
        <v>1529000000</v>
      </c>
      <c r="X1178" s="196">
        <v>376000000</v>
      </c>
      <c r="Y1178" s="196">
        <v>2022000000</v>
      </c>
      <c r="Z1178" s="196">
        <v>0</v>
      </c>
      <c r="AA1178" s="198">
        <v>-0.01</v>
      </c>
      <c r="AB1178" s="198">
        <v>-0.01</v>
      </c>
      <c r="AC1178" s="213">
        <f t="shared" si="205"/>
        <v>1277</v>
      </c>
      <c r="AD1178" s="213">
        <f t="shared" si="206"/>
        <v>1294</v>
      </c>
      <c r="AE1178" s="213">
        <v>0.61</v>
      </c>
      <c r="AF1178" s="196">
        <v>-20000000</v>
      </c>
      <c r="AG1178" s="104">
        <f t="shared" si="207"/>
        <v>-0.11055831951354339</v>
      </c>
      <c r="AH1178" s="104">
        <f t="shared" si="208"/>
        <v>0</v>
      </c>
      <c r="AI1178" s="195">
        <v>0.81</v>
      </c>
    </row>
    <row r="1179" spans="1:48">
      <c r="A1179">
        <v>6130</v>
      </c>
      <c r="C1179" s="107">
        <f>VLOOKUP(6130,收盤價!$A:$C,3,0)</f>
        <v>22.75</v>
      </c>
      <c r="D1179" s="107">
        <f t="shared" si="198"/>
        <v>0</v>
      </c>
      <c r="E1179" s="167">
        <f t="shared" si="199"/>
        <v>1</v>
      </c>
      <c r="F1179" s="104">
        <f t="shared" si="200"/>
        <v>2.8415283930634758</v>
      </c>
      <c r="G1179" s="167">
        <f>RANK(0.84,AE:AE,0)</f>
        <v>946</v>
      </c>
      <c r="H1179" s="365">
        <f t="shared" si="201"/>
        <v>0.11235955056179775</v>
      </c>
      <c r="I1179" s="213">
        <f t="shared" si="202"/>
        <v>1150</v>
      </c>
      <c r="J1179" s="213">
        <f t="shared" si="203"/>
        <v>768</v>
      </c>
      <c r="K1179">
        <f>RANK(0.81,AI:AI,0)</f>
        <v>1144</v>
      </c>
      <c r="L1179" s="357">
        <v>0</v>
      </c>
      <c r="M1179" s="357">
        <v>0</v>
      </c>
      <c r="N1179" s="357">
        <v>1</v>
      </c>
      <c r="O1179" s="357">
        <v>0</v>
      </c>
      <c r="P1179" s="357">
        <v>0</v>
      </c>
      <c r="Q1179" s="358">
        <v>0.22448979591836735</v>
      </c>
      <c r="R1179" s="359">
        <v>-0.18</v>
      </c>
      <c r="S1179" s="196">
        <v>213767000</v>
      </c>
      <c r="T1179" s="196">
        <v>26700000</v>
      </c>
      <c r="U1179" s="200">
        <f t="shared" si="204"/>
        <v>607425000</v>
      </c>
      <c r="V1179" s="196">
        <v>0</v>
      </c>
      <c r="W1179" s="196">
        <v>211000000</v>
      </c>
      <c r="X1179" s="196">
        <v>30000000</v>
      </c>
      <c r="Y1179" s="196">
        <v>295000000</v>
      </c>
      <c r="Z1179" s="196">
        <v>0</v>
      </c>
      <c r="AA1179" s="198">
        <v>0</v>
      </c>
      <c r="AB1179" s="198">
        <v>0</v>
      </c>
      <c r="AC1179" s="213">
        <f t="shared" si="205"/>
        <v>945</v>
      </c>
      <c r="AD1179" s="213">
        <f t="shared" si="206"/>
        <v>911</v>
      </c>
      <c r="AE1179" s="213">
        <v>0.84</v>
      </c>
      <c r="AF1179" s="196">
        <v>-3000000</v>
      </c>
      <c r="AG1179" s="104">
        <f t="shared" si="207"/>
        <v>-0.11235955056179775</v>
      </c>
      <c r="AH1179" s="104">
        <f t="shared" si="208"/>
        <v>0</v>
      </c>
      <c r="AI1179" s="195">
        <v>0.81</v>
      </c>
    </row>
    <row r="1180" spans="1:48">
      <c r="A1180">
        <v>6131</v>
      </c>
      <c r="C1180" s="107">
        <f>VLOOKUP(6131,收盤價!$A:$C,3,0)</f>
        <v>12.8</v>
      </c>
      <c r="D1180" s="107">
        <f t="shared" si="198"/>
        <v>0</v>
      </c>
      <c r="E1180" s="167">
        <f t="shared" si="199"/>
        <v>2</v>
      </c>
      <c r="F1180" s="104">
        <f t="shared" si="200"/>
        <v>8.0741850416609928</v>
      </c>
      <c r="G1180" s="167">
        <f>RANK(0.52,AE:AE,0)</f>
        <v>1493</v>
      </c>
      <c r="H1180" s="365">
        <f t="shared" si="201"/>
        <v>2.9440628066732092E-2</v>
      </c>
      <c r="I1180" s="213">
        <f t="shared" si="202"/>
        <v>1088</v>
      </c>
      <c r="J1180" s="213">
        <f t="shared" si="203"/>
        <v>768</v>
      </c>
      <c r="K1180">
        <f>RANK(0.84,AI:AI,0)</f>
        <v>1076</v>
      </c>
      <c r="L1180" s="357">
        <v>0</v>
      </c>
      <c r="M1180" s="357">
        <v>0</v>
      </c>
      <c r="N1180" s="357">
        <v>2</v>
      </c>
      <c r="O1180" s="357">
        <v>0</v>
      </c>
      <c r="P1180" s="357">
        <v>0</v>
      </c>
      <c r="Q1180" s="358">
        <v>0.19354838709677419</v>
      </c>
      <c r="R1180" s="359">
        <v>0</v>
      </c>
      <c r="S1180" s="196">
        <v>161542000</v>
      </c>
      <c r="T1180" s="196">
        <v>101900000</v>
      </c>
      <c r="U1180" s="200">
        <f t="shared" si="204"/>
        <v>1304320000</v>
      </c>
      <c r="V1180" s="196">
        <v>-25000000</v>
      </c>
      <c r="W1180" s="196">
        <v>0</v>
      </c>
      <c r="X1180" s="196">
        <v>233000000</v>
      </c>
      <c r="Y1180" s="196">
        <v>887000000</v>
      </c>
      <c r="Z1180" s="196">
        <v>35000000</v>
      </c>
      <c r="AA1180" s="198">
        <v>-0.11</v>
      </c>
      <c r="AB1180" s="198">
        <v>-0.03</v>
      </c>
      <c r="AC1180" s="213">
        <f t="shared" si="205"/>
        <v>1524</v>
      </c>
      <c r="AD1180" s="213">
        <f t="shared" si="206"/>
        <v>1444</v>
      </c>
      <c r="AE1180" s="213">
        <v>0.52</v>
      </c>
      <c r="AF1180" s="196">
        <v>-3000000</v>
      </c>
      <c r="AG1180" s="104">
        <f t="shared" si="207"/>
        <v>-2.9440628066732092E-2</v>
      </c>
      <c r="AH1180" s="104">
        <f t="shared" si="208"/>
        <v>0</v>
      </c>
      <c r="AI1180" s="195">
        <v>0.84</v>
      </c>
    </row>
    <row r="1181" spans="1:48">
      <c r="A1181">
        <v>6133</v>
      </c>
      <c r="C1181" s="107">
        <f>VLOOKUP(6133,收盤價!$A:$C,3,0)</f>
        <v>9.15</v>
      </c>
      <c r="D1181" s="107">
        <f t="shared" si="198"/>
        <v>28.59375</v>
      </c>
      <c r="E1181" s="167">
        <f t="shared" si="199"/>
        <v>1</v>
      </c>
      <c r="F1181" s="104">
        <f t="shared" si="200"/>
        <v>0.96837220661863477</v>
      </c>
      <c r="G1181" s="167">
        <f>RANK(0.84,AE:AE,0)</f>
        <v>946</v>
      </c>
      <c r="H1181" s="365">
        <f t="shared" si="201"/>
        <v>0.28205128205128205</v>
      </c>
      <c r="I1181" s="213">
        <f t="shared" si="202"/>
        <v>1261</v>
      </c>
      <c r="J1181" s="213">
        <f t="shared" si="203"/>
        <v>768</v>
      </c>
      <c r="K1181">
        <f>RANK(0.77,AI:AI,0)</f>
        <v>1243</v>
      </c>
      <c r="L1181" s="357">
        <v>0</v>
      </c>
      <c r="M1181" s="357">
        <v>1</v>
      </c>
      <c r="N1181" s="357">
        <v>0</v>
      </c>
      <c r="O1181" s="357">
        <v>0</v>
      </c>
      <c r="P1181" s="357">
        <v>0</v>
      </c>
      <c r="Q1181" s="358">
        <v>0.20992366412213739</v>
      </c>
      <c r="R1181" s="359">
        <v>0.08</v>
      </c>
      <c r="S1181" s="196">
        <v>1105515000</v>
      </c>
      <c r="T1181" s="196">
        <v>117000000</v>
      </c>
      <c r="U1181" s="200">
        <f t="shared" si="204"/>
        <v>1070550000</v>
      </c>
      <c r="V1181" s="196">
        <v>5000000</v>
      </c>
      <c r="W1181" s="196">
        <v>1066000000</v>
      </c>
      <c r="X1181" s="196">
        <v>424000000</v>
      </c>
      <c r="Y1181" s="196">
        <v>1572000000</v>
      </c>
      <c r="Z1181" s="196">
        <v>0</v>
      </c>
      <c r="AA1181" s="198">
        <v>0</v>
      </c>
      <c r="AB1181" s="198">
        <v>0</v>
      </c>
      <c r="AC1181" s="213">
        <f t="shared" si="205"/>
        <v>945</v>
      </c>
      <c r="AD1181" s="213">
        <f t="shared" si="206"/>
        <v>911</v>
      </c>
      <c r="AE1181" s="213">
        <v>0.84</v>
      </c>
      <c r="AF1181" s="196">
        <v>-33000000</v>
      </c>
      <c r="AG1181" s="104">
        <f t="shared" si="207"/>
        <v>-0.28205128205128205</v>
      </c>
      <c r="AH1181" s="104">
        <f t="shared" si="208"/>
        <v>0</v>
      </c>
      <c r="AI1181" s="195">
        <v>0.77</v>
      </c>
    </row>
    <row r="1182" spans="1:48">
      <c r="A1182">
        <v>6134</v>
      </c>
      <c r="C1182" s="107">
        <f>VLOOKUP(6134,收盤價!$A:$C,3,0)</f>
        <v>9.9600000000000009</v>
      </c>
      <c r="D1182" s="107">
        <f t="shared" si="198"/>
        <v>0</v>
      </c>
      <c r="E1182" s="167">
        <f t="shared" si="199"/>
        <v>5</v>
      </c>
      <c r="F1182" s="104">
        <f t="shared" si="200"/>
        <v>0.59948684813761277</v>
      </c>
      <c r="G1182" s="167">
        <f>RANK(0.84,AE:AE,0)</f>
        <v>946</v>
      </c>
      <c r="H1182" s="365">
        <f t="shared" si="201"/>
        <v>19.554565701559021</v>
      </c>
      <c r="I1182" s="213">
        <f t="shared" si="202"/>
        <v>775</v>
      </c>
      <c r="J1182" s="213">
        <f t="shared" si="203"/>
        <v>14</v>
      </c>
      <c r="K1182">
        <f>RANK(1.97,AI:AI,0)</f>
        <v>350</v>
      </c>
      <c r="L1182" s="357">
        <v>1</v>
      </c>
      <c r="M1182" s="357">
        <v>1</v>
      </c>
      <c r="N1182" s="357">
        <v>2</v>
      </c>
      <c r="O1182" s="357">
        <v>1</v>
      </c>
      <c r="P1182" s="357">
        <v>0</v>
      </c>
      <c r="Q1182" s="358">
        <v>0.1864864864864865</v>
      </c>
      <c r="R1182" s="359">
        <v>0</v>
      </c>
      <c r="S1182" s="196">
        <v>1491956000</v>
      </c>
      <c r="T1182" s="196">
        <v>89800000</v>
      </c>
      <c r="U1182" s="200">
        <f t="shared" si="204"/>
        <v>894408000.00000012</v>
      </c>
      <c r="V1182" s="196">
        <v>2000000</v>
      </c>
      <c r="W1182" s="196">
        <v>432000000</v>
      </c>
      <c r="X1182" s="196">
        <v>284000000</v>
      </c>
      <c r="Y1182" s="196">
        <v>751000000</v>
      </c>
      <c r="Z1182" s="196">
        <v>329000000</v>
      </c>
      <c r="AA1182" s="198">
        <v>0</v>
      </c>
      <c r="AB1182" s="198">
        <v>0</v>
      </c>
      <c r="AC1182" s="213">
        <f t="shared" si="205"/>
        <v>945</v>
      </c>
      <c r="AD1182" s="213">
        <f t="shared" si="206"/>
        <v>911</v>
      </c>
      <c r="AE1182" s="213">
        <v>0.84</v>
      </c>
      <c r="AF1182" s="196">
        <v>40000000</v>
      </c>
      <c r="AG1182" s="104">
        <f t="shared" si="207"/>
        <v>0.44543429844097998</v>
      </c>
      <c r="AH1182" s="104">
        <f t="shared" si="208"/>
        <v>20</v>
      </c>
      <c r="AI1182" s="195">
        <v>1.97</v>
      </c>
    </row>
    <row r="1183" spans="1:48">
      <c r="A1183">
        <v>6136</v>
      </c>
      <c r="C1183" s="107">
        <f>VLOOKUP(6136,收盤價!$A:$C,3,0)</f>
        <v>22.9</v>
      </c>
      <c r="D1183" s="107">
        <f t="shared" si="198"/>
        <v>22.019230769230766</v>
      </c>
      <c r="E1183" s="167">
        <f t="shared" si="199"/>
        <v>2</v>
      </c>
      <c r="F1183" s="104">
        <f t="shared" si="200"/>
        <v>3.3297412572182474</v>
      </c>
      <c r="G1183" s="167">
        <f>RANK(0.84,AE:AE,0)</f>
        <v>946</v>
      </c>
      <c r="H1183" s="365">
        <f t="shared" si="201"/>
        <v>-0.32034632034632032</v>
      </c>
      <c r="I1183" s="213">
        <f t="shared" si="202"/>
        <v>850</v>
      </c>
      <c r="J1183" s="213">
        <f t="shared" si="203"/>
        <v>768</v>
      </c>
      <c r="K1183">
        <f>RANK(0.96,AI:AI,0)</f>
        <v>922</v>
      </c>
      <c r="L1183" s="357">
        <v>0</v>
      </c>
      <c r="M1183" s="357">
        <v>0</v>
      </c>
      <c r="N1183" s="357">
        <v>1</v>
      </c>
      <c r="O1183" s="357">
        <v>1</v>
      </c>
      <c r="P1183" s="357">
        <v>0</v>
      </c>
      <c r="Q1183" s="358">
        <v>0.30612244897959184</v>
      </c>
      <c r="R1183" s="359">
        <v>0.26</v>
      </c>
      <c r="S1183" s="196">
        <v>794341000</v>
      </c>
      <c r="T1183" s="196">
        <v>115500000</v>
      </c>
      <c r="U1183" s="200">
        <f t="shared" si="204"/>
        <v>2644950000</v>
      </c>
      <c r="V1183" s="196">
        <v>0</v>
      </c>
      <c r="W1183" s="196">
        <v>1030000000</v>
      </c>
      <c r="X1183" s="196">
        <v>168000000</v>
      </c>
      <c r="Y1183" s="196">
        <v>2921000000</v>
      </c>
      <c r="Z1183" s="196">
        <v>0</v>
      </c>
      <c r="AA1183" s="198">
        <v>0</v>
      </c>
      <c r="AB1183" s="198">
        <v>0</v>
      </c>
      <c r="AC1183" s="213">
        <f t="shared" si="205"/>
        <v>945</v>
      </c>
      <c r="AD1183" s="213">
        <f t="shared" si="206"/>
        <v>911</v>
      </c>
      <c r="AE1183" s="213">
        <v>0.84</v>
      </c>
      <c r="AF1183" s="196">
        <v>37000000</v>
      </c>
      <c r="AG1183" s="104">
        <f t="shared" si="207"/>
        <v>0.32034632034632032</v>
      </c>
      <c r="AH1183" s="104">
        <f t="shared" si="208"/>
        <v>0</v>
      </c>
      <c r="AI1183" s="195">
        <v>0.96</v>
      </c>
    </row>
    <row r="1184" spans="1:48">
      <c r="A1184">
        <v>6138</v>
      </c>
      <c r="C1184" s="107">
        <f>VLOOKUP(6138,收盤價!$A:$C,3,0)</f>
        <v>28.9</v>
      </c>
      <c r="D1184" s="107">
        <f t="shared" si="198"/>
        <v>22.496107939802801</v>
      </c>
      <c r="E1184" s="167">
        <f t="shared" si="199"/>
        <v>2</v>
      </c>
      <c r="F1184" s="104">
        <f t="shared" si="200"/>
        <v>0.84594103928916187</v>
      </c>
      <c r="G1184" s="167">
        <f>RANK(1.63,AE:AE,0)</f>
        <v>551</v>
      </c>
      <c r="H1184" s="365">
        <f t="shared" si="201"/>
        <v>0.93509296148738386</v>
      </c>
      <c r="I1184" s="213">
        <f t="shared" si="202"/>
        <v>579</v>
      </c>
      <c r="J1184" s="213">
        <f t="shared" si="203"/>
        <v>306</v>
      </c>
      <c r="K1184">
        <f>RANK(1.76,AI:AI,0)</f>
        <v>428</v>
      </c>
      <c r="L1184" s="357">
        <v>0</v>
      </c>
      <c r="M1184" s="357">
        <v>1</v>
      </c>
      <c r="N1184" s="357">
        <v>0</v>
      </c>
      <c r="O1184" s="357">
        <v>1</v>
      </c>
      <c r="P1184" s="357">
        <v>0</v>
      </c>
      <c r="Q1184" s="358">
        <v>0.28375</v>
      </c>
      <c r="R1184" s="359">
        <v>0.32116666666666666</v>
      </c>
      <c r="S1184" s="196">
        <v>3429979000</v>
      </c>
      <c r="T1184" s="196">
        <v>100400000</v>
      </c>
      <c r="U1184" s="200">
        <f t="shared" si="204"/>
        <v>2901560000</v>
      </c>
      <c r="V1184" s="196">
        <v>48000000</v>
      </c>
      <c r="W1184" s="196">
        <v>1441000000</v>
      </c>
      <c r="X1184" s="196">
        <v>368000000</v>
      </c>
      <c r="Y1184" s="196">
        <v>1987000000</v>
      </c>
      <c r="Z1184" s="196">
        <v>0</v>
      </c>
      <c r="AA1184" s="198">
        <v>0.03</v>
      </c>
      <c r="AB1184" s="198">
        <v>0.02</v>
      </c>
      <c r="AC1184" s="213">
        <f t="shared" si="205"/>
        <v>469</v>
      </c>
      <c r="AD1184" s="213">
        <f t="shared" si="206"/>
        <v>487</v>
      </c>
      <c r="AE1184" s="213">
        <v>1.63</v>
      </c>
      <c r="AF1184" s="196">
        <v>86000000</v>
      </c>
      <c r="AG1184" s="104">
        <f t="shared" si="207"/>
        <v>0.85657370517928288</v>
      </c>
      <c r="AH1184" s="104">
        <f t="shared" si="208"/>
        <v>1.7916666666666667</v>
      </c>
      <c r="AI1184" s="195">
        <v>1.76</v>
      </c>
    </row>
    <row r="1185" spans="1:48">
      <c r="A1185">
        <v>6139</v>
      </c>
      <c r="C1185" s="107">
        <f>VLOOKUP(6139,收盤價!$A:$C,3,0)</f>
        <v>24.8</v>
      </c>
      <c r="D1185" s="107">
        <f t="shared" si="198"/>
        <v>7.3597329129184832</v>
      </c>
      <c r="E1185" s="167">
        <f t="shared" si="199"/>
        <v>1</v>
      </c>
      <c r="F1185" s="104">
        <f t="shared" si="200"/>
        <v>0.20899200355046793</v>
      </c>
      <c r="G1185" s="167">
        <f>RANK(5.25,AE:AE,0)</f>
        <v>164</v>
      </c>
      <c r="H1185" s="365">
        <f t="shared" si="201"/>
        <v>2.9768102224325603</v>
      </c>
      <c r="I1185" s="213">
        <f t="shared" si="202"/>
        <v>1534</v>
      </c>
      <c r="J1185" s="213">
        <f t="shared" si="203"/>
        <v>768</v>
      </c>
      <c r="K1185">
        <f>RANK(0.68,AI:AI,0)</f>
        <v>1507</v>
      </c>
      <c r="L1185" s="357">
        <v>0</v>
      </c>
      <c r="M1185" s="357">
        <v>1</v>
      </c>
      <c r="N1185" s="357">
        <v>0</v>
      </c>
      <c r="O1185" s="357">
        <v>0</v>
      </c>
      <c r="P1185" s="357">
        <v>0</v>
      </c>
      <c r="Q1185" s="358">
        <v>0.13149047441165485</v>
      </c>
      <c r="R1185" s="359">
        <v>0.84242187499999999</v>
      </c>
      <c r="S1185" s="196">
        <v>25073878000</v>
      </c>
      <c r="T1185" s="196">
        <v>211300000</v>
      </c>
      <c r="U1185" s="200">
        <f t="shared" si="204"/>
        <v>5240240000</v>
      </c>
      <c r="V1185" s="196">
        <v>550000000</v>
      </c>
      <c r="W1185" s="196">
        <v>5043000000</v>
      </c>
      <c r="X1185" s="196">
        <v>1312000000</v>
      </c>
      <c r="Y1185" s="196">
        <v>9821000000</v>
      </c>
      <c r="Z1185" s="196">
        <v>2623000000</v>
      </c>
      <c r="AA1185" s="198">
        <v>0.09</v>
      </c>
      <c r="AB1185" s="198">
        <v>0.04</v>
      </c>
      <c r="AC1185" s="213">
        <f t="shared" si="205"/>
        <v>69</v>
      </c>
      <c r="AD1185" s="213">
        <f t="shared" si="206"/>
        <v>228</v>
      </c>
      <c r="AE1185" s="213">
        <v>5.25</v>
      </c>
      <c r="AF1185" s="196">
        <v>-629000000</v>
      </c>
      <c r="AG1185" s="104">
        <f t="shared" si="207"/>
        <v>-2.9768102224325603</v>
      </c>
      <c r="AH1185" s="104">
        <f t="shared" si="208"/>
        <v>0</v>
      </c>
      <c r="AI1185" s="195">
        <v>0.68</v>
      </c>
    </row>
    <row r="1186" spans="1:48">
      <c r="A1186">
        <v>6140</v>
      </c>
      <c r="C1186" s="107">
        <f>VLOOKUP(6140,收盤價!$A:$C,3,0)</f>
        <v>11.15</v>
      </c>
      <c r="D1186" s="107">
        <f t="shared" si="198"/>
        <v>0</v>
      </c>
      <c r="E1186" s="167">
        <f t="shared" si="199"/>
        <v>3</v>
      </c>
      <c r="F1186" s="104">
        <f t="shared" si="200"/>
        <v>0.29304510660665595</v>
      </c>
      <c r="G1186" s="167">
        <f>RANK(0.84,AE:AE,0)</f>
        <v>946</v>
      </c>
      <c r="H1186" s="365">
        <f t="shared" si="201"/>
        <v>1.1197916666666667</v>
      </c>
      <c r="I1186" s="213">
        <f t="shared" si="202"/>
        <v>1452</v>
      </c>
      <c r="J1186" s="213">
        <f t="shared" si="203"/>
        <v>768</v>
      </c>
      <c r="K1186">
        <f>RANK(0.7,AI:AI,0)</f>
        <v>1442</v>
      </c>
      <c r="L1186" s="357">
        <v>0</v>
      </c>
      <c r="M1186" s="357">
        <v>1</v>
      </c>
      <c r="N1186" s="357">
        <v>1</v>
      </c>
      <c r="O1186" s="357">
        <v>0</v>
      </c>
      <c r="P1186" s="357">
        <v>1</v>
      </c>
      <c r="Q1186" s="358">
        <v>9.569377990430622E-2</v>
      </c>
      <c r="R1186" s="359">
        <v>0</v>
      </c>
      <c r="S1186" s="196">
        <v>1461072000</v>
      </c>
      <c r="T1186" s="196">
        <v>38400000</v>
      </c>
      <c r="U1186" s="200">
        <f t="shared" si="204"/>
        <v>428160000</v>
      </c>
      <c r="V1186" s="196">
        <v>1000000</v>
      </c>
      <c r="W1186" s="196">
        <v>404000000</v>
      </c>
      <c r="X1186" s="196">
        <v>3000000</v>
      </c>
      <c r="Y1186" s="196">
        <v>425000000</v>
      </c>
      <c r="Z1186" s="196">
        <v>105000000</v>
      </c>
      <c r="AA1186" s="198">
        <v>0</v>
      </c>
      <c r="AB1186" s="198">
        <v>0</v>
      </c>
      <c r="AC1186" s="213">
        <f t="shared" si="205"/>
        <v>945</v>
      </c>
      <c r="AD1186" s="213">
        <f t="shared" si="206"/>
        <v>911</v>
      </c>
      <c r="AE1186" s="213">
        <v>0.84</v>
      </c>
      <c r="AF1186" s="196">
        <v>-43000000</v>
      </c>
      <c r="AG1186" s="104">
        <f t="shared" si="207"/>
        <v>-1.1197916666666667</v>
      </c>
      <c r="AH1186" s="104">
        <f t="shared" si="208"/>
        <v>0</v>
      </c>
      <c r="AI1186" s="195">
        <v>0.7</v>
      </c>
    </row>
    <row r="1187" spans="1:48">
      <c r="A1187">
        <v>6141</v>
      </c>
      <c r="C1187" s="107">
        <f>VLOOKUP(6141,收盤價!$A:$C,3,0)</f>
        <v>10</v>
      </c>
      <c r="D1187" s="107">
        <f t="shared" si="198"/>
        <v>0</v>
      </c>
      <c r="E1187" s="167">
        <f t="shared" si="199"/>
        <v>3</v>
      </c>
      <c r="F1187" s="104">
        <f t="shared" si="200"/>
        <v>0.45862581784250839</v>
      </c>
      <c r="G1187" s="167">
        <f>RANK(0.84,AE:AE,0)</f>
        <v>946</v>
      </c>
      <c r="H1187" s="365">
        <f t="shared" si="201"/>
        <v>-0.26296018031555224</v>
      </c>
      <c r="I1187" s="213">
        <f t="shared" si="202"/>
        <v>884</v>
      </c>
      <c r="J1187" s="213">
        <f t="shared" si="203"/>
        <v>768</v>
      </c>
      <c r="K1187">
        <f>RANK(0.94,AI:AI,0)</f>
        <v>936</v>
      </c>
      <c r="L1187" s="357">
        <v>0</v>
      </c>
      <c r="M1187" s="357">
        <v>1</v>
      </c>
      <c r="N1187" s="357">
        <v>2</v>
      </c>
      <c r="O1187" s="357">
        <v>0</v>
      </c>
      <c r="P1187" s="357">
        <v>0</v>
      </c>
      <c r="Q1187" s="358">
        <v>9.375E-2</v>
      </c>
      <c r="R1187" s="359">
        <v>0</v>
      </c>
      <c r="S1187" s="196">
        <v>2902148000</v>
      </c>
      <c r="T1187" s="196">
        <v>133100000</v>
      </c>
      <c r="U1187" s="200">
        <f t="shared" si="204"/>
        <v>1331000000</v>
      </c>
      <c r="V1187" s="196">
        <v>-4000000</v>
      </c>
      <c r="W1187" s="196">
        <v>0</v>
      </c>
      <c r="X1187" s="196">
        <v>2242000000</v>
      </c>
      <c r="Y1187" s="196">
        <v>1738000000</v>
      </c>
      <c r="Z1187" s="196">
        <v>1105000000</v>
      </c>
      <c r="AA1187" s="198">
        <v>0</v>
      </c>
      <c r="AB1187" s="198">
        <v>0</v>
      </c>
      <c r="AC1187" s="213">
        <f t="shared" si="205"/>
        <v>945</v>
      </c>
      <c r="AD1187" s="213">
        <f t="shared" si="206"/>
        <v>911</v>
      </c>
      <c r="AE1187" s="213">
        <v>0.84</v>
      </c>
      <c r="AF1187" s="196">
        <v>35000000</v>
      </c>
      <c r="AG1187" s="104">
        <f t="shared" si="207"/>
        <v>0.26296018031555224</v>
      </c>
      <c r="AH1187" s="104">
        <f t="shared" si="208"/>
        <v>0</v>
      </c>
      <c r="AI1187" s="195">
        <v>0.94</v>
      </c>
    </row>
    <row r="1188" spans="1:48">
      <c r="A1188">
        <v>6142</v>
      </c>
      <c r="C1188" s="107">
        <f>VLOOKUP(6142,收盤價!$A:$C,3,0)</f>
        <v>6.09</v>
      </c>
      <c r="D1188" s="107">
        <f t="shared" si="198"/>
        <v>0</v>
      </c>
      <c r="E1188" s="167">
        <f t="shared" si="199"/>
        <v>0</v>
      </c>
      <c r="F1188" s="104">
        <f t="shared" si="200"/>
        <v>0.43897365386202092</v>
      </c>
      <c r="G1188" s="167">
        <f>RANK(0.61,AE:AE,0)</f>
        <v>1295</v>
      </c>
      <c r="H1188" s="365">
        <f t="shared" si="201"/>
        <v>7.4571215510812828E-3</v>
      </c>
      <c r="I1188" s="213">
        <f t="shared" si="202"/>
        <v>1076</v>
      </c>
      <c r="J1188" s="213">
        <f t="shared" si="203"/>
        <v>768</v>
      </c>
      <c r="K1188">
        <f>RANK(0.84,AI:AI,0)</f>
        <v>1076</v>
      </c>
      <c r="L1188" s="357">
        <v>0</v>
      </c>
      <c r="M1188" s="357">
        <v>0</v>
      </c>
      <c r="N1188" s="357">
        <v>0</v>
      </c>
      <c r="O1188" s="357">
        <v>0</v>
      </c>
      <c r="P1188" s="357">
        <v>0</v>
      </c>
      <c r="Q1188" s="358">
        <v>0.12888377445339472</v>
      </c>
      <c r="R1188" s="359">
        <v>0</v>
      </c>
      <c r="S1188" s="196">
        <v>3720811000</v>
      </c>
      <c r="T1188" s="196">
        <v>268200000</v>
      </c>
      <c r="U1188" s="200">
        <f t="shared" si="204"/>
        <v>1633338000</v>
      </c>
      <c r="V1188" s="196">
        <v>-41000000</v>
      </c>
      <c r="W1188" s="196">
        <v>2223000000</v>
      </c>
      <c r="X1188" s="196">
        <v>924000000</v>
      </c>
      <c r="Y1188" s="196">
        <v>3363000000</v>
      </c>
      <c r="Z1188" s="196">
        <v>942000000</v>
      </c>
      <c r="AA1188" s="198">
        <v>-0.01</v>
      </c>
      <c r="AB1188" s="198">
        <v>-0.01</v>
      </c>
      <c r="AC1188" s="213">
        <f t="shared" si="205"/>
        <v>1277</v>
      </c>
      <c r="AD1188" s="213">
        <f t="shared" si="206"/>
        <v>1294</v>
      </c>
      <c r="AE1188" s="213">
        <v>0.61</v>
      </c>
      <c r="AF1188" s="196">
        <v>-2000000</v>
      </c>
      <c r="AG1188" s="104">
        <f t="shared" si="207"/>
        <v>-7.4571215510812828E-3</v>
      </c>
      <c r="AH1188" s="104">
        <f t="shared" si="208"/>
        <v>0</v>
      </c>
      <c r="AI1188" s="195">
        <v>0.84</v>
      </c>
    </row>
    <row r="1189" spans="1:48">
      <c r="A1189">
        <v>6143</v>
      </c>
      <c r="C1189" s="107">
        <f>VLOOKUP(6143,收盤價!$A:$C,3,0)</f>
        <v>62.4</v>
      </c>
      <c r="D1189" s="107">
        <f t="shared" si="198"/>
        <v>23.01158301158301</v>
      </c>
      <c r="E1189" s="167">
        <f t="shared" si="199"/>
        <v>3</v>
      </c>
      <c r="F1189" s="104">
        <f t="shared" si="200"/>
        <v>0.94850893123040181</v>
      </c>
      <c r="G1189" s="167">
        <f>RANK(1.68,AE:AE,0)</f>
        <v>535</v>
      </c>
      <c r="H1189" s="365">
        <f t="shared" si="201"/>
        <v>8.4033613445378158E-2</v>
      </c>
      <c r="I1189" s="213">
        <f t="shared" si="202"/>
        <v>1126</v>
      </c>
      <c r="J1189" s="213">
        <f t="shared" si="203"/>
        <v>768</v>
      </c>
      <c r="K1189">
        <f>RANK(0.82,AI:AI,0)</f>
        <v>1121</v>
      </c>
      <c r="L1189" s="357">
        <v>0</v>
      </c>
      <c r="M1189" s="357">
        <v>1</v>
      </c>
      <c r="N1189" s="357">
        <v>2</v>
      </c>
      <c r="O1189" s="357">
        <v>0</v>
      </c>
      <c r="P1189" s="357">
        <v>0</v>
      </c>
      <c r="Q1189" s="358">
        <v>0.18483412322274881</v>
      </c>
      <c r="R1189" s="359">
        <v>0.67791946308724838</v>
      </c>
      <c r="S1189" s="196">
        <v>5480096000</v>
      </c>
      <c r="T1189" s="196">
        <v>83300000</v>
      </c>
      <c r="U1189" s="200">
        <f t="shared" si="204"/>
        <v>5197920000</v>
      </c>
      <c r="V1189" s="196">
        <v>111000000</v>
      </c>
      <c r="W1189" s="196">
        <v>1742000000</v>
      </c>
      <c r="X1189" s="196">
        <v>508000000</v>
      </c>
      <c r="Y1189" s="196">
        <v>2234000000</v>
      </c>
      <c r="Z1189" s="196">
        <v>7304000000</v>
      </c>
      <c r="AA1189" s="198">
        <v>0.05</v>
      </c>
      <c r="AB1189" s="198">
        <v>0.01</v>
      </c>
      <c r="AC1189" s="213">
        <f t="shared" si="205"/>
        <v>247</v>
      </c>
      <c r="AD1189" s="213">
        <f t="shared" si="206"/>
        <v>680</v>
      </c>
      <c r="AE1189" s="213">
        <v>1.68</v>
      </c>
      <c r="AF1189" s="196">
        <v>-7000000</v>
      </c>
      <c r="AG1189" s="104">
        <f t="shared" si="207"/>
        <v>-8.4033613445378158E-2</v>
      </c>
      <c r="AH1189" s="104">
        <f t="shared" si="208"/>
        <v>0</v>
      </c>
      <c r="AI1189" s="195">
        <v>0.82</v>
      </c>
    </row>
    <row r="1190" spans="1:48">
      <c r="A1190">
        <v>6144</v>
      </c>
      <c r="C1190" s="107">
        <f>VLOOKUP(6144,收盤價!$A:$C,3,0)</f>
        <v>0</v>
      </c>
      <c r="D1190" s="107">
        <f t="shared" si="198"/>
        <v>0</v>
      </c>
      <c r="E1190" s="167">
        <f t="shared" si="199"/>
        <v>0</v>
      </c>
      <c r="F1190" s="104">
        <f t="shared" si="200"/>
        <v>0</v>
      </c>
      <c r="G1190" s="167">
        <f>RANK(0.56,AE:AE,0)</f>
        <v>1414</v>
      </c>
      <c r="H1190" s="365">
        <f t="shared" si="201"/>
        <v>0.17783857729138167</v>
      </c>
      <c r="I1190" s="213">
        <f t="shared" si="202"/>
        <v>1197</v>
      </c>
      <c r="J1190" s="213">
        <f t="shared" si="203"/>
        <v>768</v>
      </c>
      <c r="K1190">
        <f>RANK(0.79,AI:AI,0)</f>
        <v>1192</v>
      </c>
      <c r="L1190" s="357">
        <v>0</v>
      </c>
      <c r="M1190" s="357">
        <v>0</v>
      </c>
      <c r="N1190" s="357">
        <v>0</v>
      </c>
      <c r="O1190" s="357">
        <v>0</v>
      </c>
      <c r="P1190" s="357">
        <v>0</v>
      </c>
      <c r="Q1190" s="358">
        <v>0.26380368098159507</v>
      </c>
      <c r="R1190" s="359">
        <v>0</v>
      </c>
      <c r="S1190" s="196">
        <v>756405000</v>
      </c>
      <c r="T1190" s="196">
        <v>73100000</v>
      </c>
      <c r="U1190" s="200">
        <f t="shared" si="204"/>
        <v>0</v>
      </c>
      <c r="V1190" s="196">
        <v>-11000000</v>
      </c>
      <c r="W1190" s="196">
        <v>396000000</v>
      </c>
      <c r="X1190" s="196">
        <v>23000000</v>
      </c>
      <c r="Y1190" s="196">
        <v>574000000</v>
      </c>
      <c r="Z1190" s="196">
        <v>10000000</v>
      </c>
      <c r="AA1190" s="198">
        <v>-0.03</v>
      </c>
      <c r="AB1190" s="198">
        <v>-0.02</v>
      </c>
      <c r="AC1190" s="213">
        <f t="shared" si="205"/>
        <v>1405</v>
      </c>
      <c r="AD1190" s="213">
        <f t="shared" si="206"/>
        <v>1388</v>
      </c>
      <c r="AE1190" s="213">
        <v>0.56000000000000005</v>
      </c>
      <c r="AF1190" s="196">
        <v>-13000000</v>
      </c>
      <c r="AG1190" s="104">
        <f t="shared" si="207"/>
        <v>-0.17783857729138167</v>
      </c>
      <c r="AH1190" s="104">
        <f t="shared" si="208"/>
        <v>0</v>
      </c>
      <c r="AI1190" s="195">
        <v>0.79</v>
      </c>
    </row>
    <row r="1191" spans="1:48">
      <c r="A1191">
        <v>6145</v>
      </c>
      <c r="C1191" s="107">
        <f>VLOOKUP(6145,收盤價!$A:$C,3,0)</f>
        <v>9.66</v>
      </c>
      <c r="D1191" s="107">
        <f t="shared" si="198"/>
        <v>0</v>
      </c>
      <c r="E1191" s="167">
        <f t="shared" si="199"/>
        <v>0</v>
      </c>
      <c r="F1191" s="104">
        <f t="shared" si="200"/>
        <v>0.67409595083217677</v>
      </c>
      <c r="G1191" s="167">
        <f>RANK(0.58,AE:AE,0)</f>
        <v>1374</v>
      </c>
      <c r="H1191" s="365">
        <f t="shared" si="201"/>
        <v>0.76804915514592931</v>
      </c>
      <c r="I1191" s="213">
        <f t="shared" si="202"/>
        <v>1403</v>
      </c>
      <c r="J1191" s="213">
        <f t="shared" si="203"/>
        <v>768</v>
      </c>
      <c r="K1191">
        <f>RANK(0.72,AI:AI,0)</f>
        <v>1381</v>
      </c>
      <c r="L1191" s="357">
        <v>0</v>
      </c>
      <c r="M1191" s="357">
        <v>0</v>
      </c>
      <c r="N1191" s="357">
        <v>0</v>
      </c>
      <c r="O1191" s="357">
        <v>0</v>
      </c>
      <c r="P1191" s="357">
        <v>0</v>
      </c>
      <c r="Q1191" s="358">
        <v>0.10224719101123596</v>
      </c>
      <c r="R1191" s="359">
        <v>0</v>
      </c>
      <c r="S1191" s="196">
        <v>4664514000</v>
      </c>
      <c r="T1191" s="196">
        <v>325500000</v>
      </c>
      <c r="U1191" s="200">
        <f t="shared" si="204"/>
        <v>3144330000</v>
      </c>
      <c r="V1191" s="196">
        <v>-28000000</v>
      </c>
      <c r="W1191" s="196">
        <v>1014000000</v>
      </c>
      <c r="X1191" s="196">
        <v>38000000</v>
      </c>
      <c r="Y1191" s="196">
        <v>4745000000</v>
      </c>
      <c r="Z1191" s="196">
        <v>555000000</v>
      </c>
      <c r="AA1191" s="198">
        <v>-0.03</v>
      </c>
      <c r="AB1191" s="198">
        <v>-0.01</v>
      </c>
      <c r="AC1191" s="213">
        <f t="shared" si="205"/>
        <v>1405</v>
      </c>
      <c r="AD1191" s="213">
        <f t="shared" si="206"/>
        <v>1294</v>
      </c>
      <c r="AE1191" s="213">
        <v>0.57999999999999996</v>
      </c>
      <c r="AF1191" s="196">
        <v>-250000000</v>
      </c>
      <c r="AG1191" s="104">
        <f t="shared" si="207"/>
        <v>-0.76804915514592931</v>
      </c>
      <c r="AH1191" s="104">
        <f t="shared" si="208"/>
        <v>0</v>
      </c>
      <c r="AI1191" s="195">
        <v>0.72</v>
      </c>
    </row>
    <row r="1192" spans="1:48">
      <c r="A1192">
        <v>6146</v>
      </c>
      <c r="C1192" s="107">
        <f>VLOOKUP(6146,收盤價!$A:$C,3,0)</f>
        <v>158</v>
      </c>
      <c r="D1192" s="107">
        <f t="shared" si="198"/>
        <v>18.361678004535147</v>
      </c>
      <c r="E1192" s="167">
        <f t="shared" si="199"/>
        <v>2</v>
      </c>
      <c r="F1192" s="104">
        <f t="shared" si="200"/>
        <v>4.7849560313463595</v>
      </c>
      <c r="G1192" s="167">
        <f>RANK(11.21,AE:AE,0)</f>
        <v>64</v>
      </c>
      <c r="H1192" s="365">
        <f t="shared" si="201"/>
        <v>-2.552042160737813</v>
      </c>
      <c r="I1192" s="213">
        <f t="shared" si="202"/>
        <v>72</v>
      </c>
      <c r="J1192" s="213">
        <f t="shared" si="203"/>
        <v>410</v>
      </c>
      <c r="K1192">
        <f>RANK(3.23,AI:AI,0)</f>
        <v>145</v>
      </c>
      <c r="L1192" s="357">
        <v>0</v>
      </c>
      <c r="M1192" s="357">
        <v>1</v>
      </c>
      <c r="N1192" s="357">
        <v>0</v>
      </c>
      <c r="O1192" s="357">
        <v>1</v>
      </c>
      <c r="P1192" s="357">
        <v>0</v>
      </c>
      <c r="Q1192" s="358">
        <v>0.49014084507042255</v>
      </c>
      <c r="R1192" s="359">
        <v>2.1512195121951221</v>
      </c>
      <c r="S1192" s="196">
        <v>2942096000</v>
      </c>
      <c r="T1192" s="196">
        <v>89100000</v>
      </c>
      <c r="U1192" s="200">
        <f t="shared" si="204"/>
        <v>14077800000</v>
      </c>
      <c r="V1192" s="196">
        <v>253000000</v>
      </c>
      <c r="W1192" s="196">
        <v>1385000000</v>
      </c>
      <c r="X1192" s="196">
        <v>1672000000</v>
      </c>
      <c r="Y1192" s="196">
        <v>3028000000</v>
      </c>
      <c r="Z1192" s="196">
        <v>0</v>
      </c>
      <c r="AA1192" s="198">
        <v>0.08</v>
      </c>
      <c r="AB1192" s="198">
        <v>0.08</v>
      </c>
      <c r="AC1192" s="213">
        <f t="shared" si="205"/>
        <v>97</v>
      </c>
      <c r="AD1192" s="213">
        <f t="shared" si="206"/>
        <v>42</v>
      </c>
      <c r="AE1192" s="213">
        <v>11.21</v>
      </c>
      <c r="AF1192" s="196">
        <v>351000000</v>
      </c>
      <c r="AG1192" s="104">
        <f t="shared" si="207"/>
        <v>3.9393939393939394</v>
      </c>
      <c r="AH1192" s="104">
        <f t="shared" si="208"/>
        <v>1.3873517786561265</v>
      </c>
      <c r="AI1192" s="195">
        <v>3.23</v>
      </c>
    </row>
    <row r="1193" spans="1:48">
      <c r="A1193">
        <v>6147</v>
      </c>
      <c r="C1193" s="107">
        <f>VLOOKUP(6147,收盤價!$A:$C,3,0)</f>
        <v>44.7</v>
      </c>
      <c r="D1193" s="107">
        <f t="shared" si="198"/>
        <v>17.893633244376669</v>
      </c>
      <c r="E1193" s="167">
        <f t="shared" si="199"/>
        <v>4</v>
      </c>
      <c r="F1193" s="104">
        <f t="shared" si="200"/>
        <v>1.8107613228147912</v>
      </c>
      <c r="G1193" s="167">
        <f>RANK(1.63,AE:AE,0)</f>
        <v>551</v>
      </c>
      <c r="H1193" s="365">
        <f t="shared" si="201"/>
        <v>0.11021412890544457</v>
      </c>
      <c r="I1193" s="213">
        <f t="shared" si="202"/>
        <v>473</v>
      </c>
      <c r="J1193" s="213">
        <f t="shared" si="203"/>
        <v>457</v>
      </c>
      <c r="K1193">
        <f>RANK(1.68,AI:AI,0)</f>
        <v>465</v>
      </c>
      <c r="L1193" s="357">
        <v>0</v>
      </c>
      <c r="M1193" s="357">
        <v>1</v>
      </c>
      <c r="N1193" s="357">
        <v>2</v>
      </c>
      <c r="O1193" s="357">
        <v>1</v>
      </c>
      <c r="P1193" s="357">
        <v>0</v>
      </c>
      <c r="Q1193" s="358">
        <v>0.23828614382360311</v>
      </c>
      <c r="R1193" s="359">
        <v>0.62452380952380948</v>
      </c>
      <c r="S1193" s="196">
        <v>16028457000</v>
      </c>
      <c r="T1193" s="196">
        <v>649300000</v>
      </c>
      <c r="U1193" s="200">
        <f t="shared" si="204"/>
        <v>29023710000</v>
      </c>
      <c r="V1193" s="196">
        <v>590000000</v>
      </c>
      <c r="W1193" s="196">
        <v>4796000000</v>
      </c>
      <c r="X1193" s="196">
        <v>14506000000</v>
      </c>
      <c r="Y1193" s="196">
        <v>23300000000</v>
      </c>
      <c r="Z1193" s="196">
        <v>4204000000</v>
      </c>
      <c r="AA1193" s="198">
        <v>0.03</v>
      </c>
      <c r="AB1193" s="198">
        <v>0.02</v>
      </c>
      <c r="AC1193" s="213">
        <f t="shared" si="205"/>
        <v>469</v>
      </c>
      <c r="AD1193" s="213">
        <f t="shared" si="206"/>
        <v>487</v>
      </c>
      <c r="AE1193" s="213">
        <v>1.63</v>
      </c>
      <c r="AF1193" s="196">
        <v>712000000</v>
      </c>
      <c r="AG1193" s="104">
        <f t="shared" si="207"/>
        <v>1.0965655321115046</v>
      </c>
      <c r="AH1193" s="104">
        <f t="shared" si="208"/>
        <v>1.2067796610169492</v>
      </c>
      <c r="AI1193" s="195">
        <v>1.68</v>
      </c>
    </row>
    <row r="1194" spans="1:48">
      <c r="A1194">
        <v>6148</v>
      </c>
      <c r="C1194" s="107">
        <f>VLOOKUP(6148,收盤價!$A:$C,3,0)</f>
        <v>6.46</v>
      </c>
      <c r="D1194" s="107">
        <f t="shared" si="198"/>
        <v>28.333333333333336</v>
      </c>
      <c r="E1194" s="167">
        <f t="shared" si="199"/>
        <v>2</v>
      </c>
      <c r="F1194" s="104">
        <f t="shared" si="200"/>
        <v>9.1233201729884444E-2</v>
      </c>
      <c r="G1194" s="167">
        <f>RANK(1.53,AE:AE,0)</f>
        <v>613</v>
      </c>
      <c r="H1194" s="365">
        <f t="shared" si="201"/>
        <v>2.333333333333333</v>
      </c>
      <c r="I1194" s="213">
        <f t="shared" si="202"/>
        <v>331</v>
      </c>
      <c r="J1194" s="213">
        <f t="shared" si="203"/>
        <v>116</v>
      </c>
      <c r="K1194">
        <f>RANK(3.49,AI:AI,0)</f>
        <v>126</v>
      </c>
      <c r="L1194" s="357">
        <v>0</v>
      </c>
      <c r="M1194" s="357">
        <v>1</v>
      </c>
      <c r="N1194" s="357">
        <v>0</v>
      </c>
      <c r="O1194" s="357">
        <v>1</v>
      </c>
      <c r="P1194" s="357">
        <v>0</v>
      </c>
      <c r="Q1194" s="358">
        <v>7.0306656694091252E-2</v>
      </c>
      <c r="R1194" s="359">
        <v>5.6999999999999995E-2</v>
      </c>
      <c r="S1194" s="196">
        <v>6372680000</v>
      </c>
      <c r="T1194" s="196">
        <v>90000000</v>
      </c>
      <c r="U1194" s="200">
        <f t="shared" si="204"/>
        <v>581400000</v>
      </c>
      <c r="V1194" s="196">
        <v>36000000</v>
      </c>
      <c r="W1194" s="196">
        <v>908000000</v>
      </c>
      <c r="X1194" s="196">
        <v>11000000</v>
      </c>
      <c r="Y1194" s="196">
        <v>1250000000</v>
      </c>
      <c r="Z1194" s="196">
        <v>2028000000</v>
      </c>
      <c r="AA1194" s="198">
        <v>0.04</v>
      </c>
      <c r="AB1194" s="198">
        <v>0.01</v>
      </c>
      <c r="AC1194" s="213">
        <f t="shared" si="205"/>
        <v>337</v>
      </c>
      <c r="AD1194" s="213">
        <f t="shared" si="206"/>
        <v>680</v>
      </c>
      <c r="AE1194" s="213">
        <v>1.53</v>
      </c>
      <c r="AF1194" s="196">
        <v>140000000</v>
      </c>
      <c r="AG1194" s="104">
        <f t="shared" si="207"/>
        <v>1.5555555555555556</v>
      </c>
      <c r="AH1194" s="104">
        <f t="shared" si="208"/>
        <v>3.8888888888888888</v>
      </c>
      <c r="AI1194" s="195">
        <v>3.49</v>
      </c>
    </row>
    <row r="1195" spans="1:48">
      <c r="A1195">
        <v>6150</v>
      </c>
      <c r="C1195" s="107" t="e">
        <f>VLOOKUP(6150,收盤價!$A:$C,3,0)</f>
        <v>#N/A</v>
      </c>
      <c r="D1195" s="107">
        <f t="shared" si="198"/>
        <v>0</v>
      </c>
      <c r="E1195" s="167">
        <f t="shared" si="199"/>
        <v>4</v>
      </c>
      <c r="F1195" s="104">
        <f t="shared" si="200"/>
        <v>0</v>
      </c>
      <c r="G1195" s="167">
        <f>RANK(1.53,AE:AE,0)</f>
        <v>613</v>
      </c>
      <c r="H1195" s="365">
        <f t="shared" si="201"/>
        <v>19.075396825396822</v>
      </c>
      <c r="I1195" s="213">
        <f t="shared" si="202"/>
        <v>62</v>
      </c>
      <c r="J1195" s="213">
        <f t="shared" si="203"/>
        <v>11</v>
      </c>
      <c r="K1195">
        <f>RANK(21.34,AI:AI,0)</f>
        <v>4</v>
      </c>
      <c r="L1195" s="357">
        <v>0</v>
      </c>
      <c r="M1195" s="357">
        <v>1</v>
      </c>
      <c r="N1195" s="357">
        <v>2</v>
      </c>
      <c r="O1195" s="357">
        <v>1</v>
      </c>
      <c r="P1195" s="357">
        <v>0</v>
      </c>
      <c r="Q1195" s="358">
        <v>8.2658022690437608E-2</v>
      </c>
      <c r="R1195" s="359">
        <v>0</v>
      </c>
      <c r="S1195" s="196">
        <v>2218727000</v>
      </c>
      <c r="T1195" s="196">
        <v>50400000</v>
      </c>
      <c r="U1195" s="200" t="e">
        <f t="shared" si="204"/>
        <v>#N/A</v>
      </c>
      <c r="V1195" s="196">
        <v>9000000</v>
      </c>
      <c r="W1195" s="196">
        <v>82000000</v>
      </c>
      <c r="X1195" s="196">
        <v>135000000</v>
      </c>
      <c r="Y1195" s="196">
        <v>284000000</v>
      </c>
      <c r="Z1195" s="196">
        <v>536000000</v>
      </c>
      <c r="AA1195" s="198">
        <v>0.04</v>
      </c>
      <c r="AB1195" s="198">
        <v>0.01</v>
      </c>
      <c r="AC1195" s="213">
        <f t="shared" si="205"/>
        <v>337</v>
      </c>
      <c r="AD1195" s="213">
        <f t="shared" si="206"/>
        <v>680</v>
      </c>
      <c r="AE1195" s="213">
        <v>1.53</v>
      </c>
      <c r="AF1195" s="196">
        <v>209000000</v>
      </c>
      <c r="AG1195" s="104">
        <f t="shared" si="207"/>
        <v>4.1468253968253972</v>
      </c>
      <c r="AH1195" s="104">
        <f t="shared" si="208"/>
        <v>23.222222222222221</v>
      </c>
      <c r="AI1195" s="195">
        <v>21.34</v>
      </c>
    </row>
    <row r="1196" spans="1:48">
      <c r="A1196">
        <v>6151</v>
      </c>
      <c r="C1196" s="107">
        <f>VLOOKUP(6151,收盤價!$A:$C,3,0)</f>
        <v>22.7</v>
      </c>
      <c r="D1196" s="107">
        <f t="shared" si="198"/>
        <v>8.22463768115942</v>
      </c>
      <c r="E1196" s="167">
        <f t="shared" si="199"/>
        <v>2</v>
      </c>
      <c r="F1196" s="104">
        <f t="shared" si="200"/>
        <v>0.68042207188577808</v>
      </c>
      <c r="G1196" s="167">
        <f>RANK(3.92,AE:AE,0)</f>
        <v>209</v>
      </c>
      <c r="H1196" s="365">
        <f t="shared" si="201"/>
        <v>8.0331061343719423E-3</v>
      </c>
      <c r="I1196" s="213">
        <f t="shared" si="202"/>
        <v>978</v>
      </c>
      <c r="J1196" s="213">
        <f t="shared" si="203"/>
        <v>749</v>
      </c>
      <c r="K1196">
        <f>RANK(0.9,AI:AI,0)</f>
        <v>988</v>
      </c>
      <c r="L1196" s="357">
        <v>0</v>
      </c>
      <c r="M1196" s="357">
        <v>1</v>
      </c>
      <c r="N1196" s="357">
        <v>0</v>
      </c>
      <c r="O1196" s="357">
        <v>1</v>
      </c>
      <c r="P1196" s="357">
        <v>0</v>
      </c>
      <c r="Q1196" s="358">
        <v>0.22268041237113403</v>
      </c>
      <c r="R1196" s="359">
        <v>0.69</v>
      </c>
      <c r="S1196" s="196">
        <v>1844899000</v>
      </c>
      <c r="T1196" s="196">
        <v>55300000</v>
      </c>
      <c r="U1196" s="200">
        <f t="shared" si="204"/>
        <v>1255310000</v>
      </c>
      <c r="V1196" s="196">
        <v>52000000</v>
      </c>
      <c r="W1196" s="196">
        <v>387000000</v>
      </c>
      <c r="X1196" s="196">
        <v>640000000</v>
      </c>
      <c r="Y1196" s="196">
        <v>935000000</v>
      </c>
      <c r="Z1196" s="196">
        <v>163000000</v>
      </c>
      <c r="AA1196" s="198">
        <v>0.05</v>
      </c>
      <c r="AB1196" s="198">
        <v>0.05</v>
      </c>
      <c r="AC1196" s="213">
        <f t="shared" si="205"/>
        <v>247</v>
      </c>
      <c r="AD1196" s="213">
        <f t="shared" si="206"/>
        <v>150</v>
      </c>
      <c r="AE1196" s="213">
        <v>3.92</v>
      </c>
      <c r="AF1196" s="196">
        <v>7000000</v>
      </c>
      <c r="AG1196" s="104">
        <f t="shared" si="207"/>
        <v>0.12658227848101267</v>
      </c>
      <c r="AH1196" s="104">
        <f t="shared" si="208"/>
        <v>0.13461538461538461</v>
      </c>
      <c r="AI1196" s="195">
        <v>0.9</v>
      </c>
    </row>
    <row r="1197" spans="1:48">
      <c r="A1197">
        <v>6152</v>
      </c>
      <c r="C1197" s="107">
        <f>VLOOKUP(6152,收盤價!$A:$C,3,0)</f>
        <v>9.61</v>
      </c>
      <c r="D1197" s="107">
        <f t="shared" si="198"/>
        <v>0</v>
      </c>
      <c r="E1197" s="167">
        <f t="shared" si="199"/>
        <v>2</v>
      </c>
      <c r="F1197" s="104">
        <f t="shared" si="200"/>
        <v>0.19242760926961869</v>
      </c>
      <c r="G1197" s="167">
        <f>RANK(0.56,AE:AE,0)</f>
        <v>1414</v>
      </c>
      <c r="H1197" s="365">
        <f t="shared" si="201"/>
        <v>0.63225058004640367</v>
      </c>
      <c r="I1197" s="213">
        <f t="shared" si="202"/>
        <v>1378</v>
      </c>
      <c r="J1197" s="213">
        <f t="shared" si="203"/>
        <v>768</v>
      </c>
      <c r="K1197">
        <f>RANK(0.73,AI:AI,0)</f>
        <v>1352</v>
      </c>
      <c r="L1197" s="357">
        <v>1</v>
      </c>
      <c r="M1197" s="357">
        <v>1</v>
      </c>
      <c r="N1197" s="357">
        <v>0</v>
      </c>
      <c r="O1197" s="357">
        <v>0</v>
      </c>
      <c r="P1197" s="357">
        <v>0</v>
      </c>
      <c r="Q1197" s="358">
        <v>0.11164122137404581</v>
      </c>
      <c r="R1197" s="359">
        <v>0</v>
      </c>
      <c r="S1197" s="196">
        <v>8609804000</v>
      </c>
      <c r="T1197" s="196">
        <v>172400000</v>
      </c>
      <c r="U1197" s="200">
        <f t="shared" si="204"/>
        <v>1656764000</v>
      </c>
      <c r="V1197" s="196">
        <v>-71000000</v>
      </c>
      <c r="W1197" s="196">
        <v>721000000</v>
      </c>
      <c r="X1197" s="196">
        <v>1361000000</v>
      </c>
      <c r="Y1197" s="196">
        <v>2214000000</v>
      </c>
      <c r="Z1197" s="196">
        <v>1606000000</v>
      </c>
      <c r="AA1197" s="198">
        <v>-0.03</v>
      </c>
      <c r="AB1197" s="198">
        <v>-0.02</v>
      </c>
      <c r="AC1197" s="213">
        <f t="shared" si="205"/>
        <v>1405</v>
      </c>
      <c r="AD1197" s="213">
        <f t="shared" si="206"/>
        <v>1388</v>
      </c>
      <c r="AE1197" s="213">
        <v>0.56000000000000005</v>
      </c>
      <c r="AF1197" s="196">
        <v>-109000000</v>
      </c>
      <c r="AG1197" s="104">
        <f t="shared" si="207"/>
        <v>-0.63225058004640367</v>
      </c>
      <c r="AH1197" s="104">
        <f t="shared" si="208"/>
        <v>0</v>
      </c>
      <c r="AI1197" s="195">
        <v>0.73</v>
      </c>
    </row>
    <row r="1198" spans="1:48">
      <c r="A1198">
        <v>6153</v>
      </c>
      <c r="C1198" s="107">
        <f>VLOOKUP(6153,收盤價!$A:$C,3,0)</f>
        <v>20.55</v>
      </c>
      <c r="D1198" s="107">
        <f t="shared" si="198"/>
        <v>42.8125</v>
      </c>
      <c r="E1198" s="167">
        <f t="shared" si="199"/>
        <v>2</v>
      </c>
      <c r="F1198" s="104">
        <f t="shared" si="200"/>
        <v>0.46297027563480347</v>
      </c>
      <c r="G1198" s="167">
        <f>RANK(0.84,AE:AE,0)</f>
        <v>946</v>
      </c>
      <c r="H1198" s="365">
        <f t="shared" si="201"/>
        <v>0.34962871287128711</v>
      </c>
      <c r="I1198" s="213">
        <f t="shared" si="202"/>
        <v>1291</v>
      </c>
      <c r="J1198" s="213">
        <f t="shared" si="203"/>
        <v>768</v>
      </c>
      <c r="K1198">
        <f>RANK(0.76,AI:AI,0)</f>
        <v>1269</v>
      </c>
      <c r="L1198" s="357">
        <v>0</v>
      </c>
      <c r="M1198" s="357">
        <v>1</v>
      </c>
      <c r="N1198" s="357">
        <v>1</v>
      </c>
      <c r="O1198" s="357">
        <v>0</v>
      </c>
      <c r="P1198" s="357">
        <v>0</v>
      </c>
      <c r="Q1198" s="358">
        <v>0.12185809735921095</v>
      </c>
      <c r="R1198" s="359">
        <v>0.12</v>
      </c>
      <c r="S1198" s="196">
        <v>14345975000</v>
      </c>
      <c r="T1198" s="196">
        <v>323200000</v>
      </c>
      <c r="U1198" s="200">
        <f t="shared" si="204"/>
        <v>6641760000</v>
      </c>
      <c r="V1198" s="196">
        <v>0</v>
      </c>
      <c r="W1198" s="196">
        <v>4177000000</v>
      </c>
      <c r="X1198" s="196">
        <v>4954000000</v>
      </c>
      <c r="Y1198" s="196">
        <v>7882000000</v>
      </c>
      <c r="Z1198" s="196">
        <v>704000000</v>
      </c>
      <c r="AA1198" s="198">
        <v>0</v>
      </c>
      <c r="AB1198" s="198">
        <v>0</v>
      </c>
      <c r="AC1198" s="213">
        <f t="shared" si="205"/>
        <v>945</v>
      </c>
      <c r="AD1198" s="213">
        <f t="shared" si="206"/>
        <v>911</v>
      </c>
      <c r="AE1198" s="213">
        <v>0.84</v>
      </c>
      <c r="AF1198" s="196">
        <v>-113000000</v>
      </c>
      <c r="AG1198" s="104">
        <f t="shared" si="207"/>
        <v>-0.34962871287128711</v>
      </c>
      <c r="AH1198" s="104">
        <f t="shared" si="208"/>
        <v>0</v>
      </c>
      <c r="AI1198" s="195">
        <v>0.76</v>
      </c>
      <c r="AO1198" s="213"/>
      <c r="AP1198" s="213"/>
      <c r="AS1198" s="213"/>
    </row>
    <row r="1199" spans="1:48">
      <c r="A1199">
        <v>6154</v>
      </c>
      <c r="C1199" s="107">
        <f>VLOOKUP(6154,收盤價!$A:$C,3,0)</f>
        <v>16.45</v>
      </c>
      <c r="D1199" s="107">
        <f t="shared" si="198"/>
        <v>17.914299242424242</v>
      </c>
      <c r="E1199" s="167">
        <f t="shared" si="199"/>
        <v>2</v>
      </c>
      <c r="F1199" s="104">
        <f t="shared" si="200"/>
        <v>0.26494784871946248</v>
      </c>
      <c r="G1199" s="167">
        <f>RANK(1.41,AE:AE,0)</f>
        <v>618</v>
      </c>
      <c r="H1199" s="365">
        <f t="shared" si="201"/>
        <v>3.231074792872545</v>
      </c>
      <c r="I1199" s="213">
        <f t="shared" si="202"/>
        <v>426</v>
      </c>
      <c r="J1199" s="213">
        <f t="shared" si="203"/>
        <v>94</v>
      </c>
      <c r="K1199">
        <f>RANK(3,AI:AI,0)</f>
        <v>167</v>
      </c>
      <c r="L1199" s="357">
        <v>0</v>
      </c>
      <c r="M1199" s="357">
        <v>1</v>
      </c>
      <c r="N1199" s="357">
        <v>0</v>
      </c>
      <c r="O1199" s="357">
        <v>1</v>
      </c>
      <c r="P1199" s="357">
        <v>0</v>
      </c>
      <c r="Q1199" s="358">
        <v>0.14891696750902528</v>
      </c>
      <c r="R1199" s="359">
        <v>0.22956521739130434</v>
      </c>
      <c r="S1199" s="196">
        <v>4973224000</v>
      </c>
      <c r="T1199" s="196">
        <v>80100000</v>
      </c>
      <c r="U1199" s="200">
        <f t="shared" si="204"/>
        <v>1317645000</v>
      </c>
      <c r="V1199" s="196">
        <v>22000000</v>
      </c>
      <c r="W1199" s="196">
        <v>783000000</v>
      </c>
      <c r="X1199" s="196">
        <v>346000000</v>
      </c>
      <c r="Y1199" s="196">
        <v>1238000000</v>
      </c>
      <c r="Z1199" s="196">
        <v>0</v>
      </c>
      <c r="AA1199" s="198">
        <v>0.02</v>
      </c>
      <c r="AB1199" s="198">
        <v>0.02</v>
      </c>
      <c r="AC1199" s="213">
        <f t="shared" si="205"/>
        <v>616</v>
      </c>
      <c r="AD1199" s="213">
        <f t="shared" si="206"/>
        <v>487</v>
      </c>
      <c r="AE1199" s="213">
        <v>1.41</v>
      </c>
      <c r="AF1199" s="196">
        <v>98000000</v>
      </c>
      <c r="AG1199" s="104">
        <f t="shared" si="207"/>
        <v>1.223470661672909</v>
      </c>
      <c r="AH1199" s="104">
        <f t="shared" si="208"/>
        <v>4.4545454545454541</v>
      </c>
      <c r="AI1199" s="195">
        <v>3</v>
      </c>
      <c r="AO1199" s="213"/>
      <c r="AP1199" s="213"/>
      <c r="AQ1199" s="213"/>
      <c r="AR1199" s="213"/>
      <c r="AS1199" s="213"/>
      <c r="AT1199" s="213"/>
      <c r="AU1199" s="213"/>
      <c r="AV1199" s="213"/>
    </row>
    <row r="1200" spans="1:48">
      <c r="A1200">
        <v>6155</v>
      </c>
      <c r="C1200" s="107">
        <f>VLOOKUP(6155,收盤價!$A:$C,3,0)</f>
        <v>17.8</v>
      </c>
      <c r="D1200" s="107">
        <f t="shared" si="198"/>
        <v>23.074074074074073</v>
      </c>
      <c r="E1200" s="167">
        <f t="shared" si="199"/>
        <v>3</v>
      </c>
      <c r="F1200" s="104">
        <f t="shared" si="200"/>
        <v>2.4783572061872214</v>
      </c>
      <c r="G1200" s="167">
        <f>RANK(1.2,AE:AE,0)</f>
        <v>710</v>
      </c>
      <c r="H1200" s="365">
        <f t="shared" si="201"/>
        <v>1.3671489550418539</v>
      </c>
      <c r="I1200" s="213">
        <f t="shared" si="202"/>
        <v>778</v>
      </c>
      <c r="J1200" s="213">
        <f t="shared" si="203"/>
        <v>295</v>
      </c>
      <c r="K1200">
        <f>RANK(1.45,AI:AI,0)</f>
        <v>582</v>
      </c>
      <c r="L1200" s="357">
        <v>0</v>
      </c>
      <c r="M1200" s="357">
        <v>1</v>
      </c>
      <c r="N1200" s="357">
        <v>1</v>
      </c>
      <c r="O1200" s="357">
        <v>1</v>
      </c>
      <c r="P1200" s="357">
        <v>0</v>
      </c>
      <c r="Q1200" s="358">
        <v>0.29629629629629628</v>
      </c>
      <c r="R1200" s="359">
        <v>0.19285714285714287</v>
      </c>
      <c r="S1200" s="196">
        <v>616949000</v>
      </c>
      <c r="T1200" s="196">
        <v>85900000</v>
      </c>
      <c r="U1200" s="200">
        <f t="shared" si="204"/>
        <v>1529020000</v>
      </c>
      <c r="V1200" s="196">
        <v>21000000</v>
      </c>
      <c r="W1200" s="196">
        <v>608000000</v>
      </c>
      <c r="X1200" s="196">
        <v>380000000</v>
      </c>
      <c r="Y1200" s="196">
        <v>1382000000</v>
      </c>
      <c r="Z1200" s="196">
        <v>566000000</v>
      </c>
      <c r="AA1200" s="198">
        <v>0.02</v>
      </c>
      <c r="AB1200" s="198">
        <v>0.01</v>
      </c>
      <c r="AC1200" s="213">
        <f t="shared" si="205"/>
        <v>616</v>
      </c>
      <c r="AD1200" s="213">
        <f t="shared" si="206"/>
        <v>680</v>
      </c>
      <c r="AE1200" s="213">
        <v>1.2</v>
      </c>
      <c r="AF1200" s="196">
        <v>38000000</v>
      </c>
      <c r="AG1200" s="104">
        <f t="shared" si="207"/>
        <v>0.44237485448195574</v>
      </c>
      <c r="AH1200" s="104">
        <f t="shared" si="208"/>
        <v>1.8095238095238095</v>
      </c>
      <c r="AI1200" s="195">
        <v>1.45</v>
      </c>
      <c r="AO1200" s="213"/>
      <c r="AP1200" s="213"/>
      <c r="AQ1200" s="213"/>
      <c r="AR1200" s="213"/>
      <c r="AS1200" s="213"/>
      <c r="AT1200" s="213"/>
      <c r="AU1200" s="213"/>
      <c r="AV1200" s="213"/>
    </row>
    <row r="1201" spans="1:48">
      <c r="A1201">
        <v>6156</v>
      </c>
      <c r="C1201" s="107">
        <f>VLOOKUP(6156,收盤價!$A:$C,3,0)</f>
        <v>15.6</v>
      </c>
      <c r="D1201" s="107">
        <f t="shared" si="198"/>
        <v>14.064327485380117</v>
      </c>
      <c r="E1201" s="167">
        <f t="shared" si="199"/>
        <v>4</v>
      </c>
      <c r="F1201" s="104">
        <f t="shared" si="200"/>
        <v>0.30361672637882792</v>
      </c>
      <c r="G1201" s="167">
        <f>RANK(2.32,AE:AE,0)</f>
        <v>360</v>
      </c>
      <c r="H1201" s="365">
        <f t="shared" si="201"/>
        <v>0.28206174350605195</v>
      </c>
      <c r="I1201" s="213">
        <f t="shared" si="202"/>
        <v>616</v>
      </c>
      <c r="J1201" s="213">
        <f t="shared" si="203"/>
        <v>510</v>
      </c>
      <c r="K1201">
        <f>RANK(1.38,AI:AI,0)</f>
        <v>637</v>
      </c>
      <c r="L1201" s="357">
        <v>0</v>
      </c>
      <c r="M1201" s="357">
        <v>1</v>
      </c>
      <c r="N1201" s="357">
        <v>2</v>
      </c>
      <c r="O1201" s="357">
        <v>1</v>
      </c>
      <c r="P1201" s="357">
        <v>0</v>
      </c>
      <c r="Q1201" s="358">
        <v>0.19980019980019981</v>
      </c>
      <c r="R1201" s="359">
        <v>0.2772972972972973</v>
      </c>
      <c r="S1201" s="196">
        <v>3976856000</v>
      </c>
      <c r="T1201" s="196">
        <v>77400000</v>
      </c>
      <c r="U1201" s="200">
        <f t="shared" si="204"/>
        <v>1207440000</v>
      </c>
      <c r="V1201" s="196">
        <v>57000000</v>
      </c>
      <c r="W1201" s="196">
        <v>927000000</v>
      </c>
      <c r="X1201" s="196">
        <v>694000000</v>
      </c>
      <c r="Y1201" s="196">
        <v>1748000000</v>
      </c>
      <c r="Z1201" s="196">
        <v>225000000</v>
      </c>
      <c r="AA1201" s="198">
        <v>0.04</v>
      </c>
      <c r="AB1201" s="198">
        <v>0.03</v>
      </c>
      <c r="AC1201" s="213">
        <f t="shared" si="205"/>
        <v>337</v>
      </c>
      <c r="AD1201" s="213">
        <f t="shared" si="206"/>
        <v>334</v>
      </c>
      <c r="AE1201" s="213">
        <v>2.3199999999999998</v>
      </c>
      <c r="AF1201" s="196">
        <v>61000000</v>
      </c>
      <c r="AG1201" s="104">
        <f t="shared" si="207"/>
        <v>0.78811369509043927</v>
      </c>
      <c r="AH1201" s="104">
        <f t="shared" si="208"/>
        <v>1.0701754385964912</v>
      </c>
      <c r="AI1201" s="195">
        <v>1.38</v>
      </c>
    </row>
    <row r="1202" spans="1:48">
      <c r="A1202">
        <v>6158</v>
      </c>
      <c r="C1202" s="107">
        <f>VLOOKUP(6158,收盤價!$A:$C,3,0)</f>
        <v>16.850000000000001</v>
      </c>
      <c r="D1202" s="107">
        <f t="shared" si="198"/>
        <v>0</v>
      </c>
      <c r="E1202" s="167">
        <f t="shared" si="199"/>
        <v>3</v>
      </c>
      <c r="F1202" s="104">
        <f t="shared" si="200"/>
        <v>0.92551502862479984</v>
      </c>
      <c r="G1202" s="167">
        <f>RANK(0.84,AE:AE,0)</f>
        <v>946</v>
      </c>
      <c r="H1202" s="365">
        <f t="shared" si="201"/>
        <v>9.6134361233480181</v>
      </c>
      <c r="I1202" s="213">
        <f t="shared" si="202"/>
        <v>457</v>
      </c>
      <c r="J1202" s="213">
        <f t="shared" si="203"/>
        <v>34</v>
      </c>
      <c r="K1202">
        <f>RANK(3.17,AI:AI,0)</f>
        <v>153</v>
      </c>
      <c r="L1202" s="357">
        <v>0</v>
      </c>
      <c r="M1202" s="357">
        <v>1</v>
      </c>
      <c r="N1202" s="357">
        <v>1</v>
      </c>
      <c r="O1202" s="357">
        <v>1</v>
      </c>
      <c r="P1202" s="357">
        <v>0</v>
      </c>
      <c r="Q1202" s="358">
        <v>0.24740124740124741</v>
      </c>
      <c r="R1202" s="359">
        <v>0</v>
      </c>
      <c r="S1202" s="196">
        <v>2066390000</v>
      </c>
      <c r="T1202" s="196">
        <v>113500000</v>
      </c>
      <c r="U1202" s="200">
        <f t="shared" si="204"/>
        <v>1912475000.0000002</v>
      </c>
      <c r="V1202" s="196">
        <v>12000000</v>
      </c>
      <c r="W1202" s="196">
        <v>1898000000</v>
      </c>
      <c r="X1202" s="196">
        <v>780000000</v>
      </c>
      <c r="Y1202" s="196">
        <v>2621000000</v>
      </c>
      <c r="Z1202" s="196">
        <v>272000000</v>
      </c>
      <c r="AA1202" s="198">
        <v>0</v>
      </c>
      <c r="AB1202" s="198">
        <v>0</v>
      </c>
      <c r="AC1202" s="213">
        <f t="shared" si="205"/>
        <v>945</v>
      </c>
      <c r="AD1202" s="213">
        <f t="shared" si="206"/>
        <v>911</v>
      </c>
      <c r="AE1202" s="213">
        <v>0.84</v>
      </c>
      <c r="AF1202" s="196">
        <v>129000000</v>
      </c>
      <c r="AG1202" s="104">
        <f t="shared" si="207"/>
        <v>1.1365638766519823</v>
      </c>
      <c r="AH1202" s="104">
        <f t="shared" si="208"/>
        <v>10.75</v>
      </c>
      <c r="AI1202" s="195">
        <v>3.17</v>
      </c>
    </row>
    <row r="1203" spans="1:48">
      <c r="A1203">
        <v>6160</v>
      </c>
      <c r="C1203" s="107">
        <f>VLOOKUP(6160,收盤價!$A:$C,3,0)</f>
        <v>24.25</v>
      </c>
      <c r="D1203" s="107">
        <f t="shared" si="198"/>
        <v>18.9453125</v>
      </c>
      <c r="E1203" s="167">
        <f t="shared" si="199"/>
        <v>1</v>
      </c>
      <c r="F1203" s="104">
        <f t="shared" si="200"/>
        <v>1.2363222144652954</v>
      </c>
      <c r="G1203" s="167">
        <f>RANK(0.84,AE:AE,0)</f>
        <v>946</v>
      </c>
      <c r="H1203" s="365">
        <f t="shared" si="201"/>
        <v>-0.26277372262773724</v>
      </c>
      <c r="I1203" s="213">
        <f t="shared" si="202"/>
        <v>886</v>
      </c>
      <c r="J1203" s="213">
        <f t="shared" si="203"/>
        <v>768</v>
      </c>
      <c r="K1203">
        <f>RANK(0.94,AI:AI,0)</f>
        <v>936</v>
      </c>
      <c r="L1203" s="357">
        <v>0</v>
      </c>
      <c r="M1203" s="357">
        <v>1</v>
      </c>
      <c r="N1203" s="357">
        <v>0</v>
      </c>
      <c r="O1203" s="357">
        <v>0</v>
      </c>
      <c r="P1203" s="357">
        <v>0</v>
      </c>
      <c r="Q1203" s="358">
        <v>0.44171779141104295</v>
      </c>
      <c r="R1203" s="359">
        <v>0.32</v>
      </c>
      <c r="S1203" s="196">
        <v>1343602000</v>
      </c>
      <c r="T1203" s="196">
        <v>68500000</v>
      </c>
      <c r="U1203" s="200">
        <f t="shared" si="204"/>
        <v>1661125000</v>
      </c>
      <c r="V1203" s="196">
        <v>0</v>
      </c>
      <c r="W1203" s="196">
        <v>717000000</v>
      </c>
      <c r="X1203" s="196">
        <v>137000000</v>
      </c>
      <c r="Y1203" s="196">
        <v>943000000</v>
      </c>
      <c r="Z1203" s="196">
        <v>0</v>
      </c>
      <c r="AA1203" s="198">
        <v>0</v>
      </c>
      <c r="AB1203" s="198">
        <v>0</v>
      </c>
      <c r="AC1203" s="213">
        <f t="shared" si="205"/>
        <v>945</v>
      </c>
      <c r="AD1203" s="213">
        <f t="shared" si="206"/>
        <v>911</v>
      </c>
      <c r="AE1203" s="213">
        <v>0.84</v>
      </c>
      <c r="AF1203" s="196">
        <v>18000000</v>
      </c>
      <c r="AG1203" s="104">
        <f t="shared" si="207"/>
        <v>0.26277372262773724</v>
      </c>
      <c r="AH1203" s="104">
        <f t="shared" si="208"/>
        <v>0</v>
      </c>
      <c r="AI1203" s="195">
        <v>0.94</v>
      </c>
      <c r="AO1203" s="213"/>
      <c r="AP1203" s="213"/>
      <c r="AQ1203" s="213"/>
      <c r="AR1203" s="213"/>
      <c r="AS1203" s="213"/>
      <c r="AT1203" s="213"/>
      <c r="AU1203" s="213"/>
      <c r="AV1203" s="213"/>
    </row>
    <row r="1204" spans="1:48">
      <c r="A1204">
        <v>6161</v>
      </c>
      <c r="C1204" s="107">
        <f>VLOOKUP(6161,收盤價!$A:$C,3,0)</f>
        <v>8.98</v>
      </c>
      <c r="D1204" s="107">
        <f t="shared" si="198"/>
        <v>34.209523809523809</v>
      </c>
      <c r="E1204" s="167">
        <f t="shared" si="199"/>
        <v>2</v>
      </c>
      <c r="F1204" s="104">
        <f t="shared" si="200"/>
        <v>0.68373939362615388</v>
      </c>
      <c r="G1204" s="167">
        <f>RANK(1.08,AE:AE,0)</f>
        <v>769</v>
      </c>
      <c r="H1204" s="365">
        <f t="shared" si="201"/>
        <v>2.9821776392676278</v>
      </c>
      <c r="I1204" s="213">
        <f t="shared" si="202"/>
        <v>747</v>
      </c>
      <c r="J1204" s="213">
        <f t="shared" si="203"/>
        <v>132</v>
      </c>
      <c r="K1204">
        <f>RANK(1.77,AI:AI,0)</f>
        <v>426</v>
      </c>
      <c r="L1204" s="357">
        <v>0</v>
      </c>
      <c r="M1204" s="357">
        <v>1</v>
      </c>
      <c r="N1204" s="357">
        <v>1</v>
      </c>
      <c r="O1204" s="357">
        <v>0</v>
      </c>
      <c r="P1204" s="357">
        <v>0</v>
      </c>
      <c r="Q1204" s="358">
        <v>0.35606060606060608</v>
      </c>
      <c r="R1204" s="359">
        <v>6.5625000000000003E-2</v>
      </c>
      <c r="S1204" s="196">
        <v>1586546000</v>
      </c>
      <c r="T1204" s="196">
        <v>120800000</v>
      </c>
      <c r="U1204" s="200">
        <f t="shared" si="204"/>
        <v>1084784000</v>
      </c>
      <c r="V1204" s="196">
        <v>17000000</v>
      </c>
      <c r="W1204" s="196">
        <v>661000000</v>
      </c>
      <c r="X1204" s="196">
        <v>524000000</v>
      </c>
      <c r="Y1204" s="196">
        <v>1474000000</v>
      </c>
      <c r="Z1204" s="196">
        <v>57000000</v>
      </c>
      <c r="AA1204" s="198">
        <v>0.01</v>
      </c>
      <c r="AB1204" s="198">
        <v>0.01</v>
      </c>
      <c r="AC1204" s="213">
        <f t="shared" si="205"/>
        <v>769</v>
      </c>
      <c r="AD1204" s="213">
        <f t="shared" si="206"/>
        <v>680</v>
      </c>
      <c r="AE1204" s="213">
        <v>1.08</v>
      </c>
      <c r="AF1204" s="196">
        <v>59000000</v>
      </c>
      <c r="AG1204" s="104">
        <f t="shared" si="207"/>
        <v>0.48841059602649006</v>
      </c>
      <c r="AH1204" s="104">
        <f t="shared" si="208"/>
        <v>3.4705882352941178</v>
      </c>
      <c r="AI1204" s="195">
        <v>1.77</v>
      </c>
    </row>
    <row r="1205" spans="1:48">
      <c r="A1205">
        <v>6163</v>
      </c>
      <c r="C1205" s="107">
        <f>VLOOKUP(6163,收盤價!$A:$C,3,0)</f>
        <v>10.1</v>
      </c>
      <c r="D1205" s="107">
        <f t="shared" si="198"/>
        <v>0</v>
      </c>
      <c r="E1205" s="167">
        <f t="shared" si="199"/>
        <v>1</v>
      </c>
      <c r="F1205" s="104">
        <f t="shared" si="200"/>
        <v>0.38312722858660192</v>
      </c>
      <c r="G1205" s="167">
        <f>RANK(0.56,AE:AE,0)</f>
        <v>1414</v>
      </c>
      <c r="H1205" s="365">
        <f t="shared" si="201"/>
        <v>0.11594202898550725</v>
      </c>
      <c r="I1205" s="213">
        <f t="shared" si="202"/>
        <v>1151</v>
      </c>
      <c r="J1205" s="213">
        <f t="shared" si="203"/>
        <v>768</v>
      </c>
      <c r="K1205">
        <f>RANK(0.81,AI:AI,0)</f>
        <v>1144</v>
      </c>
      <c r="L1205" s="357">
        <v>0</v>
      </c>
      <c r="M1205" s="357">
        <v>1</v>
      </c>
      <c r="N1205" s="357">
        <v>0</v>
      </c>
      <c r="O1205" s="357">
        <v>0</v>
      </c>
      <c r="P1205" s="357">
        <v>0</v>
      </c>
      <c r="Q1205" s="358">
        <v>0.1807909604519774</v>
      </c>
      <c r="R1205" s="359">
        <v>0</v>
      </c>
      <c r="S1205" s="196">
        <v>2728467000</v>
      </c>
      <c r="T1205" s="196">
        <v>103500000</v>
      </c>
      <c r="U1205" s="200">
        <f t="shared" si="204"/>
        <v>1045350000</v>
      </c>
      <c r="V1205" s="196">
        <v>-27000000</v>
      </c>
      <c r="W1205" s="196">
        <v>558000000</v>
      </c>
      <c r="X1205" s="196">
        <v>222000000</v>
      </c>
      <c r="Y1205" s="196">
        <v>1175000000</v>
      </c>
      <c r="Z1205" s="196">
        <v>251000000</v>
      </c>
      <c r="AA1205" s="198">
        <v>-0.03</v>
      </c>
      <c r="AB1205" s="198">
        <v>-0.02</v>
      </c>
      <c r="AC1205" s="213">
        <f t="shared" si="205"/>
        <v>1405</v>
      </c>
      <c r="AD1205" s="213">
        <f t="shared" si="206"/>
        <v>1388</v>
      </c>
      <c r="AE1205" s="213">
        <v>0.56000000000000005</v>
      </c>
      <c r="AF1205" s="196">
        <v>-12000000</v>
      </c>
      <c r="AG1205" s="104">
        <f t="shared" si="207"/>
        <v>-0.11594202898550725</v>
      </c>
      <c r="AH1205" s="104">
        <f t="shared" si="208"/>
        <v>0</v>
      </c>
      <c r="AI1205" s="195">
        <v>0.81</v>
      </c>
      <c r="AO1205" s="213"/>
      <c r="AP1205" s="213"/>
      <c r="AQ1205" s="213"/>
      <c r="AR1205" s="213"/>
      <c r="AS1205" s="213"/>
      <c r="AT1205" s="213"/>
      <c r="AU1205" s="213"/>
      <c r="AV1205" s="213"/>
    </row>
    <row r="1206" spans="1:48">
      <c r="A1206">
        <v>6164</v>
      </c>
      <c r="C1206" s="107">
        <f>VLOOKUP(6164,收盤價!$A:$C,3,0)</f>
        <v>12.4</v>
      </c>
      <c r="D1206" s="107">
        <f t="shared" si="198"/>
        <v>45.258397932816543</v>
      </c>
      <c r="E1206" s="167">
        <f t="shared" si="199"/>
        <v>5</v>
      </c>
      <c r="F1206" s="104">
        <f t="shared" si="200"/>
        <v>0.93122878117279018</v>
      </c>
      <c r="G1206" s="167">
        <f>RANK(1.08,AE:AE,0)</f>
        <v>769</v>
      </c>
      <c r="H1206" s="365">
        <f t="shared" si="201"/>
        <v>10.71928071928072</v>
      </c>
      <c r="I1206" s="213">
        <f t="shared" si="202"/>
        <v>472</v>
      </c>
      <c r="J1206" s="213">
        <f t="shared" si="203"/>
        <v>27</v>
      </c>
      <c r="K1206">
        <f>RANK(3.12,AI:AI,0)</f>
        <v>157</v>
      </c>
      <c r="L1206" s="357">
        <v>1</v>
      </c>
      <c r="M1206" s="357">
        <v>1</v>
      </c>
      <c r="N1206" s="357">
        <v>2</v>
      </c>
      <c r="O1206" s="357">
        <v>1</v>
      </c>
      <c r="P1206" s="357">
        <v>0</v>
      </c>
      <c r="Q1206" s="358">
        <v>0.27228915662650605</v>
      </c>
      <c r="R1206" s="359">
        <v>6.8495575221238933E-2</v>
      </c>
      <c r="S1206" s="196">
        <v>1575252000</v>
      </c>
      <c r="T1206" s="196">
        <v>118300000</v>
      </c>
      <c r="U1206" s="200">
        <f t="shared" si="204"/>
        <v>1466920000</v>
      </c>
      <c r="V1206" s="196">
        <v>11000000</v>
      </c>
      <c r="W1206" s="196">
        <v>1046000000</v>
      </c>
      <c r="X1206" s="196">
        <v>618000000</v>
      </c>
      <c r="Y1206" s="196">
        <v>1538000000</v>
      </c>
      <c r="Z1206" s="196">
        <v>215000000</v>
      </c>
      <c r="AA1206" s="198">
        <v>0.01</v>
      </c>
      <c r="AB1206" s="198">
        <v>0.01</v>
      </c>
      <c r="AC1206" s="213">
        <f t="shared" si="205"/>
        <v>769</v>
      </c>
      <c r="AD1206" s="213">
        <f t="shared" si="206"/>
        <v>680</v>
      </c>
      <c r="AE1206" s="213">
        <v>1.08</v>
      </c>
      <c r="AF1206" s="196">
        <v>130000000</v>
      </c>
      <c r="AG1206" s="104">
        <f t="shared" si="207"/>
        <v>1.098901098901099</v>
      </c>
      <c r="AH1206" s="104">
        <f t="shared" si="208"/>
        <v>11.818181818181818</v>
      </c>
      <c r="AI1206" s="195">
        <v>3.12</v>
      </c>
    </row>
    <row r="1207" spans="1:48">
      <c r="A1207">
        <v>6165</v>
      </c>
      <c r="C1207" s="107">
        <f>VLOOKUP(6165,收盤價!$A:$C,3,0)</f>
        <v>17.55</v>
      </c>
      <c r="D1207" s="107">
        <f t="shared" si="198"/>
        <v>0</v>
      </c>
      <c r="E1207" s="167">
        <f t="shared" si="199"/>
        <v>3</v>
      </c>
      <c r="F1207" s="104">
        <f t="shared" si="200"/>
        <v>6.3619422036148272</v>
      </c>
      <c r="G1207" s="167">
        <f>RANK(0.59,AE:AE,0)</f>
        <v>1348</v>
      </c>
      <c r="H1207" s="365">
        <f t="shared" si="201"/>
        <v>0.16096579476861167</v>
      </c>
      <c r="I1207" s="213">
        <f t="shared" si="202"/>
        <v>1184</v>
      </c>
      <c r="J1207" s="213">
        <f t="shared" si="203"/>
        <v>768</v>
      </c>
      <c r="K1207">
        <f>RANK(0.8,AI:AI,0)</f>
        <v>1168</v>
      </c>
      <c r="L1207" s="357">
        <v>0</v>
      </c>
      <c r="M1207" s="357">
        <v>1</v>
      </c>
      <c r="N1207" s="357">
        <v>2</v>
      </c>
      <c r="O1207" s="357">
        <v>0</v>
      </c>
      <c r="P1207" s="357">
        <v>0</v>
      </c>
      <c r="Q1207" s="358">
        <v>0.17499999999999999</v>
      </c>
      <c r="R1207" s="359">
        <v>0</v>
      </c>
      <c r="S1207" s="196">
        <v>137102000</v>
      </c>
      <c r="T1207" s="196">
        <v>49700000</v>
      </c>
      <c r="U1207" s="200">
        <f t="shared" si="204"/>
        <v>872235000</v>
      </c>
      <c r="V1207" s="196">
        <v>-6000000</v>
      </c>
      <c r="W1207" s="196">
        <v>261000000</v>
      </c>
      <c r="X1207" s="196">
        <v>70000000</v>
      </c>
      <c r="Y1207" s="196">
        <v>457000000</v>
      </c>
      <c r="Z1207" s="196">
        <v>0</v>
      </c>
      <c r="AA1207" s="198">
        <v>-0.02</v>
      </c>
      <c r="AB1207" s="198">
        <v>-0.01</v>
      </c>
      <c r="AC1207" s="213">
        <f t="shared" si="205"/>
        <v>1353</v>
      </c>
      <c r="AD1207" s="213">
        <f t="shared" si="206"/>
        <v>1294</v>
      </c>
      <c r="AE1207" s="213">
        <v>0.59</v>
      </c>
      <c r="AF1207" s="196">
        <v>-8000000</v>
      </c>
      <c r="AG1207" s="104">
        <f t="shared" si="207"/>
        <v>-0.16096579476861167</v>
      </c>
      <c r="AH1207" s="104">
        <f t="shared" si="208"/>
        <v>0</v>
      </c>
      <c r="AI1207" s="195">
        <v>0.8</v>
      </c>
      <c r="AO1207" s="213"/>
      <c r="AP1207" s="213"/>
      <c r="AQ1207" s="213"/>
      <c r="AR1207" s="213"/>
      <c r="AS1207" s="213"/>
      <c r="AT1207" s="213"/>
      <c r="AU1207" s="213"/>
      <c r="AV1207" s="213"/>
    </row>
    <row r="1208" spans="1:48">
      <c r="A1208">
        <v>6166</v>
      </c>
      <c r="C1208" s="107">
        <f>VLOOKUP(6166,收盤價!$A:$C,3,0)</f>
        <v>64</v>
      </c>
      <c r="D1208" s="107">
        <f t="shared" si="198"/>
        <v>33.457103771741252</v>
      </c>
      <c r="E1208" s="167">
        <f t="shared" si="199"/>
        <v>1</v>
      </c>
      <c r="F1208" s="104">
        <f t="shared" si="200"/>
        <v>1.5691136265861139</v>
      </c>
      <c r="G1208" s="167">
        <f>RANK(1.89,AE:AE,0)</f>
        <v>498</v>
      </c>
      <c r="H1208" s="365">
        <f t="shared" si="201"/>
        <v>1.0492406810860562</v>
      </c>
      <c r="I1208" s="213">
        <f t="shared" si="202"/>
        <v>1443</v>
      </c>
      <c r="J1208" s="213">
        <f t="shared" si="203"/>
        <v>768</v>
      </c>
      <c r="K1208">
        <f>RANK(0.7,AI:AI,0)</f>
        <v>1442</v>
      </c>
      <c r="L1208" s="357">
        <v>0</v>
      </c>
      <c r="M1208" s="357">
        <v>1</v>
      </c>
      <c r="N1208" s="357">
        <v>0</v>
      </c>
      <c r="O1208" s="357">
        <v>0</v>
      </c>
      <c r="P1208" s="357">
        <v>0</v>
      </c>
      <c r="Q1208" s="358">
        <v>0.42863229654878571</v>
      </c>
      <c r="R1208" s="359">
        <v>0.47822429906542058</v>
      </c>
      <c r="S1208" s="196">
        <v>8863093000</v>
      </c>
      <c r="T1208" s="196">
        <v>217300000</v>
      </c>
      <c r="U1208" s="200">
        <f t="shared" si="204"/>
        <v>13907200000</v>
      </c>
      <c r="V1208" s="196">
        <v>122000000</v>
      </c>
      <c r="W1208" s="196">
        <v>1940000000</v>
      </c>
      <c r="X1208" s="196">
        <v>1114000000</v>
      </c>
      <c r="Y1208" s="196">
        <v>4456000000</v>
      </c>
      <c r="Z1208" s="196">
        <v>577000000</v>
      </c>
      <c r="AA1208" s="198">
        <v>0.04</v>
      </c>
      <c r="AB1208" s="198">
        <v>0.02</v>
      </c>
      <c r="AC1208" s="213">
        <f t="shared" si="205"/>
        <v>337</v>
      </c>
      <c r="AD1208" s="213">
        <f t="shared" si="206"/>
        <v>487</v>
      </c>
      <c r="AE1208" s="213">
        <v>1.89</v>
      </c>
      <c r="AF1208" s="196">
        <v>-228000000</v>
      </c>
      <c r="AG1208" s="104">
        <f t="shared" si="207"/>
        <v>-1.0492406810860562</v>
      </c>
      <c r="AH1208" s="104">
        <f t="shared" si="208"/>
        <v>0</v>
      </c>
      <c r="AI1208" s="195">
        <v>0.7</v>
      </c>
    </row>
    <row r="1209" spans="1:48">
      <c r="A1209">
        <v>6167</v>
      </c>
      <c r="C1209" s="107">
        <f>VLOOKUP(6167,收盤價!$A:$C,3,0)</f>
        <v>6.08</v>
      </c>
      <c r="D1209" s="107">
        <f t="shared" si="198"/>
        <v>7.0424710424710435</v>
      </c>
      <c r="E1209" s="167">
        <f t="shared" si="199"/>
        <v>4</v>
      </c>
      <c r="F1209" s="104">
        <f t="shared" si="200"/>
        <v>0.478700651906937</v>
      </c>
      <c r="G1209" s="167">
        <f>RANK(2.32,AE:AE,0)</f>
        <v>360</v>
      </c>
      <c r="H1209" s="365">
        <f t="shared" si="201"/>
        <v>1.7516337854500619</v>
      </c>
      <c r="I1209" s="213">
        <f t="shared" si="202"/>
        <v>711</v>
      </c>
      <c r="J1209" s="213">
        <f t="shared" si="203"/>
        <v>208</v>
      </c>
      <c r="K1209">
        <f>RANK(1.7,AI:AI,0)</f>
        <v>456</v>
      </c>
      <c r="L1209" s="357">
        <v>0</v>
      </c>
      <c r="M1209" s="357">
        <v>1</v>
      </c>
      <c r="N1209" s="357">
        <v>2</v>
      </c>
      <c r="O1209" s="357">
        <v>1</v>
      </c>
      <c r="P1209" s="357">
        <v>0</v>
      </c>
      <c r="Q1209" s="358">
        <v>0.17635658914728683</v>
      </c>
      <c r="R1209" s="359">
        <v>0.21583333333333329</v>
      </c>
      <c r="S1209" s="196">
        <v>2060110000</v>
      </c>
      <c r="T1209" s="196">
        <v>162200000</v>
      </c>
      <c r="U1209" s="200">
        <f t="shared" si="204"/>
        <v>986176000</v>
      </c>
      <c r="V1209" s="196">
        <v>40000000</v>
      </c>
      <c r="W1209" s="196">
        <v>288000000</v>
      </c>
      <c r="X1209" s="196">
        <v>787000000</v>
      </c>
      <c r="Y1209" s="196">
        <v>956000000</v>
      </c>
      <c r="Z1209" s="196">
        <v>248000000</v>
      </c>
      <c r="AA1209" s="198">
        <v>0.04</v>
      </c>
      <c r="AB1209" s="198">
        <v>0.03</v>
      </c>
      <c r="AC1209" s="213">
        <f t="shared" si="205"/>
        <v>337</v>
      </c>
      <c r="AD1209" s="213">
        <f t="shared" si="206"/>
        <v>334</v>
      </c>
      <c r="AE1209" s="213">
        <v>2.3199999999999998</v>
      </c>
      <c r="AF1209" s="196">
        <v>93000000</v>
      </c>
      <c r="AG1209" s="104">
        <f t="shared" si="207"/>
        <v>0.5733662145499383</v>
      </c>
      <c r="AH1209" s="104">
        <f t="shared" si="208"/>
        <v>2.3250000000000002</v>
      </c>
      <c r="AI1209" s="195">
        <v>1.7</v>
      </c>
    </row>
    <row r="1210" spans="1:48">
      <c r="A1210">
        <v>6168</v>
      </c>
      <c r="C1210" s="107">
        <f>VLOOKUP(6168,收盤價!$A:$C,3,0)</f>
        <v>9.32</v>
      </c>
      <c r="D1210" s="107">
        <f t="shared" si="198"/>
        <v>0</v>
      </c>
      <c r="E1210" s="167">
        <f t="shared" si="199"/>
        <v>0</v>
      </c>
      <c r="F1210" s="104">
        <f t="shared" si="200"/>
        <v>0.56815290522037021</v>
      </c>
      <c r="G1210" s="167">
        <f>RANK(0.52,AE:AE,0)</f>
        <v>1493</v>
      </c>
      <c r="H1210" s="365">
        <f t="shared" si="201"/>
        <v>0.14961389961389962</v>
      </c>
      <c r="I1210" s="213">
        <f t="shared" si="202"/>
        <v>1173</v>
      </c>
      <c r="J1210" s="213">
        <f t="shared" si="203"/>
        <v>768</v>
      </c>
      <c r="K1210">
        <f>RANK(0.8,AI:AI,0)</f>
        <v>1168</v>
      </c>
      <c r="L1210" s="357">
        <v>0</v>
      </c>
      <c r="M1210" s="357">
        <v>0</v>
      </c>
      <c r="N1210" s="357">
        <v>0</v>
      </c>
      <c r="O1210" s="357">
        <v>0</v>
      </c>
      <c r="P1210" s="357">
        <v>0</v>
      </c>
      <c r="Q1210" s="358">
        <v>7.9365079365079361E-2</v>
      </c>
      <c r="R1210" s="359">
        <v>0</v>
      </c>
      <c r="S1210" s="196">
        <v>3398916000</v>
      </c>
      <c r="T1210" s="196">
        <v>207200000</v>
      </c>
      <c r="U1210" s="200">
        <f t="shared" si="204"/>
        <v>1931104000</v>
      </c>
      <c r="V1210" s="196">
        <v>-140000000</v>
      </c>
      <c r="W1210" s="196">
        <v>1684000000</v>
      </c>
      <c r="X1210" s="196">
        <v>680000000</v>
      </c>
      <c r="Y1210" s="196">
        <v>2417000000</v>
      </c>
      <c r="Z1210" s="196">
        <v>5000000</v>
      </c>
      <c r="AA1210" s="198">
        <v>-0.06</v>
      </c>
      <c r="AB1210" s="198">
        <v>-0.06</v>
      </c>
      <c r="AC1210" s="213">
        <f t="shared" si="205"/>
        <v>1484</v>
      </c>
      <c r="AD1210" s="213">
        <f t="shared" si="206"/>
        <v>1515</v>
      </c>
      <c r="AE1210" s="213">
        <v>0.52</v>
      </c>
      <c r="AF1210" s="196">
        <v>-31000000</v>
      </c>
      <c r="AG1210" s="104">
        <f t="shared" si="207"/>
        <v>-0.14961389961389962</v>
      </c>
      <c r="AH1210" s="104">
        <f t="shared" si="208"/>
        <v>0</v>
      </c>
      <c r="AI1210" s="195">
        <v>0.8</v>
      </c>
      <c r="AO1210" s="213"/>
      <c r="AP1210" s="213"/>
      <c r="AQ1210" s="213"/>
      <c r="AR1210" s="213"/>
      <c r="AS1210" s="213"/>
      <c r="AT1210" s="213"/>
      <c r="AU1210" s="213"/>
      <c r="AV1210" s="213"/>
    </row>
    <row r="1211" spans="1:48">
      <c r="A1211">
        <v>6169</v>
      </c>
      <c r="C1211" s="107">
        <f>VLOOKUP(6169,收盤價!$A:$C,3,0)</f>
        <v>29.45</v>
      </c>
      <c r="D1211" s="107">
        <f t="shared" si="198"/>
        <v>0</v>
      </c>
      <c r="E1211" s="167">
        <f t="shared" si="199"/>
        <v>3</v>
      </c>
      <c r="F1211" s="104">
        <f t="shared" si="200"/>
        <v>4.8059198580484415</v>
      </c>
      <c r="G1211" s="167">
        <f>RANK(0.51,AE:AE,0)</f>
        <v>1523</v>
      </c>
      <c r="H1211" s="365">
        <f t="shared" si="201"/>
        <v>1.323943661971831</v>
      </c>
      <c r="I1211" s="213">
        <f t="shared" si="202"/>
        <v>1467</v>
      </c>
      <c r="J1211" s="213">
        <f t="shared" si="203"/>
        <v>768</v>
      </c>
      <c r="K1211">
        <f>RANK(0.7,AI:AI,0)</f>
        <v>1442</v>
      </c>
      <c r="L1211" s="357">
        <v>0</v>
      </c>
      <c r="M1211" s="357">
        <v>1</v>
      </c>
      <c r="N1211" s="357">
        <v>1</v>
      </c>
      <c r="O1211" s="357">
        <v>0</v>
      </c>
      <c r="P1211" s="357">
        <v>1</v>
      </c>
      <c r="Q1211" s="358">
        <v>0.45098039215686275</v>
      </c>
      <c r="R1211" s="359">
        <v>0</v>
      </c>
      <c r="S1211" s="196">
        <v>217539000</v>
      </c>
      <c r="T1211" s="196">
        <v>35500000</v>
      </c>
      <c r="U1211" s="200">
        <f t="shared" si="204"/>
        <v>1045475000</v>
      </c>
      <c r="V1211" s="196">
        <v>-39000000</v>
      </c>
      <c r="W1211" s="196">
        <v>246000000</v>
      </c>
      <c r="X1211" s="196">
        <v>166000000</v>
      </c>
      <c r="Y1211" s="196">
        <v>431000000</v>
      </c>
      <c r="Z1211" s="196">
        <v>0</v>
      </c>
      <c r="AA1211" s="198">
        <v>-0.09</v>
      </c>
      <c r="AB1211" s="198">
        <v>-0.09</v>
      </c>
      <c r="AC1211" s="213">
        <f t="shared" si="205"/>
        <v>1514</v>
      </c>
      <c r="AD1211" s="213">
        <f t="shared" si="206"/>
        <v>1533</v>
      </c>
      <c r="AE1211" s="213">
        <v>0.51</v>
      </c>
      <c r="AF1211" s="196">
        <v>-47000000</v>
      </c>
      <c r="AG1211" s="104">
        <f t="shared" si="207"/>
        <v>-1.323943661971831</v>
      </c>
      <c r="AH1211" s="104">
        <f t="shared" si="208"/>
        <v>0</v>
      </c>
      <c r="AI1211" s="195">
        <v>0.7</v>
      </c>
    </row>
    <row r="1212" spans="1:48">
      <c r="A1212">
        <v>6170</v>
      </c>
      <c r="C1212" s="107">
        <f>VLOOKUP(6170,收盤價!$A:$C,3,0)</f>
        <v>9.4600000000000009</v>
      </c>
      <c r="D1212" s="107">
        <f t="shared" si="198"/>
        <v>0</v>
      </c>
      <c r="E1212" s="167">
        <f t="shared" si="199"/>
        <v>1</v>
      </c>
      <c r="F1212" s="104">
        <f t="shared" si="200"/>
        <v>0.25528700315558017</v>
      </c>
      <c r="G1212" s="167">
        <f>RANK(0.59,AE:AE,0)</f>
        <v>1348</v>
      </c>
      <c r="H1212" s="365">
        <f t="shared" si="201"/>
        <v>1.2040133779264215</v>
      </c>
      <c r="I1212" s="213">
        <f t="shared" si="202"/>
        <v>1458</v>
      </c>
      <c r="J1212" s="213">
        <f t="shared" si="203"/>
        <v>768</v>
      </c>
      <c r="K1212">
        <f>RANK(0.7,AI:AI,0)</f>
        <v>1442</v>
      </c>
      <c r="L1212" s="357">
        <v>0</v>
      </c>
      <c r="M1212" s="357">
        <v>0</v>
      </c>
      <c r="N1212" s="357">
        <v>1</v>
      </c>
      <c r="O1212" s="357">
        <v>0</v>
      </c>
      <c r="P1212" s="357">
        <v>0</v>
      </c>
      <c r="Q1212" s="358">
        <v>9.8400984009840098E-2</v>
      </c>
      <c r="R1212" s="359">
        <v>0</v>
      </c>
      <c r="S1212" s="196">
        <v>3323953000</v>
      </c>
      <c r="T1212" s="196">
        <v>89700000</v>
      </c>
      <c r="U1212" s="200">
        <f t="shared" si="204"/>
        <v>848562000.00000012</v>
      </c>
      <c r="V1212" s="196">
        <v>-25000000</v>
      </c>
      <c r="W1212" s="196">
        <v>831000000</v>
      </c>
      <c r="X1212" s="196">
        <v>666000000</v>
      </c>
      <c r="Y1212" s="196">
        <v>1573000000</v>
      </c>
      <c r="Z1212" s="196">
        <v>249000000</v>
      </c>
      <c r="AA1212" s="198">
        <v>-0.02</v>
      </c>
      <c r="AB1212" s="198">
        <v>-0.01</v>
      </c>
      <c r="AC1212" s="213">
        <f t="shared" si="205"/>
        <v>1353</v>
      </c>
      <c r="AD1212" s="213">
        <f t="shared" si="206"/>
        <v>1294</v>
      </c>
      <c r="AE1212" s="213">
        <v>0.59</v>
      </c>
      <c r="AF1212" s="196">
        <v>-108000000</v>
      </c>
      <c r="AG1212" s="104">
        <f t="shared" si="207"/>
        <v>-1.2040133779264215</v>
      </c>
      <c r="AH1212" s="104">
        <f t="shared" si="208"/>
        <v>0</v>
      </c>
      <c r="AI1212" s="195">
        <v>0.7</v>
      </c>
      <c r="AO1212" s="213"/>
      <c r="AP1212" s="213"/>
      <c r="AQ1212" s="213"/>
      <c r="AR1212" s="213"/>
      <c r="AS1212" s="213"/>
      <c r="AT1212" s="213"/>
      <c r="AU1212" s="213"/>
      <c r="AV1212" s="213"/>
    </row>
    <row r="1213" spans="1:48">
      <c r="A1213">
        <v>6171</v>
      </c>
      <c r="C1213" s="107">
        <f>VLOOKUP(6171,收盤價!$A:$C,3,0)</f>
        <v>10.95</v>
      </c>
      <c r="D1213" s="107">
        <f t="shared" si="198"/>
        <v>0</v>
      </c>
      <c r="E1213" s="167">
        <f t="shared" si="199"/>
        <v>1</v>
      </c>
      <c r="F1213" s="104">
        <f t="shared" si="200"/>
        <v>1.5610588949329824</v>
      </c>
      <c r="G1213" s="167">
        <f>RANK(0.84,AE:AE,0)</f>
        <v>946</v>
      </c>
      <c r="H1213" s="365">
        <f t="shared" si="201"/>
        <v>1.830238726790451</v>
      </c>
      <c r="I1213" s="213">
        <f t="shared" si="202"/>
        <v>1503</v>
      </c>
      <c r="J1213" s="213">
        <f t="shared" si="203"/>
        <v>768</v>
      </c>
      <c r="K1213">
        <f>RANK(0.69,AI:AI,0)</f>
        <v>1474</v>
      </c>
      <c r="L1213" s="357">
        <v>0</v>
      </c>
      <c r="M1213" s="357">
        <v>0</v>
      </c>
      <c r="N1213" s="357">
        <v>1</v>
      </c>
      <c r="O1213" s="357">
        <v>0</v>
      </c>
      <c r="P1213" s="357">
        <v>0</v>
      </c>
      <c r="Q1213" s="358">
        <v>0.2857142857142857</v>
      </c>
      <c r="R1213" s="359">
        <v>0</v>
      </c>
      <c r="S1213" s="196">
        <v>528891000</v>
      </c>
      <c r="T1213" s="196">
        <v>75400000</v>
      </c>
      <c r="U1213" s="200">
        <f t="shared" si="204"/>
        <v>825630000</v>
      </c>
      <c r="V1213" s="196">
        <v>-3000000</v>
      </c>
      <c r="W1213" s="196">
        <v>1044000000</v>
      </c>
      <c r="X1213" s="196">
        <v>0</v>
      </c>
      <c r="Y1213" s="196">
        <v>1054000000</v>
      </c>
      <c r="Z1213" s="196">
        <v>245000000</v>
      </c>
      <c r="AA1213" s="198">
        <v>0</v>
      </c>
      <c r="AB1213" s="198">
        <v>0</v>
      </c>
      <c r="AC1213" s="213">
        <f t="shared" si="205"/>
        <v>945</v>
      </c>
      <c r="AD1213" s="213">
        <f t="shared" si="206"/>
        <v>911</v>
      </c>
      <c r="AE1213" s="213">
        <v>0.84</v>
      </c>
      <c r="AF1213" s="196">
        <v>-138000000</v>
      </c>
      <c r="AG1213" s="104">
        <f t="shared" si="207"/>
        <v>-1.830238726790451</v>
      </c>
      <c r="AH1213" s="104">
        <f t="shared" si="208"/>
        <v>0</v>
      </c>
      <c r="AI1213" s="195">
        <v>0.69</v>
      </c>
    </row>
    <row r="1214" spans="1:48">
      <c r="A1214">
        <v>6172</v>
      </c>
      <c r="C1214" s="107">
        <f>VLOOKUP(6172,收盤價!$A:$C,3,0)</f>
        <v>10.1</v>
      </c>
      <c r="D1214" s="107">
        <f t="shared" si="198"/>
        <v>0</v>
      </c>
      <c r="E1214" s="167">
        <f t="shared" si="199"/>
        <v>2</v>
      </c>
      <c r="F1214" s="104">
        <f t="shared" si="200"/>
        <v>0.94477288034124074</v>
      </c>
      <c r="G1214" s="167">
        <f>RANK(1.53,AE:AE,0)</f>
        <v>613</v>
      </c>
      <c r="H1214" s="365">
        <f t="shared" si="201"/>
        <v>4.2</v>
      </c>
      <c r="I1214" s="213">
        <f t="shared" si="202"/>
        <v>762</v>
      </c>
      <c r="J1214" s="213">
        <f t="shared" si="203"/>
        <v>87</v>
      </c>
      <c r="K1214">
        <f>RANK(1.84,AI:AI,0)</f>
        <v>398</v>
      </c>
      <c r="L1214" s="357">
        <v>0</v>
      </c>
      <c r="M1214" s="357">
        <v>1</v>
      </c>
      <c r="N1214" s="357">
        <v>0</v>
      </c>
      <c r="O1214" s="357">
        <v>1</v>
      </c>
      <c r="P1214" s="357">
        <v>0</v>
      </c>
      <c r="Q1214" s="358">
        <v>4.49438202247191E-2</v>
      </c>
      <c r="R1214" s="359">
        <v>0</v>
      </c>
      <c r="S1214" s="196">
        <v>320712000</v>
      </c>
      <c r="T1214" s="196">
        <v>30000000</v>
      </c>
      <c r="U1214" s="200">
        <f t="shared" si="204"/>
        <v>303000000</v>
      </c>
      <c r="V1214" s="196">
        <v>3000000</v>
      </c>
      <c r="W1214" s="196">
        <v>57000000</v>
      </c>
      <c r="X1214" s="196">
        <v>28000000</v>
      </c>
      <c r="Y1214" s="196">
        <v>287000000</v>
      </c>
      <c r="Z1214" s="196">
        <v>0</v>
      </c>
      <c r="AA1214" s="198">
        <v>0.04</v>
      </c>
      <c r="AB1214" s="198">
        <v>0.01</v>
      </c>
      <c r="AC1214" s="213">
        <f t="shared" si="205"/>
        <v>337</v>
      </c>
      <c r="AD1214" s="213">
        <f t="shared" si="206"/>
        <v>680</v>
      </c>
      <c r="AE1214" s="213">
        <v>1.53</v>
      </c>
      <c r="AF1214" s="196">
        <v>14000000</v>
      </c>
      <c r="AG1214" s="104">
        <f t="shared" si="207"/>
        <v>0.46666666666666667</v>
      </c>
      <c r="AH1214" s="104">
        <f t="shared" si="208"/>
        <v>4.666666666666667</v>
      </c>
      <c r="AI1214" s="195">
        <v>1.84</v>
      </c>
    </row>
    <row r="1215" spans="1:48">
      <c r="A1215">
        <v>6173</v>
      </c>
      <c r="C1215" s="107">
        <f>VLOOKUP(6173,收盤價!$A:$C,3,0)</f>
        <v>17.399999999999999</v>
      </c>
      <c r="D1215" s="107">
        <f t="shared" si="198"/>
        <v>12.565725413826678</v>
      </c>
      <c r="E1215" s="167">
        <f t="shared" si="199"/>
        <v>5</v>
      </c>
      <c r="F1215" s="104">
        <f t="shared" si="200"/>
        <v>1.2639894822562128</v>
      </c>
      <c r="G1215" s="167">
        <f>RANK(2.32,AE:AE,0)</f>
        <v>360</v>
      </c>
      <c r="H1215" s="365">
        <f t="shared" si="201"/>
        <v>0.76375132560978054</v>
      </c>
      <c r="I1215" s="213">
        <f t="shared" si="202"/>
        <v>697</v>
      </c>
      <c r="J1215" s="213">
        <f t="shared" si="203"/>
        <v>413</v>
      </c>
      <c r="K1215">
        <f>RANK(1.4,AI:AI,0)</f>
        <v>622</v>
      </c>
      <c r="L1215" s="357">
        <v>1</v>
      </c>
      <c r="M1215" s="357">
        <v>1</v>
      </c>
      <c r="N1215" s="357">
        <v>2</v>
      </c>
      <c r="O1215" s="357">
        <v>1</v>
      </c>
      <c r="P1215" s="357">
        <v>0</v>
      </c>
      <c r="Q1215" s="358">
        <v>0.22529069767441862</v>
      </c>
      <c r="R1215" s="359">
        <v>0.34617977528089888</v>
      </c>
      <c r="S1215" s="196">
        <v>2548075000</v>
      </c>
      <c r="T1215" s="196">
        <v>185100000</v>
      </c>
      <c r="U1215" s="200">
        <f t="shared" si="204"/>
        <v>3220739999.9999995</v>
      </c>
      <c r="V1215" s="196">
        <v>81000000</v>
      </c>
      <c r="W1215" s="196">
        <v>1261000000</v>
      </c>
      <c r="X1215" s="196">
        <v>729000000</v>
      </c>
      <c r="Y1215" s="196">
        <v>2777000000</v>
      </c>
      <c r="Z1215" s="196">
        <v>334000000</v>
      </c>
      <c r="AA1215" s="198">
        <v>0.04</v>
      </c>
      <c r="AB1215" s="198">
        <v>0.03</v>
      </c>
      <c r="AC1215" s="213">
        <f t="shared" si="205"/>
        <v>337</v>
      </c>
      <c r="AD1215" s="213">
        <f t="shared" si="206"/>
        <v>334</v>
      </c>
      <c r="AE1215" s="213">
        <v>2.3199999999999998</v>
      </c>
      <c r="AF1215" s="196">
        <v>110000000</v>
      </c>
      <c r="AG1215" s="104">
        <f t="shared" si="207"/>
        <v>0.59427336574824419</v>
      </c>
      <c r="AH1215" s="104">
        <f t="shared" si="208"/>
        <v>1.3580246913580247</v>
      </c>
      <c r="AI1215" s="195">
        <v>1.4</v>
      </c>
    </row>
    <row r="1216" spans="1:48">
      <c r="A1216">
        <v>6174</v>
      </c>
      <c r="C1216" s="107">
        <f>VLOOKUP(6174,收盤價!$A:$C,3,0)</f>
        <v>15</v>
      </c>
      <c r="D1216" s="107">
        <f t="shared" si="198"/>
        <v>10.267857142857144</v>
      </c>
      <c r="E1216" s="167">
        <f t="shared" si="199"/>
        <v>6</v>
      </c>
      <c r="F1216" s="104">
        <f t="shared" si="200"/>
        <v>1.3785979107808195</v>
      </c>
      <c r="G1216" s="167">
        <f>RANK(2.76,AE:AE,0)</f>
        <v>305</v>
      </c>
      <c r="H1216" s="365">
        <f t="shared" si="201"/>
        <v>9.3913043478260863E-2</v>
      </c>
      <c r="I1216" s="213">
        <f t="shared" si="202"/>
        <v>1014</v>
      </c>
      <c r="J1216" s="213">
        <f t="shared" si="203"/>
        <v>741</v>
      </c>
      <c r="K1216">
        <f>RANK(0.89,AI:AI,0)</f>
        <v>1004</v>
      </c>
      <c r="L1216" s="357">
        <v>1</v>
      </c>
      <c r="M1216" s="357">
        <v>1</v>
      </c>
      <c r="N1216" s="357">
        <v>2</v>
      </c>
      <c r="O1216" s="357">
        <v>1</v>
      </c>
      <c r="P1216" s="357">
        <v>1</v>
      </c>
      <c r="Q1216" s="358">
        <v>0.35333333333333333</v>
      </c>
      <c r="R1216" s="359">
        <v>0.36521739130434777</v>
      </c>
      <c r="S1216" s="196">
        <v>544031000</v>
      </c>
      <c r="T1216" s="196">
        <v>50000000</v>
      </c>
      <c r="U1216" s="200">
        <f t="shared" si="204"/>
        <v>750000000</v>
      </c>
      <c r="V1216" s="196">
        <v>23000000</v>
      </c>
      <c r="W1216" s="196">
        <v>333000000</v>
      </c>
      <c r="X1216" s="196">
        <v>205000000</v>
      </c>
      <c r="Y1216" s="196">
        <v>563000000</v>
      </c>
      <c r="Z1216" s="196">
        <v>0</v>
      </c>
      <c r="AA1216" s="198">
        <v>0.04</v>
      </c>
      <c r="AB1216" s="198">
        <v>0.04</v>
      </c>
      <c r="AC1216" s="213">
        <f t="shared" si="205"/>
        <v>337</v>
      </c>
      <c r="AD1216" s="213">
        <f t="shared" si="206"/>
        <v>228</v>
      </c>
      <c r="AE1216" s="213">
        <v>2.76</v>
      </c>
      <c r="AF1216" s="196">
        <v>4000000</v>
      </c>
      <c r="AG1216" s="104">
        <f t="shared" si="207"/>
        <v>0.08</v>
      </c>
      <c r="AH1216" s="104">
        <f t="shared" si="208"/>
        <v>0.17391304347826086</v>
      </c>
      <c r="AI1216" s="195">
        <v>0.89</v>
      </c>
    </row>
    <row r="1217" spans="1:48">
      <c r="A1217">
        <v>6175</v>
      </c>
      <c r="C1217" s="107">
        <f>VLOOKUP(6175,收盤價!$A:$C,3,0)</f>
        <v>13.4</v>
      </c>
      <c r="D1217" s="107">
        <f t="shared" si="198"/>
        <v>0</v>
      </c>
      <c r="E1217" s="167">
        <f t="shared" si="199"/>
        <v>2</v>
      </c>
      <c r="F1217" s="104">
        <f t="shared" si="200"/>
        <v>0.91812971552218858</v>
      </c>
      <c r="G1217" s="167">
        <f>RANK(1.63,AE:AE,0)</f>
        <v>551</v>
      </c>
      <c r="H1217" s="365">
        <f t="shared" si="201"/>
        <v>0.17403915881073242</v>
      </c>
      <c r="I1217" s="213">
        <f t="shared" si="202"/>
        <v>1193</v>
      </c>
      <c r="J1217" s="213">
        <f t="shared" si="203"/>
        <v>768</v>
      </c>
      <c r="K1217">
        <f>RANK(0.79,AI:AI,0)</f>
        <v>1192</v>
      </c>
      <c r="L1217" s="357">
        <v>0</v>
      </c>
      <c r="M1217" s="357">
        <v>0</v>
      </c>
      <c r="N1217" s="357">
        <v>2</v>
      </c>
      <c r="O1217" s="357">
        <v>0</v>
      </c>
      <c r="P1217" s="357">
        <v>0</v>
      </c>
      <c r="Q1217" s="358">
        <v>0.15126050420168066</v>
      </c>
      <c r="R1217" s="359">
        <v>0</v>
      </c>
      <c r="S1217" s="196">
        <v>2012635000</v>
      </c>
      <c r="T1217" s="196">
        <v>137900000</v>
      </c>
      <c r="U1217" s="200">
        <f t="shared" si="204"/>
        <v>1847860000</v>
      </c>
      <c r="V1217" s="196">
        <v>59000000</v>
      </c>
      <c r="W1217" s="196">
        <v>378000000</v>
      </c>
      <c r="X1217" s="196">
        <v>1573000000</v>
      </c>
      <c r="Y1217" s="196">
        <v>2195000000</v>
      </c>
      <c r="Z1217" s="196">
        <v>991000000</v>
      </c>
      <c r="AA1217" s="198">
        <v>0.03</v>
      </c>
      <c r="AB1217" s="198">
        <v>0.02</v>
      </c>
      <c r="AC1217" s="213">
        <f t="shared" si="205"/>
        <v>469</v>
      </c>
      <c r="AD1217" s="213">
        <f t="shared" si="206"/>
        <v>487</v>
      </c>
      <c r="AE1217" s="213">
        <v>1.63</v>
      </c>
      <c r="AF1217" s="196">
        <v>-24000000</v>
      </c>
      <c r="AG1217" s="104">
        <f t="shared" si="207"/>
        <v>-0.17403915881073242</v>
      </c>
      <c r="AH1217" s="104">
        <f t="shared" si="208"/>
        <v>0</v>
      </c>
      <c r="AI1217" s="195">
        <v>0.79</v>
      </c>
    </row>
    <row r="1218" spans="1:48">
      <c r="A1218">
        <v>6176</v>
      </c>
      <c r="C1218" s="107">
        <f>VLOOKUP(6176,收盤價!$A:$C,3,0)</f>
        <v>48.65</v>
      </c>
      <c r="D1218" s="107">
        <f t="shared" ref="D1218:D1281" si="209">IF(AND(ISNUMBER(C1218),R1218&gt;0),C1218/(R1218*4),0)</f>
        <v>32.880073461891641</v>
      </c>
      <c r="E1218" s="167">
        <f t="shared" ref="E1218:E1281" si="210">SUM(L1218:P1218)</f>
        <v>2</v>
      </c>
      <c r="F1218" s="104">
        <f t="shared" ref="F1218:F1281" si="211">IF(AND(ISNUMBER(U1218),ISNUMBER(S1218)),U1218/S1218,0)</f>
        <v>0.41193578672720127</v>
      </c>
      <c r="G1218" s="167">
        <f>RANK(1.08,AE:AE,0)</f>
        <v>769</v>
      </c>
      <c r="H1218" s="365">
        <f t="shared" ref="H1218:H1281" si="212">AH1218-AG1218</f>
        <v>2.369969004706693</v>
      </c>
      <c r="I1218" s="213">
        <f t="shared" ref="I1218:I1281" si="213">RANK(AG1218,AG:AG)</f>
        <v>85</v>
      </c>
      <c r="J1218" s="213">
        <f t="shared" ref="J1218:J1281" si="214">RANK(AH1218,AH:AH)</f>
        <v>68</v>
      </c>
      <c r="K1218">
        <f>RANK(10.18,AI:AI,0)</f>
        <v>14</v>
      </c>
      <c r="L1218" s="357">
        <v>0</v>
      </c>
      <c r="M1218" s="357">
        <v>1</v>
      </c>
      <c r="N1218" s="357">
        <v>0</v>
      </c>
      <c r="O1218" s="357">
        <v>1</v>
      </c>
      <c r="P1218" s="357">
        <v>0</v>
      </c>
      <c r="Q1218" s="358">
        <v>9.7333053338933218E-2</v>
      </c>
      <c r="R1218" s="359">
        <v>0.36990489130434784</v>
      </c>
      <c r="S1218" s="196">
        <v>54916933000</v>
      </c>
      <c r="T1218" s="196">
        <v>465000000</v>
      </c>
      <c r="U1218" s="200">
        <f t="shared" ref="U1218:U1281" si="215">C1218*T1218</f>
        <v>22622250000</v>
      </c>
      <c r="V1218" s="196">
        <v>281000000</v>
      </c>
      <c r="W1218" s="196">
        <v>12599000000</v>
      </c>
      <c r="X1218" s="196">
        <v>7894000000</v>
      </c>
      <c r="Y1218" s="196">
        <v>22151000000</v>
      </c>
      <c r="Z1218" s="196">
        <v>8993000000</v>
      </c>
      <c r="AA1218" s="198">
        <v>0.01</v>
      </c>
      <c r="AB1218" s="198">
        <v>0.01</v>
      </c>
      <c r="AC1218" s="213">
        <f t="shared" ref="AC1218:AC1281" si="216">RANK(AA1218,AA:AA)</f>
        <v>769</v>
      </c>
      <c r="AD1218" s="213">
        <f t="shared" ref="AD1218:AD1281" si="217">RANK(AB1218,AB:AB)</f>
        <v>680</v>
      </c>
      <c r="AE1218" s="213">
        <v>1.08</v>
      </c>
      <c r="AF1218" s="196">
        <v>1683000000</v>
      </c>
      <c r="AG1218" s="104">
        <f t="shared" ref="AG1218:AG1281" si="218">AF1218/T1218</f>
        <v>3.6193548387096772</v>
      </c>
      <c r="AH1218" s="104">
        <f t="shared" ref="AH1218:AH1281" si="219">IF(AND(AF1218&gt;0,V1218&gt;0),AF1218/V1218,0)</f>
        <v>5.9893238434163703</v>
      </c>
      <c r="AI1218" s="195">
        <v>10.18</v>
      </c>
    </row>
    <row r="1219" spans="1:48">
      <c r="A1219">
        <v>6177</v>
      </c>
      <c r="C1219" s="107">
        <f>VLOOKUP(6177,收盤價!$A:$C,3,0)</f>
        <v>19.95</v>
      </c>
      <c r="D1219" s="107">
        <f t="shared" si="209"/>
        <v>7.2555226293103443</v>
      </c>
      <c r="E1219" s="167">
        <f t="shared" si="210"/>
        <v>1</v>
      </c>
      <c r="F1219" s="104">
        <f t="shared" si="211"/>
        <v>0.86868295640166382</v>
      </c>
      <c r="G1219" s="167">
        <f>RANK(1.89,AE:AE,0)</f>
        <v>498</v>
      </c>
      <c r="H1219" s="365">
        <f t="shared" si="212"/>
        <v>4.2742340532395779</v>
      </c>
      <c r="I1219" s="213">
        <f t="shared" si="213"/>
        <v>1543</v>
      </c>
      <c r="J1219" s="213">
        <f t="shared" si="214"/>
        <v>768</v>
      </c>
      <c r="K1219">
        <f>RANK(0.67,AI:AI,0)</f>
        <v>1541</v>
      </c>
      <c r="L1219" s="357">
        <v>0</v>
      </c>
      <c r="M1219" s="357">
        <v>1</v>
      </c>
      <c r="N1219" s="357">
        <v>0</v>
      </c>
      <c r="O1219" s="357">
        <v>0</v>
      </c>
      <c r="P1219" s="357">
        <v>0</v>
      </c>
      <c r="Q1219" s="358">
        <v>0.36245954692556637</v>
      </c>
      <c r="R1219" s="359">
        <v>0.68740740740740747</v>
      </c>
      <c r="S1219" s="196">
        <v>4572491000</v>
      </c>
      <c r="T1219" s="196">
        <v>199100000</v>
      </c>
      <c r="U1219" s="200">
        <f t="shared" si="215"/>
        <v>3972045000</v>
      </c>
      <c r="V1219" s="196">
        <v>159000000</v>
      </c>
      <c r="W1219" s="196">
        <v>3926000000</v>
      </c>
      <c r="X1219" s="196">
        <v>139000000</v>
      </c>
      <c r="Y1219" s="196">
        <v>3496000000</v>
      </c>
      <c r="Z1219" s="196">
        <v>3609000000</v>
      </c>
      <c r="AA1219" s="198">
        <v>0.04</v>
      </c>
      <c r="AB1219" s="198">
        <v>0.02</v>
      </c>
      <c r="AC1219" s="213">
        <f t="shared" si="216"/>
        <v>337</v>
      </c>
      <c r="AD1219" s="213">
        <f t="shared" si="217"/>
        <v>487</v>
      </c>
      <c r="AE1219" s="213">
        <v>1.89</v>
      </c>
      <c r="AF1219" s="196">
        <v>-851000000</v>
      </c>
      <c r="AG1219" s="104">
        <f t="shared" si="218"/>
        <v>-4.2742340532395779</v>
      </c>
      <c r="AH1219" s="104">
        <f t="shared" si="219"/>
        <v>0</v>
      </c>
      <c r="AI1219" s="195">
        <v>0.67</v>
      </c>
    </row>
    <row r="1220" spans="1:48">
      <c r="A1220">
        <v>6179</v>
      </c>
      <c r="C1220" s="107">
        <f>VLOOKUP(6179,收盤價!$A:$C,3,0)</f>
        <v>50.9</v>
      </c>
      <c r="D1220" s="107">
        <f t="shared" si="209"/>
        <v>12.853535353535353</v>
      </c>
      <c r="E1220" s="167">
        <f t="shared" si="210"/>
        <v>2</v>
      </c>
      <c r="F1220" s="104">
        <f t="shared" si="211"/>
        <v>1.6230568360180169</v>
      </c>
      <c r="G1220" s="167">
        <f>RANK(18.12,AE:AE,0)</f>
        <v>44</v>
      </c>
      <c r="H1220" s="365">
        <f t="shared" si="212"/>
        <v>7.5298804780876498</v>
      </c>
      <c r="I1220" s="213">
        <f t="shared" si="213"/>
        <v>1550</v>
      </c>
      <c r="J1220" s="213">
        <f t="shared" si="214"/>
        <v>768</v>
      </c>
      <c r="K1220">
        <f>RANK(0.67,AI:AI,0)</f>
        <v>1541</v>
      </c>
      <c r="L1220" s="357">
        <v>0</v>
      </c>
      <c r="M1220" s="357">
        <v>1</v>
      </c>
      <c r="N1220" s="357">
        <v>1</v>
      </c>
      <c r="O1220" s="357">
        <v>0</v>
      </c>
      <c r="P1220" s="357">
        <v>0</v>
      </c>
      <c r="Q1220" s="358">
        <v>0.15862068965517243</v>
      </c>
      <c r="R1220" s="359">
        <v>0.99</v>
      </c>
      <c r="S1220" s="196">
        <v>1574301000</v>
      </c>
      <c r="T1220" s="196">
        <v>50200000</v>
      </c>
      <c r="U1220" s="200">
        <f t="shared" si="215"/>
        <v>2555180000</v>
      </c>
      <c r="V1220" s="196">
        <v>64000000</v>
      </c>
      <c r="W1220" s="196">
        <v>666000000</v>
      </c>
      <c r="X1220" s="196">
        <v>22000000</v>
      </c>
      <c r="Y1220" s="196">
        <v>623000000</v>
      </c>
      <c r="Z1220" s="196">
        <v>0</v>
      </c>
      <c r="AA1220" s="198">
        <v>0.09</v>
      </c>
      <c r="AB1220" s="198">
        <v>0.1</v>
      </c>
      <c r="AC1220" s="213">
        <f t="shared" si="216"/>
        <v>69</v>
      </c>
      <c r="AD1220" s="213">
        <f t="shared" si="217"/>
        <v>17</v>
      </c>
      <c r="AE1220" s="213">
        <v>18.12</v>
      </c>
      <c r="AF1220" s="196">
        <v>-378000000</v>
      </c>
      <c r="AG1220" s="104">
        <f t="shared" si="218"/>
        <v>-7.5298804780876498</v>
      </c>
      <c r="AH1220" s="104">
        <f t="shared" si="219"/>
        <v>0</v>
      </c>
      <c r="AI1220" s="195">
        <v>0.67</v>
      </c>
    </row>
    <row r="1221" spans="1:48">
      <c r="A1221">
        <v>6180</v>
      </c>
      <c r="C1221" s="107">
        <f>VLOOKUP(6180,收盤價!$A:$C,3,0)</f>
        <v>29.35</v>
      </c>
      <c r="D1221" s="107">
        <f t="shared" si="209"/>
        <v>0</v>
      </c>
      <c r="E1221" s="167">
        <f t="shared" si="210"/>
        <v>2</v>
      </c>
      <c r="F1221" s="104">
        <f t="shared" si="211"/>
        <v>0.49700431326026412</v>
      </c>
      <c r="G1221" s="167">
        <f>RANK(0.57,AE:AE,0)</f>
        <v>1389</v>
      </c>
      <c r="H1221" s="365">
        <f t="shared" si="212"/>
        <v>-3.3312182741116749</v>
      </c>
      <c r="I1221" s="213">
        <f t="shared" si="213"/>
        <v>98</v>
      </c>
      <c r="J1221" s="213">
        <f t="shared" si="214"/>
        <v>768</v>
      </c>
      <c r="K1221">
        <f>RANK(1.8,AI:AI,0)</f>
        <v>414</v>
      </c>
      <c r="L1221" s="357">
        <v>0</v>
      </c>
      <c r="M1221" s="357">
        <v>0</v>
      </c>
      <c r="N1221" s="357">
        <v>1</v>
      </c>
      <c r="O1221" s="357">
        <v>1</v>
      </c>
      <c r="P1221" s="357">
        <v>0</v>
      </c>
      <c r="Q1221" s="358">
        <v>0.13319878910191726</v>
      </c>
      <c r="R1221" s="359">
        <v>0</v>
      </c>
      <c r="S1221" s="196">
        <v>9306881000</v>
      </c>
      <c r="T1221" s="196">
        <v>157600000</v>
      </c>
      <c r="U1221" s="200">
        <f t="shared" si="215"/>
        <v>4625560000</v>
      </c>
      <c r="V1221" s="196">
        <v>-71000000</v>
      </c>
      <c r="W1221" s="196">
        <v>544000000</v>
      </c>
      <c r="X1221" s="196">
        <v>2883000000</v>
      </c>
      <c r="Y1221" s="196">
        <v>2803000000</v>
      </c>
      <c r="Z1221" s="196">
        <v>874000000</v>
      </c>
      <c r="AA1221" s="198">
        <v>-0.02</v>
      </c>
      <c r="AB1221" s="198">
        <v>-0.02</v>
      </c>
      <c r="AC1221" s="213">
        <f t="shared" si="216"/>
        <v>1353</v>
      </c>
      <c r="AD1221" s="213">
        <f t="shared" si="217"/>
        <v>1388</v>
      </c>
      <c r="AE1221" s="213">
        <v>0.56999999999999995</v>
      </c>
      <c r="AF1221" s="196">
        <v>525000000</v>
      </c>
      <c r="AG1221" s="104">
        <f t="shared" si="218"/>
        <v>3.3312182741116749</v>
      </c>
      <c r="AH1221" s="104">
        <f t="shared" si="219"/>
        <v>0</v>
      </c>
      <c r="AI1221" s="195">
        <v>1.8</v>
      </c>
    </row>
    <row r="1222" spans="1:48">
      <c r="A1222">
        <v>6182</v>
      </c>
      <c r="C1222" s="107">
        <f>VLOOKUP(6182,收盤價!$A:$C,3,0)</f>
        <v>8.83</v>
      </c>
      <c r="D1222" s="107">
        <f t="shared" si="209"/>
        <v>0</v>
      </c>
      <c r="E1222" s="167">
        <f t="shared" si="210"/>
        <v>2</v>
      </c>
      <c r="F1222" s="104">
        <f t="shared" si="211"/>
        <v>0.66831130208159706</v>
      </c>
      <c r="G1222" s="167">
        <f>RANK(0.93,AE:AE,0)</f>
        <v>920</v>
      </c>
      <c r="H1222" s="365">
        <f t="shared" si="212"/>
        <v>4.0406941307231721</v>
      </c>
      <c r="I1222" s="213">
        <f t="shared" si="213"/>
        <v>693</v>
      </c>
      <c r="J1222" s="213">
        <f t="shared" si="214"/>
        <v>88</v>
      </c>
      <c r="K1222">
        <f>RANK(1.99,AI:AI,0)</f>
        <v>342</v>
      </c>
      <c r="L1222" s="357">
        <v>0</v>
      </c>
      <c r="M1222" s="357">
        <v>1</v>
      </c>
      <c r="N1222" s="357">
        <v>0</v>
      </c>
      <c r="O1222" s="357">
        <v>1</v>
      </c>
      <c r="P1222" s="357">
        <v>0</v>
      </c>
      <c r="Q1222" s="358">
        <v>0.15971731448763252</v>
      </c>
      <c r="R1222" s="359">
        <v>0</v>
      </c>
      <c r="S1222" s="196">
        <v>5459366000</v>
      </c>
      <c r="T1222" s="196">
        <v>413200000</v>
      </c>
      <c r="U1222" s="200">
        <f t="shared" si="215"/>
        <v>3648556000</v>
      </c>
      <c r="V1222" s="196">
        <v>54000000</v>
      </c>
      <c r="W1222" s="196">
        <v>300000000</v>
      </c>
      <c r="X1222" s="196">
        <v>6344000000</v>
      </c>
      <c r="Y1222" s="196">
        <v>6621000000</v>
      </c>
      <c r="Z1222" s="196">
        <v>4258000000</v>
      </c>
      <c r="AA1222" s="198">
        <v>0.01</v>
      </c>
      <c r="AB1222" s="198">
        <v>0</v>
      </c>
      <c r="AC1222" s="213">
        <f t="shared" si="216"/>
        <v>769</v>
      </c>
      <c r="AD1222" s="213">
        <f t="shared" si="217"/>
        <v>911</v>
      </c>
      <c r="AE1222" s="213">
        <v>0.93</v>
      </c>
      <c r="AF1222" s="196">
        <v>251000000</v>
      </c>
      <c r="AG1222" s="104">
        <f t="shared" si="218"/>
        <v>0.60745401742497585</v>
      </c>
      <c r="AH1222" s="104">
        <f t="shared" si="219"/>
        <v>4.6481481481481479</v>
      </c>
      <c r="AI1222" s="195">
        <v>1.99</v>
      </c>
    </row>
    <row r="1223" spans="1:48">
      <c r="A1223">
        <v>6183</v>
      </c>
      <c r="C1223" s="107">
        <f>VLOOKUP(6183,收盤價!$A:$C,3,0)</f>
        <v>26</v>
      </c>
      <c r="D1223" s="107">
        <f t="shared" si="209"/>
        <v>17.105263157894736</v>
      </c>
      <c r="E1223" s="167">
        <f t="shared" si="210"/>
        <v>1</v>
      </c>
      <c r="F1223" s="104">
        <f t="shared" si="211"/>
        <v>2.9900981748900755</v>
      </c>
      <c r="G1223" s="167">
        <f>RANK(0.84,AE:AE,0)</f>
        <v>946</v>
      </c>
      <c r="H1223" s="365">
        <f t="shared" si="212"/>
        <v>-6.6666666666666666E-2</v>
      </c>
      <c r="I1223" s="213">
        <f t="shared" si="213"/>
        <v>1021</v>
      </c>
      <c r="J1223" s="213">
        <f t="shared" si="214"/>
        <v>768</v>
      </c>
      <c r="K1223">
        <f>RANK(0.87,AI:AI,0)</f>
        <v>1035</v>
      </c>
      <c r="L1223" s="357">
        <v>0</v>
      </c>
      <c r="M1223" s="357">
        <v>1</v>
      </c>
      <c r="N1223" s="357">
        <v>0</v>
      </c>
      <c r="O1223" s="357">
        <v>0</v>
      </c>
      <c r="P1223" s="357">
        <v>0</v>
      </c>
      <c r="Q1223" s="358">
        <v>0.44117647058823528</v>
      </c>
      <c r="R1223" s="359">
        <v>0.38</v>
      </c>
      <c r="S1223" s="196">
        <v>1304305000</v>
      </c>
      <c r="T1223" s="196">
        <v>150000000</v>
      </c>
      <c r="U1223" s="200">
        <f t="shared" si="215"/>
        <v>3900000000</v>
      </c>
      <c r="V1223" s="196">
        <v>0</v>
      </c>
      <c r="W1223" s="196">
        <v>785000000</v>
      </c>
      <c r="X1223" s="196">
        <v>602000000</v>
      </c>
      <c r="Y1223" s="196">
        <v>1933000000</v>
      </c>
      <c r="Z1223" s="196">
        <v>2000000</v>
      </c>
      <c r="AA1223" s="198">
        <v>0</v>
      </c>
      <c r="AB1223" s="198">
        <v>0</v>
      </c>
      <c r="AC1223" s="213">
        <f t="shared" si="216"/>
        <v>945</v>
      </c>
      <c r="AD1223" s="213">
        <f t="shared" si="217"/>
        <v>911</v>
      </c>
      <c r="AE1223" s="213">
        <v>0.84</v>
      </c>
      <c r="AF1223" s="196">
        <v>10000000</v>
      </c>
      <c r="AG1223" s="104">
        <f t="shared" si="218"/>
        <v>6.6666666666666666E-2</v>
      </c>
      <c r="AH1223" s="104">
        <f t="shared" si="219"/>
        <v>0</v>
      </c>
      <c r="AI1223" s="195">
        <v>0.87</v>
      </c>
    </row>
    <row r="1224" spans="1:48">
      <c r="A1224">
        <v>6184</v>
      </c>
      <c r="C1224" s="107">
        <f>VLOOKUP(6184,收盤價!$A:$C,3,0)</f>
        <v>33.4</v>
      </c>
      <c r="D1224" s="107">
        <f t="shared" si="209"/>
        <v>0</v>
      </c>
      <c r="E1224" s="167">
        <f t="shared" si="210"/>
        <v>3</v>
      </c>
      <c r="F1224" s="104">
        <f t="shared" si="211"/>
        <v>2.8043576695523882</v>
      </c>
      <c r="G1224" s="167">
        <f>RANK(0.59,AE:AE,0)</f>
        <v>1348</v>
      </c>
      <c r="H1224" s="365">
        <f t="shared" si="212"/>
        <v>-1.1357142857142857</v>
      </c>
      <c r="I1224" s="213">
        <f t="shared" si="213"/>
        <v>458</v>
      </c>
      <c r="J1224" s="213">
        <f t="shared" si="214"/>
        <v>768</v>
      </c>
      <c r="K1224">
        <f>RANK(1.27,AI:AI,0)</f>
        <v>690</v>
      </c>
      <c r="L1224" s="357">
        <v>0</v>
      </c>
      <c r="M1224" s="357">
        <v>1</v>
      </c>
      <c r="N1224" s="357">
        <v>1</v>
      </c>
      <c r="O1224" s="357">
        <v>1</v>
      </c>
      <c r="P1224" s="357">
        <v>0</v>
      </c>
      <c r="Q1224" s="358">
        <v>0.15</v>
      </c>
      <c r="R1224" s="359">
        <v>0</v>
      </c>
      <c r="S1224" s="196">
        <v>1667405000</v>
      </c>
      <c r="T1224" s="196">
        <v>140000000</v>
      </c>
      <c r="U1224" s="200">
        <f t="shared" si="215"/>
        <v>4676000000</v>
      </c>
      <c r="V1224" s="196">
        <v>-63000000</v>
      </c>
      <c r="W1224" s="196">
        <v>575000000</v>
      </c>
      <c r="X1224" s="196">
        <v>3009000000</v>
      </c>
      <c r="Y1224" s="196">
        <v>4681000000</v>
      </c>
      <c r="Z1224" s="196">
        <v>108000000</v>
      </c>
      <c r="AA1224" s="198">
        <v>-0.02</v>
      </c>
      <c r="AB1224" s="198">
        <v>-0.01</v>
      </c>
      <c r="AC1224" s="213">
        <f t="shared" si="216"/>
        <v>1353</v>
      </c>
      <c r="AD1224" s="213">
        <f t="shared" si="217"/>
        <v>1294</v>
      </c>
      <c r="AE1224" s="213">
        <v>0.59</v>
      </c>
      <c r="AF1224" s="196">
        <v>159000000</v>
      </c>
      <c r="AG1224" s="104">
        <f t="shared" si="218"/>
        <v>1.1357142857142857</v>
      </c>
      <c r="AH1224" s="104">
        <f t="shared" si="219"/>
        <v>0</v>
      </c>
      <c r="AI1224" s="195">
        <v>1.27</v>
      </c>
    </row>
    <row r="1225" spans="1:48">
      <c r="A1225">
        <v>6185</v>
      </c>
      <c r="C1225" s="107">
        <f>VLOOKUP(6185,收盤價!$A:$C,3,0)</f>
        <v>20</v>
      </c>
      <c r="D1225" s="107">
        <f t="shared" si="209"/>
        <v>14.069264069264069</v>
      </c>
      <c r="E1225" s="167">
        <f t="shared" si="210"/>
        <v>3</v>
      </c>
      <c r="F1225" s="104">
        <f t="shared" si="211"/>
        <v>1.7807118504202046</v>
      </c>
      <c r="G1225" s="167">
        <f>RANK(2.32,AE:AE,0)</f>
        <v>360</v>
      </c>
      <c r="H1225" s="365">
        <f t="shared" si="212"/>
        <v>0.1934398654331371</v>
      </c>
      <c r="I1225" s="213">
        <f t="shared" si="213"/>
        <v>1204</v>
      </c>
      <c r="J1225" s="213">
        <f t="shared" si="214"/>
        <v>768</v>
      </c>
      <c r="K1225">
        <f>RANK(0.79,AI:AI,0)</f>
        <v>1192</v>
      </c>
      <c r="L1225" s="357">
        <v>0</v>
      </c>
      <c r="M1225" s="357">
        <v>1</v>
      </c>
      <c r="N1225" s="357">
        <v>2</v>
      </c>
      <c r="O1225" s="357">
        <v>0</v>
      </c>
      <c r="P1225" s="357">
        <v>0</v>
      </c>
      <c r="Q1225" s="358">
        <v>0.39007092198581561</v>
      </c>
      <c r="R1225" s="359">
        <v>0.35538461538461541</v>
      </c>
      <c r="S1225" s="196">
        <v>1335421000</v>
      </c>
      <c r="T1225" s="196">
        <v>118900000</v>
      </c>
      <c r="U1225" s="200">
        <f t="shared" si="215"/>
        <v>2378000000</v>
      </c>
      <c r="V1225" s="196">
        <v>64000000</v>
      </c>
      <c r="W1225" s="196">
        <v>1534000000</v>
      </c>
      <c r="X1225" s="196">
        <v>234000000</v>
      </c>
      <c r="Y1225" s="196">
        <v>2156000000</v>
      </c>
      <c r="Z1225" s="196">
        <v>0</v>
      </c>
      <c r="AA1225" s="198">
        <v>0.04</v>
      </c>
      <c r="AB1225" s="198">
        <v>0.03</v>
      </c>
      <c r="AC1225" s="213">
        <f t="shared" si="216"/>
        <v>337</v>
      </c>
      <c r="AD1225" s="213">
        <f t="shared" si="217"/>
        <v>334</v>
      </c>
      <c r="AE1225" s="213">
        <v>2.3199999999999998</v>
      </c>
      <c r="AF1225" s="196">
        <v>-23000000</v>
      </c>
      <c r="AG1225" s="104">
        <f t="shared" si="218"/>
        <v>-0.1934398654331371</v>
      </c>
      <c r="AH1225" s="104">
        <f t="shared" si="219"/>
        <v>0</v>
      </c>
      <c r="AI1225" s="195">
        <v>0.79</v>
      </c>
      <c r="AO1225" s="213"/>
      <c r="AP1225" s="213"/>
      <c r="AQ1225" s="213"/>
      <c r="AR1225" s="213"/>
      <c r="AS1225" s="213"/>
      <c r="AT1225" s="213"/>
      <c r="AU1225" s="213"/>
      <c r="AV1225" s="213"/>
    </row>
    <row r="1226" spans="1:48">
      <c r="A1226">
        <v>6186</v>
      </c>
      <c r="C1226" s="107">
        <f>VLOOKUP(6186,收盤價!$A:$C,3,0)</f>
        <v>22.7</v>
      </c>
      <c r="D1226" s="107">
        <f t="shared" si="209"/>
        <v>13.172147001934235</v>
      </c>
      <c r="E1226" s="167">
        <f t="shared" si="210"/>
        <v>1</v>
      </c>
      <c r="F1226" s="104">
        <f t="shared" si="211"/>
        <v>0.73829352003218163</v>
      </c>
      <c r="G1226" s="167">
        <f>RANK(1.89,AE:AE,0)</f>
        <v>498</v>
      </c>
      <c r="H1226" s="365">
        <f t="shared" si="212"/>
        <v>0.33894736842105266</v>
      </c>
      <c r="I1226" s="213">
        <f t="shared" si="213"/>
        <v>554</v>
      </c>
      <c r="J1226" s="213">
        <f t="shared" si="214"/>
        <v>440</v>
      </c>
      <c r="K1226">
        <f>RANK(1.57,AI:AI,0)</f>
        <v>517</v>
      </c>
      <c r="L1226" s="357">
        <v>0</v>
      </c>
      <c r="M1226" s="357">
        <v>0</v>
      </c>
      <c r="N1226" s="357">
        <v>0</v>
      </c>
      <c r="O1226" s="357">
        <v>1</v>
      </c>
      <c r="P1226" s="357">
        <v>0</v>
      </c>
      <c r="Q1226" s="358">
        <v>0.3632075471698113</v>
      </c>
      <c r="R1226" s="359">
        <v>0.43083333333333335</v>
      </c>
      <c r="S1226" s="196">
        <v>2103066000</v>
      </c>
      <c r="T1226" s="196">
        <v>68400000</v>
      </c>
      <c r="U1226" s="200">
        <f t="shared" si="215"/>
        <v>1552680000</v>
      </c>
      <c r="V1226" s="196">
        <v>50000000</v>
      </c>
      <c r="W1226" s="196">
        <v>1347000000</v>
      </c>
      <c r="X1226" s="196">
        <v>3000000</v>
      </c>
      <c r="Y1226" s="196">
        <v>1242000000</v>
      </c>
      <c r="Z1226" s="196">
        <v>1832000000</v>
      </c>
      <c r="AA1226" s="198">
        <v>0.04</v>
      </c>
      <c r="AB1226" s="198">
        <v>0.02</v>
      </c>
      <c r="AC1226" s="213">
        <f t="shared" si="216"/>
        <v>337</v>
      </c>
      <c r="AD1226" s="213">
        <f t="shared" si="217"/>
        <v>487</v>
      </c>
      <c r="AE1226" s="213">
        <v>1.89</v>
      </c>
      <c r="AF1226" s="196">
        <v>63000000</v>
      </c>
      <c r="AG1226" s="104">
        <f t="shared" si="218"/>
        <v>0.92105263157894735</v>
      </c>
      <c r="AH1226" s="104">
        <f t="shared" si="219"/>
        <v>1.26</v>
      </c>
      <c r="AI1226" s="195">
        <v>1.57</v>
      </c>
    </row>
    <row r="1227" spans="1:48">
      <c r="A1227">
        <v>6187</v>
      </c>
      <c r="C1227" s="107">
        <f>VLOOKUP(6187,收盤價!$A:$C,3,0)</f>
        <v>49.35</v>
      </c>
      <c r="D1227" s="107">
        <f t="shared" si="209"/>
        <v>8.3391537490987737</v>
      </c>
      <c r="E1227" s="167">
        <f t="shared" si="210"/>
        <v>4</v>
      </c>
      <c r="F1227" s="104">
        <f t="shared" si="211"/>
        <v>2.512442680707593</v>
      </c>
      <c r="G1227" s="167">
        <f>RANK(21.64,AE:AE,0)</f>
        <v>33</v>
      </c>
      <c r="H1227" s="365">
        <f t="shared" si="212"/>
        <v>-1.6029009493598143</v>
      </c>
      <c r="I1227" s="213">
        <f t="shared" si="213"/>
        <v>84</v>
      </c>
      <c r="J1227" s="213">
        <f t="shared" si="214"/>
        <v>260</v>
      </c>
      <c r="K1227">
        <f>RANK(4.53,AI:AI,0)</f>
        <v>82</v>
      </c>
      <c r="L1227" s="357">
        <v>1</v>
      </c>
      <c r="M1227" s="357">
        <v>1</v>
      </c>
      <c r="N1227" s="357">
        <v>1</v>
      </c>
      <c r="O1227" s="357">
        <v>1</v>
      </c>
      <c r="P1227" s="357">
        <v>0</v>
      </c>
      <c r="Q1227" s="358">
        <v>0.4592</v>
      </c>
      <c r="R1227" s="359">
        <v>1.4794666666666667</v>
      </c>
      <c r="S1227" s="196">
        <v>1675483000</v>
      </c>
      <c r="T1227" s="196">
        <v>85300000</v>
      </c>
      <c r="U1227" s="200">
        <f t="shared" si="215"/>
        <v>4209555000</v>
      </c>
      <c r="V1227" s="196">
        <v>153000000</v>
      </c>
      <c r="W1227" s="196">
        <v>982000000</v>
      </c>
      <c r="X1227" s="196">
        <v>452000000</v>
      </c>
      <c r="Y1227" s="196">
        <v>1641000000</v>
      </c>
      <c r="Z1227" s="196">
        <v>15000000</v>
      </c>
      <c r="AA1227" s="198">
        <v>0.11</v>
      </c>
      <c r="AB1227" s="198">
        <v>0.09</v>
      </c>
      <c r="AC1227" s="213">
        <f t="shared" si="216"/>
        <v>40</v>
      </c>
      <c r="AD1227" s="213">
        <f t="shared" si="217"/>
        <v>32</v>
      </c>
      <c r="AE1227" s="213">
        <v>21.64</v>
      </c>
      <c r="AF1227" s="196">
        <v>309000000</v>
      </c>
      <c r="AG1227" s="104">
        <f t="shared" si="218"/>
        <v>3.6225087924970691</v>
      </c>
      <c r="AH1227" s="104">
        <f t="shared" si="219"/>
        <v>2.0196078431372548</v>
      </c>
      <c r="AI1227" s="195">
        <v>4.53</v>
      </c>
    </row>
    <row r="1228" spans="1:48">
      <c r="A1228">
        <v>6188</v>
      </c>
      <c r="C1228" s="107">
        <f>VLOOKUP(6188,收盤價!$A:$C,3,0)</f>
        <v>30.6</v>
      </c>
      <c r="D1228" s="107">
        <f t="shared" si="209"/>
        <v>14.211424238594718</v>
      </c>
      <c r="E1228" s="167">
        <f t="shared" si="210"/>
        <v>5</v>
      </c>
      <c r="F1228" s="104">
        <f t="shared" si="211"/>
        <v>0.99788008580861642</v>
      </c>
      <c r="G1228" s="167">
        <f>RANK(1.63,AE:AE,0)</f>
        <v>551</v>
      </c>
      <c r="H1228" s="365">
        <f t="shared" si="212"/>
        <v>0.27313630863993843</v>
      </c>
      <c r="I1228" s="213">
        <f t="shared" si="213"/>
        <v>596</v>
      </c>
      <c r="J1228" s="213">
        <f t="shared" si="214"/>
        <v>507</v>
      </c>
      <c r="K1228">
        <f>RANK(1.41,AI:AI,0)</f>
        <v>613</v>
      </c>
      <c r="L1228" s="357">
        <v>1</v>
      </c>
      <c r="M1228" s="357">
        <v>1</v>
      </c>
      <c r="N1228" s="357">
        <v>2</v>
      </c>
      <c r="O1228" s="357">
        <v>1</v>
      </c>
      <c r="P1228" s="357">
        <v>0</v>
      </c>
      <c r="Q1228" s="358">
        <v>0.23640399556048836</v>
      </c>
      <c r="R1228" s="359">
        <v>0.53829931972789113</v>
      </c>
      <c r="S1228" s="196">
        <v>8537138000</v>
      </c>
      <c r="T1228" s="196">
        <v>278400000</v>
      </c>
      <c r="U1228" s="200">
        <f t="shared" si="215"/>
        <v>8519040000</v>
      </c>
      <c r="V1228" s="196">
        <v>209000000</v>
      </c>
      <c r="W1228" s="196">
        <v>6333000000</v>
      </c>
      <c r="X1228" s="196">
        <v>1531000000</v>
      </c>
      <c r="Y1228" s="196">
        <v>8263000000</v>
      </c>
      <c r="Z1228" s="196">
        <v>4870000000</v>
      </c>
      <c r="AA1228" s="198">
        <v>0.03</v>
      </c>
      <c r="AB1228" s="198">
        <v>0.02</v>
      </c>
      <c r="AC1228" s="213">
        <f t="shared" si="216"/>
        <v>469</v>
      </c>
      <c r="AD1228" s="213">
        <f t="shared" si="217"/>
        <v>487</v>
      </c>
      <c r="AE1228" s="213">
        <v>1.63</v>
      </c>
      <c r="AF1228" s="196">
        <v>229000000</v>
      </c>
      <c r="AG1228" s="104">
        <f t="shared" si="218"/>
        <v>0.82255747126436785</v>
      </c>
      <c r="AH1228" s="104">
        <f t="shared" si="219"/>
        <v>1.0956937799043063</v>
      </c>
      <c r="AI1228" s="195">
        <v>1.41</v>
      </c>
    </row>
    <row r="1229" spans="1:48">
      <c r="A1229">
        <v>6189</v>
      </c>
      <c r="C1229" s="107">
        <f>VLOOKUP(6189,收盤價!$A:$C,3,0)</f>
        <v>31.85</v>
      </c>
      <c r="D1229" s="107">
        <f t="shared" si="209"/>
        <v>15.438012295081968</v>
      </c>
      <c r="E1229" s="167">
        <f t="shared" si="210"/>
        <v>2</v>
      </c>
      <c r="F1229" s="104">
        <f t="shared" si="211"/>
        <v>0.31057281117435653</v>
      </c>
      <c r="G1229" s="167">
        <f>RANK(2.32,AE:AE,0)</f>
        <v>360</v>
      </c>
      <c r="H1229" s="365">
        <f t="shared" si="212"/>
        <v>0.3205307262569832</v>
      </c>
      <c r="I1229" s="213">
        <f t="shared" si="213"/>
        <v>607</v>
      </c>
      <c r="J1229" s="213">
        <f t="shared" si="214"/>
        <v>495</v>
      </c>
      <c r="K1229">
        <f>RANK(1.41,AI:AI,0)</f>
        <v>613</v>
      </c>
      <c r="L1229" s="357">
        <v>0</v>
      </c>
      <c r="M1229" s="357">
        <v>0</v>
      </c>
      <c r="N1229" s="357">
        <v>2</v>
      </c>
      <c r="O1229" s="357">
        <v>0</v>
      </c>
      <c r="P1229" s="357">
        <v>0</v>
      </c>
      <c r="Q1229" s="358">
        <v>7.2700911350455671E-2</v>
      </c>
      <c r="R1229" s="359">
        <v>0.51577235772357721</v>
      </c>
      <c r="S1229" s="196">
        <v>18356887000</v>
      </c>
      <c r="T1229" s="196">
        <v>179000000</v>
      </c>
      <c r="U1229" s="200">
        <f t="shared" si="215"/>
        <v>5701150000</v>
      </c>
      <c r="V1229" s="196">
        <v>128000000</v>
      </c>
      <c r="W1229" s="196">
        <v>2987000000</v>
      </c>
      <c r="X1229" s="196">
        <v>415000000</v>
      </c>
      <c r="Y1229" s="196">
        <v>3307000000</v>
      </c>
      <c r="Z1229" s="196">
        <v>1435000000</v>
      </c>
      <c r="AA1229" s="198">
        <v>0.04</v>
      </c>
      <c r="AB1229" s="198">
        <v>0.03</v>
      </c>
      <c r="AC1229" s="213">
        <f t="shared" si="216"/>
        <v>337</v>
      </c>
      <c r="AD1229" s="213">
        <f t="shared" si="217"/>
        <v>334</v>
      </c>
      <c r="AE1229" s="213">
        <v>2.3199999999999998</v>
      </c>
      <c r="AF1229" s="196">
        <v>144000000</v>
      </c>
      <c r="AG1229" s="104">
        <f t="shared" si="218"/>
        <v>0.8044692737430168</v>
      </c>
      <c r="AH1229" s="104">
        <f t="shared" si="219"/>
        <v>1.125</v>
      </c>
      <c r="AI1229" s="195">
        <v>1.41</v>
      </c>
    </row>
    <row r="1230" spans="1:48">
      <c r="A1230">
        <v>6190</v>
      </c>
      <c r="C1230" s="107">
        <f>VLOOKUP(6190,收盤價!$A:$C,3,0)</f>
        <v>12.2</v>
      </c>
      <c r="D1230" s="107">
        <f t="shared" si="209"/>
        <v>9.4888888888888872</v>
      </c>
      <c r="E1230" s="167">
        <f t="shared" si="210"/>
        <v>3</v>
      </c>
      <c r="F1230" s="104">
        <f t="shared" si="211"/>
        <v>0.37692900662265205</v>
      </c>
      <c r="G1230" s="167">
        <f>RANK(2.12,AE:AE,0)</f>
        <v>430</v>
      </c>
      <c r="H1230" s="365">
        <f t="shared" si="212"/>
        <v>0.46608814797899067</v>
      </c>
      <c r="I1230" s="213">
        <f t="shared" si="213"/>
        <v>786</v>
      </c>
      <c r="J1230" s="213">
        <f t="shared" si="214"/>
        <v>560</v>
      </c>
      <c r="K1230">
        <f>RANK(1.16,AI:AI,0)</f>
        <v>750</v>
      </c>
      <c r="L1230" s="357">
        <v>1</v>
      </c>
      <c r="M1230" s="357">
        <v>1</v>
      </c>
      <c r="N1230" s="357">
        <v>1</v>
      </c>
      <c r="O1230" s="357">
        <v>0</v>
      </c>
      <c r="P1230" s="357">
        <v>0</v>
      </c>
      <c r="Q1230" s="358">
        <v>0.13197969543147209</v>
      </c>
      <c r="R1230" s="359">
        <v>0.32142857142857145</v>
      </c>
      <c r="S1230" s="196">
        <v>3909914000</v>
      </c>
      <c r="T1230" s="196">
        <v>120800000</v>
      </c>
      <c r="U1230" s="200">
        <f t="shared" si="215"/>
        <v>1473760000</v>
      </c>
      <c r="V1230" s="196">
        <v>58000000</v>
      </c>
      <c r="W1230" s="196">
        <v>534000000</v>
      </c>
      <c r="X1230" s="196">
        <v>742000000</v>
      </c>
      <c r="Y1230" s="196">
        <v>1569000000</v>
      </c>
      <c r="Z1230" s="196">
        <v>978000000</v>
      </c>
      <c r="AA1230" s="198">
        <v>0.05</v>
      </c>
      <c r="AB1230" s="198">
        <v>0.02</v>
      </c>
      <c r="AC1230" s="213">
        <f t="shared" si="216"/>
        <v>247</v>
      </c>
      <c r="AD1230" s="213">
        <f t="shared" si="217"/>
        <v>487</v>
      </c>
      <c r="AE1230" s="213">
        <v>2.12</v>
      </c>
      <c r="AF1230" s="196">
        <v>52000000</v>
      </c>
      <c r="AG1230" s="104">
        <f t="shared" si="218"/>
        <v>0.43046357615894038</v>
      </c>
      <c r="AH1230" s="104">
        <f t="shared" si="219"/>
        <v>0.89655172413793105</v>
      </c>
      <c r="AI1230" s="195">
        <v>1.1599999999999999</v>
      </c>
      <c r="AO1230" s="213"/>
      <c r="AP1230" s="213"/>
      <c r="AQ1230" s="213"/>
      <c r="AR1230" s="213"/>
      <c r="AS1230" s="213"/>
      <c r="AT1230" s="213"/>
      <c r="AU1230" s="213"/>
      <c r="AV1230" s="213"/>
    </row>
    <row r="1231" spans="1:48">
      <c r="A1231">
        <v>6191</v>
      </c>
      <c r="C1231" s="107">
        <f>VLOOKUP(6191,收盤價!$A:$C,3,0)</f>
        <v>11</v>
      </c>
      <c r="D1231" s="107">
        <f t="shared" si="209"/>
        <v>22.696314102564102</v>
      </c>
      <c r="E1231" s="167">
        <f t="shared" si="210"/>
        <v>4</v>
      </c>
      <c r="F1231" s="104">
        <f t="shared" si="211"/>
        <v>0.25130038762971962</v>
      </c>
      <c r="G1231" s="167">
        <f>RANK(1.08,AE:AE,0)</f>
        <v>769</v>
      </c>
      <c r="H1231" s="365">
        <f t="shared" si="212"/>
        <v>3.3266559681257264</v>
      </c>
      <c r="I1231" s="213">
        <f t="shared" si="213"/>
        <v>455</v>
      </c>
      <c r="J1231" s="213">
        <f t="shared" si="214"/>
        <v>93</v>
      </c>
      <c r="K1231">
        <f>RANK(2.84,AI:AI,0)</f>
        <v>183</v>
      </c>
      <c r="L1231" s="357">
        <v>0</v>
      </c>
      <c r="M1231" s="357">
        <v>1</v>
      </c>
      <c r="N1231" s="357">
        <v>2</v>
      </c>
      <c r="O1231" s="357">
        <v>1</v>
      </c>
      <c r="P1231" s="357">
        <v>0</v>
      </c>
      <c r="Q1231" s="358">
        <v>0.10097719869706841</v>
      </c>
      <c r="R1231" s="359">
        <v>0.12116504854368933</v>
      </c>
      <c r="S1231" s="196">
        <v>23264986000</v>
      </c>
      <c r="T1231" s="196">
        <v>531500000</v>
      </c>
      <c r="U1231" s="200">
        <f t="shared" si="215"/>
        <v>5846500000</v>
      </c>
      <c r="V1231" s="196">
        <v>136000000</v>
      </c>
      <c r="W1231" s="196">
        <v>5045000000</v>
      </c>
      <c r="X1231" s="196">
        <v>7098000000</v>
      </c>
      <c r="Y1231" s="196">
        <v>11164000000</v>
      </c>
      <c r="Z1231" s="196">
        <v>3403000000</v>
      </c>
      <c r="AA1231" s="198">
        <v>0.01</v>
      </c>
      <c r="AB1231" s="198">
        <v>0.01</v>
      </c>
      <c r="AC1231" s="213">
        <f t="shared" si="216"/>
        <v>769</v>
      </c>
      <c r="AD1231" s="213">
        <f t="shared" si="217"/>
        <v>680</v>
      </c>
      <c r="AE1231" s="213">
        <v>1.08</v>
      </c>
      <c r="AF1231" s="196">
        <v>608000000</v>
      </c>
      <c r="AG1231" s="104">
        <f t="shared" si="218"/>
        <v>1.1439322671683914</v>
      </c>
      <c r="AH1231" s="104">
        <f t="shared" si="219"/>
        <v>4.4705882352941178</v>
      </c>
      <c r="AI1231" s="195">
        <v>2.84</v>
      </c>
    </row>
    <row r="1232" spans="1:48">
      <c r="A1232">
        <v>6192</v>
      </c>
      <c r="C1232" s="107">
        <f>VLOOKUP(6192,收盤價!$A:$C,3,0)</f>
        <v>48.85</v>
      </c>
      <c r="D1232" s="107">
        <f t="shared" si="209"/>
        <v>11.102272727272727</v>
      </c>
      <c r="E1232" s="167">
        <f t="shared" si="210"/>
        <v>3</v>
      </c>
      <c r="F1232" s="104">
        <f t="shared" si="211"/>
        <v>1.1208932280863591</v>
      </c>
      <c r="G1232" s="167">
        <f>RANK(0.84,AE:AE,0)</f>
        <v>946</v>
      </c>
      <c r="H1232" s="365">
        <f t="shared" si="212"/>
        <v>-2.6368997472620053</v>
      </c>
      <c r="I1232" s="213">
        <f t="shared" si="213"/>
        <v>150</v>
      </c>
      <c r="J1232" s="213">
        <f t="shared" si="214"/>
        <v>768</v>
      </c>
      <c r="K1232">
        <f>RANK(1.7,AI:AI,0)</f>
        <v>456</v>
      </c>
      <c r="L1232" s="357">
        <v>0</v>
      </c>
      <c r="M1232" s="357">
        <v>1</v>
      </c>
      <c r="N1232" s="357">
        <v>1</v>
      </c>
      <c r="O1232" s="357">
        <v>1</v>
      </c>
      <c r="P1232" s="357">
        <v>0</v>
      </c>
      <c r="Q1232" s="358">
        <v>0.30155979202772965</v>
      </c>
      <c r="R1232" s="359">
        <v>1.1000000000000001</v>
      </c>
      <c r="S1232" s="196">
        <v>5173102000</v>
      </c>
      <c r="T1232" s="196">
        <v>118700000</v>
      </c>
      <c r="U1232" s="200">
        <f t="shared" si="215"/>
        <v>5798495000</v>
      </c>
      <c r="V1232" s="196">
        <v>0</v>
      </c>
      <c r="W1232" s="196">
        <v>3442000000</v>
      </c>
      <c r="X1232" s="196">
        <v>894000000</v>
      </c>
      <c r="Y1232" s="196">
        <v>4045000000</v>
      </c>
      <c r="Z1232" s="196">
        <v>20000000</v>
      </c>
      <c r="AA1232" s="198">
        <v>0</v>
      </c>
      <c r="AB1232" s="198">
        <v>0</v>
      </c>
      <c r="AC1232" s="213">
        <f t="shared" si="216"/>
        <v>945</v>
      </c>
      <c r="AD1232" s="213">
        <f t="shared" si="217"/>
        <v>911</v>
      </c>
      <c r="AE1232" s="213">
        <v>0.84</v>
      </c>
      <c r="AF1232" s="196">
        <v>313000000</v>
      </c>
      <c r="AG1232" s="104">
        <f t="shared" si="218"/>
        <v>2.6368997472620053</v>
      </c>
      <c r="AH1232" s="104">
        <f t="shared" si="219"/>
        <v>0</v>
      </c>
      <c r="AI1232" s="195">
        <v>1.7</v>
      </c>
      <c r="AO1232" s="213"/>
      <c r="AP1232" s="213"/>
      <c r="AQ1232" s="213"/>
      <c r="AR1232" s="213"/>
      <c r="AS1232" s="213"/>
      <c r="AT1232" s="213"/>
      <c r="AU1232" s="213"/>
      <c r="AV1232" s="213"/>
    </row>
    <row r="1233" spans="1:48">
      <c r="A1233">
        <v>6194</v>
      </c>
      <c r="C1233" s="107">
        <f>VLOOKUP(6194,收盤價!$A:$C,3,0)</f>
        <v>16.25</v>
      </c>
      <c r="D1233" s="107">
        <f t="shared" si="209"/>
        <v>0</v>
      </c>
      <c r="E1233" s="167">
        <f t="shared" si="210"/>
        <v>1</v>
      </c>
      <c r="F1233" s="104">
        <f t="shared" si="211"/>
        <v>2.7211795685465132</v>
      </c>
      <c r="G1233" s="167">
        <f>RANK(0.57,AE:AE,0)</f>
        <v>1389</v>
      </c>
      <c r="H1233" s="365">
        <f t="shared" si="212"/>
        <v>0</v>
      </c>
      <c r="I1233" s="213">
        <f t="shared" si="213"/>
        <v>1067</v>
      </c>
      <c r="J1233" s="213">
        <f t="shared" si="214"/>
        <v>768</v>
      </c>
      <c r="K1233">
        <f>RANK(0.85,AI:AI,0)</f>
        <v>1059</v>
      </c>
      <c r="L1233" s="357">
        <v>0</v>
      </c>
      <c r="M1233" s="357">
        <v>1</v>
      </c>
      <c r="N1233" s="357">
        <v>0</v>
      </c>
      <c r="O1233" s="357">
        <v>0</v>
      </c>
      <c r="P1233" s="357">
        <v>0</v>
      </c>
      <c r="Q1233" s="358">
        <v>-0.26262626262626265</v>
      </c>
      <c r="R1233" s="359">
        <v>0</v>
      </c>
      <c r="S1233" s="196">
        <v>477734000</v>
      </c>
      <c r="T1233" s="196">
        <v>80000000</v>
      </c>
      <c r="U1233" s="200">
        <f t="shared" si="215"/>
        <v>1300000000</v>
      </c>
      <c r="V1233" s="196">
        <v>-43000000</v>
      </c>
      <c r="W1233" s="196">
        <v>1931000000</v>
      </c>
      <c r="X1233" s="196">
        <v>205000000</v>
      </c>
      <c r="Y1233" s="196">
        <v>2237000000</v>
      </c>
      <c r="Z1233" s="196">
        <v>0</v>
      </c>
      <c r="AA1233" s="198">
        <v>-0.02</v>
      </c>
      <c r="AB1233" s="198">
        <v>-0.02</v>
      </c>
      <c r="AC1233" s="213">
        <f t="shared" si="216"/>
        <v>1353</v>
      </c>
      <c r="AD1233" s="213">
        <f t="shared" si="217"/>
        <v>1388</v>
      </c>
      <c r="AE1233" s="213">
        <v>0.56999999999999995</v>
      </c>
      <c r="AF1233" s="196">
        <v>0</v>
      </c>
      <c r="AG1233" s="104">
        <f t="shared" si="218"/>
        <v>0</v>
      </c>
      <c r="AH1233" s="104">
        <f t="shared" si="219"/>
        <v>0</v>
      </c>
      <c r="AI1233" s="195">
        <v>0.85</v>
      </c>
      <c r="AO1233" s="213"/>
      <c r="AP1233" s="213"/>
      <c r="AQ1233" s="213"/>
      <c r="AR1233" s="213"/>
      <c r="AS1233" s="213"/>
      <c r="AT1233" s="213"/>
      <c r="AU1233" s="213"/>
      <c r="AV1233" s="213"/>
    </row>
    <row r="1234" spans="1:48">
      <c r="A1234">
        <v>6195</v>
      </c>
      <c r="C1234" s="107">
        <f>VLOOKUP(6195,收盤價!$A:$C,3,0)</f>
        <v>50.6</v>
      </c>
      <c r="D1234" s="107">
        <f t="shared" si="209"/>
        <v>19.344064386317907</v>
      </c>
      <c r="E1234" s="167">
        <f t="shared" si="210"/>
        <v>2</v>
      </c>
      <c r="F1234" s="104">
        <f t="shared" si="211"/>
        <v>1.3705032527248815</v>
      </c>
      <c r="G1234" s="167">
        <f>RANK(3.2,AE:AE,0)</f>
        <v>289</v>
      </c>
      <c r="H1234" s="365">
        <f t="shared" si="212"/>
        <v>0.19987429289754877</v>
      </c>
      <c r="I1234" s="213">
        <f t="shared" si="213"/>
        <v>423</v>
      </c>
      <c r="J1234" s="213">
        <f t="shared" si="214"/>
        <v>397</v>
      </c>
      <c r="K1234">
        <f>RANK(1.9,AI:AI,0)</f>
        <v>379</v>
      </c>
      <c r="L1234" s="357">
        <v>0</v>
      </c>
      <c r="M1234" s="357">
        <v>0</v>
      </c>
      <c r="N1234" s="357">
        <v>1</v>
      </c>
      <c r="O1234" s="357">
        <v>1</v>
      </c>
      <c r="P1234" s="357">
        <v>0</v>
      </c>
      <c r="Q1234" s="358">
        <v>0.52971576227390182</v>
      </c>
      <c r="R1234" s="359">
        <v>0.65394736842105261</v>
      </c>
      <c r="S1234" s="196">
        <v>1587592000</v>
      </c>
      <c r="T1234" s="196">
        <v>43000000</v>
      </c>
      <c r="U1234" s="200">
        <f t="shared" si="215"/>
        <v>2175800000</v>
      </c>
      <c r="V1234" s="196">
        <v>37000000</v>
      </c>
      <c r="W1234" s="196">
        <v>225000000</v>
      </c>
      <c r="X1234" s="196">
        <v>787000000</v>
      </c>
      <c r="Y1234" s="196">
        <v>719000000</v>
      </c>
      <c r="Z1234" s="196">
        <v>35000000</v>
      </c>
      <c r="AA1234" s="198">
        <v>0.04</v>
      </c>
      <c r="AB1234" s="198">
        <v>0.05</v>
      </c>
      <c r="AC1234" s="213">
        <f t="shared" si="216"/>
        <v>337</v>
      </c>
      <c r="AD1234" s="213">
        <f t="shared" si="217"/>
        <v>150</v>
      </c>
      <c r="AE1234" s="213">
        <v>3.2</v>
      </c>
      <c r="AF1234" s="196">
        <v>53000000</v>
      </c>
      <c r="AG1234" s="104">
        <f t="shared" si="218"/>
        <v>1.2325581395348837</v>
      </c>
      <c r="AH1234" s="104">
        <f t="shared" si="219"/>
        <v>1.4324324324324325</v>
      </c>
      <c r="AI1234" s="195">
        <v>1.9</v>
      </c>
    </row>
    <row r="1235" spans="1:48">
      <c r="A1235">
        <v>6196</v>
      </c>
      <c r="C1235" s="107">
        <f>VLOOKUP(6196,收盤價!$A:$C,3,0)</f>
        <v>26.9</v>
      </c>
      <c r="D1235" s="107">
        <f t="shared" si="209"/>
        <v>13.151204630788484</v>
      </c>
      <c r="E1235" s="167">
        <f t="shared" si="210"/>
        <v>1</v>
      </c>
      <c r="F1235" s="104">
        <f t="shared" si="211"/>
        <v>0.24101777762461934</v>
      </c>
      <c r="G1235" s="167">
        <f>RANK(1.89,AE:AE,0)</f>
        <v>498</v>
      </c>
      <c r="H1235" s="365">
        <f t="shared" si="212"/>
        <v>3.2925499697153249E-2</v>
      </c>
      <c r="I1235" s="213">
        <f t="shared" si="213"/>
        <v>844</v>
      </c>
      <c r="J1235" s="213">
        <f t="shared" si="214"/>
        <v>715</v>
      </c>
      <c r="K1235">
        <f>RANK(1,AI:AI,0)</f>
        <v>884</v>
      </c>
      <c r="L1235" s="357">
        <v>0</v>
      </c>
      <c r="M1235" s="357">
        <v>0</v>
      </c>
      <c r="N1235" s="357">
        <v>0</v>
      </c>
      <c r="O1235" s="357">
        <v>1</v>
      </c>
      <c r="P1235" s="357">
        <v>0</v>
      </c>
      <c r="Q1235" s="358">
        <v>0.11144643242078034</v>
      </c>
      <c r="R1235" s="359">
        <v>0.51136000000000004</v>
      </c>
      <c r="S1235" s="196">
        <v>18426815000</v>
      </c>
      <c r="T1235" s="196">
        <v>165100000</v>
      </c>
      <c r="U1235" s="200">
        <f t="shared" si="215"/>
        <v>4441190000</v>
      </c>
      <c r="V1235" s="196">
        <v>150000000</v>
      </c>
      <c r="W1235" s="196">
        <v>2045000000</v>
      </c>
      <c r="X1235" s="196">
        <v>1395000000</v>
      </c>
      <c r="Y1235" s="196">
        <v>4322000000</v>
      </c>
      <c r="Z1235" s="196">
        <v>2173000000</v>
      </c>
      <c r="AA1235" s="198">
        <v>0.04</v>
      </c>
      <c r="AB1235" s="198">
        <v>0.02</v>
      </c>
      <c r="AC1235" s="213">
        <f t="shared" si="216"/>
        <v>337</v>
      </c>
      <c r="AD1235" s="213">
        <f t="shared" si="217"/>
        <v>487</v>
      </c>
      <c r="AE1235" s="213">
        <v>1.89</v>
      </c>
      <c r="AF1235" s="196">
        <v>54000000</v>
      </c>
      <c r="AG1235" s="104">
        <f t="shared" si="218"/>
        <v>0.32707450030284674</v>
      </c>
      <c r="AH1235" s="104">
        <f t="shared" si="219"/>
        <v>0.36</v>
      </c>
      <c r="AI1235" s="195">
        <v>1</v>
      </c>
      <c r="AO1235" s="213"/>
      <c r="AP1235" s="213"/>
      <c r="AQ1235" s="213"/>
      <c r="AR1235" s="213"/>
      <c r="AS1235" s="213"/>
      <c r="AT1235" s="213"/>
      <c r="AU1235" s="213"/>
      <c r="AV1235" s="213"/>
    </row>
    <row r="1236" spans="1:48">
      <c r="A1236">
        <v>6197</v>
      </c>
      <c r="C1236" s="107">
        <f>VLOOKUP(6197,收盤價!$A:$C,3,0)</f>
        <v>26.1</v>
      </c>
      <c r="D1236" s="107">
        <f t="shared" si="209"/>
        <v>28.310950413223139</v>
      </c>
      <c r="E1236" s="167">
        <f t="shared" si="210"/>
        <v>3</v>
      </c>
      <c r="F1236" s="104">
        <f t="shared" si="211"/>
        <v>0.9278917400179274</v>
      </c>
      <c r="G1236" s="167">
        <f>RANK(1.08,AE:AE,0)</f>
        <v>769</v>
      </c>
      <c r="H1236" s="365">
        <f t="shared" si="212"/>
        <v>1.5603439236657231</v>
      </c>
      <c r="I1236" s="213">
        <f t="shared" si="213"/>
        <v>729</v>
      </c>
      <c r="J1236" s="213">
        <f t="shared" si="214"/>
        <v>249</v>
      </c>
      <c r="K1236">
        <f>RANK(1.59,AI:AI,0)</f>
        <v>509</v>
      </c>
      <c r="L1236" s="357">
        <v>0</v>
      </c>
      <c r="M1236" s="357">
        <v>1</v>
      </c>
      <c r="N1236" s="357">
        <v>2</v>
      </c>
      <c r="O1236" s="357">
        <v>0</v>
      </c>
      <c r="P1236" s="357">
        <v>0</v>
      </c>
      <c r="Q1236" s="358">
        <v>0.17676348547717843</v>
      </c>
      <c r="R1236" s="359">
        <v>0.2304761904761905</v>
      </c>
      <c r="S1236" s="196">
        <v>4877444000</v>
      </c>
      <c r="T1236" s="196">
        <v>173400000</v>
      </c>
      <c r="U1236" s="200">
        <f t="shared" si="215"/>
        <v>4525740000</v>
      </c>
      <c r="V1236" s="196">
        <v>44000000</v>
      </c>
      <c r="W1236" s="196">
        <v>2542000000</v>
      </c>
      <c r="X1236" s="196">
        <v>520000000</v>
      </c>
      <c r="Y1236" s="196">
        <v>3406000000</v>
      </c>
      <c r="Z1236" s="196">
        <v>0</v>
      </c>
      <c r="AA1236" s="198">
        <v>0.01</v>
      </c>
      <c r="AB1236" s="198">
        <v>0.01</v>
      </c>
      <c r="AC1236" s="213">
        <f t="shared" si="216"/>
        <v>769</v>
      </c>
      <c r="AD1236" s="213">
        <f t="shared" si="217"/>
        <v>680</v>
      </c>
      <c r="AE1236" s="213">
        <v>1.08</v>
      </c>
      <c r="AF1236" s="196">
        <v>92000000</v>
      </c>
      <c r="AG1236" s="104">
        <f t="shared" si="218"/>
        <v>0.53056516724336789</v>
      </c>
      <c r="AH1236" s="104">
        <f t="shared" si="219"/>
        <v>2.0909090909090908</v>
      </c>
      <c r="AI1236" s="195">
        <v>1.59</v>
      </c>
    </row>
    <row r="1237" spans="1:48">
      <c r="A1237">
        <v>6198</v>
      </c>
      <c r="C1237" s="107">
        <f>VLOOKUP(6198,收盤價!$A:$C,3,0)</f>
        <v>22</v>
      </c>
      <c r="D1237" s="107">
        <f t="shared" si="209"/>
        <v>0</v>
      </c>
      <c r="E1237" s="167">
        <f t="shared" si="210"/>
        <v>3</v>
      </c>
      <c r="F1237" s="104">
        <f t="shared" si="211"/>
        <v>8.8507265521796565</v>
      </c>
      <c r="G1237" s="167">
        <f>RANK(0.5,AE:AE,0)</f>
        <v>1545</v>
      </c>
      <c r="H1237" s="365">
        <f t="shared" si="212"/>
        <v>0.54726368159203975</v>
      </c>
      <c r="I1237" s="213">
        <f t="shared" si="213"/>
        <v>1365</v>
      </c>
      <c r="J1237" s="213">
        <f t="shared" si="214"/>
        <v>768</v>
      </c>
      <c r="K1237">
        <f>RANK(0.73,AI:AI,0)</f>
        <v>1352</v>
      </c>
      <c r="L1237" s="357">
        <v>1</v>
      </c>
      <c r="M1237" s="357">
        <v>1</v>
      </c>
      <c r="N1237" s="357">
        <v>1</v>
      </c>
      <c r="O1237" s="357">
        <v>0</v>
      </c>
      <c r="P1237" s="357">
        <v>0</v>
      </c>
      <c r="Q1237" s="358">
        <v>0.5</v>
      </c>
      <c r="R1237" s="359">
        <v>0</v>
      </c>
      <c r="S1237" s="196">
        <v>49962000</v>
      </c>
      <c r="T1237" s="196">
        <v>20100000</v>
      </c>
      <c r="U1237" s="200">
        <f t="shared" si="215"/>
        <v>442200000</v>
      </c>
      <c r="V1237" s="196">
        <v>-21000000</v>
      </c>
      <c r="W1237" s="196">
        <v>86000000</v>
      </c>
      <c r="X1237" s="196">
        <v>2000000</v>
      </c>
      <c r="Y1237" s="196">
        <v>134000000</v>
      </c>
      <c r="Z1237" s="196">
        <v>0</v>
      </c>
      <c r="AA1237" s="198">
        <v>-0.24</v>
      </c>
      <c r="AB1237" s="198">
        <v>-0.16</v>
      </c>
      <c r="AC1237" s="213">
        <f t="shared" si="216"/>
        <v>1543</v>
      </c>
      <c r="AD1237" s="213">
        <f t="shared" si="217"/>
        <v>1547</v>
      </c>
      <c r="AE1237" s="213">
        <v>0.5</v>
      </c>
      <c r="AF1237" s="196">
        <v>-11000000</v>
      </c>
      <c r="AG1237" s="104">
        <f t="shared" si="218"/>
        <v>-0.54726368159203975</v>
      </c>
      <c r="AH1237" s="104">
        <f t="shared" si="219"/>
        <v>0</v>
      </c>
      <c r="AI1237" s="195">
        <v>0.73</v>
      </c>
      <c r="AO1237" s="213"/>
      <c r="AP1237" s="213"/>
      <c r="AQ1237" s="213"/>
      <c r="AR1237" s="213"/>
      <c r="AS1237" s="213"/>
      <c r="AT1237" s="213"/>
      <c r="AU1237" s="213"/>
      <c r="AV1237" s="213"/>
    </row>
    <row r="1238" spans="1:48">
      <c r="A1238">
        <v>6199</v>
      </c>
      <c r="C1238" s="107">
        <f>VLOOKUP(6199,收盤價!$A:$C,3,0)</f>
        <v>23.8</v>
      </c>
      <c r="D1238" s="107">
        <f t="shared" si="209"/>
        <v>357</v>
      </c>
      <c r="E1238" s="167">
        <f t="shared" si="210"/>
        <v>1</v>
      </c>
      <c r="F1238" s="104">
        <f t="shared" si="211"/>
        <v>18.894712501926932</v>
      </c>
      <c r="G1238" s="167">
        <f>RANK(1.08,AE:AE,0)</f>
        <v>769</v>
      </c>
      <c r="H1238" s="365">
        <f t="shared" si="212"/>
        <v>0.36763754045307445</v>
      </c>
      <c r="I1238" s="213">
        <f t="shared" si="213"/>
        <v>1047</v>
      </c>
      <c r="J1238" s="213">
        <f t="shared" si="214"/>
        <v>702</v>
      </c>
      <c r="K1238">
        <f>RANK(0.89,AI:AI,0)</f>
        <v>1004</v>
      </c>
      <c r="L1238" s="357">
        <v>0</v>
      </c>
      <c r="M1238" s="357">
        <v>0</v>
      </c>
      <c r="N1238" s="357">
        <v>0</v>
      </c>
      <c r="O1238" s="357">
        <v>1</v>
      </c>
      <c r="P1238" s="357">
        <v>0</v>
      </c>
      <c r="Q1238" s="358">
        <v>0.88888888888888884</v>
      </c>
      <c r="R1238" s="359">
        <v>1.6666666666666666E-2</v>
      </c>
      <c r="S1238" s="196">
        <v>77844000</v>
      </c>
      <c r="T1238" s="196">
        <v>61800000</v>
      </c>
      <c r="U1238" s="200">
        <f t="shared" si="215"/>
        <v>1470840000</v>
      </c>
      <c r="V1238" s="196">
        <v>5000000</v>
      </c>
      <c r="W1238" s="196">
        <v>497000000</v>
      </c>
      <c r="X1238" s="196">
        <v>8000000</v>
      </c>
      <c r="Y1238" s="196">
        <v>702000000</v>
      </c>
      <c r="Z1238" s="196">
        <v>0</v>
      </c>
      <c r="AA1238" s="198">
        <v>0.01</v>
      </c>
      <c r="AB1238" s="198">
        <v>0.01</v>
      </c>
      <c r="AC1238" s="213">
        <f t="shared" si="216"/>
        <v>769</v>
      </c>
      <c r="AD1238" s="213">
        <f t="shared" si="217"/>
        <v>680</v>
      </c>
      <c r="AE1238" s="213">
        <v>1.08</v>
      </c>
      <c r="AF1238" s="196">
        <v>2000000</v>
      </c>
      <c r="AG1238" s="104">
        <f t="shared" si="218"/>
        <v>3.2362459546925564E-2</v>
      </c>
      <c r="AH1238" s="104">
        <f t="shared" si="219"/>
        <v>0.4</v>
      </c>
      <c r="AI1238" s="195">
        <v>0.89</v>
      </c>
    </row>
    <row r="1239" spans="1:48">
      <c r="A1239">
        <v>6201</v>
      </c>
      <c r="C1239" s="107">
        <f>VLOOKUP(6201,收盤價!$A:$C,3,0)</f>
        <v>30.9</v>
      </c>
      <c r="D1239" s="107">
        <f t="shared" si="209"/>
        <v>7.0227272727272716</v>
      </c>
      <c r="E1239" s="167">
        <f t="shared" si="210"/>
        <v>5</v>
      </c>
      <c r="F1239" s="104">
        <f t="shared" si="211"/>
        <v>0.84079503798293143</v>
      </c>
      <c r="G1239" s="167">
        <f>RANK(0.84,AE:AE,0)</f>
        <v>946</v>
      </c>
      <c r="H1239" s="365">
        <f t="shared" si="212"/>
        <v>-1.289237668161435</v>
      </c>
      <c r="I1239" s="213">
        <f t="shared" si="213"/>
        <v>407</v>
      </c>
      <c r="J1239" s="213">
        <f t="shared" si="214"/>
        <v>768</v>
      </c>
      <c r="K1239">
        <f>RANK(1.33,AI:AI,0)</f>
        <v>662</v>
      </c>
      <c r="L1239" s="357">
        <v>1</v>
      </c>
      <c r="M1239" s="357">
        <v>1</v>
      </c>
      <c r="N1239" s="357">
        <v>2</v>
      </c>
      <c r="O1239" s="357">
        <v>1</v>
      </c>
      <c r="P1239" s="357">
        <v>0</v>
      </c>
      <c r="Q1239" s="358">
        <v>0.23015873015873015</v>
      </c>
      <c r="R1239" s="359">
        <v>1.1000000000000001</v>
      </c>
      <c r="S1239" s="196">
        <v>3278183000</v>
      </c>
      <c r="T1239" s="196">
        <v>89200000</v>
      </c>
      <c r="U1239" s="200">
        <f t="shared" si="215"/>
        <v>2756280000</v>
      </c>
      <c r="V1239" s="196">
        <v>0</v>
      </c>
      <c r="W1239" s="196">
        <v>1746000000</v>
      </c>
      <c r="X1239" s="196">
        <v>625000000</v>
      </c>
      <c r="Y1239" s="196">
        <v>2328000000</v>
      </c>
      <c r="Z1239" s="196">
        <v>4000000</v>
      </c>
      <c r="AA1239" s="198">
        <v>0</v>
      </c>
      <c r="AB1239" s="198">
        <v>0</v>
      </c>
      <c r="AC1239" s="213">
        <f t="shared" si="216"/>
        <v>945</v>
      </c>
      <c r="AD1239" s="213">
        <f t="shared" si="217"/>
        <v>911</v>
      </c>
      <c r="AE1239" s="213">
        <v>0.84</v>
      </c>
      <c r="AF1239" s="196">
        <v>115000000</v>
      </c>
      <c r="AG1239" s="104">
        <f t="shared" si="218"/>
        <v>1.289237668161435</v>
      </c>
      <c r="AH1239" s="104">
        <f t="shared" si="219"/>
        <v>0</v>
      </c>
      <c r="AI1239" s="195">
        <v>1.33</v>
      </c>
      <c r="AO1239" s="213"/>
      <c r="AP1239" s="213"/>
      <c r="AQ1239" s="213"/>
      <c r="AR1239" s="213"/>
      <c r="AS1239" s="213"/>
      <c r="AT1239" s="213"/>
      <c r="AU1239" s="213"/>
      <c r="AV1239" s="213"/>
    </row>
    <row r="1240" spans="1:48">
      <c r="A1240">
        <v>6202</v>
      </c>
      <c r="C1240" s="107">
        <f>VLOOKUP(6202,收盤價!$A:$C,3,0)</f>
        <v>50.2</v>
      </c>
      <c r="D1240" s="107">
        <f t="shared" si="209"/>
        <v>15.171298154093099</v>
      </c>
      <c r="E1240" s="167">
        <f t="shared" si="210"/>
        <v>2</v>
      </c>
      <c r="F1240" s="104">
        <f t="shared" si="211"/>
        <v>2.7995332484081459</v>
      </c>
      <c r="G1240" s="167">
        <f>RANK(6.8,AE:AE,0)</f>
        <v>115</v>
      </c>
      <c r="H1240" s="365">
        <f t="shared" si="212"/>
        <v>1.0420613868889622E-3</v>
      </c>
      <c r="I1240" s="213">
        <f t="shared" si="213"/>
        <v>987</v>
      </c>
      <c r="J1240" s="213">
        <f t="shared" si="214"/>
        <v>753</v>
      </c>
      <c r="K1240">
        <f>RANK(0.9,AI:AI,0)</f>
        <v>988</v>
      </c>
      <c r="L1240" s="357">
        <v>0</v>
      </c>
      <c r="M1240" s="357">
        <v>0</v>
      </c>
      <c r="N1240" s="357">
        <v>1</v>
      </c>
      <c r="O1240" s="357">
        <v>0</v>
      </c>
      <c r="P1240" s="357">
        <v>1</v>
      </c>
      <c r="Q1240" s="358">
        <v>0.489945155393053</v>
      </c>
      <c r="R1240" s="359">
        <v>0.82721991701244812</v>
      </c>
      <c r="S1240" s="196">
        <v>4056119000</v>
      </c>
      <c r="T1240" s="196">
        <v>226200000</v>
      </c>
      <c r="U1240" s="200">
        <f t="shared" si="215"/>
        <v>11355240000</v>
      </c>
      <c r="V1240" s="196">
        <v>224000000</v>
      </c>
      <c r="W1240" s="196">
        <v>2538000000</v>
      </c>
      <c r="X1240" s="196">
        <v>456000000</v>
      </c>
      <c r="Y1240" s="196">
        <v>3595000000</v>
      </c>
      <c r="Z1240" s="196">
        <v>0</v>
      </c>
      <c r="AA1240" s="198">
        <v>7.0000000000000007E-2</v>
      </c>
      <c r="AB1240" s="198">
        <v>0.06</v>
      </c>
      <c r="AC1240" s="213">
        <f t="shared" si="216"/>
        <v>134</v>
      </c>
      <c r="AD1240" s="213">
        <f t="shared" si="217"/>
        <v>95</v>
      </c>
      <c r="AE1240" s="213">
        <v>6.8</v>
      </c>
      <c r="AF1240" s="196">
        <v>24000000</v>
      </c>
      <c r="AG1240" s="104">
        <f t="shared" si="218"/>
        <v>0.10610079575596817</v>
      </c>
      <c r="AH1240" s="104">
        <f t="shared" si="219"/>
        <v>0.10714285714285714</v>
      </c>
      <c r="AI1240" s="195">
        <v>0.9</v>
      </c>
    </row>
    <row r="1241" spans="1:48">
      <c r="A1241">
        <v>6203</v>
      </c>
      <c r="C1241" s="107">
        <f>VLOOKUP(6203,收盤價!$A:$C,3,0)</f>
        <v>30.9</v>
      </c>
      <c r="D1241" s="107">
        <f t="shared" si="209"/>
        <v>12.261904761904761</v>
      </c>
      <c r="E1241" s="167">
        <f t="shared" si="210"/>
        <v>3</v>
      </c>
      <c r="F1241" s="104">
        <f t="shared" si="211"/>
        <v>1.4180426422402321</v>
      </c>
      <c r="G1241" s="167">
        <f>RANK(0.84,AE:AE,0)</f>
        <v>946</v>
      </c>
      <c r="H1241" s="365">
        <f t="shared" si="212"/>
        <v>-1.0375000000000001</v>
      </c>
      <c r="I1241" s="213">
        <f t="shared" si="213"/>
        <v>498</v>
      </c>
      <c r="J1241" s="213">
        <f t="shared" si="214"/>
        <v>768</v>
      </c>
      <c r="K1241">
        <f>RANK(1.23,AI:AI,0)</f>
        <v>720</v>
      </c>
      <c r="L1241" s="357">
        <v>0</v>
      </c>
      <c r="M1241" s="357">
        <v>1</v>
      </c>
      <c r="N1241" s="357">
        <v>1</v>
      </c>
      <c r="O1241" s="357">
        <v>1</v>
      </c>
      <c r="P1241" s="357">
        <v>0</v>
      </c>
      <c r="Q1241" s="358">
        <v>0.30120481927710846</v>
      </c>
      <c r="R1241" s="359">
        <v>0.63</v>
      </c>
      <c r="S1241" s="196">
        <v>1743248000</v>
      </c>
      <c r="T1241" s="196">
        <v>80000000</v>
      </c>
      <c r="U1241" s="200">
        <f t="shared" si="215"/>
        <v>2472000000</v>
      </c>
      <c r="V1241" s="196">
        <v>0</v>
      </c>
      <c r="W1241" s="196">
        <v>1202000000</v>
      </c>
      <c r="X1241" s="196">
        <v>201000000</v>
      </c>
      <c r="Y1241" s="196">
        <v>1406000000</v>
      </c>
      <c r="Z1241" s="196">
        <v>0</v>
      </c>
      <c r="AA1241" s="198">
        <v>0</v>
      </c>
      <c r="AB1241" s="198">
        <v>0</v>
      </c>
      <c r="AC1241" s="213">
        <f t="shared" si="216"/>
        <v>945</v>
      </c>
      <c r="AD1241" s="213">
        <f t="shared" si="217"/>
        <v>911</v>
      </c>
      <c r="AE1241" s="213">
        <v>0.84</v>
      </c>
      <c r="AF1241" s="196">
        <v>83000000</v>
      </c>
      <c r="AG1241" s="104">
        <f t="shared" si="218"/>
        <v>1.0375000000000001</v>
      </c>
      <c r="AH1241" s="104">
        <f t="shared" si="219"/>
        <v>0</v>
      </c>
      <c r="AI1241" s="195">
        <v>1.23</v>
      </c>
    </row>
    <row r="1242" spans="1:48">
      <c r="A1242">
        <v>6204</v>
      </c>
      <c r="C1242" s="107">
        <f>VLOOKUP(6204,收盤價!$A:$C,3,0)</f>
        <v>20</v>
      </c>
      <c r="D1242" s="107">
        <f t="shared" si="209"/>
        <v>7.7967806841046281</v>
      </c>
      <c r="E1242" s="167">
        <f t="shared" si="210"/>
        <v>5</v>
      </c>
      <c r="F1242" s="104">
        <f t="shared" si="211"/>
        <v>1.1976604151668264</v>
      </c>
      <c r="G1242" s="167">
        <f>RANK(1.94,AE:AE,0)</f>
        <v>435</v>
      </c>
      <c r="H1242" s="365">
        <f t="shared" si="212"/>
        <v>0.12020182034032451</v>
      </c>
      <c r="I1242" s="213">
        <f t="shared" si="213"/>
        <v>794</v>
      </c>
      <c r="J1242" s="213">
        <f t="shared" si="214"/>
        <v>663</v>
      </c>
      <c r="K1242">
        <f>RANK(1.07,AI:AI,0)</f>
        <v>826</v>
      </c>
      <c r="L1242" s="357">
        <v>1</v>
      </c>
      <c r="M1242" s="357">
        <v>1</v>
      </c>
      <c r="N1242" s="357">
        <v>2</v>
      </c>
      <c r="O1242" s="357">
        <v>1</v>
      </c>
      <c r="P1242" s="357">
        <v>0</v>
      </c>
      <c r="Q1242" s="358">
        <v>0.3146067415730337</v>
      </c>
      <c r="R1242" s="359">
        <v>0.64129032258064511</v>
      </c>
      <c r="S1242" s="196">
        <v>602842000</v>
      </c>
      <c r="T1242" s="196">
        <v>36100000</v>
      </c>
      <c r="U1242" s="200">
        <f t="shared" si="215"/>
        <v>722000000</v>
      </c>
      <c r="V1242" s="196">
        <v>28000000</v>
      </c>
      <c r="W1242" s="196">
        <v>676000000</v>
      </c>
      <c r="X1242" s="196">
        <v>230000000</v>
      </c>
      <c r="Y1242" s="196">
        <v>870000000</v>
      </c>
      <c r="Z1242" s="196">
        <v>0</v>
      </c>
      <c r="AA1242" s="198">
        <v>0.03</v>
      </c>
      <c r="AB1242" s="198">
        <v>0.03</v>
      </c>
      <c r="AC1242" s="213">
        <f t="shared" si="216"/>
        <v>469</v>
      </c>
      <c r="AD1242" s="213">
        <f t="shared" si="217"/>
        <v>334</v>
      </c>
      <c r="AE1242" s="213">
        <v>1.94</v>
      </c>
      <c r="AF1242" s="196">
        <v>15000000</v>
      </c>
      <c r="AG1242" s="104">
        <f t="shared" si="218"/>
        <v>0.41551246537396119</v>
      </c>
      <c r="AH1242" s="104">
        <f t="shared" si="219"/>
        <v>0.5357142857142857</v>
      </c>
      <c r="AI1242" s="195">
        <v>1.07</v>
      </c>
    </row>
    <row r="1243" spans="1:48">
      <c r="A1243">
        <v>6205</v>
      </c>
      <c r="C1243" s="107">
        <f>VLOOKUP(6205,收盤價!$A:$C,3,0)</f>
        <v>30.15</v>
      </c>
      <c r="D1243" s="107">
        <f t="shared" si="209"/>
        <v>11.964285714285714</v>
      </c>
      <c r="E1243" s="167">
        <f t="shared" si="210"/>
        <v>4</v>
      </c>
      <c r="F1243" s="104">
        <f t="shared" si="211"/>
        <v>1.0564089600805786</v>
      </c>
      <c r="G1243" s="167">
        <f>RANK(0.84,AE:AE,0)</f>
        <v>946</v>
      </c>
      <c r="H1243" s="365">
        <f t="shared" si="212"/>
        <v>-0.9888579387186629</v>
      </c>
      <c r="I1243" s="213">
        <f t="shared" si="213"/>
        <v>519</v>
      </c>
      <c r="J1243" s="213">
        <f t="shared" si="214"/>
        <v>768</v>
      </c>
      <c r="K1243">
        <f>RANK(1.21,AI:AI,0)</f>
        <v>730</v>
      </c>
      <c r="L1243" s="357">
        <v>0</v>
      </c>
      <c r="M1243" s="357">
        <v>1</v>
      </c>
      <c r="N1243" s="357">
        <v>2</v>
      </c>
      <c r="O1243" s="357">
        <v>1</v>
      </c>
      <c r="P1243" s="357">
        <v>0</v>
      </c>
      <c r="Q1243" s="358">
        <v>0.32941176470588235</v>
      </c>
      <c r="R1243" s="359">
        <v>0.63</v>
      </c>
      <c r="S1243" s="196">
        <v>2049178000</v>
      </c>
      <c r="T1243" s="196">
        <v>71800000</v>
      </c>
      <c r="U1243" s="200">
        <f t="shared" si="215"/>
        <v>2164770000</v>
      </c>
      <c r="V1243" s="196">
        <v>0</v>
      </c>
      <c r="W1243" s="196">
        <v>1085000000</v>
      </c>
      <c r="X1243" s="196">
        <v>305000000</v>
      </c>
      <c r="Y1243" s="196">
        <v>1610000000</v>
      </c>
      <c r="Z1243" s="196">
        <v>6000000</v>
      </c>
      <c r="AA1243" s="198">
        <v>0</v>
      </c>
      <c r="AB1243" s="198">
        <v>0</v>
      </c>
      <c r="AC1243" s="213">
        <f t="shared" si="216"/>
        <v>945</v>
      </c>
      <c r="AD1243" s="213">
        <f t="shared" si="217"/>
        <v>911</v>
      </c>
      <c r="AE1243" s="213">
        <v>0.84</v>
      </c>
      <c r="AF1243" s="196">
        <v>71000000</v>
      </c>
      <c r="AG1243" s="104">
        <f t="shared" si="218"/>
        <v>0.9888579387186629</v>
      </c>
      <c r="AH1243" s="104">
        <f t="shared" si="219"/>
        <v>0</v>
      </c>
      <c r="AI1243" s="195">
        <v>1.21</v>
      </c>
      <c r="AO1243" s="213"/>
      <c r="AP1243" s="213"/>
      <c r="AQ1243" s="213"/>
      <c r="AR1243" s="213"/>
      <c r="AS1243" s="213"/>
      <c r="AT1243" s="213"/>
      <c r="AU1243" s="213"/>
      <c r="AV1243" s="213"/>
    </row>
    <row r="1244" spans="1:48">
      <c r="A1244">
        <v>6206</v>
      </c>
      <c r="C1244" s="107">
        <f>VLOOKUP(6206,收盤價!$A:$C,3,0)</f>
        <v>105</v>
      </c>
      <c r="D1244" s="107">
        <f t="shared" si="209"/>
        <v>17.079610551875341</v>
      </c>
      <c r="E1244" s="167">
        <f t="shared" si="210"/>
        <v>2</v>
      </c>
      <c r="F1244" s="104">
        <f t="shared" si="211"/>
        <v>2.8210308103838599</v>
      </c>
      <c r="G1244" s="167">
        <f>RANK(6.8,AE:AE,0)</f>
        <v>115</v>
      </c>
      <c r="H1244" s="365">
        <f t="shared" si="212"/>
        <v>-0.93366425010341136</v>
      </c>
      <c r="I1244" s="213">
        <f t="shared" si="213"/>
        <v>198</v>
      </c>
      <c r="J1244" s="213">
        <f t="shared" si="214"/>
        <v>427</v>
      </c>
      <c r="K1244">
        <f>RANK(2.49,AI:AI,0)</f>
        <v>239</v>
      </c>
      <c r="L1244" s="357">
        <v>0</v>
      </c>
      <c r="M1244" s="357">
        <v>1</v>
      </c>
      <c r="N1244" s="357">
        <v>0</v>
      </c>
      <c r="O1244" s="357">
        <v>1</v>
      </c>
      <c r="P1244" s="357">
        <v>0</v>
      </c>
      <c r="Q1244" s="358">
        <v>0.34482758620689657</v>
      </c>
      <c r="R1244" s="359">
        <v>1.5369202898550725</v>
      </c>
      <c r="S1244" s="196">
        <v>5449072000</v>
      </c>
      <c r="T1244" s="196">
        <v>146400000</v>
      </c>
      <c r="U1244" s="200">
        <f t="shared" si="215"/>
        <v>15372000000</v>
      </c>
      <c r="V1244" s="196">
        <v>251000000</v>
      </c>
      <c r="W1244" s="196">
        <v>2706000000</v>
      </c>
      <c r="X1244" s="196">
        <v>1147000000</v>
      </c>
      <c r="Y1244" s="196">
        <v>4437000000</v>
      </c>
      <c r="Z1244" s="196">
        <v>103000000</v>
      </c>
      <c r="AA1244" s="198">
        <v>7.0000000000000007E-2</v>
      </c>
      <c r="AB1244" s="198">
        <v>0.06</v>
      </c>
      <c r="AC1244" s="213">
        <f t="shared" si="216"/>
        <v>134</v>
      </c>
      <c r="AD1244" s="213">
        <f t="shared" si="217"/>
        <v>95</v>
      </c>
      <c r="AE1244" s="213">
        <v>6.8</v>
      </c>
      <c r="AF1244" s="196">
        <v>328000000</v>
      </c>
      <c r="AG1244" s="104">
        <f t="shared" si="218"/>
        <v>2.2404371584699452</v>
      </c>
      <c r="AH1244" s="104">
        <f t="shared" si="219"/>
        <v>1.3067729083665338</v>
      </c>
      <c r="AI1244" s="195">
        <v>2.4900000000000002</v>
      </c>
    </row>
    <row r="1245" spans="1:48">
      <c r="A1245">
        <v>6207</v>
      </c>
      <c r="C1245" s="107">
        <f>VLOOKUP(6207,收盤價!$A:$C,3,0)</f>
        <v>21.65</v>
      </c>
      <c r="D1245" s="107">
        <f t="shared" si="209"/>
        <v>11.51595744680851</v>
      </c>
      <c r="E1245" s="167">
        <f t="shared" si="210"/>
        <v>4</v>
      </c>
      <c r="F1245" s="104">
        <f t="shared" si="211"/>
        <v>1.0138525281086794</v>
      </c>
      <c r="G1245" s="167">
        <f>RANK(1.89,AE:AE,0)</f>
        <v>498</v>
      </c>
      <c r="H1245" s="365">
        <f t="shared" si="212"/>
        <v>0.80772686433063789</v>
      </c>
      <c r="I1245" s="213">
        <f t="shared" si="213"/>
        <v>378</v>
      </c>
      <c r="J1245" s="213">
        <f t="shared" si="214"/>
        <v>233</v>
      </c>
      <c r="K1245">
        <f>RANK(2.55,AI:AI,0)</f>
        <v>224</v>
      </c>
      <c r="L1245" s="357">
        <v>0</v>
      </c>
      <c r="M1245" s="357">
        <v>1</v>
      </c>
      <c r="N1245" s="357">
        <v>2</v>
      </c>
      <c r="O1245" s="357">
        <v>1</v>
      </c>
      <c r="P1245" s="357">
        <v>0</v>
      </c>
      <c r="Q1245" s="358">
        <v>0.24074074074074073</v>
      </c>
      <c r="R1245" s="359">
        <v>0.47</v>
      </c>
      <c r="S1245" s="196">
        <v>1793752000</v>
      </c>
      <c r="T1245" s="196">
        <v>84000000</v>
      </c>
      <c r="U1245" s="200">
        <f t="shared" si="215"/>
        <v>1818599999.9999998</v>
      </c>
      <c r="V1245" s="196">
        <v>53000000</v>
      </c>
      <c r="W1245" s="196">
        <v>1014000000</v>
      </c>
      <c r="X1245" s="196">
        <v>256000000</v>
      </c>
      <c r="Y1245" s="196">
        <v>1387000000</v>
      </c>
      <c r="Z1245" s="196">
        <v>1044000000</v>
      </c>
      <c r="AA1245" s="198">
        <v>0.04</v>
      </c>
      <c r="AB1245" s="198">
        <v>0.02</v>
      </c>
      <c r="AC1245" s="213">
        <f t="shared" si="216"/>
        <v>337</v>
      </c>
      <c r="AD1245" s="213">
        <f t="shared" si="217"/>
        <v>487</v>
      </c>
      <c r="AE1245" s="213">
        <v>1.89</v>
      </c>
      <c r="AF1245" s="196">
        <v>116000000</v>
      </c>
      <c r="AG1245" s="104">
        <f t="shared" si="218"/>
        <v>1.3809523809523809</v>
      </c>
      <c r="AH1245" s="104">
        <f t="shared" si="219"/>
        <v>2.1886792452830188</v>
      </c>
      <c r="AI1245" s="195">
        <v>2.5499999999999998</v>
      </c>
      <c r="AO1245" s="213"/>
      <c r="AP1245" s="213"/>
      <c r="AQ1245" s="213"/>
      <c r="AR1245" s="213"/>
      <c r="AS1245" s="213"/>
      <c r="AT1245" s="213"/>
      <c r="AU1245" s="213"/>
      <c r="AV1245" s="213"/>
    </row>
    <row r="1246" spans="1:48">
      <c r="A1246">
        <v>6208</v>
      </c>
      <c r="C1246" s="107">
        <f>VLOOKUP(6208,收盤價!$A:$C,3,0)</f>
        <v>14.75</v>
      </c>
      <c r="D1246" s="107">
        <f t="shared" si="209"/>
        <v>12.97453703703704</v>
      </c>
      <c r="E1246" s="167">
        <f t="shared" si="210"/>
        <v>3</v>
      </c>
      <c r="F1246" s="104">
        <f t="shared" si="211"/>
        <v>1.2965601986242627</v>
      </c>
      <c r="G1246" s="167">
        <f>RANK(1.63,AE:AE,0)</f>
        <v>551</v>
      </c>
      <c r="H1246" s="365">
        <f t="shared" si="212"/>
        <v>1.0700223672292364</v>
      </c>
      <c r="I1246" s="213">
        <f t="shared" si="213"/>
        <v>631</v>
      </c>
      <c r="J1246" s="213">
        <f t="shared" si="214"/>
        <v>297</v>
      </c>
      <c r="K1246">
        <f>RANK(1.68,AI:AI,0)</f>
        <v>465</v>
      </c>
      <c r="L1246" s="357">
        <v>0</v>
      </c>
      <c r="M1246" s="357">
        <v>1</v>
      </c>
      <c r="N1246" s="357">
        <v>1</v>
      </c>
      <c r="O1246" s="357">
        <v>1</v>
      </c>
      <c r="P1246" s="357">
        <v>0</v>
      </c>
      <c r="Q1246" s="358">
        <v>0.32621951219512196</v>
      </c>
      <c r="R1246" s="359">
        <v>0.28421052631578941</v>
      </c>
      <c r="S1246" s="196">
        <v>1309407000</v>
      </c>
      <c r="T1246" s="196">
        <v>115100000</v>
      </c>
      <c r="U1246" s="200">
        <f t="shared" si="215"/>
        <v>1697725000</v>
      </c>
      <c r="V1246" s="196">
        <v>47000000</v>
      </c>
      <c r="W1246" s="196">
        <v>891000000</v>
      </c>
      <c r="X1246" s="196">
        <v>561000000</v>
      </c>
      <c r="Y1246" s="196">
        <v>1751000000</v>
      </c>
      <c r="Z1246" s="196">
        <v>133000000</v>
      </c>
      <c r="AA1246" s="198">
        <v>0.03</v>
      </c>
      <c r="AB1246" s="198">
        <v>0.02</v>
      </c>
      <c r="AC1246" s="213">
        <f t="shared" si="216"/>
        <v>469</v>
      </c>
      <c r="AD1246" s="213">
        <f t="shared" si="217"/>
        <v>487</v>
      </c>
      <c r="AE1246" s="213">
        <v>1.63</v>
      </c>
      <c r="AF1246" s="196">
        <v>85000000</v>
      </c>
      <c r="AG1246" s="104">
        <f t="shared" si="218"/>
        <v>0.73848827106863602</v>
      </c>
      <c r="AH1246" s="104">
        <f t="shared" si="219"/>
        <v>1.8085106382978724</v>
      </c>
      <c r="AI1246" s="195">
        <v>1.68</v>
      </c>
      <c r="AO1246" s="213"/>
      <c r="AP1246" s="213"/>
      <c r="AQ1246" s="213"/>
      <c r="AR1246" s="213"/>
      <c r="AS1246" s="213"/>
      <c r="AT1246" s="213"/>
      <c r="AU1246" s="213"/>
      <c r="AV1246" s="213"/>
    </row>
    <row r="1247" spans="1:48">
      <c r="A1247">
        <v>6209</v>
      </c>
      <c r="C1247" s="107">
        <f>VLOOKUP(6209,收盤價!$A:$C,3,0)</f>
        <v>23.75</v>
      </c>
      <c r="D1247" s="107">
        <f t="shared" si="209"/>
        <v>0</v>
      </c>
      <c r="E1247" s="167">
        <f t="shared" si="210"/>
        <v>0</v>
      </c>
      <c r="F1247" s="104">
        <f t="shared" si="211"/>
        <v>0.95354371090791779</v>
      </c>
      <c r="G1247" s="167">
        <f>RANK(0.61,AE:AE,0)</f>
        <v>1295</v>
      </c>
      <c r="H1247" s="365">
        <f t="shared" si="212"/>
        <v>0.31365313653136534</v>
      </c>
      <c r="I1247" s="213">
        <f t="shared" si="213"/>
        <v>1273</v>
      </c>
      <c r="J1247" s="213">
        <f t="shared" si="214"/>
        <v>768</v>
      </c>
      <c r="K1247">
        <f>RANK(0.76,AI:AI,0)</f>
        <v>1269</v>
      </c>
      <c r="L1247" s="357">
        <v>0</v>
      </c>
      <c r="M1247" s="357">
        <v>0</v>
      </c>
      <c r="N1247" s="357">
        <v>0</v>
      </c>
      <c r="O1247" s="357">
        <v>0</v>
      </c>
      <c r="P1247" s="357">
        <v>0</v>
      </c>
      <c r="Q1247" s="358">
        <v>8.932238193018481E-2</v>
      </c>
      <c r="R1247" s="359">
        <v>0</v>
      </c>
      <c r="S1247" s="196">
        <v>4049893000</v>
      </c>
      <c r="T1247" s="196">
        <v>162600000</v>
      </c>
      <c r="U1247" s="200">
        <f t="shared" si="215"/>
        <v>3861750000</v>
      </c>
      <c r="V1247" s="196">
        <v>-50000000</v>
      </c>
      <c r="W1247" s="196">
        <v>1451000000</v>
      </c>
      <c r="X1247" s="196">
        <v>2457000000</v>
      </c>
      <c r="Y1247" s="196">
        <v>3863000000</v>
      </c>
      <c r="Z1247" s="196">
        <v>763000000</v>
      </c>
      <c r="AA1247" s="198">
        <v>-0.01</v>
      </c>
      <c r="AB1247" s="198">
        <v>-0.01</v>
      </c>
      <c r="AC1247" s="213">
        <f t="shared" si="216"/>
        <v>1277</v>
      </c>
      <c r="AD1247" s="213">
        <f t="shared" si="217"/>
        <v>1294</v>
      </c>
      <c r="AE1247" s="213">
        <v>0.61</v>
      </c>
      <c r="AF1247" s="196">
        <v>-51000000</v>
      </c>
      <c r="AG1247" s="104">
        <f t="shared" si="218"/>
        <v>-0.31365313653136534</v>
      </c>
      <c r="AH1247" s="104">
        <f t="shared" si="219"/>
        <v>0</v>
      </c>
      <c r="AI1247" s="195">
        <v>0.76</v>
      </c>
      <c r="AO1247" s="213"/>
      <c r="AP1247" s="213"/>
      <c r="AQ1247" s="213"/>
      <c r="AR1247" s="213"/>
      <c r="AS1247" s="213"/>
      <c r="AT1247" s="213"/>
      <c r="AU1247" s="213"/>
      <c r="AV1247" s="213"/>
    </row>
    <row r="1248" spans="1:48">
      <c r="A1248">
        <v>6210</v>
      </c>
      <c r="C1248" s="107">
        <f>VLOOKUP(6210,收盤價!$A:$C,3,0)</f>
        <v>35.5</v>
      </c>
      <c r="D1248" s="107">
        <f t="shared" si="209"/>
        <v>9.543010752688172</v>
      </c>
      <c r="E1248" s="167">
        <f t="shared" si="210"/>
        <v>2</v>
      </c>
      <c r="F1248" s="104">
        <f t="shared" si="211"/>
        <v>1.4191566154970761</v>
      </c>
      <c r="G1248" s="167">
        <f>RANK(4.56,AE:AE,0)</f>
        <v>194</v>
      </c>
      <c r="H1248" s="365">
        <f t="shared" si="212"/>
        <v>-3.3449477351916362E-2</v>
      </c>
      <c r="I1248" s="213">
        <f t="shared" si="213"/>
        <v>910</v>
      </c>
      <c r="J1248" s="213">
        <f t="shared" si="214"/>
        <v>739</v>
      </c>
      <c r="K1248">
        <f>RANK(0.94,AI:AI,0)</f>
        <v>936</v>
      </c>
      <c r="L1248" s="357">
        <v>0</v>
      </c>
      <c r="M1248" s="357">
        <v>1</v>
      </c>
      <c r="N1248" s="357">
        <v>0</v>
      </c>
      <c r="O1248" s="357">
        <v>1</v>
      </c>
      <c r="P1248" s="357">
        <v>0</v>
      </c>
      <c r="Q1248" s="358">
        <v>0.36792452830188677</v>
      </c>
      <c r="R1248" s="359">
        <v>0.93</v>
      </c>
      <c r="S1248" s="196">
        <v>875520000</v>
      </c>
      <c r="T1248" s="196">
        <v>35000000</v>
      </c>
      <c r="U1248" s="200">
        <f t="shared" si="215"/>
        <v>1242500000</v>
      </c>
      <c r="V1248" s="196">
        <v>41000000</v>
      </c>
      <c r="W1248" s="196">
        <v>422000000</v>
      </c>
      <c r="X1248" s="196">
        <v>345000000</v>
      </c>
      <c r="Y1248" s="196">
        <v>710000000</v>
      </c>
      <c r="Z1248" s="196">
        <v>20000000</v>
      </c>
      <c r="AA1248" s="198">
        <v>0.05</v>
      </c>
      <c r="AB1248" s="198">
        <v>0.06</v>
      </c>
      <c r="AC1248" s="213">
        <f t="shared" si="216"/>
        <v>247</v>
      </c>
      <c r="AD1248" s="213">
        <f t="shared" si="217"/>
        <v>95</v>
      </c>
      <c r="AE1248" s="213">
        <v>4.5599999999999996</v>
      </c>
      <c r="AF1248" s="196">
        <v>8000000</v>
      </c>
      <c r="AG1248" s="104">
        <f t="shared" si="218"/>
        <v>0.22857142857142856</v>
      </c>
      <c r="AH1248" s="104">
        <f t="shared" si="219"/>
        <v>0.1951219512195122</v>
      </c>
      <c r="AI1248" s="195">
        <v>0.94</v>
      </c>
    </row>
    <row r="1249" spans="1:48">
      <c r="A1249">
        <v>6212</v>
      </c>
      <c r="C1249" s="107">
        <f>VLOOKUP(6212,收盤價!$A:$C,3,0)</f>
        <v>0</v>
      </c>
      <c r="D1249" s="107">
        <f t="shared" si="209"/>
        <v>0</v>
      </c>
      <c r="E1249" s="167">
        <f t="shared" si="210"/>
        <v>1</v>
      </c>
      <c r="F1249" s="104">
        <f t="shared" si="211"/>
        <v>0</v>
      </c>
      <c r="G1249" s="167">
        <f>RANK(0.71,AE:AE,0)</f>
        <v>1276</v>
      </c>
      <c r="H1249" s="365">
        <f t="shared" si="212"/>
        <v>-0.58823529411764708</v>
      </c>
      <c r="I1249" s="213">
        <f t="shared" si="213"/>
        <v>701</v>
      </c>
      <c r="J1249" s="213">
        <f t="shared" si="214"/>
        <v>768</v>
      </c>
      <c r="K1249">
        <f>RANK(1.06,AI:AI,0)</f>
        <v>836</v>
      </c>
      <c r="L1249" s="357">
        <v>0</v>
      </c>
      <c r="M1249" s="357">
        <v>0</v>
      </c>
      <c r="N1249" s="357">
        <v>1</v>
      </c>
      <c r="O1249" s="357">
        <v>0</v>
      </c>
      <c r="P1249" s="357">
        <v>0</v>
      </c>
      <c r="Q1249" s="358">
        <v>0.27748691099476441</v>
      </c>
      <c r="R1249" s="359">
        <v>0</v>
      </c>
      <c r="S1249" s="196">
        <v>3971452000</v>
      </c>
      <c r="T1249" s="196">
        <v>102000000</v>
      </c>
      <c r="U1249" s="200">
        <f t="shared" si="215"/>
        <v>0</v>
      </c>
      <c r="V1249" s="196">
        <v>-10000000</v>
      </c>
      <c r="W1249" s="196">
        <v>1349000000</v>
      </c>
      <c r="X1249" s="196">
        <v>2000000</v>
      </c>
      <c r="Y1249" s="196">
        <v>1490000000</v>
      </c>
      <c r="Z1249" s="196">
        <v>942000000</v>
      </c>
      <c r="AA1249" s="198">
        <v>-0.01</v>
      </c>
      <c r="AB1249" s="198">
        <v>0</v>
      </c>
      <c r="AC1249" s="213">
        <f t="shared" si="216"/>
        <v>1277</v>
      </c>
      <c r="AD1249" s="213">
        <f t="shared" si="217"/>
        <v>911</v>
      </c>
      <c r="AE1249" s="213">
        <v>0.71</v>
      </c>
      <c r="AF1249" s="196">
        <v>60000000</v>
      </c>
      <c r="AG1249" s="104">
        <f t="shared" si="218"/>
        <v>0.58823529411764708</v>
      </c>
      <c r="AH1249" s="104">
        <f t="shared" si="219"/>
        <v>0</v>
      </c>
      <c r="AI1249" s="195">
        <v>1.06</v>
      </c>
    </row>
    <row r="1250" spans="1:48">
      <c r="A1250">
        <v>6213</v>
      </c>
      <c r="C1250" s="107">
        <f>VLOOKUP(6213,收盤價!$A:$C,3,0)</f>
        <v>32</v>
      </c>
      <c r="D1250" s="107">
        <f t="shared" si="209"/>
        <v>12.289855072463769</v>
      </c>
      <c r="E1250" s="167">
        <f t="shared" si="210"/>
        <v>3</v>
      </c>
      <c r="F1250" s="104">
        <f t="shared" si="211"/>
        <v>0.49783935869911128</v>
      </c>
      <c r="G1250" s="167">
        <f>RANK(3.28,AE:AE,0)</f>
        <v>256</v>
      </c>
      <c r="H1250" s="365">
        <f t="shared" si="212"/>
        <v>-0.2820694157327821</v>
      </c>
      <c r="I1250" s="213">
        <f t="shared" si="213"/>
        <v>288</v>
      </c>
      <c r="J1250" s="213">
        <f t="shared" si="214"/>
        <v>406</v>
      </c>
      <c r="K1250">
        <f>RANK(2.24,AI:AI,0)</f>
        <v>287</v>
      </c>
      <c r="L1250" s="357">
        <v>0</v>
      </c>
      <c r="M1250" s="357">
        <v>1</v>
      </c>
      <c r="N1250" s="357">
        <v>1</v>
      </c>
      <c r="O1250" s="357">
        <v>1</v>
      </c>
      <c r="P1250" s="357">
        <v>0</v>
      </c>
      <c r="Q1250" s="358">
        <v>0.13906185139061852</v>
      </c>
      <c r="R1250" s="359">
        <v>0.65094339622641506</v>
      </c>
      <c r="S1250" s="196">
        <v>19476162000</v>
      </c>
      <c r="T1250" s="196">
        <v>303000000</v>
      </c>
      <c r="U1250" s="200">
        <f t="shared" si="215"/>
        <v>9696000000</v>
      </c>
      <c r="V1250" s="196">
        <v>364000000</v>
      </c>
      <c r="W1250" s="196">
        <v>3899000000</v>
      </c>
      <c r="X1250" s="196">
        <v>3192000000</v>
      </c>
      <c r="Y1250" s="196">
        <v>6637000000</v>
      </c>
      <c r="Z1250" s="196">
        <v>3433000000</v>
      </c>
      <c r="AA1250" s="198">
        <v>0.05</v>
      </c>
      <c r="AB1250" s="198">
        <v>0.04</v>
      </c>
      <c r="AC1250" s="213">
        <f t="shared" si="216"/>
        <v>247</v>
      </c>
      <c r="AD1250" s="213">
        <f t="shared" si="217"/>
        <v>228</v>
      </c>
      <c r="AE1250" s="213">
        <v>3.28</v>
      </c>
      <c r="AF1250" s="196">
        <v>510000000</v>
      </c>
      <c r="AG1250" s="104">
        <f t="shared" si="218"/>
        <v>1.6831683168316831</v>
      </c>
      <c r="AH1250" s="104">
        <f t="shared" si="219"/>
        <v>1.401098901098901</v>
      </c>
      <c r="AI1250" s="195">
        <v>2.2400000000000002</v>
      </c>
    </row>
    <row r="1251" spans="1:48">
      <c r="A1251">
        <v>6214</v>
      </c>
      <c r="C1251" s="107">
        <f>VLOOKUP(6214,收盤價!$A:$C,3,0)</f>
        <v>53</v>
      </c>
      <c r="D1251" s="107">
        <f t="shared" si="209"/>
        <v>25.342600808439322</v>
      </c>
      <c r="E1251" s="167">
        <f t="shared" si="210"/>
        <v>2</v>
      </c>
      <c r="F1251" s="104">
        <f t="shared" si="211"/>
        <v>0.87201307793646654</v>
      </c>
      <c r="G1251" s="167">
        <f>RANK(1.2,AE:AE,0)</f>
        <v>710</v>
      </c>
      <c r="H1251" s="365">
        <f t="shared" si="212"/>
        <v>1.1550140471927448</v>
      </c>
      <c r="I1251" s="213">
        <f t="shared" si="213"/>
        <v>338</v>
      </c>
      <c r="J1251" s="213">
        <f t="shared" si="214"/>
        <v>174</v>
      </c>
      <c r="K1251">
        <f>RANK(3.04,AI:AI,0)</f>
        <v>162</v>
      </c>
      <c r="L1251" s="357">
        <v>0</v>
      </c>
      <c r="M1251" s="357">
        <v>1</v>
      </c>
      <c r="N1251" s="357">
        <v>0</v>
      </c>
      <c r="O1251" s="357">
        <v>1</v>
      </c>
      <c r="P1251" s="357">
        <v>0</v>
      </c>
      <c r="Q1251" s="358">
        <v>0.28176795580110497</v>
      </c>
      <c r="R1251" s="359">
        <v>0.52283505154639165</v>
      </c>
      <c r="S1251" s="196">
        <v>16373837000</v>
      </c>
      <c r="T1251" s="196">
        <v>269400000</v>
      </c>
      <c r="U1251" s="200">
        <f t="shared" si="215"/>
        <v>14278200000</v>
      </c>
      <c r="V1251" s="196">
        <v>153000000</v>
      </c>
      <c r="W1251" s="196">
        <v>5803000000</v>
      </c>
      <c r="X1251" s="196">
        <v>2038000000</v>
      </c>
      <c r="Y1251" s="196">
        <v>11914000000</v>
      </c>
      <c r="Z1251" s="196">
        <v>777000000</v>
      </c>
      <c r="AA1251" s="198">
        <v>0.02</v>
      </c>
      <c r="AB1251" s="198">
        <v>0.01</v>
      </c>
      <c r="AC1251" s="213">
        <f t="shared" si="216"/>
        <v>616</v>
      </c>
      <c r="AD1251" s="213">
        <f t="shared" si="217"/>
        <v>680</v>
      </c>
      <c r="AE1251" s="213">
        <v>1.2</v>
      </c>
      <c r="AF1251" s="196">
        <v>409000000</v>
      </c>
      <c r="AG1251" s="104">
        <f t="shared" si="218"/>
        <v>1.51818856718634</v>
      </c>
      <c r="AH1251" s="104">
        <f t="shared" si="219"/>
        <v>2.6732026143790848</v>
      </c>
      <c r="AI1251" s="195">
        <v>3.04</v>
      </c>
      <c r="AO1251" s="213"/>
      <c r="AP1251" s="213"/>
      <c r="AQ1251" s="213"/>
      <c r="AR1251" s="213"/>
      <c r="AS1251" s="213"/>
      <c r="AT1251" s="213"/>
      <c r="AU1251" s="213"/>
      <c r="AV1251" s="213"/>
    </row>
    <row r="1252" spans="1:48">
      <c r="A1252">
        <v>6215</v>
      </c>
      <c r="C1252" s="107">
        <f>VLOOKUP(6215,收盤價!$A:$C,3,0)</f>
        <v>12.3</v>
      </c>
      <c r="D1252" s="107">
        <f t="shared" si="209"/>
        <v>0</v>
      </c>
      <c r="E1252" s="167">
        <f t="shared" si="210"/>
        <v>5</v>
      </c>
      <c r="F1252" s="104">
        <f t="shared" si="211"/>
        <v>0.60094634711077355</v>
      </c>
      <c r="G1252" s="167">
        <f>RANK(1.08,AE:AE,0)</f>
        <v>769</v>
      </c>
      <c r="H1252" s="365">
        <f t="shared" si="212"/>
        <v>1.0588768115942029</v>
      </c>
      <c r="I1252" s="213">
        <f t="shared" si="213"/>
        <v>889</v>
      </c>
      <c r="J1252" s="213">
        <f t="shared" si="214"/>
        <v>425</v>
      </c>
      <c r="K1252">
        <f>RANK(1.19,AI:AI,0)</f>
        <v>737</v>
      </c>
      <c r="L1252" s="357">
        <v>1</v>
      </c>
      <c r="M1252" s="357">
        <v>1</v>
      </c>
      <c r="N1252" s="357">
        <v>2</v>
      </c>
      <c r="O1252" s="357">
        <v>1</v>
      </c>
      <c r="P1252" s="357">
        <v>0</v>
      </c>
      <c r="Q1252" s="358">
        <v>0.2392638036809816</v>
      </c>
      <c r="R1252" s="359">
        <v>0</v>
      </c>
      <c r="S1252" s="196">
        <v>1694727000</v>
      </c>
      <c r="T1252" s="196">
        <v>82800000</v>
      </c>
      <c r="U1252" s="200">
        <f t="shared" si="215"/>
        <v>1018440000</v>
      </c>
      <c r="V1252" s="196">
        <v>16000000</v>
      </c>
      <c r="W1252" s="196">
        <v>597000000</v>
      </c>
      <c r="X1252" s="196">
        <v>477000000</v>
      </c>
      <c r="Y1252" s="196">
        <v>1156000000</v>
      </c>
      <c r="Z1252" s="196">
        <v>255000000</v>
      </c>
      <c r="AA1252" s="198">
        <v>0.01</v>
      </c>
      <c r="AB1252" s="198">
        <v>0.01</v>
      </c>
      <c r="AC1252" s="213">
        <f t="shared" si="216"/>
        <v>769</v>
      </c>
      <c r="AD1252" s="213">
        <f t="shared" si="217"/>
        <v>680</v>
      </c>
      <c r="AE1252" s="213">
        <v>1.08</v>
      </c>
      <c r="AF1252" s="196">
        <v>21000000</v>
      </c>
      <c r="AG1252" s="104">
        <f t="shared" si="218"/>
        <v>0.25362318840579712</v>
      </c>
      <c r="AH1252" s="104">
        <f t="shared" si="219"/>
        <v>1.3125</v>
      </c>
      <c r="AI1252" s="195">
        <v>1.19</v>
      </c>
    </row>
    <row r="1253" spans="1:48">
      <c r="A1253">
        <v>6216</v>
      </c>
      <c r="C1253" s="107">
        <f>VLOOKUP(6216,收盤價!$A:$C,3,0)</f>
        <v>28.9</v>
      </c>
      <c r="D1253" s="107">
        <f t="shared" si="209"/>
        <v>7.3587132033287785</v>
      </c>
      <c r="E1253" s="167">
        <f t="shared" si="210"/>
        <v>2</v>
      </c>
      <c r="F1253" s="104">
        <f t="shared" si="211"/>
        <v>2.1045608905426674</v>
      </c>
      <c r="G1253" s="167">
        <f>RANK(5.79,AE:AE,0)</f>
        <v>129</v>
      </c>
      <c r="H1253" s="365">
        <f t="shared" si="212"/>
        <v>-5.2279736854099923E-2</v>
      </c>
      <c r="I1253" s="213">
        <f t="shared" si="213"/>
        <v>442</v>
      </c>
      <c r="J1253" s="213">
        <f t="shared" si="214"/>
        <v>497</v>
      </c>
      <c r="K1253">
        <f>RANK(1.66,AI:AI,0)</f>
        <v>476</v>
      </c>
      <c r="L1253" s="357">
        <v>0</v>
      </c>
      <c r="M1253" s="357">
        <v>1</v>
      </c>
      <c r="N1253" s="357">
        <v>0</v>
      </c>
      <c r="O1253" s="357">
        <v>1</v>
      </c>
      <c r="P1253" s="357">
        <v>0</v>
      </c>
      <c r="Q1253" s="358">
        <v>0.52333333333333332</v>
      </c>
      <c r="R1253" s="359">
        <v>0.98182926829268291</v>
      </c>
      <c r="S1253" s="196">
        <v>1088954000</v>
      </c>
      <c r="T1253" s="196">
        <v>79300000</v>
      </c>
      <c r="U1253" s="200">
        <f t="shared" si="215"/>
        <v>2291770000</v>
      </c>
      <c r="V1253" s="196">
        <v>83000000</v>
      </c>
      <c r="W1253" s="196">
        <v>1176000000</v>
      </c>
      <c r="X1253" s="196">
        <v>159000000</v>
      </c>
      <c r="Y1253" s="196">
        <v>1310000000</v>
      </c>
      <c r="Z1253" s="196">
        <v>50000000</v>
      </c>
      <c r="AA1253" s="198">
        <v>0.06</v>
      </c>
      <c r="AB1253" s="198">
        <v>0.06</v>
      </c>
      <c r="AC1253" s="213">
        <f t="shared" si="216"/>
        <v>174</v>
      </c>
      <c r="AD1253" s="213">
        <f t="shared" si="217"/>
        <v>95</v>
      </c>
      <c r="AE1253" s="213">
        <v>5.79</v>
      </c>
      <c r="AF1253" s="196">
        <v>93000000</v>
      </c>
      <c r="AG1253" s="104">
        <f t="shared" si="218"/>
        <v>1.1727616645649432</v>
      </c>
      <c r="AH1253" s="104">
        <f t="shared" si="219"/>
        <v>1.1204819277108433</v>
      </c>
      <c r="AI1253" s="195">
        <v>1.66</v>
      </c>
    </row>
    <row r="1254" spans="1:48">
      <c r="A1254">
        <v>6217</v>
      </c>
      <c r="C1254" s="107">
        <f>VLOOKUP(6217,收盤價!$A:$C,3,0)</f>
        <v>39.85</v>
      </c>
      <c r="D1254" s="107">
        <f t="shared" si="209"/>
        <v>21.988539898132434</v>
      </c>
      <c r="E1254" s="167">
        <f t="shared" si="210"/>
        <v>2</v>
      </c>
      <c r="F1254" s="104">
        <f t="shared" si="211"/>
        <v>1.3160472713767544</v>
      </c>
      <c r="G1254" s="167">
        <f>RANK(1.41,AE:AE,0)</f>
        <v>618</v>
      </c>
      <c r="H1254" s="365">
        <f t="shared" si="212"/>
        <v>0.52188552188552184</v>
      </c>
      <c r="I1254" s="213">
        <f t="shared" si="213"/>
        <v>1350</v>
      </c>
      <c r="J1254" s="213">
        <f t="shared" si="214"/>
        <v>768</v>
      </c>
      <c r="K1254">
        <f>RANK(0.74,AI:AI,0)</f>
        <v>1324</v>
      </c>
      <c r="L1254" s="357">
        <v>0</v>
      </c>
      <c r="M1254" s="357">
        <v>1</v>
      </c>
      <c r="N1254" s="357">
        <v>1</v>
      </c>
      <c r="O1254" s="357">
        <v>0</v>
      </c>
      <c r="P1254" s="357">
        <v>0</v>
      </c>
      <c r="Q1254" s="358">
        <v>0.35280898876404493</v>
      </c>
      <c r="R1254" s="359">
        <v>0.45307692307692299</v>
      </c>
      <c r="S1254" s="196">
        <v>1798636000</v>
      </c>
      <c r="T1254" s="196">
        <v>59400000</v>
      </c>
      <c r="U1254" s="200">
        <f t="shared" si="215"/>
        <v>2367090000</v>
      </c>
      <c r="V1254" s="196">
        <v>31000000</v>
      </c>
      <c r="W1254" s="196">
        <v>1005000000</v>
      </c>
      <c r="X1254" s="196">
        <v>285000000</v>
      </c>
      <c r="Y1254" s="196">
        <v>1333000000</v>
      </c>
      <c r="Z1254" s="196">
        <v>0</v>
      </c>
      <c r="AA1254" s="198">
        <v>0.02</v>
      </c>
      <c r="AB1254" s="198">
        <v>0.02</v>
      </c>
      <c r="AC1254" s="213">
        <f t="shared" si="216"/>
        <v>616</v>
      </c>
      <c r="AD1254" s="213">
        <f t="shared" si="217"/>
        <v>487</v>
      </c>
      <c r="AE1254" s="213">
        <v>1.41</v>
      </c>
      <c r="AF1254" s="196">
        <v>-31000000</v>
      </c>
      <c r="AG1254" s="104">
        <f t="shared" si="218"/>
        <v>-0.52188552188552184</v>
      </c>
      <c r="AH1254" s="104">
        <f t="shared" si="219"/>
        <v>0</v>
      </c>
      <c r="AI1254" s="195">
        <v>0.74</v>
      </c>
    </row>
    <row r="1255" spans="1:48">
      <c r="A1255">
        <v>6218</v>
      </c>
      <c r="C1255" s="107">
        <f>VLOOKUP(6218,收盤價!$A:$C,3,0)</f>
        <v>20.25</v>
      </c>
      <c r="D1255" s="107">
        <f t="shared" si="209"/>
        <v>13.735465116279071</v>
      </c>
      <c r="E1255" s="167">
        <f t="shared" si="210"/>
        <v>4</v>
      </c>
      <c r="F1255" s="104">
        <f t="shared" si="211"/>
        <v>1.2039528432732316</v>
      </c>
      <c r="G1255" s="167">
        <f>RANK(1.94,AE:AE,0)</f>
        <v>435</v>
      </c>
      <c r="H1255" s="365">
        <f t="shared" si="212"/>
        <v>0.40896837739761538</v>
      </c>
      <c r="I1255" s="213">
        <f t="shared" si="213"/>
        <v>824</v>
      </c>
      <c r="J1255" s="213">
        <f t="shared" si="214"/>
        <v>609</v>
      </c>
      <c r="K1255">
        <f>RANK(1.09,AI:AI,0)</f>
        <v>803</v>
      </c>
      <c r="L1255" s="357">
        <v>0</v>
      </c>
      <c r="M1255" s="357">
        <v>1</v>
      </c>
      <c r="N1255" s="357">
        <v>2</v>
      </c>
      <c r="O1255" s="357">
        <v>1</v>
      </c>
      <c r="P1255" s="357">
        <v>0</v>
      </c>
      <c r="Q1255" s="358">
        <v>0.36936936936936937</v>
      </c>
      <c r="R1255" s="359">
        <v>0.36857142857142855</v>
      </c>
      <c r="S1255" s="196">
        <v>1081500000</v>
      </c>
      <c r="T1255" s="196">
        <v>64300000</v>
      </c>
      <c r="U1255" s="200">
        <f t="shared" si="215"/>
        <v>1302075000</v>
      </c>
      <c r="V1255" s="196">
        <v>30000000</v>
      </c>
      <c r="W1255" s="196">
        <v>571000000</v>
      </c>
      <c r="X1255" s="196">
        <v>306000000</v>
      </c>
      <c r="Y1255" s="196">
        <v>991000000</v>
      </c>
      <c r="Z1255" s="196">
        <v>0</v>
      </c>
      <c r="AA1255" s="198">
        <v>0.03</v>
      </c>
      <c r="AB1255" s="198">
        <v>0.03</v>
      </c>
      <c r="AC1255" s="213">
        <f t="shared" si="216"/>
        <v>469</v>
      </c>
      <c r="AD1255" s="213">
        <f t="shared" si="217"/>
        <v>334</v>
      </c>
      <c r="AE1255" s="213">
        <v>1.94</v>
      </c>
      <c r="AF1255" s="196">
        <v>23000000</v>
      </c>
      <c r="AG1255" s="104">
        <f t="shared" si="218"/>
        <v>0.35769828926905134</v>
      </c>
      <c r="AH1255" s="104">
        <f t="shared" si="219"/>
        <v>0.76666666666666672</v>
      </c>
      <c r="AI1255" s="195">
        <v>1.0900000000000001</v>
      </c>
    </row>
    <row r="1256" spans="1:48">
      <c r="A1256">
        <v>6219</v>
      </c>
      <c r="C1256" s="107">
        <f>VLOOKUP(6219,收盤價!$A:$C,3,0)</f>
        <v>10.95</v>
      </c>
      <c r="D1256" s="107">
        <f t="shared" si="209"/>
        <v>0</v>
      </c>
      <c r="E1256" s="167">
        <f t="shared" si="210"/>
        <v>0</v>
      </c>
      <c r="F1256" s="104">
        <f t="shared" si="211"/>
        <v>2.2779234418185492</v>
      </c>
      <c r="G1256" s="167">
        <f>RANK(0.59,AE:AE,0)</f>
        <v>1348</v>
      </c>
      <c r="H1256" s="365">
        <f t="shared" si="212"/>
        <v>1.1028993746446845</v>
      </c>
      <c r="I1256" s="213">
        <f t="shared" si="213"/>
        <v>1449</v>
      </c>
      <c r="J1256" s="213">
        <f t="shared" si="214"/>
        <v>768</v>
      </c>
      <c r="K1256">
        <f>RANK(0.7,AI:AI,0)</f>
        <v>1442</v>
      </c>
      <c r="L1256" s="357">
        <v>0</v>
      </c>
      <c r="M1256" s="357">
        <v>0</v>
      </c>
      <c r="N1256" s="357">
        <v>0</v>
      </c>
      <c r="O1256" s="357">
        <v>0</v>
      </c>
      <c r="P1256" s="357">
        <v>0</v>
      </c>
      <c r="Q1256" s="358">
        <v>-0.35185185185185186</v>
      </c>
      <c r="R1256" s="359">
        <v>0</v>
      </c>
      <c r="S1256" s="196">
        <v>845553000</v>
      </c>
      <c r="T1256" s="196">
        <v>175900000</v>
      </c>
      <c r="U1256" s="200">
        <f t="shared" si="215"/>
        <v>1926104999.9999998</v>
      </c>
      <c r="V1256" s="196">
        <v>-47000000</v>
      </c>
      <c r="W1256" s="196">
        <v>2678000000</v>
      </c>
      <c r="X1256" s="196">
        <v>53000000</v>
      </c>
      <c r="Y1256" s="196">
        <v>1804000000</v>
      </c>
      <c r="Z1256" s="196">
        <v>3431000000</v>
      </c>
      <c r="AA1256" s="198">
        <v>-0.02</v>
      </c>
      <c r="AB1256" s="198">
        <v>-0.01</v>
      </c>
      <c r="AC1256" s="213">
        <f t="shared" si="216"/>
        <v>1353</v>
      </c>
      <c r="AD1256" s="213">
        <f t="shared" si="217"/>
        <v>1294</v>
      </c>
      <c r="AE1256" s="213">
        <v>0.59</v>
      </c>
      <c r="AF1256" s="196">
        <v>-194000000</v>
      </c>
      <c r="AG1256" s="104">
        <f t="shared" si="218"/>
        <v>-1.1028993746446845</v>
      </c>
      <c r="AH1256" s="104">
        <f t="shared" si="219"/>
        <v>0</v>
      </c>
      <c r="AI1256" s="195">
        <v>0.7</v>
      </c>
    </row>
    <row r="1257" spans="1:48">
      <c r="A1257">
        <v>6220</v>
      </c>
      <c r="C1257" s="107">
        <f>VLOOKUP(6220,收盤價!$A:$C,3,0)</f>
        <v>36.950000000000003</v>
      </c>
      <c r="D1257" s="107">
        <f t="shared" si="209"/>
        <v>18.967119866814649</v>
      </c>
      <c r="E1257" s="167">
        <f t="shared" si="210"/>
        <v>1</v>
      </c>
      <c r="F1257" s="104">
        <f t="shared" si="211"/>
        <v>0.72415817328803533</v>
      </c>
      <c r="G1257" s="167">
        <f>RANK(1.94,AE:AE,0)</f>
        <v>435</v>
      </c>
      <c r="H1257" s="365">
        <f t="shared" si="212"/>
        <v>0.63315022689276335</v>
      </c>
      <c r="I1257" s="213">
        <f t="shared" si="213"/>
        <v>497</v>
      </c>
      <c r="J1257" s="213">
        <f t="shared" si="214"/>
        <v>329</v>
      </c>
      <c r="K1257">
        <f>RANK(1.89,AI:AI,0)</f>
        <v>384</v>
      </c>
      <c r="L1257" s="357">
        <v>0</v>
      </c>
      <c r="M1257" s="357">
        <v>1</v>
      </c>
      <c r="N1257" s="357">
        <v>0</v>
      </c>
      <c r="O1257" s="357">
        <v>0</v>
      </c>
      <c r="P1257" s="357">
        <v>0</v>
      </c>
      <c r="Q1257" s="358">
        <v>0.25146689019279128</v>
      </c>
      <c r="R1257" s="359">
        <v>0.4870270270270271</v>
      </c>
      <c r="S1257" s="196">
        <v>6490350000</v>
      </c>
      <c r="T1257" s="196">
        <v>127200000</v>
      </c>
      <c r="U1257" s="200">
        <f t="shared" si="215"/>
        <v>4700040000</v>
      </c>
      <c r="V1257" s="196">
        <v>79000000</v>
      </c>
      <c r="W1257" s="196">
        <v>1613000000</v>
      </c>
      <c r="X1257" s="196">
        <v>1157000000</v>
      </c>
      <c r="Y1257" s="196">
        <v>2185000000</v>
      </c>
      <c r="Z1257" s="196">
        <v>791000000</v>
      </c>
      <c r="AA1257" s="198">
        <v>0.03</v>
      </c>
      <c r="AB1257" s="198">
        <v>0.03</v>
      </c>
      <c r="AC1257" s="213">
        <f t="shared" si="216"/>
        <v>469</v>
      </c>
      <c r="AD1257" s="213">
        <f t="shared" si="217"/>
        <v>334</v>
      </c>
      <c r="AE1257" s="213">
        <v>1.94</v>
      </c>
      <c r="AF1257" s="196">
        <v>132000000</v>
      </c>
      <c r="AG1257" s="104">
        <f t="shared" si="218"/>
        <v>1.0377358490566038</v>
      </c>
      <c r="AH1257" s="104">
        <f t="shared" si="219"/>
        <v>1.6708860759493671</v>
      </c>
      <c r="AI1257" s="195">
        <v>1.89</v>
      </c>
      <c r="AO1257" s="213"/>
      <c r="AP1257" s="213"/>
      <c r="AQ1257" s="213"/>
      <c r="AR1257" s="213"/>
      <c r="AS1257" s="213"/>
      <c r="AT1257" s="213"/>
      <c r="AU1257" s="213"/>
      <c r="AV1257" s="213"/>
    </row>
    <row r="1258" spans="1:48">
      <c r="A1258">
        <v>6221</v>
      </c>
      <c r="C1258" s="107">
        <f>VLOOKUP(6221,收盤價!$A:$C,3,0)</f>
        <v>24.9</v>
      </c>
      <c r="D1258" s="107">
        <f t="shared" si="209"/>
        <v>12.73953488372093</v>
      </c>
      <c r="E1258" s="167">
        <f t="shared" si="210"/>
        <v>2</v>
      </c>
      <c r="F1258" s="104">
        <f t="shared" si="211"/>
        <v>0.4495672583811276</v>
      </c>
      <c r="G1258" s="167">
        <f>RANK(1.89,AE:AE,0)</f>
        <v>498</v>
      </c>
      <c r="H1258" s="365">
        <f t="shared" si="212"/>
        <v>8.3530338849487767E-2</v>
      </c>
      <c r="I1258" s="213">
        <f t="shared" si="213"/>
        <v>926</v>
      </c>
      <c r="J1258" s="213">
        <f t="shared" si="214"/>
        <v>723</v>
      </c>
      <c r="K1258">
        <f>RANK(0.94,AI:AI,0)</f>
        <v>936</v>
      </c>
      <c r="L1258" s="357">
        <v>0</v>
      </c>
      <c r="M1258" s="357">
        <v>1</v>
      </c>
      <c r="N1258" s="357">
        <v>1</v>
      </c>
      <c r="O1258" s="357">
        <v>0</v>
      </c>
      <c r="P1258" s="357">
        <v>0</v>
      </c>
      <c r="Q1258" s="358">
        <v>0.21584158415841584</v>
      </c>
      <c r="R1258" s="359">
        <v>0.48863636363636365</v>
      </c>
      <c r="S1258" s="196">
        <v>2082536000</v>
      </c>
      <c r="T1258" s="196">
        <v>37600000</v>
      </c>
      <c r="U1258" s="200">
        <f t="shared" si="215"/>
        <v>936240000</v>
      </c>
      <c r="V1258" s="196">
        <v>27000000</v>
      </c>
      <c r="W1258" s="196">
        <v>463000000</v>
      </c>
      <c r="X1258" s="196">
        <v>144000000</v>
      </c>
      <c r="Y1258" s="196">
        <v>611000000</v>
      </c>
      <c r="Z1258" s="196">
        <v>473000000</v>
      </c>
      <c r="AA1258" s="198">
        <v>0.04</v>
      </c>
      <c r="AB1258" s="198">
        <v>0.02</v>
      </c>
      <c r="AC1258" s="213">
        <f t="shared" si="216"/>
        <v>337</v>
      </c>
      <c r="AD1258" s="213">
        <f t="shared" si="217"/>
        <v>487</v>
      </c>
      <c r="AE1258" s="213">
        <v>1.89</v>
      </c>
      <c r="AF1258" s="196">
        <v>8000000</v>
      </c>
      <c r="AG1258" s="104">
        <f t="shared" si="218"/>
        <v>0.21276595744680851</v>
      </c>
      <c r="AH1258" s="104">
        <f t="shared" si="219"/>
        <v>0.29629629629629628</v>
      </c>
      <c r="AI1258" s="195">
        <v>0.94</v>
      </c>
    </row>
    <row r="1259" spans="1:48">
      <c r="A1259">
        <v>6222</v>
      </c>
      <c r="C1259" s="107" t="e">
        <f>VLOOKUP(6222,收盤價!$A:$C,3,0)</f>
        <v>#N/A</v>
      </c>
      <c r="D1259" s="107">
        <f t="shared" si="209"/>
        <v>0</v>
      </c>
      <c r="E1259" s="167">
        <f t="shared" si="210"/>
        <v>2</v>
      </c>
      <c r="F1259" s="104">
        <f t="shared" si="211"/>
        <v>0</v>
      </c>
      <c r="G1259" s="167">
        <f>RANK(0.52,AE:AE,0)</f>
        <v>1493</v>
      </c>
      <c r="H1259" s="365">
        <f t="shared" si="212"/>
        <v>-8.6805555555555552E-2</v>
      </c>
      <c r="I1259" s="213">
        <f t="shared" si="213"/>
        <v>1003</v>
      </c>
      <c r="J1259" s="213">
        <f t="shared" si="214"/>
        <v>768</v>
      </c>
      <c r="K1259">
        <f>RANK(0.88,AI:AI,0)</f>
        <v>1021</v>
      </c>
      <c r="L1259" s="357">
        <v>0</v>
      </c>
      <c r="M1259" s="357">
        <v>0</v>
      </c>
      <c r="N1259" s="357">
        <v>0</v>
      </c>
      <c r="O1259" s="357">
        <v>1</v>
      </c>
      <c r="P1259" s="357">
        <v>1</v>
      </c>
      <c r="Q1259" s="358">
        <v>-0.19230769230769232</v>
      </c>
      <c r="R1259" s="359">
        <v>0</v>
      </c>
      <c r="S1259" s="196">
        <v>161191000</v>
      </c>
      <c r="T1259" s="196">
        <v>57600000</v>
      </c>
      <c r="U1259" s="200" t="e">
        <f t="shared" si="215"/>
        <v>#N/A</v>
      </c>
      <c r="V1259" s="196">
        <v>-19000000</v>
      </c>
      <c r="W1259" s="196">
        <v>0</v>
      </c>
      <c r="X1259" s="196">
        <v>114000000</v>
      </c>
      <c r="Y1259" s="196">
        <v>187000000</v>
      </c>
      <c r="Z1259" s="196">
        <v>251000000</v>
      </c>
      <c r="AA1259" s="198">
        <v>-0.17</v>
      </c>
      <c r="AB1259" s="198">
        <v>-0.04</v>
      </c>
      <c r="AC1259" s="213">
        <f t="shared" si="216"/>
        <v>1535</v>
      </c>
      <c r="AD1259" s="213">
        <f t="shared" si="217"/>
        <v>1483</v>
      </c>
      <c r="AE1259" s="213">
        <v>0.52</v>
      </c>
      <c r="AF1259" s="196">
        <v>5000000</v>
      </c>
      <c r="AG1259" s="104">
        <f t="shared" si="218"/>
        <v>8.6805555555555552E-2</v>
      </c>
      <c r="AH1259" s="104">
        <f t="shared" si="219"/>
        <v>0</v>
      </c>
      <c r="AI1259" s="195">
        <v>0.88</v>
      </c>
      <c r="AO1259" s="213"/>
      <c r="AP1259" s="213"/>
      <c r="AQ1259" s="213"/>
      <c r="AR1259" s="213"/>
      <c r="AS1259" s="213"/>
      <c r="AT1259" s="213"/>
      <c r="AU1259" s="213"/>
      <c r="AV1259" s="213"/>
    </row>
    <row r="1260" spans="1:48">
      <c r="A1260">
        <v>6223</v>
      </c>
      <c r="C1260" s="107">
        <f>VLOOKUP(6223,收盤價!$A:$C,3,0)</f>
        <v>78.3</v>
      </c>
      <c r="D1260" s="107">
        <f t="shared" si="209"/>
        <v>10.702569710224166</v>
      </c>
      <c r="E1260" s="167">
        <f t="shared" si="210"/>
        <v>5</v>
      </c>
      <c r="F1260" s="104">
        <f t="shared" si="211"/>
        <v>1.415674246920529</v>
      </c>
      <c r="G1260" s="167">
        <f>RANK(3.88,AE:AE,0)</f>
        <v>240</v>
      </c>
      <c r="H1260" s="365">
        <f t="shared" si="212"/>
        <v>-0.95117664826866577</v>
      </c>
      <c r="I1260" s="213">
        <f t="shared" si="213"/>
        <v>287</v>
      </c>
      <c r="J1260" s="213">
        <f t="shared" si="214"/>
        <v>619</v>
      </c>
      <c r="K1260">
        <f>RANK(1.72,AI:AI,0)</f>
        <v>447</v>
      </c>
      <c r="L1260" s="357">
        <v>1</v>
      </c>
      <c r="M1260" s="357">
        <v>1</v>
      </c>
      <c r="N1260" s="357">
        <v>2</v>
      </c>
      <c r="O1260" s="357">
        <v>1</v>
      </c>
      <c r="P1260" s="357">
        <v>0</v>
      </c>
      <c r="Q1260" s="358">
        <v>0.46671826625386997</v>
      </c>
      <c r="R1260" s="359">
        <v>1.829</v>
      </c>
      <c r="S1260" s="196">
        <v>4402623000</v>
      </c>
      <c r="T1260" s="196">
        <v>79600000</v>
      </c>
      <c r="U1260" s="200">
        <f t="shared" si="215"/>
        <v>6232680000</v>
      </c>
      <c r="V1260" s="196">
        <v>183000000</v>
      </c>
      <c r="W1260" s="196">
        <v>290000000</v>
      </c>
      <c r="X1260" s="196">
        <v>3000000000</v>
      </c>
      <c r="Y1260" s="196">
        <v>3634000000</v>
      </c>
      <c r="Z1260" s="196">
        <v>1266000000</v>
      </c>
      <c r="AA1260" s="198">
        <v>0.06</v>
      </c>
      <c r="AB1260" s="198">
        <v>0.04</v>
      </c>
      <c r="AC1260" s="213">
        <f t="shared" si="216"/>
        <v>174</v>
      </c>
      <c r="AD1260" s="213">
        <f t="shared" si="217"/>
        <v>228</v>
      </c>
      <c r="AE1260" s="213">
        <v>3.88</v>
      </c>
      <c r="AF1260" s="196">
        <v>134000000</v>
      </c>
      <c r="AG1260" s="104">
        <f t="shared" si="218"/>
        <v>1.6834170854271358</v>
      </c>
      <c r="AH1260" s="104">
        <f t="shared" si="219"/>
        <v>0.73224043715846998</v>
      </c>
      <c r="AI1260" s="195">
        <v>1.72</v>
      </c>
    </row>
    <row r="1261" spans="1:48">
      <c r="A1261">
        <v>6224</v>
      </c>
      <c r="C1261" s="107">
        <f>VLOOKUP(6224,收盤價!$A:$C,3,0)</f>
        <v>60.1</v>
      </c>
      <c r="D1261" s="107">
        <f t="shared" si="209"/>
        <v>9.8848684210526319</v>
      </c>
      <c r="E1261" s="167">
        <f t="shared" si="210"/>
        <v>4</v>
      </c>
      <c r="F1261" s="104">
        <f t="shared" si="211"/>
        <v>2.8953617004107586</v>
      </c>
      <c r="G1261" s="167">
        <f>RANK(0.84,AE:AE,0)</f>
        <v>946</v>
      </c>
      <c r="H1261" s="365">
        <f t="shared" si="212"/>
        <v>-1.85</v>
      </c>
      <c r="I1261" s="213">
        <f t="shared" si="213"/>
        <v>256</v>
      </c>
      <c r="J1261" s="213">
        <f t="shared" si="214"/>
        <v>768</v>
      </c>
      <c r="K1261">
        <f>RANK(1.52,AI:AI,0)</f>
        <v>548</v>
      </c>
      <c r="L1261" s="357">
        <v>0</v>
      </c>
      <c r="M1261" s="357">
        <v>1</v>
      </c>
      <c r="N1261" s="357">
        <v>2</v>
      </c>
      <c r="O1261" s="357">
        <v>1</v>
      </c>
      <c r="P1261" s="357">
        <v>0</v>
      </c>
      <c r="Q1261" s="358">
        <v>0.49767441860465117</v>
      </c>
      <c r="R1261" s="359">
        <v>1.52</v>
      </c>
      <c r="S1261" s="196">
        <v>1660587000</v>
      </c>
      <c r="T1261" s="196">
        <v>80000000</v>
      </c>
      <c r="U1261" s="200">
        <f t="shared" si="215"/>
        <v>4808000000</v>
      </c>
      <c r="V1261" s="196">
        <v>0</v>
      </c>
      <c r="W1261" s="196">
        <v>1024000000</v>
      </c>
      <c r="X1261" s="196">
        <v>822000000</v>
      </c>
      <c r="Y1261" s="196">
        <v>1950000000</v>
      </c>
      <c r="Z1261" s="196">
        <v>0</v>
      </c>
      <c r="AA1261" s="198">
        <v>0</v>
      </c>
      <c r="AB1261" s="198">
        <v>0</v>
      </c>
      <c r="AC1261" s="213">
        <f t="shared" si="216"/>
        <v>945</v>
      </c>
      <c r="AD1261" s="213">
        <f t="shared" si="217"/>
        <v>911</v>
      </c>
      <c r="AE1261" s="213">
        <v>0.84</v>
      </c>
      <c r="AF1261" s="196">
        <v>148000000</v>
      </c>
      <c r="AG1261" s="104">
        <f t="shared" si="218"/>
        <v>1.85</v>
      </c>
      <c r="AH1261" s="104">
        <f t="shared" si="219"/>
        <v>0</v>
      </c>
      <c r="AI1261" s="195">
        <v>1.52</v>
      </c>
    </row>
    <row r="1262" spans="1:48">
      <c r="A1262">
        <v>6225</v>
      </c>
      <c r="C1262" s="107">
        <f>VLOOKUP(6225,收盤價!$A:$C,3,0)</f>
        <v>3.67</v>
      </c>
      <c r="D1262" s="107">
        <f t="shared" si="209"/>
        <v>0</v>
      </c>
      <c r="E1262" s="167">
        <f t="shared" si="210"/>
        <v>2</v>
      </c>
      <c r="F1262" s="104">
        <f t="shared" si="211"/>
        <v>10.126145980253879</v>
      </c>
      <c r="G1262" s="167">
        <f>RANK(0.5,AE:AE,0)</f>
        <v>1545</v>
      </c>
      <c r="H1262" s="365">
        <f t="shared" si="212"/>
        <v>3.1948881789137379E-2</v>
      </c>
      <c r="I1262" s="213">
        <f t="shared" si="213"/>
        <v>1092</v>
      </c>
      <c r="J1262" s="213">
        <f t="shared" si="214"/>
        <v>768</v>
      </c>
      <c r="K1262">
        <f>RANK(0.84,AI:AI,0)</f>
        <v>1076</v>
      </c>
      <c r="L1262" s="357">
        <v>0</v>
      </c>
      <c r="M1262" s="357">
        <v>1</v>
      </c>
      <c r="N1262" s="357">
        <v>1</v>
      </c>
      <c r="O1262" s="357">
        <v>0</v>
      </c>
      <c r="P1262" s="357">
        <v>0</v>
      </c>
      <c r="Q1262" s="358">
        <v>-1</v>
      </c>
      <c r="R1262" s="359">
        <v>0</v>
      </c>
      <c r="S1262" s="196">
        <v>34032000</v>
      </c>
      <c r="T1262" s="196">
        <v>93900000</v>
      </c>
      <c r="U1262" s="200">
        <f t="shared" si="215"/>
        <v>344613000</v>
      </c>
      <c r="V1262" s="196">
        <v>-12000000</v>
      </c>
      <c r="W1262" s="196">
        <v>0</v>
      </c>
      <c r="X1262" s="196">
        <v>2000000</v>
      </c>
      <c r="Y1262" s="196">
        <v>4000000</v>
      </c>
      <c r="Z1262" s="196">
        <v>6000000</v>
      </c>
      <c r="AA1262" s="198">
        <v>-6</v>
      </c>
      <c r="AB1262" s="198">
        <v>-1.2</v>
      </c>
      <c r="AC1262" s="213">
        <f t="shared" si="216"/>
        <v>1556</v>
      </c>
      <c r="AD1262" s="213">
        <f t="shared" si="217"/>
        <v>1557</v>
      </c>
      <c r="AE1262" s="213">
        <v>0.5</v>
      </c>
      <c r="AF1262" s="196">
        <v>-3000000</v>
      </c>
      <c r="AG1262" s="104">
        <f t="shared" si="218"/>
        <v>-3.1948881789137379E-2</v>
      </c>
      <c r="AH1262" s="104">
        <f t="shared" si="219"/>
        <v>0</v>
      </c>
      <c r="AI1262" s="195">
        <v>0.84</v>
      </c>
      <c r="AO1262" s="213"/>
      <c r="AP1262" s="213"/>
      <c r="AQ1262" s="213"/>
      <c r="AR1262" s="213"/>
      <c r="AS1262" s="213"/>
      <c r="AT1262" s="213"/>
      <c r="AU1262" s="213"/>
      <c r="AV1262" s="213"/>
    </row>
    <row r="1263" spans="1:48">
      <c r="A1263">
        <v>6226</v>
      </c>
      <c r="C1263" s="107">
        <f>VLOOKUP(6226,收盤價!$A:$C,3,0)</f>
        <v>6.28</v>
      </c>
      <c r="D1263" s="107">
        <f t="shared" si="209"/>
        <v>7.9434523809523823</v>
      </c>
      <c r="E1263" s="167">
        <f t="shared" si="210"/>
        <v>5</v>
      </c>
      <c r="F1263" s="104">
        <f t="shared" si="211"/>
        <v>0.59390132630273573</v>
      </c>
      <c r="G1263" s="167">
        <f>RANK(1.2,AE:AE,0)</f>
        <v>710</v>
      </c>
      <c r="H1263" s="365">
        <f t="shared" si="212"/>
        <v>0.73066485753052923</v>
      </c>
      <c r="I1263" s="213">
        <f t="shared" si="213"/>
        <v>914</v>
      </c>
      <c r="J1263" s="213">
        <f t="shared" si="214"/>
        <v>542</v>
      </c>
      <c r="K1263">
        <f>RANK(1.07,AI:AI,0)</f>
        <v>826</v>
      </c>
      <c r="L1263" s="357">
        <v>1</v>
      </c>
      <c r="M1263" s="357">
        <v>1</v>
      </c>
      <c r="N1263" s="357">
        <v>2</v>
      </c>
      <c r="O1263" s="357">
        <v>1</v>
      </c>
      <c r="P1263" s="357">
        <v>0</v>
      </c>
      <c r="Q1263" s="358">
        <v>0.31060606060606061</v>
      </c>
      <c r="R1263" s="359">
        <v>0.1976470588235294</v>
      </c>
      <c r="S1263" s="196">
        <v>991855000</v>
      </c>
      <c r="T1263" s="196">
        <v>93800000</v>
      </c>
      <c r="U1263" s="200">
        <f t="shared" si="215"/>
        <v>589064000</v>
      </c>
      <c r="V1263" s="196">
        <v>22000000</v>
      </c>
      <c r="W1263" s="196">
        <v>469000000</v>
      </c>
      <c r="X1263" s="196">
        <v>594000000</v>
      </c>
      <c r="Y1263" s="196">
        <v>1064000000</v>
      </c>
      <c r="Z1263" s="196">
        <v>438000000</v>
      </c>
      <c r="AA1263" s="198">
        <v>0.02</v>
      </c>
      <c r="AB1263" s="198">
        <v>0.01</v>
      </c>
      <c r="AC1263" s="213">
        <f t="shared" si="216"/>
        <v>616</v>
      </c>
      <c r="AD1263" s="213">
        <f t="shared" si="217"/>
        <v>680</v>
      </c>
      <c r="AE1263" s="213">
        <v>1.2</v>
      </c>
      <c r="AF1263" s="196">
        <v>21000000</v>
      </c>
      <c r="AG1263" s="104">
        <f t="shared" si="218"/>
        <v>0.22388059701492538</v>
      </c>
      <c r="AH1263" s="104">
        <f t="shared" si="219"/>
        <v>0.95454545454545459</v>
      </c>
      <c r="AI1263" s="195">
        <v>1.07</v>
      </c>
    </row>
    <row r="1264" spans="1:48">
      <c r="A1264">
        <v>6227</v>
      </c>
      <c r="C1264" s="107">
        <f>VLOOKUP(6227,收盤價!$A:$C,3,0)</f>
        <v>24.85</v>
      </c>
      <c r="D1264" s="107">
        <f t="shared" si="209"/>
        <v>11.706465237166991</v>
      </c>
      <c r="E1264" s="167">
        <f t="shared" si="210"/>
        <v>0</v>
      </c>
      <c r="F1264" s="104">
        <f t="shared" si="211"/>
        <v>0.22469849455210847</v>
      </c>
      <c r="G1264" s="167">
        <f>RANK(1.89,AE:AE,0)</f>
        <v>498</v>
      </c>
      <c r="H1264" s="365">
        <f t="shared" si="212"/>
        <v>0.73587385019710905</v>
      </c>
      <c r="I1264" s="213">
        <f t="shared" si="213"/>
        <v>1396</v>
      </c>
      <c r="J1264" s="213">
        <f t="shared" si="214"/>
        <v>768</v>
      </c>
      <c r="K1264">
        <f>RANK(0.72,AI:AI,0)</f>
        <v>1381</v>
      </c>
      <c r="L1264" s="357">
        <v>0</v>
      </c>
      <c r="M1264" s="357">
        <v>0</v>
      </c>
      <c r="N1264" s="357">
        <v>0</v>
      </c>
      <c r="O1264" s="357">
        <v>0</v>
      </c>
      <c r="P1264" s="357">
        <v>0</v>
      </c>
      <c r="Q1264" s="358">
        <v>6.7592592592592593E-2</v>
      </c>
      <c r="R1264" s="359">
        <v>0.53068965517241384</v>
      </c>
      <c r="S1264" s="196">
        <v>8416100000</v>
      </c>
      <c r="T1264" s="196">
        <v>76100000</v>
      </c>
      <c r="U1264" s="200">
        <f t="shared" si="215"/>
        <v>1891085000</v>
      </c>
      <c r="V1264" s="196">
        <v>59000000</v>
      </c>
      <c r="W1264" s="196">
        <v>1424000000</v>
      </c>
      <c r="X1264" s="196">
        <v>5000000</v>
      </c>
      <c r="Y1264" s="196">
        <v>1445000000</v>
      </c>
      <c r="Z1264" s="196">
        <v>1279000000</v>
      </c>
      <c r="AA1264" s="198">
        <v>0.04</v>
      </c>
      <c r="AB1264" s="198">
        <v>0.02</v>
      </c>
      <c r="AC1264" s="213">
        <f t="shared" si="216"/>
        <v>337</v>
      </c>
      <c r="AD1264" s="213">
        <f t="shared" si="217"/>
        <v>487</v>
      </c>
      <c r="AE1264" s="213">
        <v>1.89</v>
      </c>
      <c r="AF1264" s="196">
        <v>-56000000</v>
      </c>
      <c r="AG1264" s="104">
        <f t="shared" si="218"/>
        <v>-0.73587385019710905</v>
      </c>
      <c r="AH1264" s="104">
        <f t="shared" si="219"/>
        <v>0</v>
      </c>
      <c r="AI1264" s="195">
        <v>0.72</v>
      </c>
      <c r="AO1264" s="213"/>
      <c r="AP1264" s="213"/>
      <c r="AQ1264" s="213"/>
      <c r="AR1264" s="213"/>
      <c r="AS1264" s="213"/>
      <c r="AT1264" s="213"/>
      <c r="AU1264" s="213"/>
      <c r="AV1264" s="213"/>
    </row>
    <row r="1265" spans="1:48">
      <c r="A1265">
        <v>6228</v>
      </c>
      <c r="C1265" s="107">
        <f>VLOOKUP(6228,收盤價!$A:$C,3,0)</f>
        <v>6.71</v>
      </c>
      <c r="D1265" s="107">
        <f t="shared" si="209"/>
        <v>0</v>
      </c>
      <c r="E1265" s="167">
        <f t="shared" si="210"/>
        <v>1</v>
      </c>
      <c r="F1265" s="104">
        <f t="shared" si="211"/>
        <v>2.9116314917068742</v>
      </c>
      <c r="G1265" s="167">
        <f>RANK(0.54,AE:AE,0)</f>
        <v>1453</v>
      </c>
      <c r="H1265" s="365">
        <f t="shared" si="212"/>
        <v>0.58394160583941601</v>
      </c>
      <c r="I1265" s="213">
        <f t="shared" si="213"/>
        <v>1373</v>
      </c>
      <c r="J1265" s="213">
        <f t="shared" si="214"/>
        <v>768</v>
      </c>
      <c r="K1265">
        <f>RANK(0.73,AI:AI,0)</f>
        <v>1352</v>
      </c>
      <c r="L1265" s="357">
        <v>0</v>
      </c>
      <c r="M1265" s="357">
        <v>1</v>
      </c>
      <c r="N1265" s="357">
        <v>0</v>
      </c>
      <c r="O1265" s="357">
        <v>0</v>
      </c>
      <c r="P1265" s="357">
        <v>0</v>
      </c>
      <c r="Q1265" s="358">
        <v>0.45</v>
      </c>
      <c r="R1265" s="359">
        <v>0</v>
      </c>
      <c r="S1265" s="196">
        <v>94717000</v>
      </c>
      <c r="T1265" s="196">
        <v>41100000</v>
      </c>
      <c r="U1265" s="200">
        <f t="shared" si="215"/>
        <v>275781000</v>
      </c>
      <c r="V1265" s="196">
        <v>-9000000</v>
      </c>
      <c r="W1265" s="196">
        <v>50000000</v>
      </c>
      <c r="X1265" s="196">
        <v>252000000</v>
      </c>
      <c r="Y1265" s="196">
        <v>211000000</v>
      </c>
      <c r="Z1265" s="196">
        <v>35000000</v>
      </c>
      <c r="AA1265" s="198">
        <v>-0.03</v>
      </c>
      <c r="AB1265" s="198">
        <v>-0.04</v>
      </c>
      <c r="AC1265" s="213">
        <f t="shared" si="216"/>
        <v>1405</v>
      </c>
      <c r="AD1265" s="213">
        <f t="shared" si="217"/>
        <v>1483</v>
      </c>
      <c r="AE1265" s="213">
        <v>0.54</v>
      </c>
      <c r="AF1265" s="196">
        <v>-24000000</v>
      </c>
      <c r="AG1265" s="104">
        <f t="shared" si="218"/>
        <v>-0.58394160583941601</v>
      </c>
      <c r="AH1265" s="104">
        <f t="shared" si="219"/>
        <v>0</v>
      </c>
      <c r="AI1265" s="195">
        <v>0.73</v>
      </c>
    </row>
    <row r="1266" spans="1:48">
      <c r="A1266">
        <v>6229</v>
      </c>
      <c r="C1266" s="107">
        <f>VLOOKUP(6229,收盤價!$A:$C,3,0)</f>
        <v>13.05</v>
      </c>
      <c r="D1266" s="107">
        <f t="shared" si="209"/>
        <v>29.000000000000004</v>
      </c>
      <c r="E1266" s="167">
        <f t="shared" si="210"/>
        <v>2</v>
      </c>
      <c r="F1266" s="104">
        <f t="shared" si="211"/>
        <v>0.39114385322837625</v>
      </c>
      <c r="G1266" s="167">
        <f>RANK(1.2,AE:AE,0)</f>
        <v>710</v>
      </c>
      <c r="H1266" s="365">
        <f t="shared" si="212"/>
        <v>1.5235457063711912</v>
      </c>
      <c r="I1266" s="213">
        <f t="shared" si="213"/>
        <v>1482</v>
      </c>
      <c r="J1266" s="213">
        <f t="shared" si="214"/>
        <v>768</v>
      </c>
      <c r="K1266">
        <f>RANK(0.69,AI:AI,0)</f>
        <v>1474</v>
      </c>
      <c r="L1266" s="357">
        <v>0</v>
      </c>
      <c r="M1266" s="357">
        <v>1</v>
      </c>
      <c r="N1266" s="357">
        <v>0</v>
      </c>
      <c r="O1266" s="357">
        <v>0</v>
      </c>
      <c r="P1266" s="357">
        <v>1</v>
      </c>
      <c r="Q1266" s="358">
        <v>0.10749185667752444</v>
      </c>
      <c r="R1266" s="359">
        <v>0.11249999999999999</v>
      </c>
      <c r="S1266" s="196">
        <v>1204429000</v>
      </c>
      <c r="T1266" s="196">
        <v>36100000</v>
      </c>
      <c r="U1266" s="200">
        <f t="shared" si="215"/>
        <v>471105000</v>
      </c>
      <c r="V1266" s="196">
        <v>6000000</v>
      </c>
      <c r="W1266" s="196">
        <v>349000000</v>
      </c>
      <c r="X1266" s="196">
        <v>33000000</v>
      </c>
      <c r="Y1266" s="196">
        <v>466000000</v>
      </c>
      <c r="Z1266" s="196">
        <v>0</v>
      </c>
      <c r="AA1266" s="198">
        <v>0.02</v>
      </c>
      <c r="AB1266" s="198">
        <v>0.01</v>
      </c>
      <c r="AC1266" s="213">
        <f t="shared" si="216"/>
        <v>616</v>
      </c>
      <c r="AD1266" s="213">
        <f t="shared" si="217"/>
        <v>680</v>
      </c>
      <c r="AE1266" s="213">
        <v>1.2</v>
      </c>
      <c r="AF1266" s="196">
        <v>-55000000</v>
      </c>
      <c r="AG1266" s="104">
        <f t="shared" si="218"/>
        <v>-1.5235457063711912</v>
      </c>
      <c r="AH1266" s="104">
        <f t="shared" si="219"/>
        <v>0</v>
      </c>
      <c r="AI1266" s="195">
        <v>0.69</v>
      </c>
    </row>
    <row r="1267" spans="1:48">
      <c r="A1267">
        <v>6230</v>
      </c>
      <c r="C1267" s="107">
        <f>VLOOKUP(6230,收盤價!$A:$C,3,0)</f>
        <v>143</v>
      </c>
      <c r="D1267" s="107">
        <f t="shared" si="209"/>
        <v>12.243577453987731</v>
      </c>
      <c r="E1267" s="167">
        <f t="shared" si="210"/>
        <v>6</v>
      </c>
      <c r="F1267" s="104">
        <f t="shared" si="211"/>
        <v>1.776334103789649</v>
      </c>
      <c r="G1267" s="167">
        <f>RANK(22.58,AE:AE,0)</f>
        <v>29</v>
      </c>
      <c r="H1267" s="365">
        <f t="shared" si="212"/>
        <v>-2.9240445248310296</v>
      </c>
      <c r="I1267" s="213">
        <f t="shared" si="213"/>
        <v>77</v>
      </c>
      <c r="J1267" s="213">
        <f t="shared" si="214"/>
        <v>545</v>
      </c>
      <c r="K1267">
        <f>RANK(2.5,AI:AI,0)</f>
        <v>238</v>
      </c>
      <c r="L1267" s="357">
        <v>1</v>
      </c>
      <c r="M1267" s="357">
        <v>1</v>
      </c>
      <c r="N1267" s="357">
        <v>2</v>
      </c>
      <c r="O1267" s="357">
        <v>1</v>
      </c>
      <c r="P1267" s="357">
        <v>1</v>
      </c>
      <c r="Q1267" s="358">
        <v>0.29219701162147205</v>
      </c>
      <c r="R1267" s="359">
        <v>2.9198982188295162</v>
      </c>
      <c r="S1267" s="196">
        <v>6947398000</v>
      </c>
      <c r="T1267" s="196">
        <v>86300000</v>
      </c>
      <c r="U1267" s="200">
        <f t="shared" si="215"/>
        <v>12340900000</v>
      </c>
      <c r="V1267" s="196">
        <v>353000000</v>
      </c>
      <c r="W1267" s="196">
        <v>2303000000</v>
      </c>
      <c r="X1267" s="196">
        <v>1182000000</v>
      </c>
      <c r="Y1267" s="196">
        <v>3449000000</v>
      </c>
      <c r="Z1267" s="196">
        <v>182000000</v>
      </c>
      <c r="AA1267" s="198">
        <v>0.1</v>
      </c>
      <c r="AB1267" s="198">
        <v>0.1</v>
      </c>
      <c r="AC1267" s="213">
        <f t="shared" si="216"/>
        <v>52</v>
      </c>
      <c r="AD1267" s="213">
        <f t="shared" si="217"/>
        <v>17</v>
      </c>
      <c r="AE1267" s="213">
        <v>22.58</v>
      </c>
      <c r="AF1267" s="196">
        <v>334000000</v>
      </c>
      <c r="AG1267" s="104">
        <f t="shared" si="218"/>
        <v>3.8702201622247974</v>
      </c>
      <c r="AH1267" s="104">
        <f t="shared" si="219"/>
        <v>0.94617563739376775</v>
      </c>
      <c r="AI1267" s="195">
        <v>2.5</v>
      </c>
    </row>
    <row r="1268" spans="1:48">
      <c r="A1268">
        <v>6231</v>
      </c>
      <c r="C1268" s="107">
        <f>VLOOKUP(6231,收盤價!$A:$C,3,0)</f>
        <v>29.1</v>
      </c>
      <c r="D1268" s="107">
        <f t="shared" si="209"/>
        <v>0</v>
      </c>
      <c r="E1268" s="167">
        <f t="shared" si="210"/>
        <v>2</v>
      </c>
      <c r="F1268" s="104">
        <f t="shared" si="211"/>
        <v>1.4752418713612567</v>
      </c>
      <c r="G1268" s="167">
        <f>RANK(0.53,AE:AE,0)</f>
        <v>1475</v>
      </c>
      <c r="H1268" s="365">
        <f t="shared" si="212"/>
        <v>-1.6052631578947369</v>
      </c>
      <c r="I1268" s="213">
        <f t="shared" si="213"/>
        <v>313</v>
      </c>
      <c r="J1268" s="213">
        <f t="shared" si="214"/>
        <v>768</v>
      </c>
      <c r="K1268">
        <f>RANK(1.44,AI:AI,0)</f>
        <v>595</v>
      </c>
      <c r="L1268" s="357">
        <v>0</v>
      </c>
      <c r="M1268" s="357">
        <v>0</v>
      </c>
      <c r="N1268" s="357">
        <v>1</v>
      </c>
      <c r="O1268" s="357">
        <v>1</v>
      </c>
      <c r="P1268" s="357">
        <v>0</v>
      </c>
      <c r="Q1268" s="358">
        <v>0.81176470588235294</v>
      </c>
      <c r="R1268" s="359">
        <v>0</v>
      </c>
      <c r="S1268" s="196">
        <v>749572000</v>
      </c>
      <c r="T1268" s="196">
        <v>38000000</v>
      </c>
      <c r="U1268" s="200">
        <f t="shared" si="215"/>
        <v>1105800000</v>
      </c>
      <c r="V1268" s="196">
        <v>-21000000</v>
      </c>
      <c r="W1268" s="196">
        <v>364000000</v>
      </c>
      <c r="X1268" s="196">
        <v>3000000</v>
      </c>
      <c r="Y1268" s="196">
        <v>625000000</v>
      </c>
      <c r="Z1268" s="196">
        <v>30000000</v>
      </c>
      <c r="AA1268" s="198">
        <v>-0.06</v>
      </c>
      <c r="AB1268" s="198">
        <v>-0.03</v>
      </c>
      <c r="AC1268" s="213">
        <f t="shared" si="216"/>
        <v>1484</v>
      </c>
      <c r="AD1268" s="213">
        <f t="shared" si="217"/>
        <v>1444</v>
      </c>
      <c r="AE1268" s="213">
        <v>0.53</v>
      </c>
      <c r="AF1268" s="196">
        <v>61000000</v>
      </c>
      <c r="AG1268" s="104">
        <f t="shared" si="218"/>
        <v>1.6052631578947369</v>
      </c>
      <c r="AH1268" s="104">
        <f t="shared" si="219"/>
        <v>0</v>
      </c>
      <c r="AI1268" s="195">
        <v>1.44</v>
      </c>
    </row>
    <row r="1269" spans="1:48">
      <c r="A1269">
        <v>6233</v>
      </c>
      <c r="C1269" s="107">
        <f>VLOOKUP(6233,收盤價!$A:$C,3,0)</f>
        <v>9.91</v>
      </c>
      <c r="D1269" s="107">
        <f t="shared" si="209"/>
        <v>0</v>
      </c>
      <c r="E1269" s="167">
        <f t="shared" si="210"/>
        <v>2</v>
      </c>
      <c r="F1269" s="104">
        <f t="shared" si="211"/>
        <v>1.7629558601807984</v>
      </c>
      <c r="G1269" s="167">
        <f>RANK(0.56,AE:AE,0)</f>
        <v>1414</v>
      </c>
      <c r="H1269" s="365">
        <f t="shared" si="212"/>
        <v>-3.5460992907801421E-2</v>
      </c>
      <c r="I1269" s="213">
        <f t="shared" si="213"/>
        <v>1045</v>
      </c>
      <c r="J1269" s="213">
        <f t="shared" si="214"/>
        <v>768</v>
      </c>
      <c r="K1269">
        <f>RANK(0.86,AI:AI,0)</f>
        <v>1045</v>
      </c>
      <c r="L1269" s="357">
        <v>0</v>
      </c>
      <c r="M1269" s="357">
        <v>1</v>
      </c>
      <c r="N1269" s="357">
        <v>0</v>
      </c>
      <c r="O1269" s="357">
        <v>1</v>
      </c>
      <c r="P1269" s="357">
        <v>0</v>
      </c>
      <c r="Q1269" s="358">
        <v>0.43307086614173229</v>
      </c>
      <c r="R1269" s="359">
        <v>0</v>
      </c>
      <c r="S1269" s="196">
        <v>475557000</v>
      </c>
      <c r="T1269" s="196">
        <v>84600000</v>
      </c>
      <c r="U1269" s="200">
        <f t="shared" si="215"/>
        <v>838386000</v>
      </c>
      <c r="V1269" s="196">
        <v>-20000000</v>
      </c>
      <c r="W1269" s="196">
        <v>596000000</v>
      </c>
      <c r="X1269" s="196">
        <v>119000000</v>
      </c>
      <c r="Y1269" s="196">
        <v>946000000</v>
      </c>
      <c r="Z1269" s="196">
        <v>0</v>
      </c>
      <c r="AA1269" s="198">
        <v>-0.03</v>
      </c>
      <c r="AB1269" s="198">
        <v>-0.02</v>
      </c>
      <c r="AC1269" s="213">
        <f t="shared" si="216"/>
        <v>1405</v>
      </c>
      <c r="AD1269" s="213">
        <f t="shared" si="217"/>
        <v>1388</v>
      </c>
      <c r="AE1269" s="213">
        <v>0.56000000000000005</v>
      </c>
      <c r="AF1269" s="196">
        <v>3000000</v>
      </c>
      <c r="AG1269" s="104">
        <f t="shared" si="218"/>
        <v>3.5460992907801421E-2</v>
      </c>
      <c r="AH1269" s="104">
        <f t="shared" si="219"/>
        <v>0</v>
      </c>
      <c r="AI1269" s="195">
        <v>0.86</v>
      </c>
    </row>
    <row r="1270" spans="1:48">
      <c r="A1270">
        <v>6234</v>
      </c>
      <c r="C1270" s="107">
        <f>VLOOKUP(6234,收盤價!$A:$C,3,0)</f>
        <v>17.45</v>
      </c>
      <c r="D1270" s="107">
        <f t="shared" si="209"/>
        <v>0</v>
      </c>
      <c r="E1270" s="167">
        <f t="shared" si="210"/>
        <v>1</v>
      </c>
      <c r="F1270" s="104">
        <f t="shared" si="211"/>
        <v>1.3695255745240742</v>
      </c>
      <c r="G1270" s="167">
        <f>RANK(0.93,AE:AE,0)</f>
        <v>920</v>
      </c>
      <c r="H1270" s="365">
        <f t="shared" si="212"/>
        <v>7.3955182072829126</v>
      </c>
      <c r="I1270" s="213">
        <f t="shared" si="213"/>
        <v>431</v>
      </c>
      <c r="J1270" s="213">
        <f t="shared" si="214"/>
        <v>48</v>
      </c>
      <c r="K1270">
        <f>RANK(3.25,AI:AI,0)</f>
        <v>143</v>
      </c>
      <c r="L1270" s="357">
        <v>0</v>
      </c>
      <c r="M1270" s="357">
        <v>0</v>
      </c>
      <c r="N1270" s="357">
        <v>0</v>
      </c>
      <c r="O1270" s="357">
        <v>1</v>
      </c>
      <c r="P1270" s="357">
        <v>0</v>
      </c>
      <c r="Q1270" s="358">
        <v>0.11707317073170732</v>
      </c>
      <c r="R1270" s="359">
        <v>0</v>
      </c>
      <c r="S1270" s="196">
        <v>909753000</v>
      </c>
      <c r="T1270" s="196">
        <v>71400000</v>
      </c>
      <c r="U1270" s="200">
        <f t="shared" si="215"/>
        <v>1245930000</v>
      </c>
      <c r="V1270" s="196">
        <v>10000000</v>
      </c>
      <c r="W1270" s="196">
        <v>1191000000</v>
      </c>
      <c r="X1270" s="196">
        <v>716000000</v>
      </c>
      <c r="Y1270" s="196">
        <v>2262000000</v>
      </c>
      <c r="Z1270" s="196">
        <v>130000000</v>
      </c>
      <c r="AA1270" s="198">
        <v>0.01</v>
      </c>
      <c r="AB1270" s="198">
        <v>0</v>
      </c>
      <c r="AC1270" s="213">
        <f t="shared" si="216"/>
        <v>769</v>
      </c>
      <c r="AD1270" s="213">
        <f t="shared" si="217"/>
        <v>911</v>
      </c>
      <c r="AE1270" s="213">
        <v>0.93</v>
      </c>
      <c r="AF1270" s="196">
        <v>86000000</v>
      </c>
      <c r="AG1270" s="104">
        <f t="shared" si="218"/>
        <v>1.2044817927170868</v>
      </c>
      <c r="AH1270" s="104">
        <f t="shared" si="219"/>
        <v>8.6</v>
      </c>
      <c r="AI1270" s="195">
        <v>3.25</v>
      </c>
      <c r="AO1270" s="213"/>
      <c r="AP1270" s="213"/>
      <c r="AQ1270" s="213"/>
      <c r="AR1270" s="213"/>
      <c r="AS1270" s="213"/>
      <c r="AT1270" s="213"/>
      <c r="AU1270" s="213"/>
      <c r="AV1270" s="213"/>
    </row>
    <row r="1271" spans="1:48">
      <c r="A1271">
        <v>6235</v>
      </c>
      <c r="C1271" s="107">
        <f>VLOOKUP(6235,收盤價!$A:$C,3,0)</f>
        <v>20.85</v>
      </c>
      <c r="D1271" s="107">
        <f t="shared" si="209"/>
        <v>26.0625</v>
      </c>
      <c r="E1271" s="167">
        <f t="shared" si="210"/>
        <v>3</v>
      </c>
      <c r="F1271" s="104">
        <f t="shared" si="211"/>
        <v>1.6312744071671383</v>
      </c>
      <c r="G1271" s="167">
        <f>RANK(0.84,AE:AE,0)</f>
        <v>946</v>
      </c>
      <c r="H1271" s="365">
        <f t="shared" si="212"/>
        <v>-6.1919504643962849E-2</v>
      </c>
      <c r="I1271" s="213">
        <f t="shared" si="213"/>
        <v>1027</v>
      </c>
      <c r="J1271" s="213">
        <f t="shared" si="214"/>
        <v>768</v>
      </c>
      <c r="K1271">
        <f>RANK(0.87,AI:AI,0)</f>
        <v>1035</v>
      </c>
      <c r="L1271" s="357">
        <v>0</v>
      </c>
      <c r="M1271" s="357">
        <v>1</v>
      </c>
      <c r="N1271" s="357">
        <v>1</v>
      </c>
      <c r="O1271" s="357">
        <v>0</v>
      </c>
      <c r="P1271" s="357">
        <v>1</v>
      </c>
      <c r="Q1271" s="358">
        <v>0.20370370370370369</v>
      </c>
      <c r="R1271" s="359">
        <v>0.2</v>
      </c>
      <c r="S1271" s="196">
        <v>2064199000</v>
      </c>
      <c r="T1271" s="196">
        <v>161500000</v>
      </c>
      <c r="U1271" s="200">
        <f t="shared" si="215"/>
        <v>3367275000</v>
      </c>
      <c r="V1271" s="196">
        <v>0</v>
      </c>
      <c r="W1271" s="196">
        <v>491000000</v>
      </c>
      <c r="X1271" s="196">
        <v>336000000</v>
      </c>
      <c r="Y1271" s="196">
        <v>1370000000</v>
      </c>
      <c r="Z1271" s="196">
        <v>334000000</v>
      </c>
      <c r="AA1271" s="198">
        <v>0</v>
      </c>
      <c r="AB1271" s="198">
        <v>0</v>
      </c>
      <c r="AC1271" s="213">
        <f t="shared" si="216"/>
        <v>945</v>
      </c>
      <c r="AD1271" s="213">
        <f t="shared" si="217"/>
        <v>911</v>
      </c>
      <c r="AE1271" s="213">
        <v>0.84</v>
      </c>
      <c r="AF1271" s="196">
        <v>10000000</v>
      </c>
      <c r="AG1271" s="104">
        <f t="shared" si="218"/>
        <v>6.1919504643962849E-2</v>
      </c>
      <c r="AH1271" s="104">
        <f t="shared" si="219"/>
        <v>0</v>
      </c>
      <c r="AI1271" s="195">
        <v>0.87</v>
      </c>
    </row>
    <row r="1272" spans="1:48">
      <c r="A1272">
        <v>6236</v>
      </c>
      <c r="C1272" s="107">
        <f>VLOOKUP(6236,收盤價!$A:$C,3,0)</f>
        <v>0</v>
      </c>
      <c r="D1272" s="107">
        <f t="shared" si="209"/>
        <v>0</v>
      </c>
      <c r="E1272" s="167">
        <f t="shared" si="210"/>
        <v>2</v>
      </c>
      <c r="F1272" s="104">
        <f t="shared" si="211"/>
        <v>0</v>
      </c>
      <c r="G1272" s="167">
        <f>RANK(0.54,AE:AE,0)</f>
        <v>1453</v>
      </c>
      <c r="H1272" s="365">
        <f t="shared" si="212"/>
        <v>0.25236593059936907</v>
      </c>
      <c r="I1272" s="213">
        <f t="shared" si="213"/>
        <v>1245</v>
      </c>
      <c r="J1272" s="213">
        <f t="shared" si="214"/>
        <v>768</v>
      </c>
      <c r="K1272">
        <f>RANK(0.77,AI:AI,0)</f>
        <v>1243</v>
      </c>
      <c r="L1272" s="357">
        <v>0</v>
      </c>
      <c r="M1272" s="357">
        <v>1</v>
      </c>
      <c r="N1272" s="357">
        <v>1</v>
      </c>
      <c r="O1272" s="357">
        <v>0</v>
      </c>
      <c r="P1272" s="357">
        <v>0</v>
      </c>
      <c r="Q1272" s="358">
        <v>0.75609756097560976</v>
      </c>
      <c r="R1272" s="359">
        <v>0</v>
      </c>
      <c r="S1272" s="196">
        <v>154823000</v>
      </c>
      <c r="T1272" s="196">
        <v>31700000</v>
      </c>
      <c r="U1272" s="200">
        <f t="shared" si="215"/>
        <v>0</v>
      </c>
      <c r="V1272" s="196">
        <v>-8000000</v>
      </c>
      <c r="W1272" s="196">
        <v>88000000</v>
      </c>
      <c r="X1272" s="196">
        <v>101000000</v>
      </c>
      <c r="Y1272" s="196">
        <v>213000000</v>
      </c>
      <c r="Z1272" s="196">
        <v>27000000</v>
      </c>
      <c r="AA1272" s="198">
        <v>-0.04</v>
      </c>
      <c r="AB1272" s="198">
        <v>-0.03</v>
      </c>
      <c r="AC1272" s="213">
        <f t="shared" si="216"/>
        <v>1444</v>
      </c>
      <c r="AD1272" s="213">
        <f t="shared" si="217"/>
        <v>1444</v>
      </c>
      <c r="AE1272" s="213">
        <v>0.54</v>
      </c>
      <c r="AF1272" s="196">
        <v>-8000000</v>
      </c>
      <c r="AG1272" s="104">
        <f t="shared" si="218"/>
        <v>-0.25236593059936907</v>
      </c>
      <c r="AH1272" s="104">
        <f t="shared" si="219"/>
        <v>0</v>
      </c>
      <c r="AI1272" s="195">
        <v>0.77</v>
      </c>
      <c r="AO1272" s="213"/>
      <c r="AP1272" s="213"/>
      <c r="AQ1272" s="213"/>
      <c r="AR1272" s="213"/>
      <c r="AS1272" s="213"/>
      <c r="AT1272" s="213"/>
      <c r="AU1272" s="213"/>
      <c r="AV1272" s="213"/>
    </row>
    <row r="1273" spans="1:48">
      <c r="A1273">
        <v>6237</v>
      </c>
      <c r="C1273" s="107">
        <f>VLOOKUP(6237,收盤價!$A:$C,3,0)</f>
        <v>28.2</v>
      </c>
      <c r="D1273" s="107">
        <f t="shared" si="209"/>
        <v>0</v>
      </c>
      <c r="E1273" s="167">
        <f t="shared" si="210"/>
        <v>4</v>
      </c>
      <c r="F1273" s="104">
        <f t="shared" si="211"/>
        <v>5.756987302960022</v>
      </c>
      <c r="G1273" s="167">
        <f>RANK(0.84,AE:AE,0)</f>
        <v>946</v>
      </c>
      <c r="H1273" s="365">
        <f t="shared" si="212"/>
        <v>0</v>
      </c>
      <c r="I1273" s="213">
        <f t="shared" si="213"/>
        <v>1067</v>
      </c>
      <c r="J1273" s="213">
        <f t="shared" si="214"/>
        <v>768</v>
      </c>
      <c r="K1273">
        <f>RANK(0.85,AI:AI,0)</f>
        <v>1059</v>
      </c>
      <c r="L1273" s="357">
        <v>0</v>
      </c>
      <c r="M1273" s="357">
        <v>1</v>
      </c>
      <c r="N1273" s="357">
        <v>2</v>
      </c>
      <c r="O1273" s="357">
        <v>0</v>
      </c>
      <c r="P1273" s="357">
        <v>1</v>
      </c>
      <c r="Q1273" s="358">
        <v>0.58823529411764708</v>
      </c>
      <c r="R1273" s="359">
        <v>0</v>
      </c>
      <c r="S1273" s="196">
        <v>381585000</v>
      </c>
      <c r="T1273" s="196">
        <v>77900000</v>
      </c>
      <c r="U1273" s="200">
        <f t="shared" si="215"/>
        <v>2196780000</v>
      </c>
      <c r="V1273" s="196">
        <v>0</v>
      </c>
      <c r="W1273" s="196">
        <v>798000000</v>
      </c>
      <c r="X1273" s="196">
        <v>395000000</v>
      </c>
      <c r="Y1273" s="196">
        <v>1588000000</v>
      </c>
      <c r="Z1273" s="196">
        <v>0</v>
      </c>
      <c r="AA1273" s="198">
        <v>0</v>
      </c>
      <c r="AB1273" s="198">
        <v>0</v>
      </c>
      <c r="AC1273" s="213">
        <f t="shared" si="216"/>
        <v>945</v>
      </c>
      <c r="AD1273" s="213">
        <f t="shared" si="217"/>
        <v>911</v>
      </c>
      <c r="AE1273" s="213">
        <v>0.84</v>
      </c>
      <c r="AF1273" s="196">
        <v>0</v>
      </c>
      <c r="AG1273" s="104">
        <f t="shared" si="218"/>
        <v>0</v>
      </c>
      <c r="AH1273" s="104">
        <f t="shared" si="219"/>
        <v>0</v>
      </c>
      <c r="AI1273" s="195">
        <v>0.85</v>
      </c>
    </row>
    <row r="1274" spans="1:48">
      <c r="A1274">
        <v>6238</v>
      </c>
      <c r="C1274" s="107">
        <f>VLOOKUP(6238,收盤價!$A:$C,3,0)</f>
        <v>177.5</v>
      </c>
      <c r="D1274" s="107">
        <f t="shared" si="209"/>
        <v>21.240937819499958</v>
      </c>
      <c r="E1274" s="167">
        <f t="shared" si="210"/>
        <v>2</v>
      </c>
      <c r="F1274" s="104">
        <f t="shared" si="211"/>
        <v>2.9093127602275546</v>
      </c>
      <c r="G1274" s="167">
        <f>RANK(19,AE:AE,0)</f>
        <v>40</v>
      </c>
      <c r="H1274" s="365">
        <f t="shared" si="212"/>
        <v>-3.2777777777777777</v>
      </c>
      <c r="I1274" s="213">
        <f t="shared" si="213"/>
        <v>31</v>
      </c>
      <c r="J1274" s="213">
        <f t="shared" si="214"/>
        <v>235</v>
      </c>
      <c r="K1274">
        <f>RANK(5.86,AI:AI,0)</f>
        <v>50</v>
      </c>
      <c r="L1274" s="357">
        <v>0</v>
      </c>
      <c r="M1274" s="357">
        <v>1</v>
      </c>
      <c r="N1274" s="357">
        <v>0</v>
      </c>
      <c r="O1274" s="357">
        <v>1</v>
      </c>
      <c r="P1274" s="357">
        <v>0</v>
      </c>
      <c r="Q1274" s="358">
        <v>0.29805996472663138</v>
      </c>
      <c r="R1274" s="359">
        <v>2.0891262135922326</v>
      </c>
      <c r="S1274" s="196">
        <v>2635674000</v>
      </c>
      <c r="T1274" s="196">
        <v>43200000</v>
      </c>
      <c r="U1274" s="200">
        <f t="shared" si="215"/>
        <v>7668000000</v>
      </c>
      <c r="V1274" s="196">
        <v>108000000</v>
      </c>
      <c r="W1274" s="196">
        <v>113000000</v>
      </c>
      <c r="X1274" s="196">
        <v>873000000</v>
      </c>
      <c r="Y1274" s="196">
        <v>1081000000</v>
      </c>
      <c r="Z1274" s="196">
        <v>265000000</v>
      </c>
      <c r="AA1274" s="198">
        <v>0.11</v>
      </c>
      <c r="AB1274" s="198">
        <v>0.08</v>
      </c>
      <c r="AC1274" s="213">
        <f t="shared" si="216"/>
        <v>40</v>
      </c>
      <c r="AD1274" s="213">
        <f t="shared" si="217"/>
        <v>42</v>
      </c>
      <c r="AE1274" s="213">
        <v>19</v>
      </c>
      <c r="AF1274" s="196">
        <v>236000000</v>
      </c>
      <c r="AG1274" s="104">
        <f t="shared" si="218"/>
        <v>5.4629629629629628</v>
      </c>
      <c r="AH1274" s="104">
        <f t="shared" si="219"/>
        <v>2.1851851851851851</v>
      </c>
      <c r="AI1274" s="195">
        <v>5.86</v>
      </c>
      <c r="AO1274" s="213"/>
      <c r="AP1274" s="213"/>
      <c r="AQ1274" s="213"/>
      <c r="AR1274" s="213"/>
      <c r="AS1274" s="213"/>
      <c r="AT1274" s="213"/>
      <c r="AU1274" s="213"/>
      <c r="AV1274" s="213"/>
    </row>
    <row r="1275" spans="1:48">
      <c r="A1275">
        <v>6239</v>
      </c>
      <c r="C1275" s="107">
        <f>VLOOKUP(6239,收盤價!$A:$C,3,0)</f>
        <v>88.5</v>
      </c>
      <c r="D1275" s="107">
        <f t="shared" si="209"/>
        <v>14.87480966056938</v>
      </c>
      <c r="E1275" s="167">
        <f t="shared" si="210"/>
        <v>3</v>
      </c>
      <c r="F1275" s="104">
        <f t="shared" si="211"/>
        <v>1.5167076765916112</v>
      </c>
      <c r="G1275" s="167">
        <f>RANK(2.24,AE:AE,0)</f>
        <v>416</v>
      </c>
      <c r="H1275" s="365">
        <f t="shared" si="212"/>
        <v>-1.5101185598556119</v>
      </c>
      <c r="I1275" s="213">
        <f t="shared" si="213"/>
        <v>149</v>
      </c>
      <c r="J1275" s="213">
        <f t="shared" si="214"/>
        <v>492</v>
      </c>
      <c r="K1275">
        <f>RANK(2.43,AI:AI,0)</f>
        <v>252</v>
      </c>
      <c r="L1275" s="357">
        <v>0</v>
      </c>
      <c r="M1275" s="357">
        <v>1</v>
      </c>
      <c r="N1275" s="357">
        <v>1</v>
      </c>
      <c r="O1275" s="357">
        <v>1</v>
      </c>
      <c r="P1275" s="357">
        <v>0</v>
      </c>
      <c r="Q1275" s="358">
        <v>0.21505566354479591</v>
      </c>
      <c r="R1275" s="359">
        <v>1.487413990825688</v>
      </c>
      <c r="S1275" s="196">
        <v>45460540000</v>
      </c>
      <c r="T1275" s="196">
        <v>779100000</v>
      </c>
      <c r="U1275" s="200">
        <f t="shared" si="215"/>
        <v>68950350000</v>
      </c>
      <c r="V1275" s="196">
        <v>1819000000</v>
      </c>
      <c r="W1275" s="196">
        <v>14741000000</v>
      </c>
      <c r="X1275" s="196">
        <v>38718000000</v>
      </c>
      <c r="Y1275" s="196">
        <v>40964000000</v>
      </c>
      <c r="Z1275" s="196">
        <v>1605000000</v>
      </c>
      <c r="AA1275" s="198">
        <v>0.03</v>
      </c>
      <c r="AB1275" s="198">
        <v>0.04</v>
      </c>
      <c r="AC1275" s="213">
        <f t="shared" si="216"/>
        <v>469</v>
      </c>
      <c r="AD1275" s="213">
        <f t="shared" si="217"/>
        <v>228</v>
      </c>
      <c r="AE1275" s="213">
        <v>2.2400000000000002</v>
      </c>
      <c r="AF1275" s="196">
        <v>2058000000</v>
      </c>
      <c r="AG1275" s="104">
        <f t="shared" si="218"/>
        <v>2.641509433962264</v>
      </c>
      <c r="AH1275" s="104">
        <f t="shared" si="219"/>
        <v>1.1313908741066521</v>
      </c>
      <c r="AI1275" s="195">
        <v>2.4300000000000002</v>
      </c>
      <c r="AO1275" s="213"/>
      <c r="AP1275" s="213"/>
      <c r="AQ1275" s="213"/>
      <c r="AR1275" s="213"/>
      <c r="AS1275" s="213"/>
      <c r="AT1275" s="213"/>
      <c r="AU1275" s="213"/>
      <c r="AV1275" s="213"/>
    </row>
    <row r="1276" spans="1:48">
      <c r="A1276">
        <v>6240</v>
      </c>
      <c r="C1276" s="107" t="e">
        <f>VLOOKUP(6240,收盤價!$A:$C,3,0)</f>
        <v>#N/A</v>
      </c>
      <c r="D1276" s="107">
        <f t="shared" si="209"/>
        <v>0</v>
      </c>
      <c r="E1276" s="167">
        <f t="shared" si="210"/>
        <v>2</v>
      </c>
      <c r="F1276" s="104">
        <f t="shared" si="211"/>
        <v>0</v>
      </c>
      <c r="G1276" s="167">
        <f>RANK(0.58,AE:AE,0)</f>
        <v>1374</v>
      </c>
      <c r="H1276" s="365">
        <f t="shared" si="212"/>
        <v>-0.17316017316017315</v>
      </c>
      <c r="I1276" s="213">
        <f t="shared" si="213"/>
        <v>948</v>
      </c>
      <c r="J1276" s="213">
        <f t="shared" si="214"/>
        <v>768</v>
      </c>
      <c r="K1276">
        <f>RANK(0.91,AI:AI,0)</f>
        <v>974</v>
      </c>
      <c r="L1276" s="357">
        <v>0</v>
      </c>
      <c r="M1276" s="357">
        <v>1</v>
      </c>
      <c r="N1276" s="357">
        <v>1</v>
      </c>
      <c r="O1276" s="357">
        <v>0</v>
      </c>
      <c r="P1276" s="357">
        <v>0</v>
      </c>
      <c r="Q1276" s="358">
        <v>0.22222222222222221</v>
      </c>
      <c r="R1276" s="359">
        <v>0</v>
      </c>
      <c r="S1276" s="196">
        <v>192593000</v>
      </c>
      <c r="T1276" s="196">
        <v>23100000</v>
      </c>
      <c r="U1276" s="200" t="e">
        <f t="shared" si="215"/>
        <v>#N/A</v>
      </c>
      <c r="V1276" s="196">
        <v>-3000000</v>
      </c>
      <c r="W1276" s="196">
        <v>92000000</v>
      </c>
      <c r="X1276" s="196">
        <v>3000000</v>
      </c>
      <c r="Y1276" s="196">
        <v>275000000</v>
      </c>
      <c r="Z1276" s="196">
        <v>0</v>
      </c>
      <c r="AA1276" s="198">
        <v>-0.03</v>
      </c>
      <c r="AB1276" s="198">
        <v>-0.01</v>
      </c>
      <c r="AC1276" s="213">
        <f t="shared" si="216"/>
        <v>1405</v>
      </c>
      <c r="AD1276" s="213">
        <f t="shared" si="217"/>
        <v>1294</v>
      </c>
      <c r="AE1276" s="213">
        <v>0.57999999999999996</v>
      </c>
      <c r="AF1276" s="196">
        <v>4000000</v>
      </c>
      <c r="AG1276" s="104">
        <f t="shared" si="218"/>
        <v>0.17316017316017315</v>
      </c>
      <c r="AH1276" s="104">
        <f t="shared" si="219"/>
        <v>0</v>
      </c>
      <c r="AI1276" s="195">
        <v>0.91</v>
      </c>
    </row>
    <row r="1277" spans="1:48">
      <c r="A1277">
        <v>6241</v>
      </c>
      <c r="C1277" s="107">
        <f>VLOOKUP(6241,收盤價!$A:$C,3,0)</f>
        <v>15.55</v>
      </c>
      <c r="D1277" s="107">
        <f t="shared" si="209"/>
        <v>0</v>
      </c>
      <c r="E1277" s="167">
        <f t="shared" si="210"/>
        <v>2</v>
      </c>
      <c r="F1277" s="104">
        <f t="shared" si="211"/>
        <v>2.1623960710911874</v>
      </c>
      <c r="G1277" s="167">
        <f>RANK(0.84,AE:AE,0)</f>
        <v>946</v>
      </c>
      <c r="H1277" s="365">
        <f t="shared" si="212"/>
        <v>-1.4345991561181435</v>
      </c>
      <c r="I1277" s="213">
        <f t="shared" si="213"/>
        <v>364</v>
      </c>
      <c r="J1277" s="213">
        <f t="shared" si="214"/>
        <v>768</v>
      </c>
      <c r="K1277">
        <f>RANK(1.38,AI:AI,0)</f>
        <v>637</v>
      </c>
      <c r="L1277" s="357">
        <v>0</v>
      </c>
      <c r="M1277" s="357">
        <v>1</v>
      </c>
      <c r="N1277" s="357">
        <v>0</v>
      </c>
      <c r="O1277" s="357">
        <v>1</v>
      </c>
      <c r="P1277" s="357">
        <v>0</v>
      </c>
      <c r="Q1277" s="358">
        <v>0.21568627450980393</v>
      </c>
      <c r="R1277" s="359">
        <v>-0.16</v>
      </c>
      <c r="S1277" s="196">
        <v>170429000</v>
      </c>
      <c r="T1277" s="196">
        <v>23700000</v>
      </c>
      <c r="U1277" s="200">
        <f t="shared" si="215"/>
        <v>368535000</v>
      </c>
      <c r="V1277" s="196">
        <v>0</v>
      </c>
      <c r="W1277" s="196">
        <v>234000000</v>
      </c>
      <c r="X1277" s="196">
        <v>4000000</v>
      </c>
      <c r="Y1277" s="196">
        <v>243000000</v>
      </c>
      <c r="Z1277" s="196">
        <v>0</v>
      </c>
      <c r="AA1277" s="198">
        <v>0</v>
      </c>
      <c r="AB1277" s="198">
        <v>0</v>
      </c>
      <c r="AC1277" s="213">
        <f t="shared" si="216"/>
        <v>945</v>
      </c>
      <c r="AD1277" s="213">
        <f t="shared" si="217"/>
        <v>911</v>
      </c>
      <c r="AE1277" s="213">
        <v>0.84</v>
      </c>
      <c r="AF1277" s="196">
        <v>34000000</v>
      </c>
      <c r="AG1277" s="104">
        <f t="shared" si="218"/>
        <v>1.4345991561181435</v>
      </c>
      <c r="AH1277" s="104">
        <f t="shared" si="219"/>
        <v>0</v>
      </c>
      <c r="AI1277" s="195">
        <v>1.38</v>
      </c>
    </row>
    <row r="1278" spans="1:48">
      <c r="A1278">
        <v>6242</v>
      </c>
      <c r="C1278" s="107">
        <f>VLOOKUP(6242,收盤價!$A:$C,3,0)</f>
        <v>48</v>
      </c>
      <c r="D1278" s="107">
        <f t="shared" si="209"/>
        <v>12.057416267942584</v>
      </c>
      <c r="E1278" s="167">
        <f t="shared" si="210"/>
        <v>2</v>
      </c>
      <c r="F1278" s="104">
        <f t="shared" si="211"/>
        <v>2.1847328140041373</v>
      </c>
      <c r="G1278" s="167">
        <f>RANK(6.55,AE:AE,0)</f>
        <v>122</v>
      </c>
      <c r="H1278" s="365">
        <f t="shared" si="212"/>
        <v>-0.30652173913043468</v>
      </c>
      <c r="I1278" s="213">
        <f t="shared" si="213"/>
        <v>183</v>
      </c>
      <c r="J1278" s="213">
        <f t="shared" si="214"/>
        <v>257</v>
      </c>
      <c r="K1278">
        <f>RANK(3.54,AI:AI,0)</f>
        <v>124</v>
      </c>
      <c r="L1278" s="357">
        <v>0</v>
      </c>
      <c r="M1278" s="357">
        <v>1</v>
      </c>
      <c r="N1278" s="357">
        <v>0</v>
      </c>
      <c r="O1278" s="357">
        <v>1</v>
      </c>
      <c r="P1278" s="357">
        <v>0</v>
      </c>
      <c r="Q1278" s="358">
        <v>0.67716535433070868</v>
      </c>
      <c r="R1278" s="359">
        <v>0.99523809523809526</v>
      </c>
      <c r="S1278" s="196">
        <v>439413000</v>
      </c>
      <c r="T1278" s="196">
        <v>20000000</v>
      </c>
      <c r="U1278" s="200">
        <f t="shared" si="215"/>
        <v>960000000</v>
      </c>
      <c r="V1278" s="196">
        <v>23000000</v>
      </c>
      <c r="W1278" s="196">
        <v>36000000</v>
      </c>
      <c r="X1278" s="196">
        <v>366000000</v>
      </c>
      <c r="Y1278" s="196">
        <v>308000000</v>
      </c>
      <c r="Z1278" s="196">
        <v>12000000</v>
      </c>
      <c r="AA1278" s="198">
        <v>0.06</v>
      </c>
      <c r="AB1278" s="198">
        <v>7.0000000000000007E-2</v>
      </c>
      <c r="AC1278" s="213">
        <f t="shared" si="216"/>
        <v>174</v>
      </c>
      <c r="AD1278" s="213">
        <f t="shared" si="217"/>
        <v>64</v>
      </c>
      <c r="AE1278" s="213">
        <v>6.55</v>
      </c>
      <c r="AF1278" s="196">
        <v>47000000</v>
      </c>
      <c r="AG1278" s="104">
        <f t="shared" si="218"/>
        <v>2.35</v>
      </c>
      <c r="AH1278" s="104">
        <f t="shared" si="219"/>
        <v>2.0434782608695654</v>
      </c>
      <c r="AI1278" s="195">
        <v>3.54</v>
      </c>
      <c r="AO1278" s="213"/>
      <c r="AP1278" s="213"/>
      <c r="AQ1278" s="213"/>
      <c r="AR1278" s="213"/>
      <c r="AS1278" s="213"/>
      <c r="AT1278" s="213"/>
      <c r="AU1278" s="213"/>
      <c r="AV1278" s="213"/>
    </row>
    <row r="1279" spans="1:48">
      <c r="A1279">
        <v>6243</v>
      </c>
      <c r="C1279" s="107">
        <f>VLOOKUP(6243,收盤價!$A:$C,3,0)</f>
        <v>15.3</v>
      </c>
      <c r="D1279" s="107">
        <f t="shared" si="209"/>
        <v>0</v>
      </c>
      <c r="E1279" s="167">
        <f t="shared" si="210"/>
        <v>3</v>
      </c>
      <c r="F1279" s="104">
        <f t="shared" si="211"/>
        <v>2.2767450581239621</v>
      </c>
      <c r="G1279" s="167">
        <f>RANK(0.55,AE:AE,0)</f>
        <v>1436</v>
      </c>
      <c r="H1279" s="365">
        <f t="shared" si="212"/>
        <v>0.4</v>
      </c>
      <c r="I1279" s="213">
        <f t="shared" si="213"/>
        <v>1311</v>
      </c>
      <c r="J1279" s="213">
        <f t="shared" si="214"/>
        <v>768</v>
      </c>
      <c r="K1279">
        <f>RANK(0.75,AI:AI,0)</f>
        <v>1296</v>
      </c>
      <c r="L1279" s="357">
        <v>0</v>
      </c>
      <c r="M1279" s="357">
        <v>1</v>
      </c>
      <c r="N1279" s="357">
        <v>2</v>
      </c>
      <c r="O1279" s="357">
        <v>0</v>
      </c>
      <c r="P1279" s="357">
        <v>0</v>
      </c>
      <c r="Q1279" s="358">
        <v>0.26126126126126126</v>
      </c>
      <c r="R1279" s="359">
        <v>0</v>
      </c>
      <c r="S1279" s="196">
        <v>504009000</v>
      </c>
      <c r="T1279" s="196">
        <v>75000000</v>
      </c>
      <c r="U1279" s="200">
        <f t="shared" si="215"/>
        <v>1147500000</v>
      </c>
      <c r="V1279" s="196">
        <v>-27000000</v>
      </c>
      <c r="W1279" s="196">
        <v>758000000</v>
      </c>
      <c r="X1279" s="196">
        <v>15000000</v>
      </c>
      <c r="Y1279" s="196">
        <v>783000000</v>
      </c>
      <c r="Z1279" s="196">
        <v>0</v>
      </c>
      <c r="AA1279" s="198">
        <v>-0.03</v>
      </c>
      <c r="AB1279" s="198">
        <v>-0.03</v>
      </c>
      <c r="AC1279" s="213">
        <f t="shared" si="216"/>
        <v>1405</v>
      </c>
      <c r="AD1279" s="213">
        <f t="shared" si="217"/>
        <v>1444</v>
      </c>
      <c r="AE1279" s="213">
        <v>0.55000000000000004</v>
      </c>
      <c r="AF1279" s="196">
        <v>-30000000</v>
      </c>
      <c r="AG1279" s="104">
        <f t="shared" si="218"/>
        <v>-0.4</v>
      </c>
      <c r="AH1279" s="104">
        <f t="shared" si="219"/>
        <v>0</v>
      </c>
      <c r="AI1279" s="195">
        <v>0.75</v>
      </c>
      <c r="AO1279" s="213"/>
      <c r="AP1279" s="213"/>
      <c r="AQ1279" s="213"/>
      <c r="AR1279" s="213"/>
      <c r="AS1279" s="213"/>
      <c r="AT1279" s="213"/>
      <c r="AU1279" s="213"/>
      <c r="AV1279" s="213"/>
    </row>
    <row r="1280" spans="1:48">
      <c r="A1280">
        <v>6244</v>
      </c>
      <c r="C1280" s="107">
        <f>VLOOKUP(6244,收盤價!$A:$C,3,0)</f>
        <v>31</v>
      </c>
      <c r="D1280" s="107">
        <f t="shared" si="209"/>
        <v>10.340909090909092</v>
      </c>
      <c r="E1280" s="167">
        <f t="shared" si="210"/>
        <v>4</v>
      </c>
      <c r="F1280" s="104">
        <f t="shared" si="211"/>
        <v>0.45130284773151685</v>
      </c>
      <c r="G1280" s="167">
        <f>RANK(1.63,AE:AE,0)</f>
        <v>551</v>
      </c>
      <c r="H1280" s="365">
        <f t="shared" si="212"/>
        <v>-3.3483585428406348E-2</v>
      </c>
      <c r="I1280" s="213">
        <f t="shared" si="213"/>
        <v>387</v>
      </c>
      <c r="J1280" s="213">
        <f t="shared" si="214"/>
        <v>423</v>
      </c>
      <c r="K1280">
        <f>RANK(1.92,AI:AI,0)</f>
        <v>372</v>
      </c>
      <c r="L1280" s="357">
        <v>0</v>
      </c>
      <c r="M1280" s="357">
        <v>1</v>
      </c>
      <c r="N1280" s="357">
        <v>1</v>
      </c>
      <c r="O1280" s="357">
        <v>1</v>
      </c>
      <c r="P1280" s="357">
        <v>1</v>
      </c>
      <c r="Q1280" s="358">
        <v>9.7014925373134331E-2</v>
      </c>
      <c r="R1280" s="359">
        <v>0.74945054945054945</v>
      </c>
      <c r="S1280" s="196">
        <v>33561942000</v>
      </c>
      <c r="T1280" s="196">
        <v>488600000</v>
      </c>
      <c r="U1280" s="200">
        <f t="shared" si="215"/>
        <v>15146600000</v>
      </c>
      <c r="V1280" s="196">
        <v>501000000</v>
      </c>
      <c r="W1280" s="196">
        <v>6129000000</v>
      </c>
      <c r="X1280" s="196">
        <v>10009000000</v>
      </c>
      <c r="Y1280" s="196">
        <v>15515000000</v>
      </c>
      <c r="Z1280" s="196">
        <v>6435000000</v>
      </c>
      <c r="AA1280" s="198">
        <v>0.03</v>
      </c>
      <c r="AB1280" s="198">
        <v>0.02</v>
      </c>
      <c r="AC1280" s="213">
        <f t="shared" si="216"/>
        <v>469</v>
      </c>
      <c r="AD1280" s="213">
        <f t="shared" si="217"/>
        <v>487</v>
      </c>
      <c r="AE1280" s="213">
        <v>1.63</v>
      </c>
      <c r="AF1280" s="196">
        <v>661000000</v>
      </c>
      <c r="AG1280" s="104">
        <f t="shared" si="218"/>
        <v>1.3528448628735161</v>
      </c>
      <c r="AH1280" s="104">
        <f t="shared" si="219"/>
        <v>1.3193612774451098</v>
      </c>
      <c r="AI1280" s="195">
        <v>1.92</v>
      </c>
      <c r="AO1280" s="213"/>
      <c r="AP1280" s="213"/>
      <c r="AQ1280" s="213"/>
      <c r="AR1280" s="213"/>
      <c r="AS1280" s="213"/>
      <c r="AT1280" s="213"/>
      <c r="AU1280" s="213"/>
      <c r="AV1280" s="213"/>
    </row>
    <row r="1281" spans="1:48">
      <c r="A1281">
        <v>6245</v>
      </c>
      <c r="C1281" s="107">
        <f>VLOOKUP(6245,收盤價!$A:$C,3,0)</f>
        <v>44.9</v>
      </c>
      <c r="D1281" s="107">
        <f t="shared" si="209"/>
        <v>19.896862745098037</v>
      </c>
      <c r="E1281" s="167">
        <f t="shared" si="210"/>
        <v>2</v>
      </c>
      <c r="F1281" s="104">
        <f t="shared" si="211"/>
        <v>0.74384723516175355</v>
      </c>
      <c r="G1281" s="167">
        <f>RANK(1.94,AE:AE,0)</f>
        <v>435</v>
      </c>
      <c r="H1281" s="365">
        <f t="shared" si="212"/>
        <v>0.20479520479520474</v>
      </c>
      <c r="I1281" s="213">
        <f t="shared" si="213"/>
        <v>623</v>
      </c>
      <c r="J1281" s="213">
        <f t="shared" si="214"/>
        <v>539</v>
      </c>
      <c r="K1281">
        <f>RANK(1.34,AI:AI,0)</f>
        <v>655</v>
      </c>
      <c r="L1281" s="357">
        <v>0</v>
      </c>
      <c r="M1281" s="357">
        <v>1</v>
      </c>
      <c r="N1281" s="357">
        <v>1</v>
      </c>
      <c r="O1281" s="357">
        <v>0</v>
      </c>
      <c r="P1281" s="357">
        <v>0</v>
      </c>
      <c r="Q1281" s="358">
        <v>0.26219126029132361</v>
      </c>
      <c r="R1281" s="359">
        <v>0.56415929203539827</v>
      </c>
      <c r="S1281" s="196">
        <v>5885281000</v>
      </c>
      <c r="T1281" s="196">
        <v>97500000</v>
      </c>
      <c r="U1281" s="200">
        <f t="shared" si="215"/>
        <v>4377750000</v>
      </c>
      <c r="V1281" s="196">
        <v>77000000</v>
      </c>
      <c r="W1281" s="196">
        <v>1135000000</v>
      </c>
      <c r="X1281" s="196">
        <v>1145000000</v>
      </c>
      <c r="Y1281" s="196">
        <v>2291000000</v>
      </c>
      <c r="Z1281" s="196">
        <v>281000000</v>
      </c>
      <c r="AA1281" s="198">
        <v>0.03</v>
      </c>
      <c r="AB1281" s="198">
        <v>0.03</v>
      </c>
      <c r="AC1281" s="213">
        <f t="shared" si="216"/>
        <v>469</v>
      </c>
      <c r="AD1281" s="213">
        <f t="shared" si="217"/>
        <v>334</v>
      </c>
      <c r="AE1281" s="213">
        <v>1.94</v>
      </c>
      <c r="AF1281" s="196">
        <v>75000000</v>
      </c>
      <c r="AG1281" s="104">
        <f t="shared" si="218"/>
        <v>0.76923076923076927</v>
      </c>
      <c r="AH1281" s="104">
        <f t="shared" si="219"/>
        <v>0.97402597402597402</v>
      </c>
      <c r="AI1281" s="195">
        <v>1.34</v>
      </c>
      <c r="AO1281" s="213"/>
      <c r="AP1281" s="213"/>
      <c r="AQ1281" s="213"/>
      <c r="AR1281" s="213"/>
      <c r="AS1281" s="213"/>
      <c r="AT1281" s="213"/>
      <c r="AU1281" s="213"/>
      <c r="AV1281" s="213"/>
    </row>
    <row r="1282" spans="1:48">
      <c r="A1282">
        <v>6246</v>
      </c>
      <c r="C1282" s="107" t="e">
        <f>VLOOKUP(6246,收盤價!$A:$C,3,0)</f>
        <v>#N/A</v>
      </c>
      <c r="D1282" s="107">
        <f t="shared" ref="D1282:D1345" si="220">IF(AND(ISNUMBER(C1282),R1282&gt;0),C1282/(R1282*4),0)</f>
        <v>0</v>
      </c>
      <c r="E1282" s="167">
        <f t="shared" ref="E1282:E1345" si="221">SUM(L1282:P1282)</f>
        <v>0</v>
      </c>
      <c r="F1282" s="104">
        <f t="shared" ref="F1282:F1345" si="222">IF(AND(ISNUMBER(U1282),ISNUMBER(S1282)),U1282/S1282,0)</f>
        <v>0</v>
      </c>
      <c r="G1282" s="167">
        <f>RANK(2.51,AE:AE,0)</f>
        <v>353</v>
      </c>
      <c r="H1282" s="365">
        <f t="shared" ref="H1282:H1345" si="223">AH1282-AG1282</f>
        <v>1.2969830757910228</v>
      </c>
      <c r="I1282" s="213">
        <f t="shared" ref="I1282:I1345" si="224">RANK(AG1282,AG:AG)</f>
        <v>988</v>
      </c>
      <c r="J1282" s="213">
        <f t="shared" ref="J1282:J1345" si="225">RANK(AH1282,AH:AH)</f>
        <v>407</v>
      </c>
      <c r="K1282">
        <f>RANK(1.12,AI:AI,0)</f>
        <v>782</v>
      </c>
      <c r="L1282" s="357">
        <v>0</v>
      </c>
      <c r="M1282" s="357">
        <v>0</v>
      </c>
      <c r="N1282" s="357">
        <v>0</v>
      </c>
      <c r="O1282" s="357">
        <v>0</v>
      </c>
      <c r="P1282" s="357">
        <v>0</v>
      </c>
      <c r="Q1282" s="358">
        <v>0.17543859649122806</v>
      </c>
      <c r="R1282" s="359">
        <v>0.04</v>
      </c>
      <c r="S1282" s="196">
        <v>799704000</v>
      </c>
      <c r="T1282" s="196">
        <v>135900000</v>
      </c>
      <c r="U1282" s="200" t="e">
        <f t="shared" ref="U1282:U1345" si="226">C1282*T1282</f>
        <v>#N/A</v>
      </c>
      <c r="V1282" s="196">
        <v>10000000</v>
      </c>
      <c r="W1282" s="196">
        <v>0</v>
      </c>
      <c r="X1282" s="196">
        <v>148000000</v>
      </c>
      <c r="Y1282" s="196">
        <v>130000000</v>
      </c>
      <c r="Z1282" s="196">
        <v>482000000</v>
      </c>
      <c r="AA1282" s="198">
        <v>7.0000000000000007E-2</v>
      </c>
      <c r="AB1282" s="198">
        <v>0.02</v>
      </c>
      <c r="AC1282" s="213">
        <f t="shared" ref="AC1282:AC1345" si="227">RANK(AA1282,AA:AA)</f>
        <v>134</v>
      </c>
      <c r="AD1282" s="213">
        <f t="shared" ref="AD1282:AD1345" si="228">RANK(AB1282,AB:AB)</f>
        <v>487</v>
      </c>
      <c r="AE1282" s="213">
        <v>2.5099999999999998</v>
      </c>
      <c r="AF1282" s="196">
        <v>14000000</v>
      </c>
      <c r="AG1282" s="104">
        <f t="shared" ref="AG1282:AG1345" si="229">AF1282/T1282</f>
        <v>0.10301692420897719</v>
      </c>
      <c r="AH1282" s="104">
        <f t="shared" ref="AH1282:AH1345" si="230">IF(AND(AF1282&gt;0,V1282&gt;0),AF1282/V1282,0)</f>
        <v>1.4</v>
      </c>
      <c r="AI1282" s="195">
        <v>1.1200000000000001</v>
      </c>
      <c r="AO1282" s="213"/>
      <c r="AP1282" s="213"/>
      <c r="AQ1282" s="213"/>
      <c r="AR1282" s="213"/>
      <c r="AS1282" s="213"/>
      <c r="AT1282" s="213"/>
      <c r="AU1282" s="213"/>
      <c r="AV1282" s="213"/>
    </row>
    <row r="1283" spans="1:48">
      <c r="A1283">
        <v>6247</v>
      </c>
      <c r="C1283" s="107">
        <f>VLOOKUP(6247,收盤價!$A:$C,3,0)</f>
        <v>9.52</v>
      </c>
      <c r="D1283" s="107">
        <f t="shared" si="220"/>
        <v>0</v>
      </c>
      <c r="E1283" s="167">
        <f t="shared" si="221"/>
        <v>1</v>
      </c>
      <c r="F1283" s="104">
        <f t="shared" si="222"/>
        <v>0.47985355027730991</v>
      </c>
      <c r="G1283" s="167">
        <f>RANK(0.84,AE:AE,0)</f>
        <v>946</v>
      </c>
      <c r="H1283" s="365">
        <f t="shared" si="223"/>
        <v>-0.31509121061359868</v>
      </c>
      <c r="I1283" s="213">
        <f t="shared" si="224"/>
        <v>853</v>
      </c>
      <c r="J1283" s="213">
        <f t="shared" si="225"/>
        <v>768</v>
      </c>
      <c r="K1283">
        <f>RANK(0.96,AI:AI,0)</f>
        <v>922</v>
      </c>
      <c r="L1283" s="357">
        <v>0</v>
      </c>
      <c r="M1283" s="357">
        <v>1</v>
      </c>
      <c r="N1283" s="357">
        <v>0</v>
      </c>
      <c r="O1283" s="357">
        <v>0</v>
      </c>
      <c r="P1283" s="357">
        <v>0</v>
      </c>
      <c r="Q1283" s="358">
        <v>0.23387096774193547</v>
      </c>
      <c r="R1283" s="359">
        <v>0</v>
      </c>
      <c r="S1283" s="196">
        <v>1196315000</v>
      </c>
      <c r="T1283" s="196">
        <v>60300000</v>
      </c>
      <c r="U1283" s="200">
        <f t="shared" si="226"/>
        <v>574056000</v>
      </c>
      <c r="V1283" s="196">
        <v>-3000000</v>
      </c>
      <c r="W1283" s="196">
        <v>283000000</v>
      </c>
      <c r="X1283" s="196">
        <v>498000000</v>
      </c>
      <c r="Y1283" s="196">
        <v>875000000</v>
      </c>
      <c r="Z1283" s="196">
        <v>190000000</v>
      </c>
      <c r="AA1283" s="198">
        <v>0</v>
      </c>
      <c r="AB1283" s="198">
        <v>0</v>
      </c>
      <c r="AC1283" s="213">
        <f t="shared" si="227"/>
        <v>945</v>
      </c>
      <c r="AD1283" s="213">
        <f t="shared" si="228"/>
        <v>911</v>
      </c>
      <c r="AE1283" s="213">
        <v>0.84</v>
      </c>
      <c r="AF1283" s="196">
        <v>19000000</v>
      </c>
      <c r="AG1283" s="104">
        <f t="shared" si="229"/>
        <v>0.31509121061359868</v>
      </c>
      <c r="AH1283" s="104">
        <f t="shared" si="230"/>
        <v>0</v>
      </c>
      <c r="AI1283" s="195">
        <v>0.96</v>
      </c>
    </row>
    <row r="1284" spans="1:48">
      <c r="A1284">
        <v>6248</v>
      </c>
      <c r="C1284" s="107">
        <f>VLOOKUP(6248,收盤價!$A:$C,3,0)</f>
        <v>0</v>
      </c>
      <c r="D1284" s="107">
        <f t="shared" si="220"/>
        <v>0</v>
      </c>
      <c r="E1284" s="167">
        <f t="shared" si="221"/>
        <v>2</v>
      </c>
      <c r="F1284" s="104">
        <f t="shared" si="222"/>
        <v>0</v>
      </c>
      <c r="G1284" s="167">
        <f>RANK(3.92,AE:AE,0)</f>
        <v>209</v>
      </c>
      <c r="H1284" s="365">
        <f t="shared" si="223"/>
        <v>1.3387622149837133</v>
      </c>
      <c r="I1284" s="213">
        <f t="shared" si="224"/>
        <v>297</v>
      </c>
      <c r="J1284" s="213">
        <f t="shared" si="225"/>
        <v>157</v>
      </c>
      <c r="K1284">
        <f>RANK(3.43,AI:AI,0)</f>
        <v>133</v>
      </c>
      <c r="L1284" s="357">
        <v>0</v>
      </c>
      <c r="M1284" s="357">
        <v>1</v>
      </c>
      <c r="N1284" s="357">
        <v>0</v>
      </c>
      <c r="O1284" s="357">
        <v>1</v>
      </c>
      <c r="P1284" s="357">
        <v>0</v>
      </c>
      <c r="Q1284" s="358">
        <v>6.772009029345373E-2</v>
      </c>
      <c r="R1284" s="359">
        <v>0.53833333333333322</v>
      </c>
      <c r="S1284" s="196">
        <v>1547107000</v>
      </c>
      <c r="T1284" s="196">
        <v>30700000</v>
      </c>
      <c r="U1284" s="200">
        <f t="shared" si="226"/>
        <v>0</v>
      </c>
      <c r="V1284" s="196">
        <v>17000000</v>
      </c>
      <c r="W1284" s="196">
        <v>316000000</v>
      </c>
      <c r="X1284" s="196">
        <v>14000000</v>
      </c>
      <c r="Y1284" s="196">
        <v>350000000</v>
      </c>
      <c r="Z1284" s="196">
        <v>0</v>
      </c>
      <c r="AA1284" s="198">
        <v>0.05</v>
      </c>
      <c r="AB1284" s="198">
        <v>0.05</v>
      </c>
      <c r="AC1284" s="213">
        <f t="shared" si="227"/>
        <v>247</v>
      </c>
      <c r="AD1284" s="213">
        <f t="shared" si="228"/>
        <v>150</v>
      </c>
      <c r="AE1284" s="213">
        <v>3.92</v>
      </c>
      <c r="AF1284" s="196">
        <v>51000000</v>
      </c>
      <c r="AG1284" s="104">
        <f t="shared" si="229"/>
        <v>1.6612377850162867</v>
      </c>
      <c r="AH1284" s="104">
        <f t="shared" si="230"/>
        <v>3</v>
      </c>
      <c r="AI1284" s="195">
        <v>3.43</v>
      </c>
    </row>
    <row r="1285" spans="1:48">
      <c r="A1285">
        <v>6251</v>
      </c>
      <c r="C1285" s="107">
        <f>VLOOKUP(6251,收盤價!$A:$C,3,0)</f>
        <v>9.9</v>
      </c>
      <c r="D1285" s="107">
        <f t="shared" si="220"/>
        <v>198.88392857142856</v>
      </c>
      <c r="E1285" s="167">
        <f t="shared" si="221"/>
        <v>4</v>
      </c>
      <c r="F1285" s="104">
        <f t="shared" si="222"/>
        <v>0.23599451195669402</v>
      </c>
      <c r="G1285" s="167">
        <f>RANK(1.08,AE:AE,0)</f>
        <v>769</v>
      </c>
      <c r="H1285" s="365">
        <f t="shared" si="223"/>
        <v>3.3682338182703289</v>
      </c>
      <c r="I1285" s="213">
        <f t="shared" si="224"/>
        <v>732</v>
      </c>
      <c r="J1285" s="213">
        <f t="shared" si="225"/>
        <v>115</v>
      </c>
      <c r="K1285">
        <f>RANK(1.84,AI:AI,0)</f>
        <v>398</v>
      </c>
      <c r="L1285" s="357">
        <v>0</v>
      </c>
      <c r="M1285" s="357">
        <v>1</v>
      </c>
      <c r="N1285" s="357">
        <v>2</v>
      </c>
      <c r="O1285" s="357">
        <v>1</v>
      </c>
      <c r="P1285" s="357">
        <v>0</v>
      </c>
      <c r="Q1285" s="358">
        <v>0.10867364157948026</v>
      </c>
      <c r="R1285" s="359">
        <v>1.2444444444444445E-2</v>
      </c>
      <c r="S1285" s="196">
        <v>11792181000</v>
      </c>
      <c r="T1285" s="196">
        <v>281100000</v>
      </c>
      <c r="U1285" s="200">
        <f t="shared" si="226"/>
        <v>2782890000</v>
      </c>
      <c r="V1285" s="196">
        <v>38000000</v>
      </c>
      <c r="W1285" s="196">
        <v>672000000</v>
      </c>
      <c r="X1285" s="196">
        <v>3925000000</v>
      </c>
      <c r="Y1285" s="196">
        <v>4431000000</v>
      </c>
      <c r="Z1285" s="196">
        <v>2143000000</v>
      </c>
      <c r="AA1285" s="198">
        <v>0.01</v>
      </c>
      <c r="AB1285" s="198">
        <v>0.01</v>
      </c>
      <c r="AC1285" s="213">
        <f t="shared" si="227"/>
        <v>769</v>
      </c>
      <c r="AD1285" s="213">
        <f t="shared" si="228"/>
        <v>680</v>
      </c>
      <c r="AE1285" s="213">
        <v>1.08</v>
      </c>
      <c r="AF1285" s="196">
        <v>148000000</v>
      </c>
      <c r="AG1285" s="104">
        <f t="shared" si="229"/>
        <v>0.52650302383493419</v>
      </c>
      <c r="AH1285" s="104">
        <f t="shared" si="230"/>
        <v>3.8947368421052633</v>
      </c>
      <c r="AI1285" s="195">
        <v>1.84</v>
      </c>
      <c r="AO1285" s="213"/>
      <c r="AP1285" s="213"/>
      <c r="AQ1285" s="213"/>
      <c r="AR1285" s="213"/>
      <c r="AS1285" s="213"/>
      <c r="AT1285" s="213"/>
      <c r="AU1285" s="213"/>
      <c r="AV1285" s="213"/>
    </row>
    <row r="1286" spans="1:48">
      <c r="A1286">
        <v>6257</v>
      </c>
      <c r="C1286" s="107">
        <f>VLOOKUP(6257,收盤價!$A:$C,3,0)</f>
        <v>23.7</v>
      </c>
      <c r="D1286" s="107">
        <f t="shared" si="220"/>
        <v>11.598466981132075</v>
      </c>
      <c r="E1286" s="167">
        <f t="shared" si="221"/>
        <v>2</v>
      </c>
      <c r="F1286" s="104">
        <f t="shared" si="222"/>
        <v>1.6066997577036872</v>
      </c>
      <c r="G1286" s="167">
        <f>RANK(1.94,AE:AE,0)</f>
        <v>435</v>
      </c>
      <c r="H1286" s="365">
        <f t="shared" si="223"/>
        <v>0.43673528110026161</v>
      </c>
      <c r="I1286" s="213">
        <f t="shared" si="224"/>
        <v>500</v>
      </c>
      <c r="J1286" s="213">
        <f t="shared" si="225"/>
        <v>387</v>
      </c>
      <c r="K1286">
        <f>RANK(1.76,AI:AI,0)</f>
        <v>428</v>
      </c>
      <c r="L1286" s="357">
        <v>0</v>
      </c>
      <c r="M1286" s="357">
        <v>1</v>
      </c>
      <c r="N1286" s="357">
        <v>0</v>
      </c>
      <c r="O1286" s="357">
        <v>1</v>
      </c>
      <c r="P1286" s="357">
        <v>0</v>
      </c>
      <c r="Q1286" s="358">
        <v>0.27492877492877493</v>
      </c>
      <c r="R1286" s="359">
        <v>0.51084337349397591</v>
      </c>
      <c r="S1286" s="196">
        <v>5308789000</v>
      </c>
      <c r="T1286" s="196">
        <v>359900000</v>
      </c>
      <c r="U1286" s="200">
        <f t="shared" si="226"/>
        <v>8529630000</v>
      </c>
      <c r="V1286" s="196">
        <v>253000000</v>
      </c>
      <c r="W1286" s="196">
        <v>2968000000</v>
      </c>
      <c r="X1286" s="196">
        <v>6497000000</v>
      </c>
      <c r="Y1286" s="196">
        <v>7962000000</v>
      </c>
      <c r="Z1286" s="196">
        <v>1571000000</v>
      </c>
      <c r="AA1286" s="198">
        <v>0.03</v>
      </c>
      <c r="AB1286" s="198">
        <v>0.03</v>
      </c>
      <c r="AC1286" s="213">
        <f t="shared" si="227"/>
        <v>469</v>
      </c>
      <c r="AD1286" s="213">
        <f t="shared" si="228"/>
        <v>334</v>
      </c>
      <c r="AE1286" s="213">
        <v>1.94</v>
      </c>
      <c r="AF1286" s="196">
        <v>372000000</v>
      </c>
      <c r="AG1286" s="104">
        <f t="shared" si="229"/>
        <v>1.0336204501250348</v>
      </c>
      <c r="AH1286" s="104">
        <f t="shared" si="230"/>
        <v>1.4703557312252964</v>
      </c>
      <c r="AI1286" s="195">
        <v>1.76</v>
      </c>
      <c r="AO1286" s="213"/>
      <c r="AP1286" s="213"/>
      <c r="AQ1286" s="213"/>
      <c r="AR1286" s="213"/>
      <c r="AS1286" s="213"/>
      <c r="AT1286" s="213"/>
      <c r="AU1286" s="213"/>
      <c r="AV1286" s="213"/>
    </row>
    <row r="1287" spans="1:48">
      <c r="A1287">
        <v>6259</v>
      </c>
      <c r="C1287" s="107">
        <f>VLOOKUP(6259,收盤價!$A:$C,3,0)</f>
        <v>3.1</v>
      </c>
      <c r="D1287" s="107">
        <f t="shared" si="220"/>
        <v>0</v>
      </c>
      <c r="E1287" s="167">
        <f t="shared" si="221"/>
        <v>3</v>
      </c>
      <c r="F1287" s="104">
        <f t="shared" si="222"/>
        <v>0.33468992420270666</v>
      </c>
      <c r="G1287" s="167">
        <f>RANK(0.52,AE:AE,0)</f>
        <v>1493</v>
      </c>
      <c r="H1287" s="365">
        <f t="shared" si="223"/>
        <v>-1.3443072702331962</v>
      </c>
      <c r="I1287" s="213">
        <f t="shared" si="224"/>
        <v>389</v>
      </c>
      <c r="J1287" s="213">
        <f t="shared" si="225"/>
        <v>768</v>
      </c>
      <c r="K1287">
        <f>RANK(1.35,AI:AI,0)</f>
        <v>650</v>
      </c>
      <c r="L1287" s="357">
        <v>1</v>
      </c>
      <c r="M1287" s="357">
        <v>1</v>
      </c>
      <c r="N1287" s="357">
        <v>0</v>
      </c>
      <c r="O1287" s="357">
        <v>1</v>
      </c>
      <c r="P1287" s="357">
        <v>0</v>
      </c>
      <c r="Q1287" s="358">
        <v>0.19008264462809918</v>
      </c>
      <c r="R1287" s="359">
        <v>0</v>
      </c>
      <c r="S1287" s="196">
        <v>675222000</v>
      </c>
      <c r="T1287" s="196">
        <v>72900000</v>
      </c>
      <c r="U1287" s="200">
        <f t="shared" si="226"/>
        <v>225990000</v>
      </c>
      <c r="V1287" s="196">
        <v>-11000000</v>
      </c>
      <c r="W1287" s="196">
        <v>90000000</v>
      </c>
      <c r="X1287" s="196">
        <v>17000000</v>
      </c>
      <c r="Y1287" s="196">
        <v>169000000</v>
      </c>
      <c r="Z1287" s="196">
        <v>92000000</v>
      </c>
      <c r="AA1287" s="198">
        <v>-0.1</v>
      </c>
      <c r="AB1287" s="198">
        <v>-0.04</v>
      </c>
      <c r="AC1287" s="213">
        <f t="shared" si="227"/>
        <v>1519</v>
      </c>
      <c r="AD1287" s="213">
        <f t="shared" si="228"/>
        <v>1483</v>
      </c>
      <c r="AE1287" s="213">
        <v>0.52</v>
      </c>
      <c r="AF1287" s="196">
        <v>98000000</v>
      </c>
      <c r="AG1287" s="104">
        <f t="shared" si="229"/>
        <v>1.3443072702331962</v>
      </c>
      <c r="AH1287" s="104">
        <f t="shared" si="230"/>
        <v>0</v>
      </c>
      <c r="AI1287" s="195">
        <v>1.35</v>
      </c>
    </row>
    <row r="1288" spans="1:48">
      <c r="A1288">
        <v>6261</v>
      </c>
      <c r="C1288" s="107">
        <f>VLOOKUP(6261,收盤價!$A:$C,3,0)</f>
        <v>45.9</v>
      </c>
      <c r="D1288" s="107">
        <f t="shared" si="220"/>
        <v>10.618806470416787</v>
      </c>
      <c r="E1288" s="167">
        <f t="shared" si="221"/>
        <v>1</v>
      </c>
      <c r="F1288" s="104">
        <f t="shared" si="222"/>
        <v>1.6156172360992793</v>
      </c>
      <c r="G1288" s="167">
        <f>RANK(1.63,AE:AE,0)</f>
        <v>551</v>
      </c>
      <c r="H1288" s="365">
        <f t="shared" si="223"/>
        <v>-0.39222813843948368</v>
      </c>
      <c r="I1288" s="213">
        <f t="shared" si="224"/>
        <v>161</v>
      </c>
      <c r="J1288" s="213">
        <f t="shared" si="225"/>
        <v>241</v>
      </c>
      <c r="K1288">
        <f>RANK(3.88,AI:AI,0)</f>
        <v>106</v>
      </c>
      <c r="L1288" s="357">
        <v>0</v>
      </c>
      <c r="M1288" s="357">
        <v>0</v>
      </c>
      <c r="N1288" s="357">
        <v>0</v>
      </c>
      <c r="O1288" s="357">
        <v>1</v>
      </c>
      <c r="P1288" s="357">
        <v>0</v>
      </c>
      <c r="Q1288" s="358">
        <v>0.27969762419006478</v>
      </c>
      <c r="R1288" s="359">
        <v>1.0806299212598425</v>
      </c>
      <c r="S1288" s="196">
        <v>3650710000</v>
      </c>
      <c r="T1288" s="196">
        <v>128500000</v>
      </c>
      <c r="U1288" s="200">
        <f t="shared" si="226"/>
        <v>5898150000</v>
      </c>
      <c r="V1288" s="196">
        <v>152000000</v>
      </c>
      <c r="W1288" s="196">
        <v>2281000000</v>
      </c>
      <c r="X1288" s="196">
        <v>3426000000</v>
      </c>
      <c r="Y1288" s="196">
        <v>5676000000</v>
      </c>
      <c r="Z1288" s="196">
        <v>644000000</v>
      </c>
      <c r="AA1288" s="198">
        <v>0.03</v>
      </c>
      <c r="AB1288" s="198">
        <v>0.02</v>
      </c>
      <c r="AC1288" s="213">
        <f t="shared" si="227"/>
        <v>469</v>
      </c>
      <c r="AD1288" s="213">
        <f t="shared" si="228"/>
        <v>487</v>
      </c>
      <c r="AE1288" s="213">
        <v>1.63</v>
      </c>
      <c r="AF1288" s="196">
        <v>326000000</v>
      </c>
      <c r="AG1288" s="104">
        <f t="shared" si="229"/>
        <v>2.536964980544747</v>
      </c>
      <c r="AH1288" s="104">
        <f t="shared" si="230"/>
        <v>2.1447368421052633</v>
      </c>
      <c r="AI1288" s="195">
        <v>3.88</v>
      </c>
    </row>
    <row r="1289" spans="1:48">
      <c r="A1289">
        <v>6263</v>
      </c>
      <c r="C1289" s="107">
        <f>VLOOKUP(6263,收盤價!$A:$C,3,0)</f>
        <v>46.2</v>
      </c>
      <c r="D1289" s="107">
        <f t="shared" si="220"/>
        <v>9.6086216676120255</v>
      </c>
      <c r="E1289" s="167">
        <f t="shared" si="221"/>
        <v>3</v>
      </c>
      <c r="F1289" s="104">
        <f t="shared" si="222"/>
        <v>2.2989045669978414</v>
      </c>
      <c r="G1289" s="167">
        <f>RANK(11.21,AE:AE,0)</f>
        <v>64</v>
      </c>
      <c r="H1289" s="365">
        <f t="shared" si="223"/>
        <v>-0.33227906976744181</v>
      </c>
      <c r="I1289" s="213">
        <f t="shared" si="224"/>
        <v>428</v>
      </c>
      <c r="J1289" s="213">
        <f t="shared" si="225"/>
        <v>564</v>
      </c>
      <c r="K1289">
        <f>RANK(1.57,AI:AI,0)</f>
        <v>517</v>
      </c>
      <c r="L1289" s="357">
        <v>1</v>
      </c>
      <c r="M1289" s="357">
        <v>1</v>
      </c>
      <c r="N1289" s="357">
        <v>0</v>
      </c>
      <c r="O1289" s="357">
        <v>1</v>
      </c>
      <c r="P1289" s="357">
        <v>0</v>
      </c>
      <c r="Q1289" s="358">
        <v>0.38922155688622756</v>
      </c>
      <c r="R1289" s="359">
        <v>1.2020454545454546</v>
      </c>
      <c r="S1289" s="196">
        <v>1256033000</v>
      </c>
      <c r="T1289" s="196">
        <v>62500000</v>
      </c>
      <c r="U1289" s="200">
        <f t="shared" si="226"/>
        <v>2887500000</v>
      </c>
      <c r="V1289" s="196">
        <v>86000000</v>
      </c>
      <c r="W1289" s="196">
        <v>1042000000</v>
      </c>
      <c r="X1289" s="196">
        <v>14000000</v>
      </c>
      <c r="Y1289" s="196">
        <v>1074000000</v>
      </c>
      <c r="Z1289" s="196">
        <v>0</v>
      </c>
      <c r="AA1289" s="198">
        <v>0.08</v>
      </c>
      <c r="AB1289" s="198">
        <v>0.08</v>
      </c>
      <c r="AC1289" s="213">
        <f t="shared" si="227"/>
        <v>97</v>
      </c>
      <c r="AD1289" s="213">
        <f t="shared" si="228"/>
        <v>42</v>
      </c>
      <c r="AE1289" s="213">
        <v>11.21</v>
      </c>
      <c r="AF1289" s="196">
        <v>76000000</v>
      </c>
      <c r="AG1289" s="104">
        <f t="shared" si="229"/>
        <v>1.216</v>
      </c>
      <c r="AH1289" s="104">
        <f t="shared" si="230"/>
        <v>0.88372093023255816</v>
      </c>
      <c r="AI1289" s="195">
        <v>1.57</v>
      </c>
      <c r="AO1289" s="213"/>
      <c r="AP1289" s="213"/>
      <c r="AQ1289" s="213"/>
      <c r="AR1289" s="213"/>
      <c r="AS1289" s="213"/>
      <c r="AT1289" s="213"/>
      <c r="AU1289" s="213"/>
      <c r="AV1289" s="213"/>
    </row>
    <row r="1290" spans="1:48">
      <c r="A1290">
        <v>6264</v>
      </c>
      <c r="C1290" s="107">
        <f>VLOOKUP(6264,收盤價!$A:$C,3,0)</f>
        <v>9</v>
      </c>
      <c r="D1290" s="107">
        <f t="shared" si="220"/>
        <v>0</v>
      </c>
      <c r="E1290" s="167">
        <f t="shared" si="221"/>
        <v>2</v>
      </c>
      <c r="F1290" s="104">
        <f t="shared" si="222"/>
        <v>3.3913088986968583</v>
      </c>
      <c r="G1290" s="167">
        <f>RANK(0.61,AE:AE,0)</f>
        <v>1295</v>
      </c>
      <c r="H1290" s="365">
        <f t="shared" si="223"/>
        <v>1.1458333333333333</v>
      </c>
      <c r="I1290" s="213">
        <f t="shared" si="224"/>
        <v>1457</v>
      </c>
      <c r="J1290" s="213">
        <f t="shared" si="225"/>
        <v>768</v>
      </c>
      <c r="K1290">
        <f>RANK(0.7,AI:AI,0)</f>
        <v>1442</v>
      </c>
      <c r="L1290" s="357">
        <v>0</v>
      </c>
      <c r="M1290" s="357">
        <v>1</v>
      </c>
      <c r="N1290" s="357">
        <v>1</v>
      </c>
      <c r="O1290" s="357">
        <v>0</v>
      </c>
      <c r="P1290" s="357">
        <v>0</v>
      </c>
      <c r="Q1290" s="358">
        <v>-0.25</v>
      </c>
      <c r="R1290" s="359">
        <v>0</v>
      </c>
      <c r="S1290" s="196">
        <v>229292000</v>
      </c>
      <c r="T1290" s="196">
        <v>86400000</v>
      </c>
      <c r="U1290" s="200">
        <f t="shared" si="226"/>
        <v>777600000</v>
      </c>
      <c r="V1290" s="196">
        <v>-15000000</v>
      </c>
      <c r="W1290" s="196">
        <v>820000000</v>
      </c>
      <c r="X1290" s="196">
        <v>255000000</v>
      </c>
      <c r="Y1290" s="196">
        <v>708000000</v>
      </c>
      <c r="Z1290" s="196">
        <v>786000000</v>
      </c>
      <c r="AA1290" s="198">
        <v>-0.01</v>
      </c>
      <c r="AB1290" s="198">
        <v>-0.01</v>
      </c>
      <c r="AC1290" s="213">
        <f t="shared" si="227"/>
        <v>1277</v>
      </c>
      <c r="AD1290" s="213">
        <f t="shared" si="228"/>
        <v>1294</v>
      </c>
      <c r="AE1290" s="213">
        <v>0.61</v>
      </c>
      <c r="AF1290" s="196">
        <v>-99000000</v>
      </c>
      <c r="AG1290" s="104">
        <f t="shared" si="229"/>
        <v>-1.1458333333333333</v>
      </c>
      <c r="AH1290" s="104">
        <f t="shared" si="230"/>
        <v>0</v>
      </c>
      <c r="AI1290" s="195">
        <v>0.7</v>
      </c>
      <c r="AO1290" s="213"/>
      <c r="AP1290" s="213"/>
      <c r="AQ1290" s="213"/>
      <c r="AR1290" s="213"/>
      <c r="AS1290" s="213"/>
      <c r="AT1290" s="213"/>
      <c r="AU1290" s="213"/>
      <c r="AV1290" s="213"/>
    </row>
    <row r="1291" spans="1:48">
      <c r="A1291">
        <v>6265</v>
      </c>
      <c r="C1291" s="107">
        <f>VLOOKUP(6265,收盤價!$A:$C,3,0)</f>
        <v>7.55</v>
      </c>
      <c r="D1291" s="107">
        <f t="shared" si="220"/>
        <v>23.302469135802468</v>
      </c>
      <c r="E1291" s="167">
        <f t="shared" si="221"/>
        <v>1</v>
      </c>
      <c r="F1291" s="104">
        <f t="shared" si="222"/>
        <v>0.10643863006287489</v>
      </c>
      <c r="G1291" s="167">
        <f>RANK(0.93,AE:AE,0)</f>
        <v>920</v>
      </c>
      <c r="H1291" s="365">
        <f t="shared" si="223"/>
        <v>6.6328257191201354</v>
      </c>
      <c r="I1291" s="213">
        <f t="shared" si="224"/>
        <v>1546</v>
      </c>
      <c r="J1291" s="213">
        <f t="shared" si="225"/>
        <v>768</v>
      </c>
      <c r="K1291">
        <f>RANK(0.67,AI:AI,0)</f>
        <v>1541</v>
      </c>
      <c r="L1291" s="357">
        <v>0</v>
      </c>
      <c r="M1291" s="357">
        <v>1</v>
      </c>
      <c r="N1291" s="357">
        <v>0</v>
      </c>
      <c r="O1291" s="357">
        <v>0</v>
      </c>
      <c r="P1291" s="357">
        <v>0</v>
      </c>
      <c r="Q1291" s="358">
        <v>1.9631410256410256E-2</v>
      </c>
      <c r="R1291" s="359">
        <v>8.1000000000000003E-2</v>
      </c>
      <c r="S1291" s="196">
        <v>8384268000</v>
      </c>
      <c r="T1291" s="196">
        <v>118200000</v>
      </c>
      <c r="U1291" s="200">
        <f t="shared" si="226"/>
        <v>892410000</v>
      </c>
      <c r="V1291" s="196">
        <v>11000000</v>
      </c>
      <c r="W1291" s="196">
        <v>1170000000</v>
      </c>
      <c r="X1291" s="196">
        <v>260000000</v>
      </c>
      <c r="Y1291" s="196">
        <v>1554000000</v>
      </c>
      <c r="Z1291" s="196">
        <v>818000000</v>
      </c>
      <c r="AA1291" s="198">
        <v>0.01</v>
      </c>
      <c r="AB1291" s="198">
        <v>0</v>
      </c>
      <c r="AC1291" s="213">
        <f t="shared" si="227"/>
        <v>769</v>
      </c>
      <c r="AD1291" s="213">
        <f t="shared" si="228"/>
        <v>911</v>
      </c>
      <c r="AE1291" s="213">
        <v>0.93</v>
      </c>
      <c r="AF1291" s="196">
        <v>-784000000</v>
      </c>
      <c r="AG1291" s="104">
        <f t="shared" si="229"/>
        <v>-6.6328257191201354</v>
      </c>
      <c r="AH1291" s="104">
        <f t="shared" si="230"/>
        <v>0</v>
      </c>
      <c r="AI1291" s="195">
        <v>0.67</v>
      </c>
    </row>
    <row r="1292" spans="1:48">
      <c r="A1292">
        <v>6266</v>
      </c>
      <c r="C1292" s="107">
        <f>VLOOKUP(6266,收盤價!$A:$C,3,0)</f>
        <v>12.45</v>
      </c>
      <c r="D1292" s="107">
        <f t="shared" si="220"/>
        <v>62.249999999999993</v>
      </c>
      <c r="E1292" s="167">
        <f t="shared" si="221"/>
        <v>1</v>
      </c>
      <c r="F1292" s="104">
        <f t="shared" si="222"/>
        <v>0.46251760801146485</v>
      </c>
      <c r="G1292" s="167">
        <f>RANK(0.84,AE:AE,0)</f>
        <v>946</v>
      </c>
      <c r="H1292" s="365">
        <f t="shared" si="223"/>
        <v>13.321568627450981</v>
      </c>
      <c r="I1292" s="213">
        <f t="shared" si="224"/>
        <v>506</v>
      </c>
      <c r="J1292" s="213">
        <f t="shared" si="225"/>
        <v>22</v>
      </c>
      <c r="K1292">
        <f>RANK(2.95,AI:AI,0)</f>
        <v>175</v>
      </c>
      <c r="L1292" s="357">
        <v>0</v>
      </c>
      <c r="M1292" s="357">
        <v>0</v>
      </c>
      <c r="N1292" s="357">
        <v>1</v>
      </c>
      <c r="O1292" s="357">
        <v>0</v>
      </c>
      <c r="P1292" s="357">
        <v>0</v>
      </c>
      <c r="Q1292" s="358">
        <v>7.956600361663653E-2</v>
      </c>
      <c r="R1292" s="359">
        <v>0.05</v>
      </c>
      <c r="S1292" s="196">
        <v>2288021000</v>
      </c>
      <c r="T1292" s="196">
        <v>85000000</v>
      </c>
      <c r="U1292" s="200">
        <f t="shared" si="226"/>
        <v>1058249999.9999999</v>
      </c>
      <c r="V1292" s="196">
        <v>6000000</v>
      </c>
      <c r="W1292" s="196">
        <v>941000000</v>
      </c>
      <c r="X1292" s="196">
        <v>461000000</v>
      </c>
      <c r="Y1292" s="196">
        <v>1365000000</v>
      </c>
      <c r="Z1292" s="196">
        <v>0</v>
      </c>
      <c r="AA1292" s="198">
        <v>0</v>
      </c>
      <c r="AB1292" s="198">
        <v>0</v>
      </c>
      <c r="AC1292" s="213">
        <f t="shared" si="227"/>
        <v>945</v>
      </c>
      <c r="AD1292" s="213">
        <f t="shared" si="228"/>
        <v>911</v>
      </c>
      <c r="AE1292" s="213">
        <v>0.84</v>
      </c>
      <c r="AF1292" s="196">
        <v>86000000</v>
      </c>
      <c r="AG1292" s="104">
        <f t="shared" si="229"/>
        <v>1.0117647058823529</v>
      </c>
      <c r="AH1292" s="104">
        <f t="shared" si="230"/>
        <v>14.333333333333334</v>
      </c>
      <c r="AI1292" s="195">
        <v>2.95</v>
      </c>
      <c r="AO1292" s="213"/>
      <c r="AP1292" s="213"/>
      <c r="AQ1292" s="213"/>
      <c r="AR1292" s="213"/>
      <c r="AS1292" s="213"/>
      <c r="AT1292" s="213"/>
      <c r="AU1292" s="213"/>
      <c r="AV1292" s="213"/>
    </row>
    <row r="1293" spans="1:48">
      <c r="A1293">
        <v>6269</v>
      </c>
      <c r="C1293" s="107">
        <f>VLOOKUP(6269,收盤價!$A:$C,3,0)</f>
        <v>91.6</v>
      </c>
      <c r="D1293" s="107">
        <f t="shared" si="220"/>
        <v>53.51248722068059</v>
      </c>
      <c r="E1293" s="167">
        <f t="shared" si="221"/>
        <v>1</v>
      </c>
      <c r="F1293" s="104">
        <f t="shared" si="222"/>
        <v>1.4451066822280503</v>
      </c>
      <c r="G1293" s="167">
        <f>RANK(1.64,AE:AE,0)</f>
        <v>539</v>
      </c>
      <c r="H1293" s="365">
        <f t="shared" si="223"/>
        <v>-0.28222291731831928</v>
      </c>
      <c r="I1293" s="213">
        <f t="shared" si="224"/>
        <v>359</v>
      </c>
      <c r="J1293" s="213">
        <f t="shared" si="225"/>
        <v>475</v>
      </c>
      <c r="K1293">
        <f>RANK(1.87,AI:AI,0)</f>
        <v>393</v>
      </c>
      <c r="L1293" s="357">
        <v>0</v>
      </c>
      <c r="M1293" s="357">
        <v>0</v>
      </c>
      <c r="N1293" s="357">
        <v>0</v>
      </c>
      <c r="O1293" s="357">
        <v>1</v>
      </c>
      <c r="P1293" s="357">
        <v>0</v>
      </c>
      <c r="Q1293" s="358">
        <v>0.20804398148148148</v>
      </c>
      <c r="R1293" s="359">
        <v>0.42793749999999997</v>
      </c>
      <c r="S1293" s="196">
        <v>17621398000</v>
      </c>
      <c r="T1293" s="196">
        <v>278000000</v>
      </c>
      <c r="U1293" s="200">
        <f t="shared" si="226"/>
        <v>25464800000</v>
      </c>
      <c r="V1293" s="196">
        <v>345000000</v>
      </c>
      <c r="W1293" s="196">
        <v>9585000000</v>
      </c>
      <c r="X1293" s="196">
        <v>5157000000</v>
      </c>
      <c r="Y1293" s="196">
        <v>13042000000</v>
      </c>
      <c r="Z1293" s="196">
        <v>509000000</v>
      </c>
      <c r="AA1293" s="198">
        <v>0.02</v>
      </c>
      <c r="AB1293" s="198">
        <v>0.03</v>
      </c>
      <c r="AC1293" s="213">
        <f t="shared" si="227"/>
        <v>616</v>
      </c>
      <c r="AD1293" s="213">
        <f t="shared" si="228"/>
        <v>334</v>
      </c>
      <c r="AE1293" s="213">
        <v>1.64</v>
      </c>
      <c r="AF1293" s="196">
        <v>404000000</v>
      </c>
      <c r="AG1293" s="104">
        <f t="shared" si="229"/>
        <v>1.4532374100719425</v>
      </c>
      <c r="AH1293" s="104">
        <f t="shared" si="230"/>
        <v>1.1710144927536232</v>
      </c>
      <c r="AI1293" s="195">
        <v>1.87</v>
      </c>
    </row>
    <row r="1294" spans="1:48">
      <c r="A1294">
        <v>6270</v>
      </c>
      <c r="C1294" s="107">
        <f>VLOOKUP(6270,收盤價!$A:$C,3,0)</f>
        <v>10.3</v>
      </c>
      <c r="D1294" s="107">
        <f t="shared" si="220"/>
        <v>96.562500000000014</v>
      </c>
      <c r="E1294" s="167">
        <f t="shared" si="221"/>
        <v>3</v>
      </c>
      <c r="F1294" s="104">
        <f t="shared" si="222"/>
        <v>0.33512471451695658</v>
      </c>
      <c r="G1294" s="167">
        <f>RANK(0.84,AE:AE,0)</f>
        <v>946</v>
      </c>
      <c r="H1294" s="365">
        <f t="shared" si="223"/>
        <v>0.85991678224687929</v>
      </c>
      <c r="I1294" s="213">
        <f t="shared" si="224"/>
        <v>1423</v>
      </c>
      <c r="J1294" s="213">
        <f t="shared" si="225"/>
        <v>768</v>
      </c>
      <c r="K1294">
        <f>RANK(0.71,AI:AI,0)</f>
        <v>1412</v>
      </c>
      <c r="L1294" s="357">
        <v>0</v>
      </c>
      <c r="M1294" s="357">
        <v>1</v>
      </c>
      <c r="N1294" s="357">
        <v>2</v>
      </c>
      <c r="O1294" s="357">
        <v>0</v>
      </c>
      <c r="P1294" s="357">
        <v>0</v>
      </c>
      <c r="Q1294" s="358">
        <v>9.5406360424028266E-2</v>
      </c>
      <c r="R1294" s="359">
        <v>2.6666666666666665E-2</v>
      </c>
      <c r="S1294" s="196">
        <v>2215981000</v>
      </c>
      <c r="T1294" s="196">
        <v>72100000</v>
      </c>
      <c r="U1294" s="200">
        <f t="shared" si="226"/>
        <v>742630000</v>
      </c>
      <c r="V1294" s="196">
        <v>2000000</v>
      </c>
      <c r="W1294" s="196">
        <v>1005000000</v>
      </c>
      <c r="X1294" s="196">
        <v>88000000</v>
      </c>
      <c r="Y1294" s="196">
        <v>1242000000</v>
      </c>
      <c r="Z1294" s="196">
        <v>0</v>
      </c>
      <c r="AA1294" s="198">
        <v>0</v>
      </c>
      <c r="AB1294" s="198">
        <v>0</v>
      </c>
      <c r="AC1294" s="213">
        <f t="shared" si="227"/>
        <v>945</v>
      </c>
      <c r="AD1294" s="213">
        <f t="shared" si="228"/>
        <v>911</v>
      </c>
      <c r="AE1294" s="213">
        <v>0.84</v>
      </c>
      <c r="AF1294" s="196">
        <v>-62000000</v>
      </c>
      <c r="AG1294" s="104">
        <f t="shared" si="229"/>
        <v>-0.85991678224687929</v>
      </c>
      <c r="AH1294" s="104">
        <f t="shared" si="230"/>
        <v>0</v>
      </c>
      <c r="AI1294" s="195">
        <v>0.71</v>
      </c>
    </row>
    <row r="1295" spans="1:48">
      <c r="A1295">
        <v>6271</v>
      </c>
      <c r="C1295" s="107">
        <f>VLOOKUP(6271,收盤價!$A:$C,3,0)</f>
        <v>109.5</v>
      </c>
      <c r="D1295" s="107">
        <f t="shared" si="220"/>
        <v>16.898148148148149</v>
      </c>
      <c r="E1295" s="167">
        <f t="shared" si="221"/>
        <v>2</v>
      </c>
      <c r="F1295" s="104">
        <f t="shared" si="222"/>
        <v>2.2451253383726368</v>
      </c>
      <c r="G1295" s="167">
        <f>RANK(0.84,AE:AE,0)</f>
        <v>946</v>
      </c>
      <c r="H1295" s="365">
        <f t="shared" si="223"/>
        <v>-2.6826273787599755</v>
      </c>
      <c r="I1295" s="213">
        <f t="shared" si="224"/>
        <v>145</v>
      </c>
      <c r="J1295" s="213">
        <f t="shared" si="225"/>
        <v>768</v>
      </c>
      <c r="K1295">
        <f>RANK(1.71,AI:AI,0)</f>
        <v>449</v>
      </c>
      <c r="L1295" s="357">
        <v>0</v>
      </c>
      <c r="M1295" s="357">
        <v>1</v>
      </c>
      <c r="N1295" s="357">
        <v>0</v>
      </c>
      <c r="O1295" s="357">
        <v>1</v>
      </c>
      <c r="P1295" s="357">
        <v>0</v>
      </c>
      <c r="Q1295" s="358">
        <v>0.25206812652068128</v>
      </c>
      <c r="R1295" s="359">
        <v>1.62</v>
      </c>
      <c r="S1295" s="196">
        <v>7945013000</v>
      </c>
      <c r="T1295" s="196">
        <v>162900000</v>
      </c>
      <c r="U1295" s="200">
        <f t="shared" si="226"/>
        <v>17837550000</v>
      </c>
      <c r="V1295" s="196">
        <v>0</v>
      </c>
      <c r="W1295" s="196">
        <v>5309000000</v>
      </c>
      <c r="X1295" s="196">
        <v>5136000000</v>
      </c>
      <c r="Y1295" s="196">
        <v>9630000000</v>
      </c>
      <c r="Z1295" s="196">
        <v>2655000000</v>
      </c>
      <c r="AA1295" s="198">
        <v>0</v>
      </c>
      <c r="AB1295" s="198">
        <v>0</v>
      </c>
      <c r="AC1295" s="213">
        <f t="shared" si="227"/>
        <v>945</v>
      </c>
      <c r="AD1295" s="213">
        <f t="shared" si="228"/>
        <v>911</v>
      </c>
      <c r="AE1295" s="213">
        <v>0.84</v>
      </c>
      <c r="AF1295" s="196">
        <v>437000000</v>
      </c>
      <c r="AG1295" s="104">
        <f t="shared" si="229"/>
        <v>2.6826273787599755</v>
      </c>
      <c r="AH1295" s="104">
        <f t="shared" si="230"/>
        <v>0</v>
      </c>
      <c r="AI1295" s="195">
        <v>1.71</v>
      </c>
    </row>
    <row r="1296" spans="1:48">
      <c r="A1296">
        <v>6274</v>
      </c>
      <c r="C1296" s="107">
        <f>VLOOKUP(6274,收盤價!$A:$C,3,0)</f>
        <v>33.9</v>
      </c>
      <c r="D1296" s="107">
        <f t="shared" si="220"/>
        <v>8.4674397859054427</v>
      </c>
      <c r="E1296" s="167">
        <f t="shared" si="221"/>
        <v>4</v>
      </c>
      <c r="F1296" s="104">
        <f t="shared" si="222"/>
        <v>0.6185580318789945</v>
      </c>
      <c r="G1296" s="167">
        <f>RANK(3.28,AE:AE,0)</f>
        <v>256</v>
      </c>
      <c r="H1296" s="365">
        <f t="shared" si="223"/>
        <v>-0.23687958369688855</v>
      </c>
      <c r="I1296" s="213">
        <f t="shared" si="224"/>
        <v>445</v>
      </c>
      <c r="J1296" s="213">
        <f t="shared" si="225"/>
        <v>552</v>
      </c>
      <c r="K1296">
        <f>RANK(1.56,AI:AI,0)</f>
        <v>525</v>
      </c>
      <c r="L1296" s="357">
        <v>1</v>
      </c>
      <c r="M1296" s="357">
        <v>1</v>
      </c>
      <c r="N1296" s="357">
        <v>1</v>
      </c>
      <c r="O1296" s="357">
        <v>1</v>
      </c>
      <c r="P1296" s="357">
        <v>0</v>
      </c>
      <c r="Q1296" s="358">
        <v>0.19981971153846154</v>
      </c>
      <c r="R1296" s="359">
        <v>1.000892857142857</v>
      </c>
      <c r="S1296" s="196">
        <v>13246340000</v>
      </c>
      <c r="T1296" s="196">
        <v>241700000</v>
      </c>
      <c r="U1296" s="200">
        <f t="shared" si="226"/>
        <v>8193630000</v>
      </c>
      <c r="V1296" s="196">
        <v>303000000</v>
      </c>
      <c r="W1296" s="196">
        <v>3180000000</v>
      </c>
      <c r="X1296" s="196">
        <v>2863000000</v>
      </c>
      <c r="Y1296" s="196">
        <v>6241000000</v>
      </c>
      <c r="Z1296" s="196">
        <v>795000000</v>
      </c>
      <c r="AA1296" s="198">
        <v>0.05</v>
      </c>
      <c r="AB1296" s="198">
        <v>0.04</v>
      </c>
      <c r="AC1296" s="213">
        <f t="shared" si="227"/>
        <v>247</v>
      </c>
      <c r="AD1296" s="213">
        <f t="shared" si="228"/>
        <v>228</v>
      </c>
      <c r="AE1296" s="213">
        <v>3.28</v>
      </c>
      <c r="AF1296" s="196">
        <v>283000000</v>
      </c>
      <c r="AG1296" s="104">
        <f t="shared" si="229"/>
        <v>1.1708729830368225</v>
      </c>
      <c r="AH1296" s="104">
        <f t="shared" si="230"/>
        <v>0.93399339933993397</v>
      </c>
      <c r="AI1296" s="195">
        <v>1.56</v>
      </c>
      <c r="AO1296" s="213"/>
      <c r="AP1296" s="213"/>
      <c r="AQ1296" s="213"/>
      <c r="AR1296" s="213"/>
      <c r="AS1296" s="213"/>
      <c r="AT1296" s="213"/>
      <c r="AU1296" s="213"/>
      <c r="AV1296" s="213"/>
    </row>
    <row r="1297" spans="1:48">
      <c r="A1297">
        <v>6275</v>
      </c>
      <c r="C1297" s="107">
        <f>VLOOKUP(6275,收盤價!$A:$C,3,0)</f>
        <v>15.3</v>
      </c>
      <c r="D1297" s="107">
        <f t="shared" si="220"/>
        <v>6.1573170731707316</v>
      </c>
      <c r="E1297" s="167">
        <f t="shared" si="221"/>
        <v>4</v>
      </c>
      <c r="F1297" s="104">
        <f t="shared" si="222"/>
        <v>0.37626296308646506</v>
      </c>
      <c r="G1297" s="167">
        <f>RANK(3.88,AE:AE,0)</f>
        <v>240</v>
      </c>
      <c r="H1297" s="365">
        <f t="shared" si="223"/>
        <v>2.0150659133709983</v>
      </c>
      <c r="I1297" s="213">
        <f t="shared" si="224"/>
        <v>1512</v>
      </c>
      <c r="J1297" s="213">
        <f t="shared" si="225"/>
        <v>768</v>
      </c>
      <c r="K1297">
        <f>RANK(0.68,AI:AI,0)</f>
        <v>1507</v>
      </c>
      <c r="L1297" s="357">
        <v>1</v>
      </c>
      <c r="M1297" s="357">
        <v>1</v>
      </c>
      <c r="N1297" s="357">
        <v>2</v>
      </c>
      <c r="O1297" s="357">
        <v>0</v>
      </c>
      <c r="P1297" s="357">
        <v>0</v>
      </c>
      <c r="Q1297" s="358">
        <v>0.20965309200603319</v>
      </c>
      <c r="R1297" s="359">
        <v>0.62121212121212122</v>
      </c>
      <c r="S1297" s="196">
        <v>2159208000</v>
      </c>
      <c r="T1297" s="196">
        <v>53100000</v>
      </c>
      <c r="U1297" s="200">
        <f t="shared" si="226"/>
        <v>812430000</v>
      </c>
      <c r="V1297" s="196">
        <v>45000000</v>
      </c>
      <c r="W1297" s="196">
        <v>492000000</v>
      </c>
      <c r="X1297" s="196">
        <v>285000000</v>
      </c>
      <c r="Y1297" s="196">
        <v>707000000</v>
      </c>
      <c r="Z1297" s="196">
        <v>550000000</v>
      </c>
      <c r="AA1297" s="198">
        <v>0.06</v>
      </c>
      <c r="AB1297" s="198">
        <v>0.04</v>
      </c>
      <c r="AC1297" s="213">
        <f t="shared" si="227"/>
        <v>174</v>
      </c>
      <c r="AD1297" s="213">
        <f t="shared" si="228"/>
        <v>228</v>
      </c>
      <c r="AE1297" s="213">
        <v>3.88</v>
      </c>
      <c r="AF1297" s="196">
        <v>-107000000</v>
      </c>
      <c r="AG1297" s="104">
        <f t="shared" si="229"/>
        <v>-2.0150659133709983</v>
      </c>
      <c r="AH1297" s="104">
        <f t="shared" si="230"/>
        <v>0</v>
      </c>
      <c r="AI1297" s="195">
        <v>0.68</v>
      </c>
      <c r="AO1297" s="213"/>
      <c r="AP1297" s="213"/>
      <c r="AQ1297" s="213"/>
      <c r="AR1297" s="213"/>
      <c r="AS1297" s="213"/>
      <c r="AT1297" s="213"/>
      <c r="AU1297" s="213"/>
      <c r="AV1297" s="213"/>
    </row>
    <row r="1298" spans="1:48">
      <c r="A1298">
        <v>6276</v>
      </c>
      <c r="C1298" s="107">
        <f>VLOOKUP(6276,收盤價!$A:$C,3,0)</f>
        <v>7.28</v>
      </c>
      <c r="D1298" s="107">
        <f t="shared" si="220"/>
        <v>0</v>
      </c>
      <c r="E1298" s="167">
        <f t="shared" si="221"/>
        <v>2</v>
      </c>
      <c r="F1298" s="104">
        <f t="shared" si="222"/>
        <v>0.27802433107967522</v>
      </c>
      <c r="G1298" s="167">
        <f>RANK(0.53,AE:AE,0)</f>
        <v>1475</v>
      </c>
      <c r="H1298" s="365">
        <f t="shared" si="223"/>
        <v>0.52873563218390807</v>
      </c>
      <c r="I1298" s="213">
        <f t="shared" si="224"/>
        <v>1353</v>
      </c>
      <c r="J1298" s="213">
        <f t="shared" si="225"/>
        <v>768</v>
      </c>
      <c r="K1298">
        <f>RANK(0.73,AI:AI,0)</f>
        <v>1352</v>
      </c>
      <c r="L1298" s="357">
        <v>0</v>
      </c>
      <c r="M1298" s="357">
        <v>0</v>
      </c>
      <c r="N1298" s="357">
        <v>2</v>
      </c>
      <c r="O1298" s="357">
        <v>0</v>
      </c>
      <c r="P1298" s="357">
        <v>0</v>
      </c>
      <c r="Q1298" s="358">
        <v>0.10759493670886076</v>
      </c>
      <c r="R1298" s="359">
        <v>0</v>
      </c>
      <c r="S1298" s="196">
        <v>1139037000</v>
      </c>
      <c r="T1298" s="196">
        <v>43500000</v>
      </c>
      <c r="U1298" s="200">
        <f t="shared" si="226"/>
        <v>316680000</v>
      </c>
      <c r="V1298" s="196">
        <v>-15000000</v>
      </c>
      <c r="W1298" s="196">
        <v>243000000</v>
      </c>
      <c r="X1298" s="196">
        <v>2000000</v>
      </c>
      <c r="Y1298" s="196">
        <v>341000000</v>
      </c>
      <c r="Z1298" s="196">
        <v>71000000</v>
      </c>
      <c r="AA1298" s="198">
        <v>-0.06</v>
      </c>
      <c r="AB1298" s="198">
        <v>-0.04</v>
      </c>
      <c r="AC1298" s="213">
        <f t="shared" si="227"/>
        <v>1484</v>
      </c>
      <c r="AD1298" s="213">
        <f t="shared" si="228"/>
        <v>1483</v>
      </c>
      <c r="AE1298" s="213">
        <v>0.53</v>
      </c>
      <c r="AF1298" s="196">
        <v>-23000000</v>
      </c>
      <c r="AG1298" s="104">
        <f t="shared" si="229"/>
        <v>-0.52873563218390807</v>
      </c>
      <c r="AH1298" s="104">
        <f t="shared" si="230"/>
        <v>0</v>
      </c>
      <c r="AI1298" s="195">
        <v>0.73</v>
      </c>
    </row>
    <row r="1299" spans="1:48">
      <c r="A1299">
        <v>6277</v>
      </c>
      <c r="C1299" s="107">
        <f>VLOOKUP(6277,收盤價!$A:$C,3,0)</f>
        <v>80.8</v>
      </c>
      <c r="D1299" s="107">
        <f t="shared" si="220"/>
        <v>14.428571428571429</v>
      </c>
      <c r="E1299" s="167">
        <f t="shared" si="221"/>
        <v>1</v>
      </c>
      <c r="F1299" s="104">
        <f t="shared" si="222"/>
        <v>1.9302401965184268</v>
      </c>
      <c r="G1299" s="167">
        <f>RANK(0.84,AE:AE,0)</f>
        <v>946</v>
      </c>
      <c r="H1299" s="365">
        <f t="shared" si="223"/>
        <v>0.81171548117154813</v>
      </c>
      <c r="I1299" s="213">
        <f t="shared" si="224"/>
        <v>1413</v>
      </c>
      <c r="J1299" s="213">
        <f t="shared" si="225"/>
        <v>768</v>
      </c>
      <c r="K1299">
        <f>RANK(0.71,AI:AI,0)</f>
        <v>1412</v>
      </c>
      <c r="L1299" s="357">
        <v>0</v>
      </c>
      <c r="M1299" s="357">
        <v>1</v>
      </c>
      <c r="N1299" s="357">
        <v>0</v>
      </c>
      <c r="O1299" s="357">
        <v>0</v>
      </c>
      <c r="P1299" s="357">
        <v>0</v>
      </c>
      <c r="Q1299" s="358">
        <v>0.58235294117647063</v>
      </c>
      <c r="R1299" s="359">
        <v>1.4</v>
      </c>
      <c r="S1299" s="196">
        <v>5002279000</v>
      </c>
      <c r="T1299" s="196">
        <v>119500000</v>
      </c>
      <c r="U1299" s="200">
        <f t="shared" si="226"/>
        <v>9655600000</v>
      </c>
      <c r="V1299" s="196">
        <v>0</v>
      </c>
      <c r="W1299" s="196">
        <v>1102000000</v>
      </c>
      <c r="X1299" s="196">
        <v>2062000000</v>
      </c>
      <c r="Y1299" s="196">
        <v>3295000000</v>
      </c>
      <c r="Z1299" s="196">
        <v>546000000</v>
      </c>
      <c r="AA1299" s="198">
        <v>0</v>
      </c>
      <c r="AB1299" s="198">
        <v>0</v>
      </c>
      <c r="AC1299" s="213">
        <f t="shared" si="227"/>
        <v>945</v>
      </c>
      <c r="AD1299" s="213">
        <f t="shared" si="228"/>
        <v>911</v>
      </c>
      <c r="AE1299" s="213">
        <v>0.84</v>
      </c>
      <c r="AF1299" s="196">
        <v>-97000000</v>
      </c>
      <c r="AG1299" s="104">
        <f t="shared" si="229"/>
        <v>-0.81171548117154813</v>
      </c>
      <c r="AH1299" s="104">
        <f t="shared" si="230"/>
        <v>0</v>
      </c>
      <c r="AI1299" s="195">
        <v>0.71</v>
      </c>
      <c r="AO1299" s="213"/>
      <c r="AP1299" s="213"/>
      <c r="AQ1299" s="213"/>
      <c r="AR1299" s="213"/>
      <c r="AS1299" s="213"/>
      <c r="AT1299" s="213"/>
      <c r="AU1299" s="213"/>
      <c r="AV1299" s="213"/>
    </row>
    <row r="1300" spans="1:48">
      <c r="A1300">
        <v>6278</v>
      </c>
      <c r="C1300" s="107">
        <f>VLOOKUP(6278,收盤價!$A:$C,3,0)</f>
        <v>26.7</v>
      </c>
      <c r="D1300" s="107">
        <f t="shared" si="220"/>
        <v>28.872023809523803</v>
      </c>
      <c r="E1300" s="167">
        <f t="shared" si="221"/>
        <v>0</v>
      </c>
      <c r="F1300" s="104">
        <f t="shared" si="222"/>
        <v>0.26951090371740238</v>
      </c>
      <c r="G1300" s="167">
        <f>RANK(1.2,AE:AE,0)</f>
        <v>710</v>
      </c>
      <c r="H1300" s="365">
        <f t="shared" si="223"/>
        <v>0.49085985104942453</v>
      </c>
      <c r="I1300" s="213">
        <f t="shared" si="224"/>
        <v>1343</v>
      </c>
      <c r="J1300" s="213">
        <f t="shared" si="225"/>
        <v>768</v>
      </c>
      <c r="K1300">
        <f>RANK(0.74,AI:AI,0)</f>
        <v>1324</v>
      </c>
      <c r="L1300" s="357">
        <v>0</v>
      </c>
      <c r="M1300" s="357">
        <v>0</v>
      </c>
      <c r="N1300" s="357">
        <v>0</v>
      </c>
      <c r="O1300" s="357">
        <v>0</v>
      </c>
      <c r="P1300" s="357">
        <v>0</v>
      </c>
      <c r="Q1300" s="358">
        <v>8.1055900621118018E-2</v>
      </c>
      <c r="R1300" s="359">
        <v>0.23119266055045876</v>
      </c>
      <c r="S1300" s="196">
        <v>29264790000</v>
      </c>
      <c r="T1300" s="196">
        <v>295400000</v>
      </c>
      <c r="U1300" s="200">
        <f t="shared" si="226"/>
        <v>7887180000</v>
      </c>
      <c r="V1300" s="196">
        <v>191000000</v>
      </c>
      <c r="W1300" s="196">
        <v>4838000000</v>
      </c>
      <c r="X1300" s="196">
        <v>6930000000</v>
      </c>
      <c r="Y1300" s="196">
        <v>11458000000</v>
      </c>
      <c r="Z1300" s="196">
        <v>3565000000</v>
      </c>
      <c r="AA1300" s="198">
        <v>0.02</v>
      </c>
      <c r="AB1300" s="198">
        <v>0.01</v>
      </c>
      <c r="AC1300" s="213">
        <f t="shared" si="227"/>
        <v>616</v>
      </c>
      <c r="AD1300" s="213">
        <f t="shared" si="228"/>
        <v>680</v>
      </c>
      <c r="AE1300" s="213">
        <v>1.2</v>
      </c>
      <c r="AF1300" s="196">
        <v>-145000000</v>
      </c>
      <c r="AG1300" s="104">
        <f t="shared" si="229"/>
        <v>-0.49085985104942453</v>
      </c>
      <c r="AH1300" s="104">
        <f t="shared" si="230"/>
        <v>0</v>
      </c>
      <c r="AI1300" s="195">
        <v>0.74</v>
      </c>
    </row>
    <row r="1301" spans="1:48">
      <c r="A1301">
        <v>6279</v>
      </c>
      <c r="C1301" s="107">
        <f>VLOOKUP(6279,收盤價!$A:$C,3,0)</f>
        <v>143.5</v>
      </c>
      <c r="D1301" s="107">
        <f t="shared" si="220"/>
        <v>17.252184500787852</v>
      </c>
      <c r="E1301" s="167">
        <f t="shared" si="221"/>
        <v>3</v>
      </c>
      <c r="F1301" s="104">
        <f t="shared" si="222"/>
        <v>3.9167882572170871</v>
      </c>
      <c r="G1301" s="167">
        <f>RANK(7.87,AE:AE,0)</f>
        <v>100</v>
      </c>
      <c r="H1301" s="365">
        <f t="shared" si="223"/>
        <v>-1.8691283202394315</v>
      </c>
      <c r="I1301" s="213">
        <f t="shared" si="224"/>
        <v>125</v>
      </c>
      <c r="J1301" s="213">
        <f t="shared" si="225"/>
        <v>526</v>
      </c>
      <c r="K1301">
        <f>RANK(2.39,AI:AI,0)</f>
        <v>260</v>
      </c>
      <c r="L1301" s="357">
        <v>0</v>
      </c>
      <c r="M1301" s="357">
        <v>1</v>
      </c>
      <c r="N1301" s="357">
        <v>1</v>
      </c>
      <c r="O1301" s="357">
        <v>1</v>
      </c>
      <c r="P1301" s="357">
        <v>0</v>
      </c>
      <c r="Q1301" s="358">
        <v>0.4502212389380531</v>
      </c>
      <c r="R1301" s="359">
        <v>2.0794468085106383</v>
      </c>
      <c r="S1301" s="196">
        <v>3561132000</v>
      </c>
      <c r="T1301" s="196">
        <v>97200000</v>
      </c>
      <c r="U1301" s="200">
        <f t="shared" si="226"/>
        <v>13948200000</v>
      </c>
      <c r="V1301" s="196">
        <v>275000000</v>
      </c>
      <c r="W1301" s="196">
        <v>1644000000</v>
      </c>
      <c r="X1301" s="196">
        <v>2130000000</v>
      </c>
      <c r="Y1301" s="196">
        <v>3747000000</v>
      </c>
      <c r="Z1301" s="196">
        <v>456000000</v>
      </c>
      <c r="AA1301" s="198">
        <v>7.0000000000000007E-2</v>
      </c>
      <c r="AB1301" s="198">
        <v>7.0000000000000007E-2</v>
      </c>
      <c r="AC1301" s="213">
        <f t="shared" si="227"/>
        <v>134</v>
      </c>
      <c r="AD1301" s="213">
        <f t="shared" si="228"/>
        <v>64</v>
      </c>
      <c r="AE1301" s="213">
        <v>7.87</v>
      </c>
      <c r="AF1301" s="196">
        <v>281000000</v>
      </c>
      <c r="AG1301" s="104">
        <f t="shared" si="229"/>
        <v>2.8909465020576133</v>
      </c>
      <c r="AH1301" s="104">
        <f t="shared" si="230"/>
        <v>1.0218181818181817</v>
      </c>
      <c r="AI1301" s="195">
        <v>2.39</v>
      </c>
    </row>
    <row r="1302" spans="1:48">
      <c r="A1302">
        <v>6281</v>
      </c>
      <c r="C1302" s="107">
        <f>VLOOKUP(6281,收盤價!$A:$C,3,0)</f>
        <v>60.5</v>
      </c>
      <c r="D1302" s="107">
        <f t="shared" si="220"/>
        <v>11.041094125729991</v>
      </c>
      <c r="E1302" s="167">
        <f t="shared" si="221"/>
        <v>2</v>
      </c>
      <c r="F1302" s="104">
        <f t="shared" si="222"/>
        <v>0.35008912934637176</v>
      </c>
      <c r="G1302" s="167">
        <f>RANK(9.68,AE:AE,0)</f>
        <v>76</v>
      </c>
      <c r="H1302" s="365">
        <f t="shared" si="223"/>
        <v>-0.54169944925255697</v>
      </c>
      <c r="I1302" s="213">
        <f t="shared" si="224"/>
        <v>379</v>
      </c>
      <c r="J1302" s="213">
        <f t="shared" si="225"/>
        <v>586</v>
      </c>
      <c r="K1302">
        <f>RANK(1.61,AI:AI,0)</f>
        <v>498</v>
      </c>
      <c r="L1302" s="357">
        <v>0</v>
      </c>
      <c r="M1302" s="357">
        <v>1</v>
      </c>
      <c r="N1302" s="357">
        <v>1</v>
      </c>
      <c r="O1302" s="357">
        <v>0</v>
      </c>
      <c r="P1302" s="357">
        <v>0</v>
      </c>
      <c r="Q1302" s="358">
        <v>0.19022088784044605</v>
      </c>
      <c r="R1302" s="359">
        <v>1.3698823529411763</v>
      </c>
      <c r="S1302" s="196">
        <v>17143063000</v>
      </c>
      <c r="T1302" s="196">
        <v>99200000</v>
      </c>
      <c r="U1302" s="200">
        <f t="shared" si="226"/>
        <v>6001600000</v>
      </c>
      <c r="V1302" s="196">
        <v>164000000</v>
      </c>
      <c r="W1302" s="196">
        <v>1812000000</v>
      </c>
      <c r="X1302" s="196">
        <v>273000000</v>
      </c>
      <c r="Y1302" s="196">
        <v>2244000000</v>
      </c>
      <c r="Z1302" s="196">
        <v>0</v>
      </c>
      <c r="AA1302" s="198">
        <v>0.08</v>
      </c>
      <c r="AB1302" s="198">
        <v>7.0000000000000007E-2</v>
      </c>
      <c r="AC1302" s="213">
        <f t="shared" si="227"/>
        <v>97</v>
      </c>
      <c r="AD1302" s="213">
        <f t="shared" si="228"/>
        <v>64</v>
      </c>
      <c r="AE1302" s="213">
        <v>9.68</v>
      </c>
      <c r="AF1302" s="196">
        <v>136000000</v>
      </c>
      <c r="AG1302" s="104">
        <f t="shared" si="229"/>
        <v>1.3709677419354838</v>
      </c>
      <c r="AH1302" s="104">
        <f t="shared" si="230"/>
        <v>0.82926829268292679</v>
      </c>
      <c r="AI1302" s="195">
        <v>1.61</v>
      </c>
    </row>
    <row r="1303" spans="1:48">
      <c r="A1303">
        <v>6282</v>
      </c>
      <c r="C1303" s="107">
        <f>VLOOKUP(6282,收盤價!$A:$C,3,0)</f>
        <v>23.6</v>
      </c>
      <c r="D1303" s="107">
        <f t="shared" si="220"/>
        <v>21.071428571428569</v>
      </c>
      <c r="E1303" s="167">
        <f t="shared" si="221"/>
        <v>4</v>
      </c>
      <c r="F1303" s="104">
        <f t="shared" si="222"/>
        <v>0.60359092553331939</v>
      </c>
      <c r="G1303" s="167">
        <f>RANK(0.84,AE:AE,0)</f>
        <v>946</v>
      </c>
      <c r="H1303" s="365">
        <f t="shared" si="223"/>
        <v>-0.83526234567901236</v>
      </c>
      <c r="I1303" s="213">
        <f t="shared" si="224"/>
        <v>589</v>
      </c>
      <c r="J1303" s="213">
        <f t="shared" si="225"/>
        <v>768</v>
      </c>
      <c r="K1303">
        <f>RANK(1.15,AI:AI,0)</f>
        <v>757</v>
      </c>
      <c r="L1303" s="357">
        <v>0</v>
      </c>
      <c r="M1303" s="357">
        <v>1</v>
      </c>
      <c r="N1303" s="357">
        <v>2</v>
      </c>
      <c r="O1303" s="357">
        <v>1</v>
      </c>
      <c r="P1303" s="357">
        <v>0</v>
      </c>
      <c r="Q1303" s="358">
        <v>0.16200891049007696</v>
      </c>
      <c r="R1303" s="359">
        <v>0.28000000000000003</v>
      </c>
      <c r="S1303" s="196">
        <v>20269092000</v>
      </c>
      <c r="T1303" s="196">
        <v>518400000</v>
      </c>
      <c r="U1303" s="200">
        <f t="shared" si="226"/>
        <v>12234240000</v>
      </c>
      <c r="V1303" s="196">
        <v>0</v>
      </c>
      <c r="W1303" s="196">
        <v>4393000000</v>
      </c>
      <c r="X1303" s="196">
        <v>3357000000</v>
      </c>
      <c r="Y1303" s="196">
        <v>8394000000</v>
      </c>
      <c r="Z1303" s="196">
        <v>3000000</v>
      </c>
      <c r="AA1303" s="198">
        <v>0</v>
      </c>
      <c r="AB1303" s="198">
        <v>0</v>
      </c>
      <c r="AC1303" s="213">
        <f t="shared" si="227"/>
        <v>945</v>
      </c>
      <c r="AD1303" s="213">
        <f t="shared" si="228"/>
        <v>911</v>
      </c>
      <c r="AE1303" s="213">
        <v>0.84</v>
      </c>
      <c r="AF1303" s="196">
        <v>433000000</v>
      </c>
      <c r="AG1303" s="104">
        <f t="shared" si="229"/>
        <v>0.83526234567901236</v>
      </c>
      <c r="AH1303" s="104">
        <f t="shared" si="230"/>
        <v>0</v>
      </c>
      <c r="AI1303" s="195">
        <v>1.1499999999999999</v>
      </c>
      <c r="AO1303" s="213"/>
      <c r="AP1303" s="213"/>
      <c r="AQ1303" s="213"/>
      <c r="AR1303" s="213"/>
      <c r="AS1303" s="213"/>
      <c r="AT1303" s="213"/>
      <c r="AU1303" s="213"/>
      <c r="AV1303" s="213"/>
    </row>
    <row r="1304" spans="1:48">
      <c r="A1304">
        <v>6283</v>
      </c>
      <c r="C1304" s="107">
        <f>VLOOKUP(6283,收盤價!$A:$C,3,0)</f>
        <v>14.15</v>
      </c>
      <c r="D1304" s="107">
        <f t="shared" si="220"/>
        <v>0</v>
      </c>
      <c r="E1304" s="167">
        <f t="shared" si="221"/>
        <v>3</v>
      </c>
      <c r="F1304" s="104">
        <f t="shared" si="222"/>
        <v>2.2796321290829136</v>
      </c>
      <c r="G1304" s="167">
        <f>RANK(0.57,AE:AE,0)</f>
        <v>1389</v>
      </c>
      <c r="H1304" s="365">
        <f t="shared" si="223"/>
        <v>-4.2134831460674156E-2</v>
      </c>
      <c r="I1304" s="213">
        <f t="shared" si="224"/>
        <v>1038</v>
      </c>
      <c r="J1304" s="213">
        <f t="shared" si="225"/>
        <v>768</v>
      </c>
      <c r="K1304">
        <f>RANK(0.86,AI:AI,0)</f>
        <v>1045</v>
      </c>
      <c r="L1304" s="357">
        <v>0</v>
      </c>
      <c r="M1304" s="357">
        <v>1</v>
      </c>
      <c r="N1304" s="357">
        <v>1</v>
      </c>
      <c r="O1304" s="357">
        <v>1</v>
      </c>
      <c r="P1304" s="357">
        <v>0</v>
      </c>
      <c r="Q1304" s="358">
        <v>0.13432835820895522</v>
      </c>
      <c r="R1304" s="359">
        <v>0</v>
      </c>
      <c r="S1304" s="196">
        <v>883897000</v>
      </c>
      <c r="T1304" s="196">
        <v>142400000</v>
      </c>
      <c r="U1304" s="200">
        <f t="shared" si="226"/>
        <v>2014960000</v>
      </c>
      <c r="V1304" s="196">
        <v>-14000000</v>
      </c>
      <c r="W1304" s="196">
        <v>393000000</v>
      </c>
      <c r="X1304" s="196">
        <v>303000000</v>
      </c>
      <c r="Y1304" s="196">
        <v>812000000</v>
      </c>
      <c r="Z1304" s="196">
        <v>64000000</v>
      </c>
      <c r="AA1304" s="198">
        <v>-0.02</v>
      </c>
      <c r="AB1304" s="198">
        <v>-0.02</v>
      </c>
      <c r="AC1304" s="213">
        <f t="shared" si="227"/>
        <v>1353</v>
      </c>
      <c r="AD1304" s="213">
        <f t="shared" si="228"/>
        <v>1388</v>
      </c>
      <c r="AE1304" s="213">
        <v>0.56999999999999995</v>
      </c>
      <c r="AF1304" s="196">
        <v>6000000</v>
      </c>
      <c r="AG1304" s="104">
        <f t="shared" si="229"/>
        <v>4.2134831460674156E-2</v>
      </c>
      <c r="AH1304" s="104">
        <f t="shared" si="230"/>
        <v>0</v>
      </c>
      <c r="AI1304" s="195">
        <v>0.86</v>
      </c>
    </row>
    <row r="1305" spans="1:48">
      <c r="A1305">
        <v>6284</v>
      </c>
      <c r="C1305" s="107">
        <f>VLOOKUP(6284,收盤價!$A:$C,3,0)</f>
        <v>20.9</v>
      </c>
      <c r="D1305" s="107">
        <f t="shared" si="220"/>
        <v>0</v>
      </c>
      <c r="E1305" s="167">
        <f t="shared" si="221"/>
        <v>3</v>
      </c>
      <c r="F1305" s="104">
        <f t="shared" si="222"/>
        <v>0.66746600478482299</v>
      </c>
      <c r="G1305" s="167">
        <f>RANK(0.93,AE:AE,0)</f>
        <v>920</v>
      </c>
      <c r="H1305" s="365">
        <f t="shared" si="223"/>
        <v>6.8226120857699801E-2</v>
      </c>
      <c r="I1305" s="213">
        <f t="shared" si="224"/>
        <v>1117</v>
      </c>
      <c r="J1305" s="213">
        <f t="shared" si="225"/>
        <v>768</v>
      </c>
      <c r="K1305">
        <f>RANK(0.83,AI:AI,0)</f>
        <v>1098</v>
      </c>
      <c r="L1305" s="357">
        <v>0</v>
      </c>
      <c r="M1305" s="357">
        <v>1</v>
      </c>
      <c r="N1305" s="357">
        <v>2</v>
      </c>
      <c r="O1305" s="357">
        <v>0</v>
      </c>
      <c r="P1305" s="357">
        <v>0</v>
      </c>
      <c r="Q1305" s="358">
        <v>0.19893899204244031</v>
      </c>
      <c r="R1305" s="359">
        <v>0</v>
      </c>
      <c r="S1305" s="196">
        <v>3212658000</v>
      </c>
      <c r="T1305" s="196">
        <v>102600000</v>
      </c>
      <c r="U1305" s="200">
        <f t="shared" si="226"/>
        <v>2144339999.9999998</v>
      </c>
      <c r="V1305" s="196">
        <v>14000000</v>
      </c>
      <c r="W1305" s="196">
        <v>269000000</v>
      </c>
      <c r="X1305" s="196">
        <v>1882000000</v>
      </c>
      <c r="Y1305" s="196">
        <v>2637000000</v>
      </c>
      <c r="Z1305" s="196">
        <v>2074000000</v>
      </c>
      <c r="AA1305" s="198">
        <v>0.01</v>
      </c>
      <c r="AB1305" s="198">
        <v>0</v>
      </c>
      <c r="AC1305" s="213">
        <f t="shared" si="227"/>
        <v>769</v>
      </c>
      <c r="AD1305" s="213">
        <f t="shared" si="228"/>
        <v>911</v>
      </c>
      <c r="AE1305" s="213">
        <v>0.93</v>
      </c>
      <c r="AF1305" s="196">
        <v>-7000000</v>
      </c>
      <c r="AG1305" s="104">
        <f t="shared" si="229"/>
        <v>-6.8226120857699801E-2</v>
      </c>
      <c r="AH1305" s="104">
        <f t="shared" si="230"/>
        <v>0</v>
      </c>
      <c r="AI1305" s="195">
        <v>0.83</v>
      </c>
      <c r="AO1305" s="213"/>
      <c r="AP1305" s="213"/>
      <c r="AQ1305" s="213"/>
      <c r="AR1305" s="213"/>
      <c r="AS1305" s="213"/>
      <c r="AT1305" s="213"/>
      <c r="AU1305" s="213"/>
      <c r="AV1305" s="213"/>
    </row>
    <row r="1306" spans="1:48">
      <c r="A1306">
        <v>6285</v>
      </c>
      <c r="C1306" s="107">
        <f>VLOOKUP(6285,收盤價!$A:$C,3,0)</f>
        <v>89.4</v>
      </c>
      <c r="D1306" s="107">
        <f t="shared" si="220"/>
        <v>19.267241379310349</v>
      </c>
      <c r="E1306" s="167">
        <f t="shared" si="221"/>
        <v>0</v>
      </c>
      <c r="F1306" s="104">
        <f t="shared" si="222"/>
        <v>0.55370220613159049</v>
      </c>
      <c r="G1306" s="167">
        <f>RANK(0.84,AE:AE,0)</f>
        <v>946</v>
      </c>
      <c r="H1306" s="365">
        <f t="shared" si="223"/>
        <v>0.48031026252983294</v>
      </c>
      <c r="I1306" s="213">
        <f t="shared" si="224"/>
        <v>1340</v>
      </c>
      <c r="J1306" s="213">
        <f t="shared" si="225"/>
        <v>768</v>
      </c>
      <c r="K1306">
        <f>RANK(0.74,AI:AI,0)</f>
        <v>1324</v>
      </c>
      <c r="L1306" s="357">
        <v>0</v>
      </c>
      <c r="M1306" s="357">
        <v>0</v>
      </c>
      <c r="N1306" s="357">
        <v>0</v>
      </c>
      <c r="O1306" s="357">
        <v>0</v>
      </c>
      <c r="P1306" s="357">
        <v>0</v>
      </c>
      <c r="Q1306" s="358">
        <v>0.12731186224489796</v>
      </c>
      <c r="R1306" s="359">
        <v>1.1599999999999999</v>
      </c>
      <c r="S1306" s="196">
        <v>54120933000</v>
      </c>
      <c r="T1306" s="196">
        <v>335200000</v>
      </c>
      <c r="U1306" s="200">
        <f t="shared" si="226"/>
        <v>29966880000</v>
      </c>
      <c r="V1306" s="196">
        <v>0</v>
      </c>
      <c r="W1306" s="196">
        <v>6529000000</v>
      </c>
      <c r="X1306" s="196">
        <v>6683000000</v>
      </c>
      <c r="Y1306" s="196">
        <v>12011000000</v>
      </c>
      <c r="Z1306" s="196">
        <v>2180000000</v>
      </c>
      <c r="AA1306" s="198">
        <v>0</v>
      </c>
      <c r="AB1306" s="198">
        <v>0</v>
      </c>
      <c r="AC1306" s="213">
        <f t="shared" si="227"/>
        <v>945</v>
      </c>
      <c r="AD1306" s="213">
        <f t="shared" si="228"/>
        <v>911</v>
      </c>
      <c r="AE1306" s="213">
        <v>0.84</v>
      </c>
      <c r="AF1306" s="196">
        <v>-161000000</v>
      </c>
      <c r="AG1306" s="104">
        <f t="shared" si="229"/>
        <v>-0.48031026252983294</v>
      </c>
      <c r="AH1306" s="104">
        <f t="shared" si="230"/>
        <v>0</v>
      </c>
      <c r="AI1306" s="195">
        <v>0.74</v>
      </c>
    </row>
    <row r="1307" spans="1:48">
      <c r="A1307">
        <v>6287</v>
      </c>
      <c r="C1307" s="107">
        <f>VLOOKUP(6287,收盤價!$A:$C,3,0)</f>
        <v>2.95</v>
      </c>
      <c r="D1307" s="107">
        <f t="shared" si="220"/>
        <v>0</v>
      </c>
      <c r="E1307" s="167">
        <f t="shared" si="221"/>
        <v>3</v>
      </c>
      <c r="F1307" s="104">
        <f t="shared" si="222"/>
        <v>0.49249693486555007</v>
      </c>
      <c r="G1307" s="167">
        <f>RANK(0.53,AE:AE,0)</f>
        <v>1475</v>
      </c>
      <c r="H1307" s="365">
        <f t="shared" si="223"/>
        <v>0.16429353778751368</v>
      </c>
      <c r="I1307" s="213">
        <f t="shared" si="224"/>
        <v>1185</v>
      </c>
      <c r="J1307" s="213">
        <f t="shared" si="225"/>
        <v>768</v>
      </c>
      <c r="K1307">
        <f>RANK(0.8,AI:AI,0)</f>
        <v>1168</v>
      </c>
      <c r="L1307" s="357">
        <v>0</v>
      </c>
      <c r="M1307" s="357">
        <v>1</v>
      </c>
      <c r="N1307" s="357">
        <v>2</v>
      </c>
      <c r="O1307" s="357">
        <v>0</v>
      </c>
      <c r="P1307" s="357">
        <v>0</v>
      </c>
      <c r="Q1307" s="358">
        <v>-7.8688524590163941E-2</v>
      </c>
      <c r="R1307" s="359">
        <v>0</v>
      </c>
      <c r="S1307" s="196">
        <v>1093753000</v>
      </c>
      <c r="T1307" s="196">
        <v>182600000</v>
      </c>
      <c r="U1307" s="200">
        <f t="shared" si="226"/>
        <v>538670000</v>
      </c>
      <c r="V1307" s="196">
        <v>-25000000</v>
      </c>
      <c r="W1307" s="196">
        <v>0</v>
      </c>
      <c r="X1307" s="196">
        <v>565000000</v>
      </c>
      <c r="Y1307" s="196">
        <v>65000000</v>
      </c>
      <c r="Z1307" s="196">
        <v>552000000</v>
      </c>
      <c r="AA1307" s="198">
        <v>-0.04</v>
      </c>
      <c r="AB1307" s="198">
        <v>-0.04</v>
      </c>
      <c r="AC1307" s="213">
        <f t="shared" si="227"/>
        <v>1444</v>
      </c>
      <c r="AD1307" s="213">
        <f t="shared" si="228"/>
        <v>1483</v>
      </c>
      <c r="AE1307" s="213">
        <v>0.53</v>
      </c>
      <c r="AF1307" s="196">
        <v>-30000000</v>
      </c>
      <c r="AG1307" s="104">
        <f t="shared" si="229"/>
        <v>-0.16429353778751368</v>
      </c>
      <c r="AH1307" s="104">
        <f t="shared" si="230"/>
        <v>0</v>
      </c>
      <c r="AI1307" s="195">
        <v>0.8</v>
      </c>
      <c r="AO1307" s="213"/>
      <c r="AP1307" s="213"/>
      <c r="AQ1307" s="213"/>
      <c r="AR1307" s="213"/>
      <c r="AS1307" s="213"/>
      <c r="AT1307" s="213"/>
      <c r="AU1307" s="213"/>
      <c r="AV1307" s="213"/>
    </row>
    <row r="1308" spans="1:48">
      <c r="A1308">
        <v>6289</v>
      </c>
      <c r="C1308" s="107">
        <f>VLOOKUP(6289,收盤價!$A:$C,3,0)</f>
        <v>1.36</v>
      </c>
      <c r="D1308" s="107">
        <f t="shared" si="220"/>
        <v>0</v>
      </c>
      <c r="E1308" s="167">
        <f t="shared" si="221"/>
        <v>2</v>
      </c>
      <c r="F1308" s="104">
        <f t="shared" si="222"/>
        <v>2.5060761988176044</v>
      </c>
      <c r="G1308" s="167">
        <f>RANK(0.51,AE:AE,0)</f>
        <v>1523</v>
      </c>
      <c r="H1308" s="365">
        <f t="shared" si="223"/>
        <v>0.23022651318232454</v>
      </c>
      <c r="I1308" s="213">
        <f t="shared" si="224"/>
        <v>1230</v>
      </c>
      <c r="J1308" s="213">
        <f t="shared" si="225"/>
        <v>768</v>
      </c>
      <c r="K1308">
        <f>RANK(0.78,AI:AI,0)</f>
        <v>1217</v>
      </c>
      <c r="L1308" s="357">
        <v>0</v>
      </c>
      <c r="M1308" s="357">
        <v>1</v>
      </c>
      <c r="N1308" s="357">
        <v>1</v>
      </c>
      <c r="O1308" s="357">
        <v>0</v>
      </c>
      <c r="P1308" s="357">
        <v>0</v>
      </c>
      <c r="Q1308" s="358">
        <v>-0.8666666666666667</v>
      </c>
      <c r="R1308" s="359">
        <v>0</v>
      </c>
      <c r="S1308" s="196">
        <v>146144000</v>
      </c>
      <c r="T1308" s="196">
        <v>269300000</v>
      </c>
      <c r="U1308" s="200">
        <f t="shared" si="226"/>
        <v>366248000</v>
      </c>
      <c r="V1308" s="196">
        <v>-57000000</v>
      </c>
      <c r="W1308" s="196">
        <v>0</v>
      </c>
      <c r="X1308" s="196">
        <v>545000000</v>
      </c>
      <c r="Y1308" s="196">
        <v>353000000</v>
      </c>
      <c r="Z1308" s="196">
        <v>385000000</v>
      </c>
      <c r="AA1308" s="198">
        <v>-0.1</v>
      </c>
      <c r="AB1308" s="198">
        <v>-0.08</v>
      </c>
      <c r="AC1308" s="213">
        <f t="shared" si="227"/>
        <v>1519</v>
      </c>
      <c r="AD1308" s="213">
        <f t="shared" si="228"/>
        <v>1531</v>
      </c>
      <c r="AE1308" s="213">
        <v>0.51</v>
      </c>
      <c r="AF1308" s="196">
        <v>-62000000</v>
      </c>
      <c r="AG1308" s="104">
        <f t="shared" si="229"/>
        <v>-0.23022651318232454</v>
      </c>
      <c r="AH1308" s="104">
        <f t="shared" si="230"/>
        <v>0</v>
      </c>
      <c r="AI1308" s="195">
        <v>0.78</v>
      </c>
    </row>
    <row r="1309" spans="1:48">
      <c r="A1309">
        <v>6290</v>
      </c>
      <c r="C1309" s="107">
        <f>VLOOKUP(6290,收盤價!$A:$C,3,0)</f>
        <v>28.6</v>
      </c>
      <c r="D1309" s="107">
        <f t="shared" si="220"/>
        <v>21.666666666666668</v>
      </c>
      <c r="E1309" s="167">
        <f t="shared" si="221"/>
        <v>3</v>
      </c>
      <c r="F1309" s="104">
        <f t="shared" si="222"/>
        <v>0.49561037457943058</v>
      </c>
      <c r="G1309" s="167">
        <f>RANK(0.84,AE:AE,0)</f>
        <v>946</v>
      </c>
      <c r="H1309" s="365">
        <f t="shared" si="223"/>
        <v>-1.1136536994660564</v>
      </c>
      <c r="I1309" s="213">
        <f t="shared" si="224"/>
        <v>470</v>
      </c>
      <c r="J1309" s="213">
        <f t="shared" si="225"/>
        <v>768</v>
      </c>
      <c r="K1309">
        <f>RANK(1.26,AI:AI,0)</f>
        <v>696</v>
      </c>
      <c r="L1309" s="357">
        <v>0</v>
      </c>
      <c r="M1309" s="357">
        <v>1</v>
      </c>
      <c r="N1309" s="357">
        <v>1</v>
      </c>
      <c r="O1309" s="357">
        <v>1</v>
      </c>
      <c r="P1309" s="357">
        <v>0</v>
      </c>
      <c r="Q1309" s="358">
        <v>0.10597986974541149</v>
      </c>
      <c r="R1309" s="359">
        <v>0.33</v>
      </c>
      <c r="S1309" s="196">
        <v>7565338000</v>
      </c>
      <c r="T1309" s="196">
        <v>131100000</v>
      </c>
      <c r="U1309" s="200">
        <f t="shared" si="226"/>
        <v>3749460000</v>
      </c>
      <c r="V1309" s="196">
        <v>0</v>
      </c>
      <c r="W1309" s="196">
        <v>2426000000</v>
      </c>
      <c r="X1309" s="196">
        <v>1021000000</v>
      </c>
      <c r="Y1309" s="196">
        <v>3619000000</v>
      </c>
      <c r="Z1309" s="196">
        <v>100000000</v>
      </c>
      <c r="AA1309" s="198">
        <v>0</v>
      </c>
      <c r="AB1309" s="198">
        <v>0</v>
      </c>
      <c r="AC1309" s="213">
        <f t="shared" si="227"/>
        <v>945</v>
      </c>
      <c r="AD1309" s="213">
        <f t="shared" si="228"/>
        <v>911</v>
      </c>
      <c r="AE1309" s="213">
        <v>0.84</v>
      </c>
      <c r="AF1309" s="196">
        <v>146000000</v>
      </c>
      <c r="AG1309" s="104">
        <f t="shared" si="229"/>
        <v>1.1136536994660564</v>
      </c>
      <c r="AH1309" s="104">
        <f t="shared" si="230"/>
        <v>0</v>
      </c>
      <c r="AI1309" s="195">
        <v>1.26</v>
      </c>
    </row>
    <row r="1310" spans="1:48">
      <c r="A1310">
        <v>6291</v>
      </c>
      <c r="C1310" s="107">
        <f>VLOOKUP(6291,收盤價!$A:$C,3,0)</f>
        <v>2.42</v>
      </c>
      <c r="D1310" s="107">
        <f t="shared" si="220"/>
        <v>10.083333333333334</v>
      </c>
      <c r="E1310" s="167">
        <f t="shared" si="221"/>
        <v>2</v>
      </c>
      <c r="F1310" s="104">
        <f t="shared" si="222"/>
        <v>0.30372549103312257</v>
      </c>
      <c r="G1310" s="167">
        <f>RANK(1.82,AE:AE,0)</f>
        <v>530</v>
      </c>
      <c r="H1310" s="365">
        <f t="shared" si="223"/>
        <v>6.8027210884353748E-2</v>
      </c>
      <c r="I1310" s="213">
        <f t="shared" si="224"/>
        <v>1116</v>
      </c>
      <c r="J1310" s="213">
        <f t="shared" si="225"/>
        <v>768</v>
      </c>
      <c r="K1310">
        <f>RANK(0.83,AI:AI,0)</f>
        <v>1098</v>
      </c>
      <c r="L1310" s="357">
        <v>1</v>
      </c>
      <c r="M1310" s="357">
        <v>1</v>
      </c>
      <c r="N1310" s="357">
        <v>0</v>
      </c>
      <c r="O1310" s="357">
        <v>0</v>
      </c>
      <c r="P1310" s="357">
        <v>0</v>
      </c>
      <c r="Q1310" s="358">
        <v>0.41538461538461541</v>
      </c>
      <c r="R1310" s="359">
        <v>0.06</v>
      </c>
      <c r="S1310" s="196">
        <v>234251000</v>
      </c>
      <c r="T1310" s="196">
        <v>29400000</v>
      </c>
      <c r="U1310" s="200">
        <f t="shared" si="226"/>
        <v>71148000</v>
      </c>
      <c r="V1310" s="196">
        <v>2000000</v>
      </c>
      <c r="W1310" s="196">
        <v>23000000</v>
      </c>
      <c r="X1310" s="196">
        <v>10000000</v>
      </c>
      <c r="Y1310" s="196">
        <v>42000000</v>
      </c>
      <c r="Z1310" s="196">
        <v>101000000</v>
      </c>
      <c r="AA1310" s="198">
        <v>0.06</v>
      </c>
      <c r="AB1310" s="198">
        <v>0.01</v>
      </c>
      <c r="AC1310" s="213">
        <f t="shared" si="227"/>
        <v>174</v>
      </c>
      <c r="AD1310" s="213">
        <f t="shared" si="228"/>
        <v>680</v>
      </c>
      <c r="AE1310" s="213">
        <v>1.82</v>
      </c>
      <c r="AF1310" s="196">
        <v>-2000000</v>
      </c>
      <c r="AG1310" s="104">
        <f t="shared" si="229"/>
        <v>-6.8027210884353748E-2</v>
      </c>
      <c r="AH1310" s="104">
        <f t="shared" si="230"/>
        <v>0</v>
      </c>
      <c r="AI1310" s="195">
        <v>0.83</v>
      </c>
    </row>
    <row r="1311" spans="1:48">
      <c r="A1311">
        <v>6292</v>
      </c>
      <c r="C1311" s="107">
        <f>VLOOKUP(6292,收盤價!$A:$C,3,0)</f>
        <v>27.1</v>
      </c>
      <c r="D1311" s="107">
        <f t="shared" si="220"/>
        <v>9.2808219178082201</v>
      </c>
      <c r="E1311" s="167">
        <f t="shared" si="221"/>
        <v>2</v>
      </c>
      <c r="F1311" s="104">
        <f t="shared" si="222"/>
        <v>0.87090377362627724</v>
      </c>
      <c r="G1311" s="167">
        <f>RANK(0.84,AE:AE,0)</f>
        <v>946</v>
      </c>
      <c r="H1311" s="365">
        <f t="shared" si="223"/>
        <v>-0.34115138592750532</v>
      </c>
      <c r="I1311" s="213">
        <f t="shared" si="224"/>
        <v>833</v>
      </c>
      <c r="J1311" s="213">
        <f t="shared" si="225"/>
        <v>768</v>
      </c>
      <c r="K1311">
        <f>RANK(0.97,AI:AI,0)</f>
        <v>912</v>
      </c>
      <c r="L1311" s="357">
        <v>0</v>
      </c>
      <c r="M1311" s="357">
        <v>1</v>
      </c>
      <c r="N1311" s="357">
        <v>0</v>
      </c>
      <c r="O1311" s="357">
        <v>1</v>
      </c>
      <c r="P1311" s="357">
        <v>0</v>
      </c>
      <c r="Q1311" s="358">
        <v>0.30939226519337015</v>
      </c>
      <c r="R1311" s="359">
        <v>0.73</v>
      </c>
      <c r="S1311" s="196">
        <v>1459392000</v>
      </c>
      <c r="T1311" s="196">
        <v>46900000</v>
      </c>
      <c r="U1311" s="200">
        <f t="shared" si="226"/>
        <v>1270990000</v>
      </c>
      <c r="V1311" s="196">
        <v>0</v>
      </c>
      <c r="W1311" s="196">
        <v>615000000</v>
      </c>
      <c r="X1311" s="196">
        <v>176000000</v>
      </c>
      <c r="Y1311" s="196">
        <v>896000000</v>
      </c>
      <c r="Z1311" s="196">
        <v>184000000</v>
      </c>
      <c r="AA1311" s="198">
        <v>0</v>
      </c>
      <c r="AB1311" s="198">
        <v>0</v>
      </c>
      <c r="AC1311" s="213">
        <f t="shared" si="227"/>
        <v>945</v>
      </c>
      <c r="AD1311" s="213">
        <f t="shared" si="228"/>
        <v>911</v>
      </c>
      <c r="AE1311" s="213">
        <v>0.84</v>
      </c>
      <c r="AF1311" s="196">
        <v>16000000</v>
      </c>
      <c r="AG1311" s="104">
        <f t="shared" si="229"/>
        <v>0.34115138592750532</v>
      </c>
      <c r="AH1311" s="104">
        <f t="shared" si="230"/>
        <v>0</v>
      </c>
      <c r="AI1311" s="195">
        <v>0.97</v>
      </c>
      <c r="AO1311" s="213"/>
      <c r="AP1311" s="213"/>
      <c r="AQ1311" s="213"/>
      <c r="AR1311" s="213"/>
      <c r="AS1311" s="213"/>
      <c r="AT1311" s="213"/>
      <c r="AU1311" s="213"/>
      <c r="AV1311" s="213"/>
    </row>
    <row r="1312" spans="1:48">
      <c r="A1312" s="191">
        <v>6294</v>
      </c>
      <c r="B1312" s="151"/>
      <c r="C1312" s="192">
        <f>VLOOKUP(6294,收盤價!$A:$C,3,0)</f>
        <v>96.4</v>
      </c>
      <c r="D1312" s="192">
        <f t="shared" si="220"/>
        <v>5</v>
      </c>
      <c r="E1312" s="193">
        <f t="shared" si="221"/>
        <v>3</v>
      </c>
      <c r="F1312" s="194">
        <f t="shared" si="222"/>
        <v>2.2023324316688364</v>
      </c>
      <c r="G1312" s="193">
        <f>RANK(311.6,AE:AE,0)</f>
        <v>1</v>
      </c>
      <c r="H1312" s="366">
        <f t="shared" si="223"/>
        <v>-1.6021957653097598</v>
      </c>
      <c r="I1312" s="191">
        <f t="shared" si="224"/>
        <v>229</v>
      </c>
      <c r="J1312" s="191">
        <f t="shared" si="225"/>
        <v>700</v>
      </c>
      <c r="K1312" s="191">
        <f>RANK(1.68,AI:AI,0)</f>
        <v>465</v>
      </c>
      <c r="L1312" s="360">
        <v>1</v>
      </c>
      <c r="M1312" s="360">
        <v>1</v>
      </c>
      <c r="N1312" s="360">
        <v>0</v>
      </c>
      <c r="O1312" s="360">
        <v>1</v>
      </c>
      <c r="P1312" s="360">
        <v>0</v>
      </c>
      <c r="Q1312" s="361">
        <v>0.52727272727272723</v>
      </c>
      <c r="R1312" s="362">
        <v>4.82</v>
      </c>
      <c r="S1312" s="197">
        <v>739743000</v>
      </c>
      <c r="T1312" s="197">
        <v>16900000</v>
      </c>
      <c r="U1312" s="367">
        <f t="shared" si="226"/>
        <v>1629160000</v>
      </c>
      <c r="V1312" s="197">
        <v>83000000</v>
      </c>
      <c r="W1312" s="197">
        <v>108000000</v>
      </c>
      <c r="X1312" s="197">
        <v>29000000</v>
      </c>
      <c r="Y1312" s="197">
        <v>374000000</v>
      </c>
      <c r="Z1312" s="197">
        <v>0</v>
      </c>
      <c r="AA1312" s="199">
        <v>0.61</v>
      </c>
      <c r="AB1312" s="199">
        <v>0.22</v>
      </c>
      <c r="AC1312" s="191">
        <f t="shared" si="227"/>
        <v>4</v>
      </c>
      <c r="AD1312" s="191">
        <f t="shared" si="228"/>
        <v>1</v>
      </c>
      <c r="AE1312" s="191">
        <v>311.60000000000002</v>
      </c>
      <c r="AF1312" s="197">
        <v>34000000</v>
      </c>
      <c r="AG1312" s="194">
        <f t="shared" si="229"/>
        <v>2.0118343195266273</v>
      </c>
      <c r="AH1312" s="194">
        <f t="shared" si="230"/>
        <v>0.40963855421686746</v>
      </c>
      <c r="AI1312" s="94">
        <v>1.68</v>
      </c>
    </row>
    <row r="1313" spans="1:48">
      <c r="A1313">
        <v>6298</v>
      </c>
      <c r="C1313" s="107">
        <f>VLOOKUP(6298,收盤價!$A:$C,3,0)</f>
        <v>15.4</v>
      </c>
      <c r="D1313" s="107">
        <f t="shared" si="220"/>
        <v>19.621212121212121</v>
      </c>
      <c r="E1313" s="167">
        <f t="shared" si="221"/>
        <v>2</v>
      </c>
      <c r="F1313" s="104">
        <f t="shared" si="222"/>
        <v>0.48287174547208012</v>
      </c>
      <c r="G1313" s="167">
        <f>RANK(2.26,AE:AE,0)</f>
        <v>415</v>
      </c>
      <c r="H1313" s="365">
        <f t="shared" si="223"/>
        <v>2.9086538461538463</v>
      </c>
      <c r="I1313" s="213">
        <f t="shared" si="224"/>
        <v>452</v>
      </c>
      <c r="J1313" s="213">
        <f t="shared" si="225"/>
        <v>110</v>
      </c>
      <c r="K1313">
        <f>RANK(2.77,AI:AI,0)</f>
        <v>189</v>
      </c>
      <c r="L1313" s="357">
        <v>0</v>
      </c>
      <c r="M1313" s="357">
        <v>1</v>
      </c>
      <c r="N1313" s="357">
        <v>0</v>
      </c>
      <c r="O1313" s="357">
        <v>1</v>
      </c>
      <c r="P1313" s="357">
        <v>0</v>
      </c>
      <c r="Q1313" s="358">
        <v>0.17642276422764228</v>
      </c>
      <c r="R1313" s="359">
        <v>0.19621621621621624</v>
      </c>
      <c r="S1313" s="196">
        <v>5389837000</v>
      </c>
      <c r="T1313" s="196">
        <v>169000000</v>
      </c>
      <c r="U1313" s="200">
        <f t="shared" si="226"/>
        <v>2602600000</v>
      </c>
      <c r="V1313" s="196">
        <v>48000000</v>
      </c>
      <c r="W1313" s="196">
        <v>0</v>
      </c>
      <c r="X1313" s="196">
        <v>199000000</v>
      </c>
      <c r="Y1313" s="196">
        <v>2616000000</v>
      </c>
      <c r="Z1313" s="196">
        <v>1246000000</v>
      </c>
      <c r="AA1313" s="198">
        <v>0.24</v>
      </c>
      <c r="AB1313" s="198">
        <v>0.01</v>
      </c>
      <c r="AC1313" s="213">
        <f t="shared" si="227"/>
        <v>9</v>
      </c>
      <c r="AD1313" s="213">
        <f t="shared" si="228"/>
        <v>680</v>
      </c>
      <c r="AE1313" s="213">
        <v>2.2599999999999998</v>
      </c>
      <c r="AF1313" s="196">
        <v>195000000</v>
      </c>
      <c r="AG1313" s="104">
        <f t="shared" si="229"/>
        <v>1.1538461538461537</v>
      </c>
      <c r="AH1313" s="104">
        <f t="shared" si="230"/>
        <v>4.0625</v>
      </c>
      <c r="AI1313" s="195">
        <v>2.77</v>
      </c>
      <c r="AO1313" s="213"/>
      <c r="AP1313" s="213"/>
      <c r="AQ1313" s="213"/>
      <c r="AR1313" s="213"/>
      <c r="AS1313" s="213"/>
      <c r="AT1313" s="213"/>
      <c r="AU1313" s="213"/>
      <c r="AV1313" s="213"/>
    </row>
    <row r="1314" spans="1:48">
      <c r="A1314">
        <v>6404</v>
      </c>
      <c r="C1314" s="107">
        <f>VLOOKUP(6404,收盤價!$A:$C,3,0)</f>
        <v>16.7</v>
      </c>
      <c r="D1314" s="107">
        <f t="shared" si="220"/>
        <v>0</v>
      </c>
      <c r="E1314" s="167">
        <f t="shared" si="221"/>
        <v>1</v>
      </c>
      <c r="F1314" s="104">
        <f t="shared" si="222"/>
        <v>0.74899856218973182</v>
      </c>
      <c r="G1314" s="167">
        <f>RANK(0.84,AE:AE,0)</f>
        <v>946</v>
      </c>
      <c r="H1314" s="365">
        <f t="shared" si="223"/>
        <v>1.5039577836411608</v>
      </c>
      <c r="I1314" s="213">
        <f t="shared" si="224"/>
        <v>1480</v>
      </c>
      <c r="J1314" s="213">
        <f t="shared" si="225"/>
        <v>768</v>
      </c>
      <c r="K1314">
        <f>RANK(0.69,AI:AI,0)</f>
        <v>1474</v>
      </c>
      <c r="L1314" s="357">
        <v>0</v>
      </c>
      <c r="M1314" s="357">
        <v>0</v>
      </c>
      <c r="N1314" s="357">
        <v>1</v>
      </c>
      <c r="O1314" s="357">
        <v>0</v>
      </c>
      <c r="P1314" s="357">
        <v>0</v>
      </c>
      <c r="Q1314" s="358">
        <v>-1.3793103448275862E-2</v>
      </c>
      <c r="R1314" s="359">
        <v>0</v>
      </c>
      <c r="S1314" s="196">
        <v>845035000</v>
      </c>
      <c r="T1314" s="196">
        <v>37900000</v>
      </c>
      <c r="U1314" s="200">
        <f t="shared" si="226"/>
        <v>632930000</v>
      </c>
      <c r="V1314" s="196">
        <v>-67000000</v>
      </c>
      <c r="W1314" s="196">
        <v>583000000</v>
      </c>
      <c r="X1314" s="196">
        <v>0</v>
      </c>
      <c r="Y1314" s="196">
        <v>1331000000</v>
      </c>
      <c r="Z1314" s="196">
        <v>43000000</v>
      </c>
      <c r="AA1314" s="198">
        <v>0</v>
      </c>
      <c r="AB1314" s="198">
        <v>0</v>
      </c>
      <c r="AC1314" s="213">
        <f t="shared" si="227"/>
        <v>945</v>
      </c>
      <c r="AD1314" s="213">
        <f t="shared" si="228"/>
        <v>911</v>
      </c>
      <c r="AE1314" s="213">
        <v>0.84</v>
      </c>
      <c r="AF1314" s="196">
        <v>-57000000</v>
      </c>
      <c r="AG1314" s="104">
        <f t="shared" si="229"/>
        <v>-1.5039577836411608</v>
      </c>
      <c r="AH1314" s="104">
        <f t="shared" si="230"/>
        <v>0</v>
      </c>
      <c r="AI1314" s="195">
        <v>0.69</v>
      </c>
    </row>
    <row r="1315" spans="1:48">
      <c r="A1315">
        <v>6405</v>
      </c>
      <c r="C1315" s="107">
        <f>VLOOKUP(6405,收盤價!$A:$C,3,0)</f>
        <v>15.5</v>
      </c>
      <c r="D1315" s="107">
        <f t="shared" si="220"/>
        <v>0</v>
      </c>
      <c r="E1315" s="167">
        <f t="shared" si="221"/>
        <v>4</v>
      </c>
      <c r="F1315" s="104">
        <f t="shared" si="222"/>
        <v>1.0172318009860137</v>
      </c>
      <c r="G1315" s="167">
        <f>RANK(0.84,AE:AE,0)</f>
        <v>946</v>
      </c>
      <c r="H1315" s="365">
        <f t="shared" si="223"/>
        <v>-0.68389057750759874</v>
      </c>
      <c r="I1315" s="213">
        <f t="shared" si="224"/>
        <v>658</v>
      </c>
      <c r="J1315" s="213">
        <f t="shared" si="225"/>
        <v>768</v>
      </c>
      <c r="K1315">
        <f>RANK(1.09,AI:AI,0)</f>
        <v>803</v>
      </c>
      <c r="L1315" s="357">
        <v>0</v>
      </c>
      <c r="M1315" s="357">
        <v>1</v>
      </c>
      <c r="N1315" s="357">
        <v>2</v>
      </c>
      <c r="O1315" s="357">
        <v>1</v>
      </c>
      <c r="P1315" s="357">
        <v>0</v>
      </c>
      <c r="Q1315" s="358">
        <v>7.6923076923076927E-2</v>
      </c>
      <c r="R1315" s="359">
        <v>0</v>
      </c>
      <c r="S1315" s="196">
        <v>1002623000</v>
      </c>
      <c r="T1315" s="196">
        <v>65800000</v>
      </c>
      <c r="U1315" s="200">
        <f t="shared" si="226"/>
        <v>1019900000</v>
      </c>
      <c r="V1315" s="196">
        <v>-8000000</v>
      </c>
      <c r="W1315" s="196">
        <v>699000000</v>
      </c>
      <c r="X1315" s="196">
        <v>1855000000</v>
      </c>
      <c r="Y1315" s="196">
        <v>1858000000</v>
      </c>
      <c r="Z1315" s="196">
        <v>41000000</v>
      </c>
      <c r="AA1315" s="198">
        <v>0</v>
      </c>
      <c r="AB1315" s="198">
        <v>0</v>
      </c>
      <c r="AC1315" s="213">
        <f t="shared" si="227"/>
        <v>945</v>
      </c>
      <c r="AD1315" s="213">
        <f t="shared" si="228"/>
        <v>911</v>
      </c>
      <c r="AE1315" s="213">
        <v>0.84</v>
      </c>
      <c r="AF1315" s="196">
        <v>45000000</v>
      </c>
      <c r="AG1315" s="104">
        <f t="shared" si="229"/>
        <v>0.68389057750759874</v>
      </c>
      <c r="AH1315" s="104">
        <f t="shared" si="230"/>
        <v>0</v>
      </c>
      <c r="AI1315" s="195">
        <v>1.0900000000000001</v>
      </c>
    </row>
    <row r="1316" spans="1:48">
      <c r="A1316">
        <v>6409</v>
      </c>
      <c r="C1316" s="107">
        <f>VLOOKUP(6409,收盤價!$A:$C,3,0)</f>
        <v>483</v>
      </c>
      <c r="D1316" s="107">
        <f t="shared" si="220"/>
        <v>22.740112994350284</v>
      </c>
      <c r="E1316" s="167">
        <f t="shared" si="221"/>
        <v>3</v>
      </c>
      <c r="F1316" s="104">
        <f t="shared" si="222"/>
        <v>4.4436049280356134</v>
      </c>
      <c r="G1316" s="167">
        <f>RANK(0.84,AE:AE,0)</f>
        <v>946</v>
      </c>
      <c r="H1316" s="365">
        <f t="shared" si="223"/>
        <v>-5.9757738896366082</v>
      </c>
      <c r="I1316" s="213">
        <f t="shared" si="224"/>
        <v>23</v>
      </c>
      <c r="J1316" s="213">
        <f t="shared" si="225"/>
        <v>768</v>
      </c>
      <c r="K1316">
        <f>RANK(1.97,AI:AI,0)</f>
        <v>350</v>
      </c>
      <c r="L1316" s="357">
        <v>0</v>
      </c>
      <c r="M1316" s="357">
        <v>1</v>
      </c>
      <c r="N1316" s="357">
        <v>1</v>
      </c>
      <c r="O1316" s="357">
        <v>1</v>
      </c>
      <c r="P1316" s="357">
        <v>0</v>
      </c>
      <c r="Q1316" s="358">
        <v>0.30844793713163066</v>
      </c>
      <c r="R1316" s="359">
        <v>5.31</v>
      </c>
      <c r="S1316" s="196">
        <v>8076078000</v>
      </c>
      <c r="T1316" s="196">
        <v>74300000</v>
      </c>
      <c r="U1316" s="200">
        <f t="shared" si="226"/>
        <v>35886900000</v>
      </c>
      <c r="V1316" s="196">
        <v>0</v>
      </c>
      <c r="W1316" s="196">
        <v>2501000000</v>
      </c>
      <c r="X1316" s="196">
        <v>993000000</v>
      </c>
      <c r="Y1316" s="196">
        <v>3613000000</v>
      </c>
      <c r="Z1316" s="196">
        <v>0</v>
      </c>
      <c r="AA1316" s="198">
        <v>0</v>
      </c>
      <c r="AB1316" s="198">
        <v>0</v>
      </c>
      <c r="AC1316" s="213">
        <f t="shared" si="227"/>
        <v>945</v>
      </c>
      <c r="AD1316" s="213">
        <f t="shared" si="228"/>
        <v>911</v>
      </c>
      <c r="AE1316" s="213">
        <v>0.84</v>
      </c>
      <c r="AF1316" s="196">
        <v>444000000</v>
      </c>
      <c r="AG1316" s="104">
        <f t="shared" si="229"/>
        <v>5.9757738896366082</v>
      </c>
      <c r="AH1316" s="104">
        <f t="shared" si="230"/>
        <v>0</v>
      </c>
      <c r="AI1316" s="195">
        <v>1.97</v>
      </c>
    </row>
    <row r="1317" spans="1:48">
      <c r="A1317">
        <v>6411</v>
      </c>
      <c r="C1317" s="107">
        <f>VLOOKUP(6411,收盤價!$A:$C,3,0)</f>
        <v>52.2</v>
      </c>
      <c r="D1317" s="107">
        <f t="shared" si="220"/>
        <v>15.838327839376687</v>
      </c>
      <c r="E1317" s="167">
        <f t="shared" si="221"/>
        <v>3</v>
      </c>
      <c r="F1317" s="104">
        <f t="shared" si="222"/>
        <v>1.4873177322596336</v>
      </c>
      <c r="G1317" s="167">
        <f>RANK(3.92,AE:AE,0)</f>
        <v>209</v>
      </c>
      <c r="H1317" s="365">
        <f t="shared" si="223"/>
        <v>-0.31369077727196082</v>
      </c>
      <c r="I1317" s="213">
        <f t="shared" si="224"/>
        <v>80</v>
      </c>
      <c r="J1317" s="213">
        <f t="shared" si="225"/>
        <v>136</v>
      </c>
      <c r="K1317">
        <f>RANK(7.21,AI:AI,0)</f>
        <v>30</v>
      </c>
      <c r="L1317" s="357">
        <v>0</v>
      </c>
      <c r="M1317" s="357">
        <v>1</v>
      </c>
      <c r="N1317" s="357">
        <v>1</v>
      </c>
      <c r="O1317" s="357">
        <v>1</v>
      </c>
      <c r="P1317" s="357">
        <v>0</v>
      </c>
      <c r="Q1317" s="358">
        <v>0.33687943262411346</v>
      </c>
      <c r="R1317" s="359">
        <v>0.82395061728395058</v>
      </c>
      <c r="S1317" s="196">
        <v>2312875000</v>
      </c>
      <c r="T1317" s="196">
        <v>65900000</v>
      </c>
      <c r="U1317" s="200">
        <f t="shared" si="226"/>
        <v>3439980000</v>
      </c>
      <c r="V1317" s="196">
        <v>72000000</v>
      </c>
      <c r="W1317" s="196">
        <v>943000000</v>
      </c>
      <c r="X1317" s="196">
        <v>371000000</v>
      </c>
      <c r="Y1317" s="196">
        <v>1361000000</v>
      </c>
      <c r="Z1317" s="196">
        <v>55000000</v>
      </c>
      <c r="AA1317" s="198">
        <v>0.05</v>
      </c>
      <c r="AB1317" s="198">
        <v>0.05</v>
      </c>
      <c r="AC1317" s="213">
        <f t="shared" si="227"/>
        <v>247</v>
      </c>
      <c r="AD1317" s="213">
        <f t="shared" si="228"/>
        <v>150</v>
      </c>
      <c r="AE1317" s="213">
        <v>3.92</v>
      </c>
      <c r="AF1317" s="196">
        <v>244000000</v>
      </c>
      <c r="AG1317" s="104">
        <f t="shared" si="229"/>
        <v>3.7025796661608497</v>
      </c>
      <c r="AH1317" s="104">
        <f t="shared" si="230"/>
        <v>3.3888888888888888</v>
      </c>
      <c r="AI1317" s="195">
        <v>7.21</v>
      </c>
    </row>
    <row r="1318" spans="1:48">
      <c r="A1318">
        <v>6412</v>
      </c>
      <c r="C1318" s="107">
        <f>VLOOKUP(6412,收盤價!$A:$C,3,0)</f>
        <v>49.3</v>
      </c>
      <c r="D1318" s="107">
        <f t="shared" si="220"/>
        <v>18.101187124624627</v>
      </c>
      <c r="E1318" s="167">
        <f t="shared" si="221"/>
        <v>3</v>
      </c>
      <c r="F1318" s="104">
        <f t="shared" si="222"/>
        <v>0.6965562261705579</v>
      </c>
      <c r="G1318" s="167">
        <f>RANK(4.3,AE:AE,0)</f>
        <v>200</v>
      </c>
      <c r="H1318" s="365">
        <f t="shared" si="223"/>
        <v>0.76216216216216215</v>
      </c>
      <c r="I1318" s="213">
        <f t="shared" si="224"/>
        <v>1401</v>
      </c>
      <c r="J1318" s="213">
        <f t="shared" si="225"/>
        <v>768</v>
      </c>
      <c r="K1318">
        <f>RANK(0.72,AI:AI,0)</f>
        <v>1381</v>
      </c>
      <c r="L1318" s="357">
        <v>0</v>
      </c>
      <c r="M1318" s="357">
        <v>1</v>
      </c>
      <c r="N1318" s="357">
        <v>2</v>
      </c>
      <c r="O1318" s="357">
        <v>0</v>
      </c>
      <c r="P1318" s="357">
        <v>0</v>
      </c>
      <c r="Q1318" s="358">
        <v>0.15288537549407114</v>
      </c>
      <c r="R1318" s="359">
        <v>0.68089456869009579</v>
      </c>
      <c r="S1318" s="196">
        <v>26187405000</v>
      </c>
      <c r="T1318" s="196">
        <v>370000000</v>
      </c>
      <c r="U1318" s="200">
        <f t="shared" si="226"/>
        <v>18241000000</v>
      </c>
      <c r="V1318" s="196">
        <v>298000000</v>
      </c>
      <c r="W1318" s="196">
        <v>1627000000</v>
      </c>
      <c r="X1318" s="196">
        <v>2438000000</v>
      </c>
      <c r="Y1318" s="196">
        <v>6394000000</v>
      </c>
      <c r="Z1318" s="196">
        <v>1874000000</v>
      </c>
      <c r="AA1318" s="198">
        <v>7.0000000000000007E-2</v>
      </c>
      <c r="AB1318" s="198">
        <v>0.04</v>
      </c>
      <c r="AC1318" s="213">
        <f t="shared" si="227"/>
        <v>134</v>
      </c>
      <c r="AD1318" s="213">
        <f t="shared" si="228"/>
        <v>228</v>
      </c>
      <c r="AE1318" s="213">
        <v>4.3</v>
      </c>
      <c r="AF1318" s="196">
        <v>-282000000</v>
      </c>
      <c r="AG1318" s="104">
        <f t="shared" si="229"/>
        <v>-0.76216216216216215</v>
      </c>
      <c r="AH1318" s="104">
        <f t="shared" si="230"/>
        <v>0</v>
      </c>
      <c r="AI1318" s="195">
        <v>0.72</v>
      </c>
    </row>
    <row r="1319" spans="1:48">
      <c r="A1319">
        <v>6414</v>
      </c>
      <c r="C1319" s="107">
        <f>VLOOKUP(6414,收盤價!$A:$C,3,0)</f>
        <v>500</v>
      </c>
      <c r="D1319" s="107">
        <f t="shared" si="220"/>
        <v>36.505492625585006</v>
      </c>
      <c r="E1319" s="167">
        <f t="shared" si="221"/>
        <v>3</v>
      </c>
      <c r="F1319" s="104">
        <f t="shared" si="222"/>
        <v>2.7196352154433052</v>
      </c>
      <c r="G1319" s="167">
        <f>RANK(21.05,AE:AE,0)</f>
        <v>37</v>
      </c>
      <c r="H1319" s="365">
        <f t="shared" si="223"/>
        <v>-2.5385826721655507</v>
      </c>
      <c r="I1319" s="213">
        <f t="shared" si="224"/>
        <v>114</v>
      </c>
      <c r="J1319" s="213">
        <f t="shared" si="225"/>
        <v>684</v>
      </c>
      <c r="K1319">
        <f>RANK(1.95,AI:AI,0)</f>
        <v>358</v>
      </c>
      <c r="L1319" s="357">
        <v>1</v>
      </c>
      <c r="M1319" s="357">
        <v>1</v>
      </c>
      <c r="N1319" s="357">
        <v>0</v>
      </c>
      <c r="O1319" s="357">
        <v>1</v>
      </c>
      <c r="P1319" s="357">
        <v>0</v>
      </c>
      <c r="Q1319" s="358">
        <v>0.21958041958041957</v>
      </c>
      <c r="R1319" s="359">
        <v>3.4241422594142259</v>
      </c>
      <c r="S1319" s="196">
        <v>13071606000</v>
      </c>
      <c r="T1319" s="196">
        <v>71100000</v>
      </c>
      <c r="U1319" s="200">
        <f t="shared" si="226"/>
        <v>35550000000</v>
      </c>
      <c r="V1319" s="196">
        <v>443000000</v>
      </c>
      <c r="W1319" s="196">
        <v>2960000000</v>
      </c>
      <c r="X1319" s="196">
        <v>877000000</v>
      </c>
      <c r="Y1319" s="196">
        <v>5047000000</v>
      </c>
      <c r="Z1319" s="196">
        <v>267000000</v>
      </c>
      <c r="AA1319" s="198">
        <v>0.12</v>
      </c>
      <c r="AB1319" s="198">
        <v>0.08</v>
      </c>
      <c r="AC1319" s="213">
        <f t="shared" si="227"/>
        <v>32</v>
      </c>
      <c r="AD1319" s="213">
        <f t="shared" si="228"/>
        <v>42</v>
      </c>
      <c r="AE1319" s="213">
        <v>21.05</v>
      </c>
      <c r="AF1319" s="196">
        <v>215000000</v>
      </c>
      <c r="AG1319" s="104">
        <f t="shared" si="229"/>
        <v>3.0239099859353025</v>
      </c>
      <c r="AH1319" s="104">
        <f t="shared" si="230"/>
        <v>0.48532731376975169</v>
      </c>
      <c r="AI1319" s="195">
        <v>1.95</v>
      </c>
    </row>
    <row r="1320" spans="1:48">
      <c r="A1320">
        <v>6415</v>
      </c>
      <c r="C1320" s="107">
        <f>VLOOKUP(6415,收盤價!$A:$C,3,0)</f>
        <v>449</v>
      </c>
      <c r="D1320" s="107">
        <f t="shared" si="220"/>
        <v>24.634750438926513</v>
      </c>
      <c r="E1320" s="167">
        <f t="shared" si="221"/>
        <v>3</v>
      </c>
      <c r="F1320" s="104">
        <f t="shared" si="222"/>
        <v>5.9798610153206591</v>
      </c>
      <c r="G1320" s="167">
        <f>RANK(10.25,AE:AE,0)</f>
        <v>75</v>
      </c>
      <c r="H1320" s="365">
        <f t="shared" si="223"/>
        <v>-2.2941113945578233</v>
      </c>
      <c r="I1320" s="213">
        <f t="shared" si="224"/>
        <v>126</v>
      </c>
      <c r="J1320" s="213">
        <f t="shared" si="225"/>
        <v>653</v>
      </c>
      <c r="K1320">
        <f>RANK(2,AI:AI,0)</f>
        <v>338</v>
      </c>
      <c r="L1320" s="357">
        <v>0</v>
      </c>
      <c r="M1320" s="357">
        <v>1</v>
      </c>
      <c r="N1320" s="357">
        <v>0</v>
      </c>
      <c r="O1320" s="357">
        <v>1</v>
      </c>
      <c r="P1320" s="357">
        <v>1</v>
      </c>
      <c r="Q1320" s="358">
        <v>0.46970539188438021</v>
      </c>
      <c r="R1320" s="359">
        <v>4.5565714285714281</v>
      </c>
      <c r="S1320" s="196">
        <v>5886692000</v>
      </c>
      <c r="T1320" s="196">
        <v>78400000</v>
      </c>
      <c r="U1320" s="200">
        <f t="shared" si="226"/>
        <v>35201600000</v>
      </c>
      <c r="V1320" s="196">
        <v>384000000</v>
      </c>
      <c r="W1320" s="196">
        <v>0</v>
      </c>
      <c r="X1320" s="196">
        <v>279000000</v>
      </c>
      <c r="Y1320" s="196">
        <v>5001000000</v>
      </c>
      <c r="Z1320" s="196">
        <v>3389000000</v>
      </c>
      <c r="AA1320" s="198">
        <v>1.38</v>
      </c>
      <c r="AB1320" s="198">
        <v>0.05</v>
      </c>
      <c r="AC1320" s="213">
        <f t="shared" si="227"/>
        <v>2</v>
      </c>
      <c r="AD1320" s="213">
        <f t="shared" si="228"/>
        <v>150</v>
      </c>
      <c r="AE1320" s="213">
        <v>10.25</v>
      </c>
      <c r="AF1320" s="196">
        <v>226000000</v>
      </c>
      <c r="AG1320" s="104">
        <f t="shared" si="229"/>
        <v>2.8826530612244898</v>
      </c>
      <c r="AH1320" s="104">
        <f t="shared" si="230"/>
        <v>0.58854166666666663</v>
      </c>
      <c r="AI1320" s="195">
        <v>2</v>
      </c>
      <c r="AO1320" s="213"/>
      <c r="AP1320" s="213"/>
      <c r="AQ1320" s="213"/>
      <c r="AR1320" s="213"/>
      <c r="AS1320" s="213"/>
      <c r="AT1320" s="213"/>
      <c r="AU1320" s="213"/>
      <c r="AV1320" s="213"/>
    </row>
    <row r="1321" spans="1:48">
      <c r="A1321">
        <v>6417</v>
      </c>
      <c r="C1321" s="107">
        <f>VLOOKUP(6417,收盤價!$A:$C,3,0)</f>
        <v>33.6</v>
      </c>
      <c r="D1321" s="107">
        <f t="shared" si="220"/>
        <v>19.23076923076923</v>
      </c>
      <c r="E1321" s="167">
        <f t="shared" si="221"/>
        <v>2</v>
      </c>
      <c r="F1321" s="104">
        <f t="shared" si="222"/>
        <v>1.3128370829062062</v>
      </c>
      <c r="G1321" s="167">
        <f>RANK(1.94,AE:AE,0)</f>
        <v>435</v>
      </c>
      <c r="H1321" s="365">
        <f t="shared" si="223"/>
        <v>0.62512768130745666</v>
      </c>
      <c r="I1321" s="213">
        <f t="shared" si="224"/>
        <v>507</v>
      </c>
      <c r="J1321" s="213">
        <f t="shared" si="225"/>
        <v>338</v>
      </c>
      <c r="K1321">
        <f>RANK(1.84,AI:AI,0)</f>
        <v>398</v>
      </c>
      <c r="L1321" s="357">
        <v>0</v>
      </c>
      <c r="M1321" s="357">
        <v>1</v>
      </c>
      <c r="N1321" s="357">
        <v>0</v>
      </c>
      <c r="O1321" s="357">
        <v>1</v>
      </c>
      <c r="P1321" s="357">
        <v>0</v>
      </c>
      <c r="Q1321" s="358">
        <v>0.27586206896551724</v>
      </c>
      <c r="R1321" s="359">
        <v>0.43680000000000002</v>
      </c>
      <c r="S1321" s="196">
        <v>911126000</v>
      </c>
      <c r="T1321" s="196">
        <v>35600000</v>
      </c>
      <c r="U1321" s="200">
        <f t="shared" si="226"/>
        <v>1196160000</v>
      </c>
      <c r="V1321" s="196">
        <v>22000000</v>
      </c>
      <c r="W1321" s="196">
        <v>467000000</v>
      </c>
      <c r="X1321" s="196">
        <v>164000000</v>
      </c>
      <c r="Y1321" s="196">
        <v>656000000</v>
      </c>
      <c r="Z1321" s="196">
        <v>6000000</v>
      </c>
      <c r="AA1321" s="198">
        <v>0.03</v>
      </c>
      <c r="AB1321" s="198">
        <v>0.03</v>
      </c>
      <c r="AC1321" s="213">
        <f t="shared" si="227"/>
        <v>469</v>
      </c>
      <c r="AD1321" s="213">
        <f t="shared" si="228"/>
        <v>334</v>
      </c>
      <c r="AE1321" s="213">
        <v>1.94</v>
      </c>
      <c r="AF1321" s="196">
        <v>36000000</v>
      </c>
      <c r="AG1321" s="104">
        <f t="shared" si="229"/>
        <v>1.0112359550561798</v>
      </c>
      <c r="AH1321" s="104">
        <f t="shared" si="230"/>
        <v>1.6363636363636365</v>
      </c>
      <c r="AI1321" s="195">
        <v>1.84</v>
      </c>
    </row>
    <row r="1322" spans="1:48">
      <c r="A1322">
        <v>6419</v>
      </c>
      <c r="C1322" s="107">
        <f>VLOOKUP(6419,收盤價!$A:$C,3,0)</f>
        <v>15.25</v>
      </c>
      <c r="D1322" s="107">
        <f t="shared" si="220"/>
        <v>0</v>
      </c>
      <c r="E1322" s="167">
        <f t="shared" si="221"/>
        <v>2</v>
      </c>
      <c r="F1322" s="104">
        <f t="shared" si="222"/>
        <v>0.87752566533708232</v>
      </c>
      <c r="G1322" s="167">
        <f>RANK(0.84,AE:AE,0)</f>
        <v>946</v>
      </c>
      <c r="H1322" s="365">
        <f t="shared" si="223"/>
        <v>-0.72727272727272729</v>
      </c>
      <c r="I1322" s="213">
        <f t="shared" si="224"/>
        <v>634</v>
      </c>
      <c r="J1322" s="213">
        <f t="shared" si="225"/>
        <v>768</v>
      </c>
      <c r="K1322">
        <f>RANK(1.11,AI:AI,0)</f>
        <v>788</v>
      </c>
      <c r="L1322" s="357">
        <v>0</v>
      </c>
      <c r="M1322" s="357">
        <v>1</v>
      </c>
      <c r="N1322" s="357">
        <v>0</v>
      </c>
      <c r="O1322" s="357">
        <v>1</v>
      </c>
      <c r="P1322" s="357">
        <v>0</v>
      </c>
      <c r="Q1322" s="358">
        <v>0.69767441860465118</v>
      </c>
      <c r="R1322" s="359">
        <v>0</v>
      </c>
      <c r="S1322" s="196">
        <v>382325000</v>
      </c>
      <c r="T1322" s="196">
        <v>22000000</v>
      </c>
      <c r="U1322" s="200">
        <f t="shared" si="226"/>
        <v>335500000</v>
      </c>
      <c r="V1322" s="196">
        <v>0</v>
      </c>
      <c r="W1322" s="196">
        <v>335000000</v>
      </c>
      <c r="X1322" s="196">
        <v>8000000</v>
      </c>
      <c r="Y1322" s="196">
        <v>362000000</v>
      </c>
      <c r="Z1322" s="196">
        <v>0</v>
      </c>
      <c r="AA1322" s="198">
        <v>0</v>
      </c>
      <c r="AB1322" s="198">
        <v>0</v>
      </c>
      <c r="AC1322" s="213">
        <f t="shared" si="227"/>
        <v>945</v>
      </c>
      <c r="AD1322" s="213">
        <f t="shared" si="228"/>
        <v>911</v>
      </c>
      <c r="AE1322" s="213">
        <v>0.84</v>
      </c>
      <c r="AF1322" s="196">
        <v>16000000</v>
      </c>
      <c r="AG1322" s="104">
        <f t="shared" si="229"/>
        <v>0.72727272727272729</v>
      </c>
      <c r="AH1322" s="104">
        <f t="shared" si="230"/>
        <v>0</v>
      </c>
      <c r="AI1322" s="195">
        <v>1.1100000000000001</v>
      </c>
    </row>
    <row r="1323" spans="1:48">
      <c r="A1323">
        <v>6422</v>
      </c>
      <c r="C1323" s="107">
        <f>VLOOKUP(6422,收盤價!$A:$C,3,0)</f>
        <v>62.9</v>
      </c>
      <c r="D1323" s="107">
        <f t="shared" si="220"/>
        <v>8.6322863610639509</v>
      </c>
      <c r="E1323" s="167">
        <f t="shared" si="221"/>
        <v>2</v>
      </c>
      <c r="F1323" s="104">
        <f t="shared" si="222"/>
        <v>0.98961992898184592</v>
      </c>
      <c r="G1323" s="167">
        <f>RANK(7.87,AE:AE,0)</f>
        <v>100</v>
      </c>
      <c r="H1323" s="365">
        <f t="shared" si="223"/>
        <v>-0.18016230304466294</v>
      </c>
      <c r="I1323" s="213">
        <f t="shared" si="224"/>
        <v>862</v>
      </c>
      <c r="J1323" s="213">
        <f t="shared" si="225"/>
        <v>750</v>
      </c>
      <c r="K1323">
        <f>RANK(0.97,AI:AI,0)</f>
        <v>912</v>
      </c>
      <c r="L1323" s="357">
        <v>0</v>
      </c>
      <c r="M1323" s="357">
        <v>1</v>
      </c>
      <c r="N1323" s="357">
        <v>0</v>
      </c>
      <c r="O1323" s="357">
        <v>1</v>
      </c>
      <c r="P1323" s="357">
        <v>0</v>
      </c>
      <c r="Q1323" s="358">
        <v>0.39804241435562804</v>
      </c>
      <c r="R1323" s="359">
        <v>1.8216494845360824</v>
      </c>
      <c r="S1323" s="196">
        <v>2332643000</v>
      </c>
      <c r="T1323" s="196">
        <v>36700000</v>
      </c>
      <c r="U1323" s="200">
        <f t="shared" si="226"/>
        <v>2308430000</v>
      </c>
      <c r="V1323" s="196">
        <v>92000000</v>
      </c>
      <c r="W1323" s="196">
        <v>1011000000</v>
      </c>
      <c r="X1323" s="196">
        <v>246000000</v>
      </c>
      <c r="Y1323" s="196">
        <v>1267000000</v>
      </c>
      <c r="Z1323" s="196">
        <v>65000000</v>
      </c>
      <c r="AA1323" s="198">
        <v>7.0000000000000007E-2</v>
      </c>
      <c r="AB1323" s="198">
        <v>7.0000000000000007E-2</v>
      </c>
      <c r="AC1323" s="213">
        <f t="shared" si="227"/>
        <v>134</v>
      </c>
      <c r="AD1323" s="213">
        <f t="shared" si="228"/>
        <v>64</v>
      </c>
      <c r="AE1323" s="213">
        <v>7.87</v>
      </c>
      <c r="AF1323" s="196">
        <v>11000000</v>
      </c>
      <c r="AG1323" s="104">
        <f t="shared" si="229"/>
        <v>0.29972752043596729</v>
      </c>
      <c r="AH1323" s="104">
        <f t="shared" si="230"/>
        <v>0.11956521739130435</v>
      </c>
      <c r="AI1323" s="195">
        <v>0.97</v>
      </c>
    </row>
    <row r="1324" spans="1:48">
      <c r="A1324">
        <v>6426</v>
      </c>
      <c r="C1324" s="107">
        <f>VLOOKUP(6426,收盤價!$A:$C,3,0)</f>
        <v>35.700000000000003</v>
      </c>
      <c r="D1324" s="107">
        <f t="shared" si="220"/>
        <v>12.060810810810812</v>
      </c>
      <c r="E1324" s="167">
        <f t="shared" si="221"/>
        <v>2</v>
      </c>
      <c r="F1324" s="104">
        <f t="shared" si="222"/>
        <v>2.3542466312780728</v>
      </c>
      <c r="G1324" s="167">
        <f>RANK(0.84,AE:AE,0)</f>
        <v>946</v>
      </c>
      <c r="H1324" s="365">
        <f t="shared" si="223"/>
        <v>-1.5170278637770898</v>
      </c>
      <c r="I1324" s="213">
        <f t="shared" si="224"/>
        <v>340</v>
      </c>
      <c r="J1324" s="213">
        <f t="shared" si="225"/>
        <v>768</v>
      </c>
      <c r="K1324">
        <f>RANK(1.41,AI:AI,0)</f>
        <v>613</v>
      </c>
      <c r="L1324" s="357">
        <v>0</v>
      </c>
      <c r="M1324" s="357">
        <v>1</v>
      </c>
      <c r="N1324" s="357">
        <v>0</v>
      </c>
      <c r="O1324" s="357">
        <v>1</v>
      </c>
      <c r="P1324" s="357">
        <v>0</v>
      </c>
      <c r="Q1324" s="358">
        <v>0.45528455284552843</v>
      </c>
      <c r="R1324" s="359">
        <v>0.74</v>
      </c>
      <c r="S1324" s="196">
        <v>489800000</v>
      </c>
      <c r="T1324" s="196">
        <v>32300000</v>
      </c>
      <c r="U1324" s="200">
        <f t="shared" si="226"/>
        <v>1153110000</v>
      </c>
      <c r="V1324" s="196">
        <v>0</v>
      </c>
      <c r="W1324" s="196">
        <v>319000000</v>
      </c>
      <c r="X1324" s="196">
        <v>253000000</v>
      </c>
      <c r="Y1324" s="196">
        <v>568000000</v>
      </c>
      <c r="Z1324" s="196">
        <v>31000000</v>
      </c>
      <c r="AA1324" s="198">
        <v>0</v>
      </c>
      <c r="AB1324" s="198">
        <v>0</v>
      </c>
      <c r="AC1324" s="213">
        <f t="shared" si="227"/>
        <v>945</v>
      </c>
      <c r="AD1324" s="213">
        <f t="shared" si="228"/>
        <v>911</v>
      </c>
      <c r="AE1324" s="213">
        <v>0.84</v>
      </c>
      <c r="AF1324" s="196">
        <v>49000000</v>
      </c>
      <c r="AG1324" s="104">
        <f t="shared" si="229"/>
        <v>1.5170278637770898</v>
      </c>
      <c r="AH1324" s="104">
        <f t="shared" si="230"/>
        <v>0</v>
      </c>
      <c r="AI1324" s="195">
        <v>1.41</v>
      </c>
    </row>
    <row r="1325" spans="1:48">
      <c r="A1325">
        <v>6431</v>
      </c>
      <c r="C1325" s="107">
        <f>VLOOKUP(6431,收盤價!$A:$C,3,0)</f>
        <v>9.07</v>
      </c>
      <c r="D1325" s="107">
        <f t="shared" si="220"/>
        <v>0</v>
      </c>
      <c r="E1325" s="167">
        <f t="shared" si="221"/>
        <v>2</v>
      </c>
      <c r="F1325" s="104">
        <f t="shared" si="222"/>
        <v>1.4059864361837744</v>
      </c>
      <c r="G1325" s="167">
        <f>RANK(0.51,AE:AE,0)</f>
        <v>1523</v>
      </c>
      <c r="H1325" s="365">
        <f t="shared" si="223"/>
        <v>-0.21929824561403508</v>
      </c>
      <c r="I1325" s="213">
        <f t="shared" si="224"/>
        <v>918</v>
      </c>
      <c r="J1325" s="213">
        <f t="shared" si="225"/>
        <v>768</v>
      </c>
      <c r="K1325">
        <f>RANK(0.92,AI:AI,0)</f>
        <v>958</v>
      </c>
      <c r="L1325" s="357">
        <v>0</v>
      </c>
      <c r="M1325" s="357">
        <v>0</v>
      </c>
      <c r="N1325" s="357">
        <v>1</v>
      </c>
      <c r="O1325" s="357">
        <v>1</v>
      </c>
      <c r="P1325" s="357">
        <v>0</v>
      </c>
      <c r="Q1325" s="358">
        <v>-1.5185185185185186</v>
      </c>
      <c r="R1325" s="359">
        <v>0</v>
      </c>
      <c r="S1325" s="196">
        <v>294165000</v>
      </c>
      <c r="T1325" s="196">
        <v>45600000</v>
      </c>
      <c r="U1325" s="200">
        <f t="shared" si="226"/>
        <v>413592000</v>
      </c>
      <c r="V1325" s="196">
        <v>-99000000</v>
      </c>
      <c r="W1325" s="196">
        <v>502000000</v>
      </c>
      <c r="X1325" s="196">
        <v>227000000</v>
      </c>
      <c r="Y1325" s="196">
        <v>764000000</v>
      </c>
      <c r="Z1325" s="196">
        <v>0</v>
      </c>
      <c r="AA1325" s="198">
        <v>-0.14000000000000001</v>
      </c>
      <c r="AB1325" s="198">
        <v>-0.13</v>
      </c>
      <c r="AC1325" s="213">
        <f t="shared" si="227"/>
        <v>1531</v>
      </c>
      <c r="AD1325" s="213">
        <f t="shared" si="228"/>
        <v>1545</v>
      </c>
      <c r="AE1325" s="213">
        <v>0.51</v>
      </c>
      <c r="AF1325" s="196">
        <v>10000000</v>
      </c>
      <c r="AG1325" s="104">
        <f t="shared" si="229"/>
        <v>0.21929824561403508</v>
      </c>
      <c r="AH1325" s="104">
        <f t="shared" si="230"/>
        <v>0</v>
      </c>
      <c r="AI1325" s="195">
        <v>0.92</v>
      </c>
    </row>
    <row r="1326" spans="1:48">
      <c r="A1326">
        <v>6432</v>
      </c>
      <c r="C1326" s="107">
        <f>VLOOKUP(6432,收盤價!$A:$C,3,0)</f>
        <v>26.45</v>
      </c>
      <c r="D1326" s="107">
        <f t="shared" si="220"/>
        <v>10.686868686868687</v>
      </c>
      <c r="E1326" s="167">
        <f t="shared" si="221"/>
        <v>2</v>
      </c>
      <c r="F1326" s="104">
        <f t="shared" si="222"/>
        <v>0.52140776811898948</v>
      </c>
      <c r="G1326" s="167">
        <f>RANK(2.24,AE:AE,0)</f>
        <v>416</v>
      </c>
      <c r="H1326" s="365">
        <f t="shared" si="223"/>
        <v>0.20512820512820512</v>
      </c>
      <c r="I1326" s="213">
        <f t="shared" si="224"/>
        <v>1210</v>
      </c>
      <c r="J1326" s="213">
        <f t="shared" si="225"/>
        <v>768</v>
      </c>
      <c r="K1326">
        <f>RANK(0.79,AI:AI,0)</f>
        <v>1192</v>
      </c>
      <c r="L1326" s="357">
        <v>0</v>
      </c>
      <c r="M1326" s="357">
        <v>1</v>
      </c>
      <c r="N1326" s="357">
        <v>1</v>
      </c>
      <c r="O1326" s="357">
        <v>0</v>
      </c>
      <c r="P1326" s="357">
        <v>0</v>
      </c>
      <c r="Q1326" s="358">
        <v>0.25738396624472576</v>
      </c>
      <c r="R1326" s="359">
        <v>0.61875000000000002</v>
      </c>
      <c r="S1326" s="196">
        <v>989197000</v>
      </c>
      <c r="T1326" s="196">
        <v>19500000</v>
      </c>
      <c r="U1326" s="200">
        <f t="shared" si="226"/>
        <v>515775000</v>
      </c>
      <c r="V1326" s="196">
        <v>16000000</v>
      </c>
      <c r="W1326" s="196">
        <v>470000000</v>
      </c>
      <c r="X1326" s="196">
        <v>79000000</v>
      </c>
      <c r="Y1326" s="196">
        <v>414000000</v>
      </c>
      <c r="Z1326" s="196">
        <v>0</v>
      </c>
      <c r="AA1326" s="198">
        <v>0.03</v>
      </c>
      <c r="AB1326" s="198">
        <v>0.04</v>
      </c>
      <c r="AC1326" s="213">
        <f t="shared" si="227"/>
        <v>469</v>
      </c>
      <c r="AD1326" s="213">
        <f t="shared" si="228"/>
        <v>228</v>
      </c>
      <c r="AE1326" s="213">
        <v>2.2400000000000002</v>
      </c>
      <c r="AF1326" s="196">
        <v>-4000000</v>
      </c>
      <c r="AG1326" s="104">
        <f t="shared" si="229"/>
        <v>-0.20512820512820512</v>
      </c>
      <c r="AH1326" s="104">
        <f t="shared" si="230"/>
        <v>0</v>
      </c>
      <c r="AI1326" s="195">
        <v>0.79</v>
      </c>
    </row>
    <row r="1327" spans="1:48">
      <c r="A1327">
        <v>6435</v>
      </c>
      <c r="C1327" s="107">
        <f>VLOOKUP(6435,收盤價!$A:$C,3,0)</f>
        <v>39.25</v>
      </c>
      <c r="D1327" s="107">
        <f t="shared" si="220"/>
        <v>20.084064327485383</v>
      </c>
      <c r="E1327" s="167">
        <f t="shared" si="221"/>
        <v>1</v>
      </c>
      <c r="F1327" s="104">
        <f t="shared" si="222"/>
        <v>0.90749219672314918</v>
      </c>
      <c r="G1327" s="167">
        <f>RANK(1.94,AE:AE,0)</f>
        <v>435</v>
      </c>
      <c r="H1327" s="365">
        <f t="shared" si="223"/>
        <v>0.24242424242424243</v>
      </c>
      <c r="I1327" s="213">
        <f t="shared" si="224"/>
        <v>1240</v>
      </c>
      <c r="J1327" s="213">
        <f t="shared" si="225"/>
        <v>768</v>
      </c>
      <c r="K1327">
        <f>RANK(0.78,AI:AI,0)</f>
        <v>1217</v>
      </c>
      <c r="L1327" s="357">
        <v>0</v>
      </c>
      <c r="M1327" s="357">
        <v>1</v>
      </c>
      <c r="N1327" s="357">
        <v>0</v>
      </c>
      <c r="O1327" s="357">
        <v>0</v>
      </c>
      <c r="P1327" s="357">
        <v>0</v>
      </c>
      <c r="Q1327" s="358">
        <v>0.17499999999999999</v>
      </c>
      <c r="R1327" s="359">
        <v>0.48857142857142849</v>
      </c>
      <c r="S1327" s="196">
        <v>1427285000</v>
      </c>
      <c r="T1327" s="196">
        <v>33000000</v>
      </c>
      <c r="U1327" s="200">
        <f t="shared" si="226"/>
        <v>1295250000</v>
      </c>
      <c r="V1327" s="196">
        <v>17000000</v>
      </c>
      <c r="W1327" s="196">
        <v>496000000</v>
      </c>
      <c r="X1327" s="196">
        <v>41000000</v>
      </c>
      <c r="Y1327" s="196">
        <v>560000000</v>
      </c>
      <c r="Z1327" s="196">
        <v>0</v>
      </c>
      <c r="AA1327" s="198">
        <v>0.03</v>
      </c>
      <c r="AB1327" s="198">
        <v>0.03</v>
      </c>
      <c r="AC1327" s="213">
        <f t="shared" si="227"/>
        <v>469</v>
      </c>
      <c r="AD1327" s="213">
        <f t="shared" si="228"/>
        <v>334</v>
      </c>
      <c r="AE1327" s="213">
        <v>1.94</v>
      </c>
      <c r="AF1327" s="196">
        <v>-8000000</v>
      </c>
      <c r="AG1327" s="104">
        <f t="shared" si="229"/>
        <v>-0.24242424242424243</v>
      </c>
      <c r="AH1327" s="104">
        <f t="shared" si="230"/>
        <v>0</v>
      </c>
      <c r="AI1327" s="195">
        <v>0.78</v>
      </c>
      <c r="AO1327" s="213"/>
      <c r="AP1327" s="213"/>
      <c r="AQ1327" s="213"/>
      <c r="AR1327" s="213"/>
      <c r="AS1327" s="213"/>
      <c r="AT1327" s="213"/>
      <c r="AU1327" s="213"/>
      <c r="AV1327" s="213"/>
    </row>
    <row r="1328" spans="1:48">
      <c r="A1328">
        <v>6442</v>
      </c>
      <c r="C1328" s="107">
        <f>VLOOKUP(6442,收盤價!$A:$C,3,0)</f>
        <v>47.85</v>
      </c>
      <c r="D1328" s="107">
        <f t="shared" si="220"/>
        <v>9.3773154362416111</v>
      </c>
      <c r="E1328" s="167">
        <f t="shared" si="221"/>
        <v>2</v>
      </c>
      <c r="F1328" s="104">
        <f t="shared" si="222"/>
        <v>0.70047578943539401</v>
      </c>
      <c r="G1328" s="167">
        <f>RANK(5.79,AE:AE,0)</f>
        <v>129</v>
      </c>
      <c r="H1328" s="365">
        <f t="shared" si="223"/>
        <v>-1.3347763347763351</v>
      </c>
      <c r="I1328" s="213">
        <f t="shared" si="224"/>
        <v>136</v>
      </c>
      <c r="J1328" s="213">
        <f t="shared" si="225"/>
        <v>389</v>
      </c>
      <c r="K1328">
        <f>RANK(2.97,AI:AI,0)</f>
        <v>171</v>
      </c>
      <c r="L1328" s="357">
        <v>0</v>
      </c>
      <c r="M1328" s="357">
        <v>1</v>
      </c>
      <c r="N1328" s="357">
        <v>0</v>
      </c>
      <c r="O1328" s="357">
        <v>1</v>
      </c>
      <c r="P1328" s="357">
        <v>0</v>
      </c>
      <c r="Q1328" s="358">
        <v>0.22454545454545455</v>
      </c>
      <c r="R1328" s="359">
        <v>1.2756849315068493</v>
      </c>
      <c r="S1328" s="196">
        <v>4508507000</v>
      </c>
      <c r="T1328" s="196">
        <v>66000000</v>
      </c>
      <c r="U1328" s="200">
        <f t="shared" si="226"/>
        <v>3158100000</v>
      </c>
      <c r="V1328" s="196">
        <v>126000000</v>
      </c>
      <c r="W1328" s="196">
        <v>1726000000</v>
      </c>
      <c r="X1328" s="196">
        <v>440000000</v>
      </c>
      <c r="Y1328" s="196">
        <v>2199000000</v>
      </c>
      <c r="Z1328" s="196">
        <v>70000000</v>
      </c>
      <c r="AA1328" s="198">
        <v>0.06</v>
      </c>
      <c r="AB1328" s="198">
        <v>0.06</v>
      </c>
      <c r="AC1328" s="213">
        <f t="shared" si="227"/>
        <v>174</v>
      </c>
      <c r="AD1328" s="213">
        <f t="shared" si="228"/>
        <v>95</v>
      </c>
      <c r="AE1328" s="213">
        <v>5.79</v>
      </c>
      <c r="AF1328" s="196">
        <v>185000000</v>
      </c>
      <c r="AG1328" s="104">
        <f t="shared" si="229"/>
        <v>2.8030303030303032</v>
      </c>
      <c r="AH1328" s="104">
        <f t="shared" si="230"/>
        <v>1.4682539682539681</v>
      </c>
      <c r="AI1328" s="195">
        <v>2.97</v>
      </c>
      <c r="AO1328" s="213"/>
      <c r="AP1328" s="213"/>
      <c r="AQ1328" s="213"/>
      <c r="AR1328" s="213"/>
      <c r="AS1328" s="213"/>
      <c r="AT1328" s="213"/>
      <c r="AU1328" s="213"/>
      <c r="AV1328" s="213"/>
    </row>
    <row r="1329" spans="1:48">
      <c r="A1329">
        <v>6443</v>
      </c>
      <c r="C1329" s="107">
        <f>VLOOKUP(6443,收盤價!$A:$C,3,0)</f>
        <v>11.25</v>
      </c>
      <c r="D1329" s="107">
        <f t="shared" si="220"/>
        <v>18.094405594405593</v>
      </c>
      <c r="E1329" s="167">
        <f t="shared" si="221"/>
        <v>4</v>
      </c>
      <c r="F1329" s="104">
        <f t="shared" si="222"/>
        <v>0.59617672291209201</v>
      </c>
      <c r="G1329" s="167">
        <f>RANK(1.41,AE:AE,0)</f>
        <v>618</v>
      </c>
      <c r="H1329" s="365">
        <f t="shared" si="223"/>
        <v>3.1753325689487246</v>
      </c>
      <c r="I1329" s="213">
        <f t="shared" si="224"/>
        <v>558</v>
      </c>
      <c r="J1329" s="213">
        <f t="shared" si="225"/>
        <v>107</v>
      </c>
      <c r="K1329">
        <f>RANK(2.34,AI:AI,0)</f>
        <v>269</v>
      </c>
      <c r="L1329" s="357">
        <v>0</v>
      </c>
      <c r="M1329" s="357">
        <v>1</v>
      </c>
      <c r="N1329" s="357">
        <v>1</v>
      </c>
      <c r="O1329" s="357">
        <v>1</v>
      </c>
      <c r="P1329" s="357">
        <v>1</v>
      </c>
      <c r="Q1329" s="358">
        <v>8.4277969443075404E-2</v>
      </c>
      <c r="R1329" s="359">
        <v>0.15543478260869567</v>
      </c>
      <c r="S1329" s="196">
        <v>8055707000</v>
      </c>
      <c r="T1329" s="196">
        <v>426900000</v>
      </c>
      <c r="U1329" s="200">
        <f t="shared" si="226"/>
        <v>4802625000</v>
      </c>
      <c r="V1329" s="196">
        <v>95000000</v>
      </c>
      <c r="W1329" s="196">
        <v>783000000</v>
      </c>
      <c r="X1329" s="196">
        <v>5473000000</v>
      </c>
      <c r="Y1329" s="196">
        <v>4887000000</v>
      </c>
      <c r="Z1329" s="196">
        <v>1229000000</v>
      </c>
      <c r="AA1329" s="198">
        <v>0.02</v>
      </c>
      <c r="AB1329" s="198">
        <v>0.02</v>
      </c>
      <c r="AC1329" s="213">
        <f t="shared" si="227"/>
        <v>616</v>
      </c>
      <c r="AD1329" s="213">
        <f t="shared" si="228"/>
        <v>487</v>
      </c>
      <c r="AE1329" s="213">
        <v>1.41</v>
      </c>
      <c r="AF1329" s="196">
        <v>388000000</v>
      </c>
      <c r="AG1329" s="104">
        <f t="shared" si="229"/>
        <v>0.90887795736706489</v>
      </c>
      <c r="AH1329" s="104">
        <f t="shared" si="230"/>
        <v>4.0842105263157897</v>
      </c>
      <c r="AI1329" s="195">
        <v>2.34</v>
      </c>
    </row>
    <row r="1330" spans="1:48">
      <c r="A1330">
        <v>6446</v>
      </c>
      <c r="C1330" s="107">
        <f>VLOOKUP(6446,收盤價!$A:$C,3,0)</f>
        <v>166</v>
      </c>
      <c r="D1330" s="107">
        <f t="shared" si="220"/>
        <v>0</v>
      </c>
      <c r="E1330" s="167">
        <f t="shared" si="221"/>
        <v>3</v>
      </c>
      <c r="F1330" s="104">
        <f t="shared" si="222"/>
        <v>3640.0929820677443</v>
      </c>
      <c r="G1330" s="167">
        <f>RANK(0.51,AE:AE,0)</f>
        <v>1523</v>
      </c>
      <c r="H1330" s="365">
        <f t="shared" si="223"/>
        <v>0.78243311458859166</v>
      </c>
      <c r="I1330" s="213">
        <f t="shared" si="224"/>
        <v>1406</v>
      </c>
      <c r="J1330" s="213">
        <f t="shared" si="225"/>
        <v>768</v>
      </c>
      <c r="K1330">
        <f>RANK(0.72,AI:AI,0)</f>
        <v>1381</v>
      </c>
      <c r="L1330" s="357">
        <v>0</v>
      </c>
      <c r="M1330" s="357">
        <v>1</v>
      </c>
      <c r="N1330" s="357">
        <v>2</v>
      </c>
      <c r="O1330" s="357">
        <v>0</v>
      </c>
      <c r="P1330" s="357">
        <v>0</v>
      </c>
      <c r="Q1330" s="358">
        <v>1</v>
      </c>
      <c r="R1330" s="359">
        <v>0</v>
      </c>
      <c r="S1330" s="196">
        <v>9034000</v>
      </c>
      <c r="T1330" s="196">
        <v>198100000</v>
      </c>
      <c r="U1330" s="200">
        <f t="shared" si="226"/>
        <v>32884600000</v>
      </c>
      <c r="V1330" s="196">
        <v>-211000000</v>
      </c>
      <c r="W1330" s="196">
        <v>937000000</v>
      </c>
      <c r="X1330" s="196">
        <v>313000000</v>
      </c>
      <c r="Y1330" s="196">
        <v>1267000000</v>
      </c>
      <c r="Z1330" s="196">
        <v>6000000</v>
      </c>
      <c r="AA1330" s="198">
        <v>-0.17</v>
      </c>
      <c r="AB1330" s="198">
        <v>-0.17</v>
      </c>
      <c r="AC1330" s="213">
        <f t="shared" si="227"/>
        <v>1535</v>
      </c>
      <c r="AD1330" s="213">
        <f t="shared" si="228"/>
        <v>1550</v>
      </c>
      <c r="AE1330" s="213">
        <v>0.51</v>
      </c>
      <c r="AF1330" s="196">
        <v>-155000000</v>
      </c>
      <c r="AG1330" s="104">
        <f t="shared" si="229"/>
        <v>-0.78243311458859166</v>
      </c>
      <c r="AH1330" s="104">
        <f t="shared" si="230"/>
        <v>0</v>
      </c>
      <c r="AI1330" s="195">
        <v>0.72</v>
      </c>
      <c r="AO1330" s="213"/>
      <c r="AP1330" s="213"/>
      <c r="AQ1330" s="213"/>
      <c r="AR1330" s="213"/>
      <c r="AS1330" s="213"/>
      <c r="AT1330" s="213"/>
      <c r="AU1330" s="213"/>
      <c r="AV1330" s="213"/>
    </row>
    <row r="1331" spans="1:48">
      <c r="A1331">
        <v>6449</v>
      </c>
      <c r="C1331" s="107">
        <f>VLOOKUP(6449,收盤價!$A:$C,3,0)</f>
        <v>32.450000000000003</v>
      </c>
      <c r="D1331" s="107">
        <f t="shared" si="220"/>
        <v>11.113013698630139</v>
      </c>
      <c r="E1331" s="167">
        <f t="shared" si="221"/>
        <v>3</v>
      </c>
      <c r="F1331" s="104">
        <f t="shared" si="222"/>
        <v>1.553892056921222</v>
      </c>
      <c r="G1331" s="167">
        <f>RANK(0.84,AE:AE,0)</f>
        <v>946</v>
      </c>
      <c r="H1331" s="365">
        <f t="shared" si="223"/>
        <v>-0.53278688524590168</v>
      </c>
      <c r="I1331" s="213">
        <f t="shared" si="224"/>
        <v>728</v>
      </c>
      <c r="J1331" s="213">
        <f t="shared" si="225"/>
        <v>768</v>
      </c>
      <c r="K1331">
        <f>RANK(1.04,AI:AI,0)</f>
        <v>843</v>
      </c>
      <c r="L1331" s="357">
        <v>0</v>
      </c>
      <c r="M1331" s="357">
        <v>1</v>
      </c>
      <c r="N1331" s="357">
        <v>1</v>
      </c>
      <c r="O1331" s="357">
        <v>1</v>
      </c>
      <c r="P1331" s="357">
        <v>0</v>
      </c>
      <c r="Q1331" s="358">
        <v>0.31880108991825612</v>
      </c>
      <c r="R1331" s="359">
        <v>0.73</v>
      </c>
      <c r="S1331" s="196">
        <v>1528639000</v>
      </c>
      <c r="T1331" s="196">
        <v>73200000</v>
      </c>
      <c r="U1331" s="200">
        <f t="shared" si="226"/>
        <v>2375340000</v>
      </c>
      <c r="V1331" s="196">
        <v>0</v>
      </c>
      <c r="W1331" s="196">
        <v>256000000</v>
      </c>
      <c r="X1331" s="196">
        <v>898000000</v>
      </c>
      <c r="Y1331" s="196">
        <v>1231000000</v>
      </c>
      <c r="Z1331" s="196">
        <v>650000000</v>
      </c>
      <c r="AA1331" s="198">
        <v>0</v>
      </c>
      <c r="AB1331" s="198">
        <v>0</v>
      </c>
      <c r="AC1331" s="213">
        <f t="shared" si="227"/>
        <v>945</v>
      </c>
      <c r="AD1331" s="213">
        <f t="shared" si="228"/>
        <v>911</v>
      </c>
      <c r="AE1331" s="213">
        <v>0.84</v>
      </c>
      <c r="AF1331" s="196">
        <v>39000000</v>
      </c>
      <c r="AG1331" s="104">
        <f t="shared" si="229"/>
        <v>0.53278688524590168</v>
      </c>
      <c r="AH1331" s="104">
        <f t="shared" si="230"/>
        <v>0</v>
      </c>
      <c r="AI1331" s="195">
        <v>1.04</v>
      </c>
    </row>
    <row r="1332" spans="1:48">
      <c r="A1332">
        <v>6451</v>
      </c>
      <c r="C1332" s="107">
        <f>VLOOKUP(6451,收盤價!$A:$C,3,0)</f>
        <v>117</v>
      </c>
      <c r="D1332" s="107">
        <f t="shared" si="220"/>
        <v>13.613672476134473</v>
      </c>
      <c r="E1332" s="167">
        <f t="shared" si="221"/>
        <v>3</v>
      </c>
      <c r="F1332" s="104">
        <f t="shared" si="222"/>
        <v>2.4461023587061392</v>
      </c>
      <c r="G1332" s="167">
        <f>RANK(3.28,AE:AE,0)</f>
        <v>256</v>
      </c>
      <c r="H1332" s="365">
        <f t="shared" si="223"/>
        <v>-3.3985039525836491</v>
      </c>
      <c r="I1332" s="213">
        <f t="shared" si="224"/>
        <v>26</v>
      </c>
      <c r="J1332" s="213">
        <f t="shared" si="225"/>
        <v>207</v>
      </c>
      <c r="K1332">
        <f>RANK(6.69,AI:AI,0)</f>
        <v>35</v>
      </c>
      <c r="L1332" s="357">
        <v>0</v>
      </c>
      <c r="M1332" s="357">
        <v>1</v>
      </c>
      <c r="N1332" s="357">
        <v>1</v>
      </c>
      <c r="O1332" s="357">
        <v>1</v>
      </c>
      <c r="P1332" s="357">
        <v>0</v>
      </c>
      <c r="Q1332" s="358">
        <v>0.31587982832618028</v>
      </c>
      <c r="R1332" s="359">
        <v>2.1485752688172042</v>
      </c>
      <c r="S1332" s="196">
        <v>5041408000</v>
      </c>
      <c r="T1332" s="196">
        <v>105400000</v>
      </c>
      <c r="U1332" s="200">
        <f t="shared" si="226"/>
        <v>12331800000</v>
      </c>
      <c r="V1332" s="196">
        <v>259000000</v>
      </c>
      <c r="W1332" s="196">
        <v>4561000000</v>
      </c>
      <c r="X1332" s="196">
        <v>1039000000</v>
      </c>
      <c r="Y1332" s="196">
        <v>5832000000</v>
      </c>
      <c r="Z1332" s="196">
        <v>742000000</v>
      </c>
      <c r="AA1332" s="198">
        <v>0.05</v>
      </c>
      <c r="AB1332" s="198">
        <v>0.04</v>
      </c>
      <c r="AC1332" s="213">
        <f t="shared" si="227"/>
        <v>247</v>
      </c>
      <c r="AD1332" s="213">
        <f t="shared" si="228"/>
        <v>228</v>
      </c>
      <c r="AE1332" s="213">
        <v>3.28</v>
      </c>
      <c r="AF1332" s="196">
        <v>604000000</v>
      </c>
      <c r="AG1332" s="104">
        <f t="shared" si="229"/>
        <v>5.730550284629981</v>
      </c>
      <c r="AH1332" s="104">
        <f t="shared" si="230"/>
        <v>2.3320463320463318</v>
      </c>
      <c r="AI1332" s="195">
        <v>6.69</v>
      </c>
      <c r="AO1332" s="213"/>
      <c r="AP1332" s="213"/>
      <c r="AQ1332" s="213"/>
      <c r="AR1332" s="213"/>
      <c r="AS1332" s="213"/>
      <c r="AT1332" s="213"/>
      <c r="AU1332" s="213"/>
      <c r="AV1332" s="213"/>
    </row>
    <row r="1333" spans="1:48">
      <c r="A1333">
        <v>6452</v>
      </c>
      <c r="C1333" s="107">
        <f>VLOOKUP(6452,收盤價!$A:$C,3,0)</f>
        <v>490.5</v>
      </c>
      <c r="D1333" s="107">
        <f t="shared" si="220"/>
        <v>36.574474624894698</v>
      </c>
      <c r="E1333" s="167">
        <f t="shared" si="221"/>
        <v>3</v>
      </c>
      <c r="F1333" s="104">
        <f t="shared" si="222"/>
        <v>7.1519341571171084</v>
      </c>
      <c r="G1333" s="167">
        <f>RANK(4.81,AE:AE,0)</f>
        <v>170</v>
      </c>
      <c r="H1333" s="365">
        <f t="shared" si="223"/>
        <v>-2.7681778297747877</v>
      </c>
      <c r="I1333" s="213">
        <f t="shared" si="224"/>
        <v>83</v>
      </c>
      <c r="J1333" s="213">
        <f t="shared" si="225"/>
        <v>558</v>
      </c>
      <c r="K1333">
        <f>RANK(2.43,AI:AI,0)</f>
        <v>252</v>
      </c>
      <c r="L1333" s="357">
        <v>0</v>
      </c>
      <c r="M1333" s="357">
        <v>0</v>
      </c>
      <c r="N1333" s="357">
        <v>2</v>
      </c>
      <c r="O1333" s="357">
        <v>1</v>
      </c>
      <c r="P1333" s="357">
        <v>0</v>
      </c>
      <c r="Q1333" s="358">
        <v>0.39388489208633093</v>
      </c>
      <c r="R1333" s="359">
        <v>3.3527480916030532</v>
      </c>
      <c r="S1333" s="196">
        <v>4457885000</v>
      </c>
      <c r="T1333" s="196">
        <v>65000000</v>
      </c>
      <c r="U1333" s="200">
        <f t="shared" si="226"/>
        <v>31882500000</v>
      </c>
      <c r="V1333" s="196">
        <v>263000000</v>
      </c>
      <c r="W1333" s="196">
        <v>2596000000</v>
      </c>
      <c r="X1333" s="196">
        <v>1535000000</v>
      </c>
      <c r="Y1333" s="196">
        <v>5088000000</v>
      </c>
      <c r="Z1333" s="196">
        <v>0</v>
      </c>
      <c r="AA1333" s="198">
        <v>0.06</v>
      </c>
      <c r="AB1333" s="198">
        <v>0.05</v>
      </c>
      <c r="AC1333" s="213">
        <f t="shared" si="227"/>
        <v>174</v>
      </c>
      <c r="AD1333" s="213">
        <f t="shared" si="228"/>
        <v>150</v>
      </c>
      <c r="AE1333" s="213">
        <v>4.8099999999999996</v>
      </c>
      <c r="AF1333" s="196">
        <v>239000000</v>
      </c>
      <c r="AG1333" s="104">
        <f t="shared" si="229"/>
        <v>3.6769230769230767</v>
      </c>
      <c r="AH1333" s="104">
        <f t="shared" si="230"/>
        <v>0.90874524714828897</v>
      </c>
      <c r="AI1333" s="195">
        <v>2.4300000000000002</v>
      </c>
      <c r="AO1333" s="213"/>
      <c r="AP1333" s="213"/>
      <c r="AQ1333" s="213"/>
      <c r="AR1333" s="213"/>
      <c r="AS1333" s="213"/>
      <c r="AT1333" s="213"/>
      <c r="AU1333" s="213"/>
      <c r="AV1333" s="213"/>
    </row>
    <row r="1334" spans="1:48">
      <c r="A1334">
        <v>6456</v>
      </c>
      <c r="C1334" s="107">
        <f>VLOOKUP(6456,收盤價!$A:$C,3,0)</f>
        <v>86.9</v>
      </c>
      <c r="D1334" s="107">
        <f t="shared" si="220"/>
        <v>0</v>
      </c>
      <c r="E1334" s="167">
        <f t="shared" si="221"/>
        <v>0</v>
      </c>
      <c r="F1334" s="104">
        <f t="shared" si="222"/>
        <v>0.28868109355679017</v>
      </c>
      <c r="G1334" s="167">
        <f>RANK(0.57,AE:AE,0)</f>
        <v>1389</v>
      </c>
      <c r="H1334" s="365">
        <f t="shared" si="223"/>
        <v>0.85621970920840063</v>
      </c>
      <c r="I1334" s="213">
        <f t="shared" si="224"/>
        <v>1422</v>
      </c>
      <c r="J1334" s="213">
        <f t="shared" si="225"/>
        <v>768</v>
      </c>
      <c r="K1334">
        <f>RANK(0.71,AI:AI,0)</f>
        <v>1412</v>
      </c>
      <c r="L1334" s="357">
        <v>0</v>
      </c>
      <c r="M1334" s="357">
        <v>0</v>
      </c>
      <c r="N1334" s="357">
        <v>0</v>
      </c>
      <c r="O1334" s="357">
        <v>0</v>
      </c>
      <c r="P1334" s="357">
        <v>0</v>
      </c>
      <c r="Q1334" s="358">
        <v>4.2789069337741903E-2</v>
      </c>
      <c r="R1334" s="359">
        <v>0</v>
      </c>
      <c r="S1334" s="196">
        <v>93166995000</v>
      </c>
      <c r="T1334" s="196">
        <v>309500000</v>
      </c>
      <c r="U1334" s="200">
        <f t="shared" si="226"/>
        <v>26895550000</v>
      </c>
      <c r="V1334" s="196">
        <v>-287000000</v>
      </c>
      <c r="W1334" s="196">
        <v>0</v>
      </c>
      <c r="X1334" s="196">
        <v>13738000000</v>
      </c>
      <c r="Y1334" s="196">
        <v>10455000000</v>
      </c>
      <c r="Z1334" s="196">
        <v>5637000000</v>
      </c>
      <c r="AA1334" s="198">
        <v>-0.02</v>
      </c>
      <c r="AB1334" s="198">
        <v>-0.02</v>
      </c>
      <c r="AC1334" s="213">
        <f t="shared" si="227"/>
        <v>1353</v>
      </c>
      <c r="AD1334" s="213">
        <f t="shared" si="228"/>
        <v>1388</v>
      </c>
      <c r="AE1334" s="213">
        <v>0.56999999999999995</v>
      </c>
      <c r="AF1334" s="196">
        <v>-265000000</v>
      </c>
      <c r="AG1334" s="104">
        <f t="shared" si="229"/>
        <v>-0.85621970920840063</v>
      </c>
      <c r="AH1334" s="104">
        <f t="shared" si="230"/>
        <v>0</v>
      </c>
      <c r="AI1334" s="195">
        <v>0.71</v>
      </c>
      <c r="AO1334" s="213"/>
      <c r="AP1334" s="213"/>
      <c r="AQ1334" s="213"/>
      <c r="AR1334" s="213"/>
      <c r="AS1334" s="213"/>
      <c r="AT1334" s="213"/>
      <c r="AU1334" s="213"/>
      <c r="AV1334" s="213"/>
    </row>
    <row r="1335" spans="1:48">
      <c r="A1335">
        <v>6457</v>
      </c>
      <c r="C1335" s="107">
        <f>VLOOKUP(6457,收盤價!$A:$C,3,0)</f>
        <v>32.4</v>
      </c>
      <c r="D1335" s="107">
        <f t="shared" si="220"/>
        <v>16.875</v>
      </c>
      <c r="E1335" s="167">
        <f t="shared" si="221"/>
        <v>1</v>
      </c>
      <c r="F1335" s="104">
        <f t="shared" si="222"/>
        <v>1.6426454630836989</v>
      </c>
      <c r="G1335" s="167">
        <f>RANK(0.84,AE:AE,0)</f>
        <v>946</v>
      </c>
      <c r="H1335" s="365">
        <f t="shared" si="223"/>
        <v>-3.5971223021582732E-2</v>
      </c>
      <c r="I1335" s="213">
        <f t="shared" si="224"/>
        <v>1044</v>
      </c>
      <c r="J1335" s="213">
        <f t="shared" si="225"/>
        <v>768</v>
      </c>
      <c r="K1335">
        <f>RANK(0.86,AI:AI,0)</f>
        <v>1045</v>
      </c>
      <c r="L1335" s="357">
        <v>0</v>
      </c>
      <c r="M1335" s="357">
        <v>1</v>
      </c>
      <c r="N1335" s="357">
        <v>0</v>
      </c>
      <c r="O1335" s="357">
        <v>0</v>
      </c>
      <c r="P1335" s="357">
        <v>0</v>
      </c>
      <c r="Q1335" s="358">
        <v>0.40425531914893614</v>
      </c>
      <c r="R1335" s="359">
        <v>0.48</v>
      </c>
      <c r="S1335" s="196">
        <v>548335000</v>
      </c>
      <c r="T1335" s="196">
        <v>27800000</v>
      </c>
      <c r="U1335" s="200">
        <f t="shared" si="226"/>
        <v>900720000</v>
      </c>
      <c r="V1335" s="196">
        <v>0</v>
      </c>
      <c r="W1335" s="196">
        <v>386000000</v>
      </c>
      <c r="X1335" s="196">
        <v>21000000</v>
      </c>
      <c r="Y1335" s="196">
        <v>452000000</v>
      </c>
      <c r="Z1335" s="196">
        <v>0</v>
      </c>
      <c r="AA1335" s="198">
        <v>0</v>
      </c>
      <c r="AB1335" s="198">
        <v>0</v>
      </c>
      <c r="AC1335" s="213">
        <f t="shared" si="227"/>
        <v>945</v>
      </c>
      <c r="AD1335" s="213">
        <f t="shared" si="228"/>
        <v>911</v>
      </c>
      <c r="AE1335" s="213">
        <v>0.84</v>
      </c>
      <c r="AF1335" s="196">
        <v>1000000</v>
      </c>
      <c r="AG1335" s="104">
        <f t="shared" si="229"/>
        <v>3.5971223021582732E-2</v>
      </c>
      <c r="AH1335" s="104">
        <f t="shared" si="230"/>
        <v>0</v>
      </c>
      <c r="AI1335" s="195">
        <v>0.86</v>
      </c>
    </row>
    <row r="1336" spans="1:48">
      <c r="A1336">
        <v>6462</v>
      </c>
      <c r="C1336" s="107">
        <f>VLOOKUP(6462,收盤價!$A:$C,3,0)</f>
        <v>206</v>
      </c>
      <c r="D1336" s="107">
        <f t="shared" si="220"/>
        <v>0</v>
      </c>
      <c r="E1336" s="167">
        <f t="shared" si="221"/>
        <v>3</v>
      </c>
      <c r="F1336" s="104">
        <f t="shared" si="222"/>
        <v>16.711867444591707</v>
      </c>
      <c r="G1336" s="167">
        <f>RANK(0.61,AE:AE,0)</f>
        <v>1295</v>
      </c>
      <c r="H1336" s="365">
        <f t="shared" si="223"/>
        <v>1.9186046511627908</v>
      </c>
      <c r="I1336" s="213">
        <f t="shared" si="224"/>
        <v>1509</v>
      </c>
      <c r="J1336" s="213">
        <f t="shared" si="225"/>
        <v>768</v>
      </c>
      <c r="K1336">
        <f>RANK(0.68,AI:AI,0)</f>
        <v>1507</v>
      </c>
      <c r="L1336" s="357">
        <v>0</v>
      </c>
      <c r="M1336" s="357">
        <v>1</v>
      </c>
      <c r="N1336" s="357">
        <v>1</v>
      </c>
      <c r="O1336" s="357">
        <v>0</v>
      </c>
      <c r="P1336" s="357">
        <v>1</v>
      </c>
      <c r="Q1336" s="358">
        <v>0.5</v>
      </c>
      <c r="R1336" s="359">
        <v>0</v>
      </c>
      <c r="S1336" s="196">
        <v>848068000</v>
      </c>
      <c r="T1336" s="196">
        <v>68800000</v>
      </c>
      <c r="U1336" s="200">
        <f t="shared" si="226"/>
        <v>14172800000</v>
      </c>
      <c r="V1336" s="196">
        <v>-16000000</v>
      </c>
      <c r="W1336" s="196">
        <v>1075000000</v>
      </c>
      <c r="X1336" s="196">
        <v>19000000</v>
      </c>
      <c r="Y1336" s="196">
        <v>1285000000</v>
      </c>
      <c r="Z1336" s="196">
        <v>30000000</v>
      </c>
      <c r="AA1336" s="198">
        <v>-0.01</v>
      </c>
      <c r="AB1336" s="198">
        <v>-0.01</v>
      </c>
      <c r="AC1336" s="213">
        <f t="shared" si="227"/>
        <v>1277</v>
      </c>
      <c r="AD1336" s="213">
        <f t="shared" si="228"/>
        <v>1294</v>
      </c>
      <c r="AE1336" s="213">
        <v>0.61</v>
      </c>
      <c r="AF1336" s="196">
        <v>-132000000</v>
      </c>
      <c r="AG1336" s="104">
        <f t="shared" si="229"/>
        <v>-1.9186046511627908</v>
      </c>
      <c r="AH1336" s="104">
        <f t="shared" si="230"/>
        <v>0</v>
      </c>
      <c r="AI1336" s="195">
        <v>0.68</v>
      </c>
    </row>
    <row r="1337" spans="1:48">
      <c r="A1337">
        <v>6464</v>
      </c>
      <c r="C1337" s="107">
        <f>VLOOKUP(6464,收盤價!$A:$C,3,0)</f>
        <v>129.5</v>
      </c>
      <c r="D1337" s="107">
        <f t="shared" si="220"/>
        <v>18.74183006535948</v>
      </c>
      <c r="E1337" s="167">
        <f t="shared" si="221"/>
        <v>2</v>
      </c>
      <c r="F1337" s="104">
        <f t="shared" si="222"/>
        <v>5.3591328941739418</v>
      </c>
      <c r="G1337" s="167">
        <f>RANK(5.81,AE:AE,0)</f>
        <v>128</v>
      </c>
      <c r="H1337" s="365">
        <f t="shared" si="223"/>
        <v>-1.2027850413502321</v>
      </c>
      <c r="I1337" s="213">
        <f t="shared" si="224"/>
        <v>184</v>
      </c>
      <c r="J1337" s="213">
        <f t="shared" si="225"/>
        <v>493</v>
      </c>
      <c r="K1337">
        <f>RANK(2.3,AI:AI,0)</f>
        <v>278</v>
      </c>
      <c r="L1337" s="357">
        <v>0</v>
      </c>
      <c r="M1337" s="357">
        <v>1</v>
      </c>
      <c r="N1337" s="357">
        <v>0</v>
      </c>
      <c r="O1337" s="357">
        <v>1</v>
      </c>
      <c r="P1337" s="357">
        <v>0</v>
      </c>
      <c r="Q1337" s="358">
        <v>0.52368064952638704</v>
      </c>
      <c r="R1337" s="359">
        <v>1.7274193548387096</v>
      </c>
      <c r="S1337" s="196">
        <v>3006046000</v>
      </c>
      <c r="T1337" s="196">
        <v>124400000</v>
      </c>
      <c r="U1337" s="200">
        <f t="shared" si="226"/>
        <v>16109800000</v>
      </c>
      <c r="V1337" s="196">
        <v>257000000</v>
      </c>
      <c r="W1337" s="196">
        <v>690000000</v>
      </c>
      <c r="X1337" s="196">
        <v>1640000000</v>
      </c>
      <c r="Y1337" s="196">
        <v>6252000000</v>
      </c>
      <c r="Z1337" s="196">
        <v>225000000</v>
      </c>
      <c r="AA1337" s="198">
        <v>0.11</v>
      </c>
      <c r="AB1337" s="198">
        <v>0.04</v>
      </c>
      <c r="AC1337" s="213">
        <f t="shared" si="227"/>
        <v>40</v>
      </c>
      <c r="AD1337" s="213">
        <f t="shared" si="228"/>
        <v>228</v>
      </c>
      <c r="AE1337" s="213">
        <v>5.81</v>
      </c>
      <c r="AF1337" s="196">
        <v>290000000</v>
      </c>
      <c r="AG1337" s="104">
        <f t="shared" si="229"/>
        <v>2.3311897106109325</v>
      </c>
      <c r="AH1337" s="104">
        <f t="shared" si="230"/>
        <v>1.1284046692607004</v>
      </c>
      <c r="AI1337" s="195">
        <v>2.2999999999999998</v>
      </c>
    </row>
    <row r="1338" spans="1:48">
      <c r="A1338">
        <v>6465</v>
      </c>
      <c r="C1338" s="107">
        <f>VLOOKUP(6465,收盤價!$A:$C,3,0)</f>
        <v>57.9</v>
      </c>
      <c r="D1338" s="107">
        <f t="shared" si="220"/>
        <v>15.906593406593405</v>
      </c>
      <c r="E1338" s="167">
        <f t="shared" si="221"/>
        <v>2</v>
      </c>
      <c r="F1338" s="104">
        <f t="shared" si="222"/>
        <v>3.9698072751751479</v>
      </c>
      <c r="G1338" s="167">
        <f>RANK(0.84,AE:AE,0)</f>
        <v>946</v>
      </c>
      <c r="H1338" s="365">
        <f t="shared" si="223"/>
        <v>1.1363636363636365</v>
      </c>
      <c r="I1338" s="213">
        <f t="shared" si="224"/>
        <v>1455</v>
      </c>
      <c r="J1338" s="213">
        <f t="shared" si="225"/>
        <v>768</v>
      </c>
      <c r="K1338">
        <f>RANK(0.7,AI:AI,0)</f>
        <v>1442</v>
      </c>
      <c r="L1338" s="357">
        <v>0</v>
      </c>
      <c r="M1338" s="357">
        <v>1</v>
      </c>
      <c r="N1338" s="357">
        <v>0</v>
      </c>
      <c r="O1338" s="357">
        <v>0</v>
      </c>
      <c r="P1338" s="357">
        <v>1</v>
      </c>
      <c r="Q1338" s="358">
        <v>0.58823529411764708</v>
      </c>
      <c r="R1338" s="359">
        <v>0.91</v>
      </c>
      <c r="S1338" s="196">
        <v>320872000</v>
      </c>
      <c r="T1338" s="196">
        <v>22000000</v>
      </c>
      <c r="U1338" s="200">
        <f t="shared" si="226"/>
        <v>1273800000</v>
      </c>
      <c r="V1338" s="196">
        <v>0</v>
      </c>
      <c r="W1338" s="196">
        <v>381000000</v>
      </c>
      <c r="X1338" s="196">
        <v>4000000</v>
      </c>
      <c r="Y1338" s="196">
        <v>399000000</v>
      </c>
      <c r="Z1338" s="196">
        <v>0</v>
      </c>
      <c r="AA1338" s="198">
        <v>0</v>
      </c>
      <c r="AB1338" s="198">
        <v>0</v>
      </c>
      <c r="AC1338" s="213">
        <f t="shared" si="227"/>
        <v>945</v>
      </c>
      <c r="AD1338" s="213">
        <f t="shared" si="228"/>
        <v>911</v>
      </c>
      <c r="AE1338" s="213">
        <v>0.84</v>
      </c>
      <c r="AF1338" s="196">
        <v>-25000000</v>
      </c>
      <c r="AG1338" s="104">
        <f t="shared" si="229"/>
        <v>-1.1363636363636365</v>
      </c>
      <c r="AH1338" s="104">
        <f t="shared" si="230"/>
        <v>0</v>
      </c>
      <c r="AI1338" s="195">
        <v>0.7</v>
      </c>
      <c r="AO1338" s="213"/>
      <c r="AP1338" s="213"/>
      <c r="AQ1338" s="213"/>
      <c r="AR1338" s="213"/>
      <c r="AS1338" s="213"/>
      <c r="AT1338" s="213"/>
      <c r="AU1338" s="213"/>
      <c r="AV1338" s="213"/>
    </row>
    <row r="1339" spans="1:48">
      <c r="A1339">
        <v>6469</v>
      </c>
      <c r="C1339" s="107">
        <f>VLOOKUP(6469,收盤價!$A:$C,3,0)</f>
        <v>72.7</v>
      </c>
      <c r="D1339" s="107">
        <f t="shared" si="220"/>
        <v>40.46382189239332</v>
      </c>
      <c r="E1339" s="167">
        <f t="shared" si="221"/>
        <v>0</v>
      </c>
      <c r="F1339" s="104">
        <f t="shared" si="222"/>
        <v>0.73288538831398231</v>
      </c>
      <c r="G1339" s="167">
        <f>RANK(1.41,AE:AE,0)</f>
        <v>618</v>
      </c>
      <c r="H1339" s="365">
        <f t="shared" si="223"/>
        <v>0.9486166007905138</v>
      </c>
      <c r="I1339" s="213">
        <f t="shared" si="224"/>
        <v>1433</v>
      </c>
      <c r="J1339" s="213">
        <f t="shared" si="225"/>
        <v>768</v>
      </c>
      <c r="K1339">
        <f>RANK(0.71,AI:AI,0)</f>
        <v>1412</v>
      </c>
      <c r="L1339" s="357">
        <v>0</v>
      </c>
      <c r="M1339" s="357">
        <v>0</v>
      </c>
      <c r="N1339" s="357">
        <v>0</v>
      </c>
      <c r="O1339" s="357">
        <v>0</v>
      </c>
      <c r="P1339" s="357">
        <v>0</v>
      </c>
      <c r="Q1339" s="358">
        <v>0.22995461422087746</v>
      </c>
      <c r="R1339" s="359">
        <v>0.44916666666666671</v>
      </c>
      <c r="S1339" s="196">
        <v>2509683000</v>
      </c>
      <c r="T1339" s="196">
        <v>25300000</v>
      </c>
      <c r="U1339" s="200">
        <f t="shared" si="226"/>
        <v>1839310000</v>
      </c>
      <c r="V1339" s="196">
        <v>14000000</v>
      </c>
      <c r="W1339" s="196">
        <v>444000000</v>
      </c>
      <c r="X1339" s="196">
        <v>164000000</v>
      </c>
      <c r="Y1339" s="196">
        <v>682000000</v>
      </c>
      <c r="Z1339" s="196">
        <v>0</v>
      </c>
      <c r="AA1339" s="198">
        <v>0.02</v>
      </c>
      <c r="AB1339" s="198">
        <v>0.02</v>
      </c>
      <c r="AC1339" s="213">
        <f t="shared" si="227"/>
        <v>616</v>
      </c>
      <c r="AD1339" s="213">
        <f t="shared" si="228"/>
        <v>487</v>
      </c>
      <c r="AE1339" s="213">
        <v>1.41</v>
      </c>
      <c r="AF1339" s="196">
        <v>-24000000</v>
      </c>
      <c r="AG1339" s="104">
        <f t="shared" si="229"/>
        <v>-0.9486166007905138</v>
      </c>
      <c r="AH1339" s="104">
        <f t="shared" si="230"/>
        <v>0</v>
      </c>
      <c r="AI1339" s="195">
        <v>0.71</v>
      </c>
    </row>
    <row r="1340" spans="1:48">
      <c r="A1340">
        <v>6470</v>
      </c>
      <c r="C1340" s="107">
        <f>VLOOKUP(6470,收盤價!$A:$C,3,0)</f>
        <v>48.2</v>
      </c>
      <c r="D1340" s="107">
        <f t="shared" si="220"/>
        <v>10.126050420168069</v>
      </c>
      <c r="E1340" s="167">
        <f t="shared" si="221"/>
        <v>3</v>
      </c>
      <c r="F1340" s="104">
        <f t="shared" si="222"/>
        <v>0.83821243278621493</v>
      </c>
      <c r="G1340" s="167">
        <f>RANK(8.11,AE:AE,0)</f>
        <v>90</v>
      </c>
      <c r="H1340" s="365">
        <f t="shared" si="223"/>
        <v>0.63897763578274758</v>
      </c>
      <c r="I1340" s="213">
        <f t="shared" si="224"/>
        <v>1380</v>
      </c>
      <c r="J1340" s="213">
        <f t="shared" si="225"/>
        <v>768</v>
      </c>
      <c r="K1340">
        <f>RANK(0.73,AI:AI,0)</f>
        <v>1352</v>
      </c>
      <c r="L1340" s="357">
        <v>0</v>
      </c>
      <c r="M1340" s="357">
        <v>1</v>
      </c>
      <c r="N1340" s="357">
        <v>2</v>
      </c>
      <c r="O1340" s="357">
        <v>0</v>
      </c>
      <c r="P1340" s="357">
        <v>0</v>
      </c>
      <c r="Q1340" s="358">
        <v>0.2</v>
      </c>
      <c r="R1340" s="359">
        <v>1.19</v>
      </c>
      <c r="S1340" s="196">
        <v>1799854000</v>
      </c>
      <c r="T1340" s="196">
        <v>31300000</v>
      </c>
      <c r="U1340" s="200">
        <f t="shared" si="226"/>
        <v>1508660000</v>
      </c>
      <c r="V1340" s="196">
        <v>43000000</v>
      </c>
      <c r="W1340" s="196">
        <v>470000000</v>
      </c>
      <c r="X1340" s="196">
        <v>66000000</v>
      </c>
      <c r="Y1340" s="196">
        <v>542000000</v>
      </c>
      <c r="Z1340" s="196">
        <v>165000000</v>
      </c>
      <c r="AA1340" s="198">
        <v>0.08</v>
      </c>
      <c r="AB1340" s="198">
        <v>0.06</v>
      </c>
      <c r="AC1340" s="213">
        <f t="shared" si="227"/>
        <v>97</v>
      </c>
      <c r="AD1340" s="213">
        <f t="shared" si="228"/>
        <v>95</v>
      </c>
      <c r="AE1340" s="213">
        <v>8.11</v>
      </c>
      <c r="AF1340" s="196">
        <v>-20000000</v>
      </c>
      <c r="AG1340" s="104">
        <f t="shared" si="229"/>
        <v>-0.63897763578274758</v>
      </c>
      <c r="AH1340" s="104">
        <f t="shared" si="230"/>
        <v>0</v>
      </c>
      <c r="AI1340" s="195">
        <v>0.73</v>
      </c>
    </row>
    <row r="1341" spans="1:48">
      <c r="A1341">
        <v>6477</v>
      </c>
      <c r="C1341" s="107">
        <f>VLOOKUP(6477,收盤價!$A:$C,3,0)</f>
        <v>18.05</v>
      </c>
      <c r="D1341" s="107">
        <f t="shared" si="220"/>
        <v>50.138888888888886</v>
      </c>
      <c r="E1341" s="167">
        <f t="shared" si="221"/>
        <v>0</v>
      </c>
      <c r="F1341" s="104">
        <f t="shared" si="222"/>
        <v>1.1813427067406157</v>
      </c>
      <c r="G1341" s="167">
        <f>RANK(1.68,AE:AE,0)</f>
        <v>535</v>
      </c>
      <c r="H1341" s="365">
        <f t="shared" si="223"/>
        <v>1.3793103448275863</v>
      </c>
      <c r="I1341" s="213">
        <f t="shared" si="224"/>
        <v>1469</v>
      </c>
      <c r="J1341" s="213">
        <f t="shared" si="225"/>
        <v>768</v>
      </c>
      <c r="K1341">
        <f>RANK(0.7,AI:AI,0)</f>
        <v>1442</v>
      </c>
      <c r="L1341" s="357">
        <v>0</v>
      </c>
      <c r="M1341" s="357">
        <v>0</v>
      </c>
      <c r="N1341" s="357">
        <v>0</v>
      </c>
      <c r="O1341" s="357">
        <v>0</v>
      </c>
      <c r="P1341" s="357">
        <v>0</v>
      </c>
      <c r="Q1341" s="358">
        <v>0.11178247734138973</v>
      </c>
      <c r="R1341" s="359">
        <v>9.0000000000000011E-2</v>
      </c>
      <c r="S1341" s="196">
        <v>1240673000</v>
      </c>
      <c r="T1341" s="196">
        <v>81200000</v>
      </c>
      <c r="U1341" s="200">
        <f t="shared" si="226"/>
        <v>1465660000</v>
      </c>
      <c r="V1341" s="196">
        <v>26000000</v>
      </c>
      <c r="W1341" s="196">
        <v>0</v>
      </c>
      <c r="X1341" s="196">
        <v>525000000</v>
      </c>
      <c r="Y1341" s="196">
        <v>1382000000</v>
      </c>
      <c r="Z1341" s="196">
        <v>412000000</v>
      </c>
      <c r="AA1341" s="198">
        <v>0.05</v>
      </c>
      <c r="AB1341" s="198">
        <v>0.01</v>
      </c>
      <c r="AC1341" s="213">
        <f t="shared" si="227"/>
        <v>247</v>
      </c>
      <c r="AD1341" s="213">
        <f t="shared" si="228"/>
        <v>680</v>
      </c>
      <c r="AE1341" s="213">
        <v>1.68</v>
      </c>
      <c r="AF1341" s="196">
        <v>-112000000</v>
      </c>
      <c r="AG1341" s="104">
        <f t="shared" si="229"/>
        <v>-1.3793103448275863</v>
      </c>
      <c r="AH1341" s="104">
        <f t="shared" si="230"/>
        <v>0</v>
      </c>
      <c r="AI1341" s="195">
        <v>0.7</v>
      </c>
    </row>
    <row r="1342" spans="1:48">
      <c r="A1342">
        <v>6482</v>
      </c>
      <c r="C1342" s="107">
        <f>VLOOKUP(6482,收盤價!$A:$C,3,0)</f>
        <v>61.2</v>
      </c>
      <c r="D1342" s="107">
        <f t="shared" si="220"/>
        <v>38.25</v>
      </c>
      <c r="E1342" s="167">
        <f t="shared" si="221"/>
        <v>0</v>
      </c>
      <c r="F1342" s="104">
        <f t="shared" si="222"/>
        <v>2.2018993431786806</v>
      </c>
      <c r="G1342" s="167">
        <f>RANK(1.94,AE:AE,0)</f>
        <v>435</v>
      </c>
      <c r="H1342" s="365">
        <f t="shared" si="223"/>
        <v>0.78682170542635665</v>
      </c>
      <c r="I1342" s="213">
        <f t="shared" si="224"/>
        <v>143</v>
      </c>
      <c r="J1342" s="213">
        <f t="shared" si="225"/>
        <v>131</v>
      </c>
      <c r="K1342">
        <f>RANK(5.69,AI:AI,0)</f>
        <v>53</v>
      </c>
      <c r="L1342" s="357">
        <v>0</v>
      </c>
      <c r="M1342" s="357">
        <v>0</v>
      </c>
      <c r="N1342" s="357">
        <v>0</v>
      </c>
      <c r="O1342" s="357">
        <v>0</v>
      </c>
      <c r="P1342" s="357">
        <v>0</v>
      </c>
      <c r="Q1342" s="358">
        <v>0.97169811320754718</v>
      </c>
      <c r="R1342" s="359">
        <v>0.4</v>
      </c>
      <c r="S1342" s="196">
        <v>358545000</v>
      </c>
      <c r="T1342" s="196">
        <v>12900000</v>
      </c>
      <c r="U1342" s="200">
        <f t="shared" si="226"/>
        <v>789480000</v>
      </c>
      <c r="V1342" s="196">
        <v>10000000</v>
      </c>
      <c r="W1342" s="196">
        <v>307000000</v>
      </c>
      <c r="X1342" s="196">
        <v>64000000</v>
      </c>
      <c r="Y1342" s="196">
        <v>357000000</v>
      </c>
      <c r="Z1342" s="196">
        <v>0</v>
      </c>
      <c r="AA1342" s="198">
        <v>0.03</v>
      </c>
      <c r="AB1342" s="198">
        <v>0.03</v>
      </c>
      <c r="AC1342" s="213">
        <f t="shared" si="227"/>
        <v>469</v>
      </c>
      <c r="AD1342" s="213">
        <f t="shared" si="228"/>
        <v>334</v>
      </c>
      <c r="AE1342" s="213">
        <v>1.94</v>
      </c>
      <c r="AF1342" s="196">
        <v>35000000</v>
      </c>
      <c r="AG1342" s="104">
        <f t="shared" si="229"/>
        <v>2.7131782945736433</v>
      </c>
      <c r="AH1342" s="104">
        <f t="shared" si="230"/>
        <v>3.5</v>
      </c>
      <c r="AI1342" s="195">
        <v>5.69</v>
      </c>
      <c r="AO1342" s="213"/>
      <c r="AP1342" s="213"/>
      <c r="AQ1342" s="213"/>
      <c r="AR1342" s="213"/>
      <c r="AS1342" s="213"/>
      <c r="AT1342" s="213"/>
      <c r="AU1342" s="213"/>
      <c r="AV1342" s="213"/>
    </row>
    <row r="1343" spans="1:48">
      <c r="A1343">
        <v>6485</v>
      </c>
      <c r="C1343" s="107">
        <f>VLOOKUP(6485,收盤價!$A:$C,3,0)</f>
        <v>56.5</v>
      </c>
      <c r="D1343" s="107">
        <f t="shared" si="220"/>
        <v>6.8236714975845416</v>
      </c>
      <c r="E1343" s="167">
        <f t="shared" si="221"/>
        <v>3</v>
      </c>
      <c r="F1343" s="104">
        <f t="shared" si="222"/>
        <v>1.1182903588304343</v>
      </c>
      <c r="G1343" s="167">
        <f>RANK(5.79,AE:AE,0)</f>
        <v>129</v>
      </c>
      <c r="H1343" s="365">
        <f t="shared" si="223"/>
        <v>-1.3598901098901102</v>
      </c>
      <c r="I1343" s="213">
        <f t="shared" si="224"/>
        <v>155</v>
      </c>
      <c r="J1343" s="213">
        <f t="shared" si="225"/>
        <v>454</v>
      </c>
      <c r="K1343">
        <f>RANK(2.56,AI:AI,0)</f>
        <v>223</v>
      </c>
      <c r="L1343" s="357">
        <v>1</v>
      </c>
      <c r="M1343" s="357">
        <v>1</v>
      </c>
      <c r="N1343" s="357">
        <v>0</v>
      </c>
      <c r="O1343" s="357">
        <v>0</v>
      </c>
      <c r="P1343" s="357">
        <v>1</v>
      </c>
      <c r="Q1343" s="358">
        <v>0.40121580547112462</v>
      </c>
      <c r="R1343" s="359">
        <v>2.0699999999999998</v>
      </c>
      <c r="S1343" s="196">
        <v>1237827000</v>
      </c>
      <c r="T1343" s="196">
        <v>24500000</v>
      </c>
      <c r="U1343" s="200">
        <f t="shared" si="226"/>
        <v>1384250000</v>
      </c>
      <c r="V1343" s="196">
        <v>52000000</v>
      </c>
      <c r="W1343" s="196">
        <v>716000000</v>
      </c>
      <c r="X1343" s="196">
        <v>92000000</v>
      </c>
      <c r="Y1343" s="196">
        <v>876000000</v>
      </c>
      <c r="Z1343" s="196">
        <v>68000000</v>
      </c>
      <c r="AA1343" s="198">
        <v>0.06</v>
      </c>
      <c r="AB1343" s="198">
        <v>0.06</v>
      </c>
      <c r="AC1343" s="213">
        <f t="shared" si="227"/>
        <v>174</v>
      </c>
      <c r="AD1343" s="213">
        <f t="shared" si="228"/>
        <v>95</v>
      </c>
      <c r="AE1343" s="213">
        <v>5.79</v>
      </c>
      <c r="AF1343" s="196">
        <v>63000000</v>
      </c>
      <c r="AG1343" s="104">
        <f t="shared" si="229"/>
        <v>2.5714285714285716</v>
      </c>
      <c r="AH1343" s="104">
        <f t="shared" si="230"/>
        <v>1.2115384615384615</v>
      </c>
      <c r="AI1343" s="195">
        <v>2.56</v>
      </c>
    </row>
    <row r="1344" spans="1:48">
      <c r="A1344">
        <v>6488</v>
      </c>
      <c r="C1344" s="107">
        <f>VLOOKUP(6488,收盤價!$A:$C,3,0)</f>
        <v>77.8</v>
      </c>
      <c r="D1344" s="107">
        <f t="shared" si="220"/>
        <v>13.0849829879369</v>
      </c>
      <c r="E1344" s="167">
        <f t="shared" si="221"/>
        <v>1</v>
      </c>
      <c r="F1344" s="104">
        <f t="shared" si="222"/>
        <v>1.917169760520097</v>
      </c>
      <c r="G1344" s="167">
        <f>RANK(2.76,AE:AE,0)</f>
        <v>305</v>
      </c>
      <c r="H1344" s="365">
        <f t="shared" si="223"/>
        <v>0.23016517736257786</v>
      </c>
      <c r="I1344" s="213">
        <f t="shared" si="224"/>
        <v>1229</v>
      </c>
      <c r="J1344" s="213">
        <f t="shared" si="225"/>
        <v>768</v>
      </c>
      <c r="K1344">
        <f>RANK(0.78,AI:AI,0)</f>
        <v>1217</v>
      </c>
      <c r="L1344" s="357">
        <v>0</v>
      </c>
      <c r="M1344" s="357">
        <v>1</v>
      </c>
      <c r="N1344" s="357">
        <v>0</v>
      </c>
      <c r="O1344" s="357">
        <v>0</v>
      </c>
      <c r="P1344" s="357">
        <v>0</v>
      </c>
      <c r="Q1344" s="358">
        <v>0.26876761465539328</v>
      </c>
      <c r="R1344" s="359">
        <v>1.4864367816091955</v>
      </c>
      <c r="S1344" s="196">
        <v>14986435000</v>
      </c>
      <c r="T1344" s="196">
        <v>369300000</v>
      </c>
      <c r="U1344" s="200">
        <f t="shared" si="226"/>
        <v>28731540000</v>
      </c>
      <c r="V1344" s="196">
        <v>637000000</v>
      </c>
      <c r="W1344" s="196">
        <v>4315000000</v>
      </c>
      <c r="X1344" s="196">
        <v>10249000000</v>
      </c>
      <c r="Y1344" s="196">
        <v>16566000000</v>
      </c>
      <c r="Z1344" s="196">
        <v>574000000</v>
      </c>
      <c r="AA1344" s="198">
        <v>0.04</v>
      </c>
      <c r="AB1344" s="198">
        <v>0.04</v>
      </c>
      <c r="AC1344" s="213">
        <f t="shared" si="227"/>
        <v>337</v>
      </c>
      <c r="AD1344" s="213">
        <f t="shared" si="228"/>
        <v>228</v>
      </c>
      <c r="AE1344" s="213">
        <v>2.76</v>
      </c>
      <c r="AF1344" s="196">
        <v>-85000000</v>
      </c>
      <c r="AG1344" s="104">
        <f t="shared" si="229"/>
        <v>-0.23016517736257786</v>
      </c>
      <c r="AH1344" s="104">
        <f t="shared" si="230"/>
        <v>0</v>
      </c>
      <c r="AI1344" s="195">
        <v>0.78</v>
      </c>
      <c r="AO1344" s="213"/>
      <c r="AP1344" s="213"/>
      <c r="AQ1344" s="213"/>
      <c r="AR1344" s="213"/>
      <c r="AS1344" s="213"/>
      <c r="AT1344" s="213"/>
      <c r="AU1344" s="213"/>
      <c r="AV1344" s="213"/>
    </row>
    <row r="1345" spans="1:48">
      <c r="A1345">
        <v>6494</v>
      </c>
      <c r="C1345" s="107">
        <f>VLOOKUP(6494,收盤價!$A:$C,3,0)</f>
        <v>32.450000000000003</v>
      </c>
      <c r="D1345" s="107">
        <f t="shared" si="220"/>
        <v>5.6799847792998479</v>
      </c>
      <c r="E1345" s="167">
        <f t="shared" si="221"/>
        <v>2</v>
      </c>
      <c r="F1345" s="104">
        <f t="shared" si="222"/>
        <v>1.0343410280499263</v>
      </c>
      <c r="G1345" s="167">
        <f>RANK(36.23,AE:AE,0)</f>
        <v>14</v>
      </c>
      <c r="H1345" s="365">
        <f t="shared" si="223"/>
        <v>0.15037593984962405</v>
      </c>
      <c r="I1345" s="213">
        <f t="shared" si="224"/>
        <v>1177</v>
      </c>
      <c r="J1345" s="213">
        <f t="shared" si="225"/>
        <v>768</v>
      </c>
      <c r="K1345">
        <f>RANK(0.8,AI:AI,0)</f>
        <v>1168</v>
      </c>
      <c r="L1345" s="357">
        <v>1</v>
      </c>
      <c r="M1345" s="357">
        <v>1</v>
      </c>
      <c r="N1345" s="357">
        <v>0</v>
      </c>
      <c r="O1345" s="357">
        <v>0</v>
      </c>
      <c r="P1345" s="357">
        <v>0</v>
      </c>
      <c r="Q1345" s="358">
        <v>0.41417910447761191</v>
      </c>
      <c r="R1345" s="359">
        <v>1.4282608695652175</v>
      </c>
      <c r="S1345" s="196">
        <v>834512000</v>
      </c>
      <c r="T1345" s="196">
        <v>26600000</v>
      </c>
      <c r="U1345" s="200">
        <f t="shared" si="226"/>
        <v>863170000.00000012</v>
      </c>
      <c r="V1345" s="196">
        <v>45000000</v>
      </c>
      <c r="W1345" s="196">
        <v>329000000</v>
      </c>
      <c r="X1345" s="196">
        <v>54000000</v>
      </c>
      <c r="Y1345" s="196">
        <v>416000000</v>
      </c>
      <c r="Z1345" s="196">
        <v>0</v>
      </c>
      <c r="AA1345" s="198">
        <v>0.12</v>
      </c>
      <c r="AB1345" s="198">
        <v>0.11</v>
      </c>
      <c r="AC1345" s="213">
        <f t="shared" si="227"/>
        <v>32</v>
      </c>
      <c r="AD1345" s="213">
        <f t="shared" si="228"/>
        <v>11</v>
      </c>
      <c r="AE1345" s="213">
        <v>36.229999999999997</v>
      </c>
      <c r="AF1345" s="196">
        <v>-4000000</v>
      </c>
      <c r="AG1345" s="104">
        <f t="shared" si="229"/>
        <v>-0.15037593984962405</v>
      </c>
      <c r="AH1345" s="104">
        <f t="shared" si="230"/>
        <v>0</v>
      </c>
      <c r="AI1345" s="195">
        <v>0.8</v>
      </c>
    </row>
    <row r="1346" spans="1:48">
      <c r="A1346">
        <v>6496</v>
      </c>
      <c r="C1346" s="107">
        <f>VLOOKUP(6496,收盤價!$A:$C,3,0)</f>
        <v>62.7</v>
      </c>
      <c r="D1346" s="107">
        <f t="shared" ref="D1346:D1409" si="231">IF(AND(ISNUMBER(C1346),R1346&gt;0),C1346/(R1346*4),0)</f>
        <v>24.264705882352942</v>
      </c>
      <c r="E1346" s="167">
        <f t="shared" ref="E1346:E1409" si="232">SUM(L1346:P1346)</f>
        <v>3</v>
      </c>
      <c r="F1346" s="104">
        <f t="shared" ref="F1346:F1409" si="233">IF(AND(ISNUMBER(U1346),ISNUMBER(S1346)),U1346/S1346,0)</f>
        <v>2.1653226253729851</v>
      </c>
      <c r="G1346" s="167">
        <f>RANK(2.32,AE:AE,0)</f>
        <v>360</v>
      </c>
      <c r="H1346" s="365">
        <f t="shared" ref="H1346:H1409" si="234">AH1346-AG1346</f>
        <v>0.19024872343930155</v>
      </c>
      <c r="I1346" s="213">
        <f t="shared" ref="I1346:I1409" si="235">RANK(AG1346,AG:AG)</f>
        <v>531</v>
      </c>
      <c r="J1346" s="213">
        <f t="shared" ref="J1346:J1409" si="236">RANK(AH1346,AH:AH)</f>
        <v>486</v>
      </c>
      <c r="K1346">
        <f>RANK(1.53,AI:AI,0)</f>
        <v>541</v>
      </c>
      <c r="L1346" s="357">
        <v>0</v>
      </c>
      <c r="M1346" s="357">
        <v>1</v>
      </c>
      <c r="N1346" s="357">
        <v>0</v>
      </c>
      <c r="O1346" s="357">
        <v>1</v>
      </c>
      <c r="P1346" s="357">
        <v>1</v>
      </c>
      <c r="Q1346" s="358">
        <v>0.34593023255813954</v>
      </c>
      <c r="R1346" s="359">
        <v>0.64600000000000002</v>
      </c>
      <c r="S1346" s="196">
        <v>1352265000</v>
      </c>
      <c r="T1346" s="196">
        <v>46700000</v>
      </c>
      <c r="U1346" s="200">
        <f t="shared" ref="U1346:U1409" si="237">C1346*T1346</f>
        <v>2928090000</v>
      </c>
      <c r="V1346" s="196">
        <v>39000000</v>
      </c>
      <c r="W1346" s="196">
        <v>949000000</v>
      </c>
      <c r="X1346" s="196">
        <v>163000000</v>
      </c>
      <c r="Y1346" s="196">
        <v>1122000000</v>
      </c>
      <c r="Z1346" s="196">
        <v>50000000</v>
      </c>
      <c r="AA1346" s="198">
        <v>0.04</v>
      </c>
      <c r="AB1346" s="198">
        <v>0.03</v>
      </c>
      <c r="AC1346" s="213">
        <f t="shared" ref="AC1346:AC1409" si="238">RANK(AA1346,AA:AA)</f>
        <v>337</v>
      </c>
      <c r="AD1346" s="213">
        <f t="shared" ref="AD1346:AD1409" si="239">RANK(AB1346,AB:AB)</f>
        <v>334</v>
      </c>
      <c r="AE1346" s="213">
        <v>2.3199999999999998</v>
      </c>
      <c r="AF1346" s="196">
        <v>45000000</v>
      </c>
      <c r="AG1346" s="104">
        <f t="shared" ref="AG1346:AG1409" si="240">AF1346/T1346</f>
        <v>0.9635974304068522</v>
      </c>
      <c r="AH1346" s="104">
        <f t="shared" ref="AH1346:AH1409" si="241">IF(AND(AF1346&gt;0,V1346&gt;0),AF1346/V1346,0)</f>
        <v>1.1538461538461537</v>
      </c>
      <c r="AI1346" s="195">
        <v>1.53</v>
      </c>
    </row>
    <row r="1347" spans="1:48">
      <c r="A1347">
        <v>6499</v>
      </c>
      <c r="C1347" s="107">
        <f>VLOOKUP(6499,收盤價!$A:$C,3,0)</f>
        <v>164.5</v>
      </c>
      <c r="D1347" s="107">
        <f t="shared" si="231"/>
        <v>0</v>
      </c>
      <c r="E1347" s="167">
        <f t="shared" si="232"/>
        <v>0</v>
      </c>
      <c r="F1347" s="104" t="e">
        <f t="shared" si="233"/>
        <v>#DIV/0!</v>
      </c>
      <c r="G1347" s="167">
        <f>RANK(0.52,AE:AE,0)</f>
        <v>1493</v>
      </c>
      <c r="H1347" s="365">
        <f t="shared" si="234"/>
        <v>1.0430839002267573</v>
      </c>
      <c r="I1347" s="213">
        <f t="shared" si="235"/>
        <v>1442</v>
      </c>
      <c r="J1347" s="213">
        <f t="shared" si="236"/>
        <v>768</v>
      </c>
      <c r="K1347">
        <f>RANK(0.7,AI:AI,0)</f>
        <v>1442</v>
      </c>
      <c r="L1347" s="357">
        <v>0</v>
      </c>
      <c r="M1347" s="357">
        <v>0</v>
      </c>
      <c r="N1347" s="357">
        <v>0</v>
      </c>
      <c r="O1347" s="357">
        <v>0</v>
      </c>
      <c r="P1347" s="357">
        <v>0</v>
      </c>
      <c r="Q1347" s="358">
        <v>0</v>
      </c>
      <c r="R1347" s="359">
        <v>0</v>
      </c>
      <c r="S1347" s="196">
        <v>0</v>
      </c>
      <c r="T1347" s="196">
        <v>44100000</v>
      </c>
      <c r="U1347" s="200">
        <f t="shared" si="237"/>
        <v>7254450000</v>
      </c>
      <c r="V1347" s="196">
        <v>-46000000</v>
      </c>
      <c r="W1347" s="196">
        <v>745000000</v>
      </c>
      <c r="X1347" s="196">
        <v>9000000</v>
      </c>
      <c r="Y1347" s="196">
        <v>779000000</v>
      </c>
      <c r="Z1347" s="196">
        <v>0</v>
      </c>
      <c r="AA1347" s="198">
        <v>-0.06</v>
      </c>
      <c r="AB1347" s="198">
        <v>-0.06</v>
      </c>
      <c r="AC1347" s="213">
        <f t="shared" si="238"/>
        <v>1484</v>
      </c>
      <c r="AD1347" s="213">
        <f t="shared" si="239"/>
        <v>1515</v>
      </c>
      <c r="AE1347" s="213">
        <v>0.52</v>
      </c>
      <c r="AF1347" s="196">
        <v>-46000000</v>
      </c>
      <c r="AG1347" s="104">
        <f t="shared" si="240"/>
        <v>-1.0430839002267573</v>
      </c>
      <c r="AH1347" s="104">
        <f t="shared" si="241"/>
        <v>0</v>
      </c>
      <c r="AI1347" s="195">
        <v>0.7</v>
      </c>
      <c r="AO1347" s="213"/>
      <c r="AP1347" s="213"/>
      <c r="AQ1347" s="213"/>
      <c r="AR1347" s="213"/>
      <c r="AS1347" s="213"/>
      <c r="AT1347" s="213"/>
      <c r="AU1347" s="213"/>
      <c r="AV1347" s="213"/>
    </row>
    <row r="1348" spans="1:48">
      <c r="A1348">
        <v>6504</v>
      </c>
      <c r="C1348" s="107">
        <f>VLOOKUP(6504,收盤價!$A:$C,3,0)</f>
        <v>142</v>
      </c>
      <c r="D1348" s="107">
        <f t="shared" si="231"/>
        <v>19.67805151175812</v>
      </c>
      <c r="E1348" s="167">
        <f t="shared" si="232"/>
        <v>4</v>
      </c>
      <c r="F1348" s="104">
        <f t="shared" si="233"/>
        <v>1.742860311500863</v>
      </c>
      <c r="G1348" s="167">
        <f>RANK(8.11,AE:AE,0)</f>
        <v>90</v>
      </c>
      <c r="H1348" s="365">
        <f t="shared" si="234"/>
        <v>-1.8870090721590007</v>
      </c>
      <c r="I1348" s="213">
        <f t="shared" si="235"/>
        <v>112</v>
      </c>
      <c r="J1348" s="213">
        <f t="shared" si="236"/>
        <v>485</v>
      </c>
      <c r="K1348">
        <f>RANK(2.61,AI:AI,0)</f>
        <v>213</v>
      </c>
      <c r="L1348" s="357">
        <v>0</v>
      </c>
      <c r="M1348" s="357">
        <v>1</v>
      </c>
      <c r="N1348" s="357">
        <v>1</v>
      </c>
      <c r="O1348" s="357">
        <v>1</v>
      </c>
      <c r="P1348" s="357">
        <v>1</v>
      </c>
      <c r="Q1348" s="358">
        <v>0.19084967320261437</v>
      </c>
      <c r="R1348" s="359">
        <v>1.8040404040404039</v>
      </c>
      <c r="S1348" s="196">
        <v>5915104000</v>
      </c>
      <c r="T1348" s="196">
        <v>72600000</v>
      </c>
      <c r="U1348" s="200">
        <f t="shared" si="237"/>
        <v>10309200000</v>
      </c>
      <c r="V1348" s="196">
        <v>191000000</v>
      </c>
      <c r="W1348" s="196">
        <v>415000000</v>
      </c>
      <c r="X1348" s="196">
        <v>1944000000</v>
      </c>
      <c r="Y1348" s="196">
        <v>2545000000</v>
      </c>
      <c r="Z1348" s="196">
        <v>655000000</v>
      </c>
      <c r="AA1348" s="198">
        <v>0.08</v>
      </c>
      <c r="AB1348" s="198">
        <v>0.06</v>
      </c>
      <c r="AC1348" s="213">
        <f t="shared" si="238"/>
        <v>97</v>
      </c>
      <c r="AD1348" s="213">
        <f t="shared" si="239"/>
        <v>95</v>
      </c>
      <c r="AE1348" s="213">
        <v>8.11</v>
      </c>
      <c r="AF1348" s="196">
        <v>221000000</v>
      </c>
      <c r="AG1348" s="104">
        <f t="shared" si="240"/>
        <v>3.0440771349862259</v>
      </c>
      <c r="AH1348" s="104">
        <f t="shared" si="241"/>
        <v>1.1570680628272252</v>
      </c>
      <c r="AI1348" s="195">
        <v>2.61</v>
      </c>
    </row>
    <row r="1349" spans="1:48">
      <c r="A1349">
        <v>6505</v>
      </c>
      <c r="C1349" s="107">
        <f>VLOOKUP(6505,收盤價!$A:$C,3,0)</f>
        <v>103</v>
      </c>
      <c r="D1349" s="107">
        <f t="shared" si="231"/>
        <v>9.6911900219060705</v>
      </c>
      <c r="E1349" s="167">
        <f t="shared" si="232"/>
        <v>3</v>
      </c>
      <c r="F1349" s="104">
        <f t="shared" si="233"/>
        <v>1.77098762192863</v>
      </c>
      <c r="G1349" s="167">
        <f>RANK(30.55,AE:AE,0)</f>
        <v>20</v>
      </c>
      <c r="H1349" s="365">
        <f t="shared" si="234"/>
        <v>-1.7760613618670338</v>
      </c>
      <c r="I1349" s="213">
        <f t="shared" si="235"/>
        <v>159</v>
      </c>
      <c r="J1349" s="213">
        <f t="shared" si="236"/>
        <v>605</v>
      </c>
      <c r="K1349">
        <f>RANK(2.04,AI:AI,0)</f>
        <v>323</v>
      </c>
      <c r="L1349" s="357">
        <v>1</v>
      </c>
      <c r="M1349" s="357">
        <v>1</v>
      </c>
      <c r="N1349" s="357">
        <v>0</v>
      </c>
      <c r="O1349" s="357">
        <v>1</v>
      </c>
      <c r="P1349" s="357">
        <v>0</v>
      </c>
      <c r="Q1349" s="358">
        <v>0.23569016402747034</v>
      </c>
      <c r="R1349" s="359">
        <v>2.6570524302788843</v>
      </c>
      <c r="S1349" s="196">
        <v>554028717000</v>
      </c>
      <c r="T1349" s="196">
        <v>9526000000</v>
      </c>
      <c r="U1349" s="200">
        <f t="shared" si="237"/>
        <v>981178000000</v>
      </c>
      <c r="V1349" s="196">
        <v>31211000000</v>
      </c>
      <c r="W1349" s="196">
        <v>154493000000</v>
      </c>
      <c r="X1349" s="196">
        <v>123975000000</v>
      </c>
      <c r="Y1349" s="196">
        <v>262443000000</v>
      </c>
      <c r="Z1349" s="196">
        <v>29829000000</v>
      </c>
      <c r="AA1349" s="198">
        <v>0.11</v>
      </c>
      <c r="AB1349" s="198">
        <v>0.11</v>
      </c>
      <c r="AC1349" s="213">
        <f t="shared" si="238"/>
        <v>40</v>
      </c>
      <c r="AD1349" s="213">
        <f t="shared" si="239"/>
        <v>11</v>
      </c>
      <c r="AE1349" s="213">
        <v>30.55</v>
      </c>
      <c r="AF1349" s="196">
        <v>24351000000</v>
      </c>
      <c r="AG1349" s="104">
        <f t="shared" si="240"/>
        <v>2.5562670585765273</v>
      </c>
      <c r="AH1349" s="104">
        <f t="shared" si="241"/>
        <v>0.78020569670949347</v>
      </c>
      <c r="AI1349" s="195">
        <v>2.04</v>
      </c>
      <c r="AO1349" s="213"/>
      <c r="AP1349" s="213"/>
      <c r="AQ1349" s="213"/>
      <c r="AR1349" s="213"/>
      <c r="AS1349" s="213"/>
      <c r="AT1349" s="213"/>
      <c r="AU1349" s="213"/>
      <c r="AV1349" s="213"/>
    </row>
    <row r="1350" spans="1:48">
      <c r="A1350" s="213">
        <v>6506</v>
      </c>
      <c r="C1350" s="107">
        <f>VLOOKUP(6506,收盤價!$A:$C,3,0)</f>
        <v>21.9</v>
      </c>
      <c r="D1350" s="107">
        <f t="shared" si="231"/>
        <v>7.7143719806763276</v>
      </c>
      <c r="E1350" s="167">
        <f t="shared" si="232"/>
        <v>2</v>
      </c>
      <c r="F1350" s="104">
        <f t="shared" si="233"/>
        <v>0.85181830187277663</v>
      </c>
      <c r="G1350" s="167">
        <f>RANK(3.92,AE:AE,0)</f>
        <v>209</v>
      </c>
      <c r="H1350" s="365">
        <f t="shared" si="234"/>
        <v>8.4656479994022593E-2</v>
      </c>
      <c r="I1350" s="213">
        <f t="shared" si="235"/>
        <v>382</v>
      </c>
      <c r="J1350" s="213">
        <f t="shared" si="236"/>
        <v>394</v>
      </c>
      <c r="K1350" s="213">
        <f>RANK(2.01,AI:AI,0)</f>
        <v>332</v>
      </c>
      <c r="L1350" s="357">
        <v>0</v>
      </c>
      <c r="M1350" s="357">
        <v>1</v>
      </c>
      <c r="N1350" s="357">
        <v>0</v>
      </c>
      <c r="O1350" s="357">
        <v>1</v>
      </c>
      <c r="P1350" s="357">
        <v>0</v>
      </c>
      <c r="Q1350" s="358">
        <v>0.21340388007054673</v>
      </c>
      <c r="R1350" s="359">
        <v>0.70971428571428574</v>
      </c>
      <c r="S1350" s="196">
        <v>1938512000</v>
      </c>
      <c r="T1350" s="196">
        <v>75400000</v>
      </c>
      <c r="U1350" s="200">
        <f t="shared" si="237"/>
        <v>1651260000</v>
      </c>
      <c r="V1350" s="196">
        <v>71000000</v>
      </c>
      <c r="W1350" s="196">
        <v>310000000</v>
      </c>
      <c r="X1350" s="196">
        <v>1054000000</v>
      </c>
      <c r="Y1350" s="196">
        <v>1136000000</v>
      </c>
      <c r="Z1350" s="196">
        <v>202000000</v>
      </c>
      <c r="AA1350" s="198">
        <v>0.05</v>
      </c>
      <c r="AB1350" s="198">
        <v>0.05</v>
      </c>
      <c r="AC1350" s="213">
        <f t="shared" si="238"/>
        <v>247</v>
      </c>
      <c r="AD1350" s="213">
        <f t="shared" si="239"/>
        <v>150</v>
      </c>
      <c r="AE1350" s="213">
        <v>3.92</v>
      </c>
      <c r="AF1350" s="196">
        <v>103000000</v>
      </c>
      <c r="AG1350" s="104">
        <f t="shared" si="240"/>
        <v>1.3660477453580901</v>
      </c>
      <c r="AH1350" s="104">
        <f t="shared" si="241"/>
        <v>1.4507042253521127</v>
      </c>
      <c r="AI1350" s="195">
        <v>2.0099999999999998</v>
      </c>
      <c r="AO1350" s="213"/>
      <c r="AP1350" s="213"/>
      <c r="AQ1350" s="213"/>
      <c r="AR1350" s="213"/>
      <c r="AS1350" s="213"/>
      <c r="AT1350" s="213"/>
      <c r="AU1350" s="213"/>
      <c r="AV1350" s="213"/>
    </row>
    <row r="1351" spans="1:48">
      <c r="A1351">
        <v>6508</v>
      </c>
      <c r="C1351" s="107">
        <f>VLOOKUP(6508,收盤價!$A:$C,3,0)</f>
        <v>26.3</v>
      </c>
      <c r="D1351" s="107">
        <f t="shared" si="231"/>
        <v>10.132705479452056</v>
      </c>
      <c r="E1351" s="167">
        <f t="shared" si="232"/>
        <v>1</v>
      </c>
      <c r="F1351" s="104">
        <f t="shared" si="233"/>
        <v>0.93611255815825301</v>
      </c>
      <c r="G1351" s="167">
        <f>RANK(2.32,AE:AE,0)</f>
        <v>360</v>
      </c>
      <c r="H1351" s="365">
        <f t="shared" si="234"/>
        <v>0.22613065326633167</v>
      </c>
      <c r="I1351" s="213">
        <f t="shared" si="235"/>
        <v>1226</v>
      </c>
      <c r="J1351" s="213">
        <f t="shared" si="236"/>
        <v>768</v>
      </c>
      <c r="K1351">
        <f>RANK(0.78,AI:AI,0)</f>
        <v>1217</v>
      </c>
      <c r="L1351" s="357">
        <v>0</v>
      </c>
      <c r="M1351" s="357">
        <v>0</v>
      </c>
      <c r="N1351" s="357">
        <v>1</v>
      </c>
      <c r="O1351" s="357">
        <v>0</v>
      </c>
      <c r="P1351" s="357">
        <v>0</v>
      </c>
      <c r="Q1351" s="358">
        <v>0.24512534818941503</v>
      </c>
      <c r="R1351" s="359">
        <v>0.64888888888888885</v>
      </c>
      <c r="S1351" s="196">
        <v>2236355000</v>
      </c>
      <c r="T1351" s="196">
        <v>79600000</v>
      </c>
      <c r="U1351" s="200">
        <f t="shared" si="237"/>
        <v>2093480000</v>
      </c>
      <c r="V1351" s="196">
        <v>75000000</v>
      </c>
      <c r="W1351" s="196">
        <v>1138000000</v>
      </c>
      <c r="X1351" s="196">
        <v>766000000</v>
      </c>
      <c r="Y1351" s="196">
        <v>2013000000</v>
      </c>
      <c r="Z1351" s="196">
        <v>459000000</v>
      </c>
      <c r="AA1351" s="198">
        <v>0.04</v>
      </c>
      <c r="AB1351" s="198">
        <v>0.03</v>
      </c>
      <c r="AC1351" s="213">
        <f t="shared" si="238"/>
        <v>337</v>
      </c>
      <c r="AD1351" s="213">
        <f t="shared" si="239"/>
        <v>334</v>
      </c>
      <c r="AE1351" s="213">
        <v>2.3199999999999998</v>
      </c>
      <c r="AF1351" s="196">
        <v>-18000000</v>
      </c>
      <c r="AG1351" s="104">
        <f t="shared" si="240"/>
        <v>-0.22613065326633167</v>
      </c>
      <c r="AH1351" s="104">
        <f t="shared" si="241"/>
        <v>0</v>
      </c>
      <c r="AI1351" s="195">
        <v>0.78</v>
      </c>
      <c r="AO1351" s="213"/>
      <c r="AP1351" s="213"/>
      <c r="AQ1351" s="213"/>
      <c r="AR1351" s="213"/>
      <c r="AS1351" s="213"/>
      <c r="AT1351" s="213"/>
      <c r="AU1351" s="213"/>
      <c r="AV1351" s="213"/>
    </row>
    <row r="1352" spans="1:48">
      <c r="A1352">
        <v>6509</v>
      </c>
      <c r="C1352" s="107">
        <f>VLOOKUP(6509,收盤價!$A:$C,3,0)</f>
        <v>17.899999999999999</v>
      </c>
      <c r="D1352" s="107">
        <f t="shared" si="231"/>
        <v>20.883333333333329</v>
      </c>
      <c r="E1352" s="167">
        <f t="shared" si="232"/>
        <v>1</v>
      </c>
      <c r="F1352" s="104">
        <f t="shared" si="233"/>
        <v>0.94330406319423787</v>
      </c>
      <c r="G1352" s="167">
        <f>RANK(1.2,AE:AE,0)</f>
        <v>710</v>
      </c>
      <c r="H1352" s="365">
        <f t="shared" si="234"/>
        <v>0.78255528255528262</v>
      </c>
      <c r="I1352" s="213">
        <f t="shared" si="235"/>
        <v>805</v>
      </c>
      <c r="J1352" s="213">
        <f t="shared" si="236"/>
        <v>467</v>
      </c>
      <c r="K1352">
        <f>RANK(1.22,AI:AI,0)</f>
        <v>726</v>
      </c>
      <c r="L1352" s="357">
        <v>0</v>
      </c>
      <c r="M1352" s="357">
        <v>1</v>
      </c>
      <c r="N1352" s="357">
        <v>0</v>
      </c>
      <c r="O1352" s="357">
        <v>0</v>
      </c>
      <c r="P1352" s="357">
        <v>0</v>
      </c>
      <c r="Q1352" s="358">
        <v>0.22802547770700637</v>
      </c>
      <c r="R1352" s="359">
        <v>0.2142857142857143</v>
      </c>
      <c r="S1352" s="196">
        <v>3089269000</v>
      </c>
      <c r="T1352" s="196">
        <v>162800000</v>
      </c>
      <c r="U1352" s="200">
        <f t="shared" si="237"/>
        <v>2914120000</v>
      </c>
      <c r="V1352" s="196">
        <v>55000000</v>
      </c>
      <c r="W1352" s="196">
        <v>472000000</v>
      </c>
      <c r="X1352" s="196">
        <v>2556000000</v>
      </c>
      <c r="Y1352" s="196">
        <v>2548000000</v>
      </c>
      <c r="Z1352" s="196">
        <v>1445000000</v>
      </c>
      <c r="AA1352" s="198">
        <v>0.02</v>
      </c>
      <c r="AB1352" s="198">
        <v>0.01</v>
      </c>
      <c r="AC1352" s="213">
        <f t="shared" si="238"/>
        <v>616</v>
      </c>
      <c r="AD1352" s="213">
        <f t="shared" si="239"/>
        <v>680</v>
      </c>
      <c r="AE1352" s="213">
        <v>1.2</v>
      </c>
      <c r="AF1352" s="196">
        <v>65000000</v>
      </c>
      <c r="AG1352" s="104">
        <f t="shared" si="240"/>
        <v>0.39926289926289926</v>
      </c>
      <c r="AH1352" s="104">
        <f t="shared" si="241"/>
        <v>1.1818181818181819</v>
      </c>
      <c r="AI1352" s="195">
        <v>1.22</v>
      </c>
    </row>
    <row r="1353" spans="1:48">
      <c r="A1353">
        <v>6510</v>
      </c>
      <c r="C1353" s="107">
        <f>VLOOKUP(6510,收盤價!$A:$C,3,0)</f>
        <v>1095</v>
      </c>
      <c r="D1353" s="107">
        <f t="shared" si="231"/>
        <v>56.505270092226617</v>
      </c>
      <c r="E1353" s="167">
        <f t="shared" si="232"/>
        <v>3</v>
      </c>
      <c r="F1353" s="104">
        <f t="shared" si="233"/>
        <v>15.144894963332254</v>
      </c>
      <c r="G1353" s="167">
        <f>RANK(11.21,AE:AE,0)</f>
        <v>64</v>
      </c>
      <c r="H1353" s="365">
        <f t="shared" si="234"/>
        <v>-2.4870129870129869</v>
      </c>
      <c r="I1353" s="213">
        <f t="shared" si="235"/>
        <v>120</v>
      </c>
      <c r="J1353" s="213">
        <f t="shared" si="236"/>
        <v>677</v>
      </c>
      <c r="K1353">
        <f>RANK(1.95,AI:AI,0)</f>
        <v>358</v>
      </c>
      <c r="L1353" s="357">
        <v>0</v>
      </c>
      <c r="M1353" s="357">
        <v>1</v>
      </c>
      <c r="N1353" s="357">
        <v>1</v>
      </c>
      <c r="O1353" s="357">
        <v>1</v>
      </c>
      <c r="P1353" s="357">
        <v>0</v>
      </c>
      <c r="Q1353" s="358">
        <v>0.50230414746543783</v>
      </c>
      <c r="R1353" s="359">
        <v>4.8446808510638295</v>
      </c>
      <c r="S1353" s="196">
        <v>2226889000</v>
      </c>
      <c r="T1353" s="196">
        <v>30800000</v>
      </c>
      <c r="U1353" s="200">
        <f t="shared" si="237"/>
        <v>33726000000</v>
      </c>
      <c r="V1353" s="196">
        <v>184000000</v>
      </c>
      <c r="W1353" s="196">
        <v>1455000000</v>
      </c>
      <c r="X1353" s="196">
        <v>865000000</v>
      </c>
      <c r="Y1353" s="196">
        <v>2376000000</v>
      </c>
      <c r="Z1353" s="196">
        <v>0</v>
      </c>
      <c r="AA1353" s="198">
        <v>0.08</v>
      </c>
      <c r="AB1353" s="198">
        <v>0.08</v>
      </c>
      <c r="AC1353" s="213">
        <f t="shared" si="238"/>
        <v>97</v>
      </c>
      <c r="AD1353" s="213">
        <f t="shared" si="239"/>
        <v>42</v>
      </c>
      <c r="AE1353" s="213">
        <v>11.21</v>
      </c>
      <c r="AF1353" s="196">
        <v>92000000</v>
      </c>
      <c r="AG1353" s="104">
        <f t="shared" si="240"/>
        <v>2.9870129870129869</v>
      </c>
      <c r="AH1353" s="104">
        <f t="shared" si="241"/>
        <v>0.5</v>
      </c>
      <c r="AI1353" s="195">
        <v>1.95</v>
      </c>
    </row>
    <row r="1354" spans="1:48">
      <c r="A1354">
        <v>6512</v>
      </c>
      <c r="C1354" s="107">
        <f>VLOOKUP(6512,收盤價!$A:$C,3,0)</f>
        <v>41.15</v>
      </c>
      <c r="D1354" s="107">
        <f t="shared" si="231"/>
        <v>22.574451410658309</v>
      </c>
      <c r="E1354" s="167">
        <f t="shared" si="232"/>
        <v>0</v>
      </c>
      <c r="F1354" s="104">
        <f t="shared" si="233"/>
        <v>1.7120893897888743</v>
      </c>
      <c r="G1354" s="167">
        <f>RANK(1.63,AE:AE,0)</f>
        <v>551</v>
      </c>
      <c r="H1354" s="365">
        <f t="shared" si="234"/>
        <v>1.0833333333333335</v>
      </c>
      <c r="I1354" s="213">
        <f t="shared" si="235"/>
        <v>512</v>
      </c>
      <c r="J1354" s="213">
        <f t="shared" si="236"/>
        <v>251</v>
      </c>
      <c r="K1354">
        <f>RANK(2.04,AI:AI,0)</f>
        <v>323</v>
      </c>
      <c r="L1354" s="357">
        <v>0</v>
      </c>
      <c r="M1354" s="357">
        <v>0</v>
      </c>
      <c r="N1354" s="357">
        <v>0</v>
      </c>
      <c r="O1354" s="357">
        <v>0</v>
      </c>
      <c r="P1354" s="357">
        <v>0</v>
      </c>
      <c r="Q1354" s="358">
        <v>0.30188679245283018</v>
      </c>
      <c r="R1354" s="359">
        <v>0.45571428571428568</v>
      </c>
      <c r="S1354" s="196">
        <v>600874000</v>
      </c>
      <c r="T1354" s="196">
        <v>25000000</v>
      </c>
      <c r="U1354" s="200">
        <f t="shared" si="237"/>
        <v>1028750000</v>
      </c>
      <c r="V1354" s="196">
        <v>12000000</v>
      </c>
      <c r="W1354" s="196">
        <v>370000000</v>
      </c>
      <c r="X1354" s="196">
        <v>104000000</v>
      </c>
      <c r="Y1354" s="196">
        <v>485000000</v>
      </c>
      <c r="Z1354" s="196">
        <v>0</v>
      </c>
      <c r="AA1354" s="198">
        <v>0.03</v>
      </c>
      <c r="AB1354" s="198">
        <v>0.02</v>
      </c>
      <c r="AC1354" s="213">
        <f t="shared" si="238"/>
        <v>469</v>
      </c>
      <c r="AD1354" s="213">
        <f t="shared" si="239"/>
        <v>487</v>
      </c>
      <c r="AE1354" s="213">
        <v>1.63</v>
      </c>
      <c r="AF1354" s="196">
        <v>25000000</v>
      </c>
      <c r="AG1354" s="104">
        <f t="shared" si="240"/>
        <v>1</v>
      </c>
      <c r="AH1354" s="104">
        <f t="shared" si="241"/>
        <v>2.0833333333333335</v>
      </c>
      <c r="AI1354" s="195">
        <v>2.04</v>
      </c>
    </row>
    <row r="1355" spans="1:48">
      <c r="A1355">
        <v>6514</v>
      </c>
      <c r="C1355" s="107">
        <f>VLOOKUP(6514,收盤價!$A:$C,3,0)</f>
        <v>32.799999999999997</v>
      </c>
      <c r="D1355" s="107">
        <f t="shared" si="231"/>
        <v>41.87234042553191</v>
      </c>
      <c r="E1355" s="167">
        <f t="shared" si="232"/>
        <v>2</v>
      </c>
      <c r="F1355" s="104">
        <f t="shared" si="233"/>
        <v>1.282867015850359</v>
      </c>
      <c r="G1355" s="167">
        <f>RANK(1.08,AE:AE,0)</f>
        <v>769</v>
      </c>
      <c r="H1355" s="365">
        <f t="shared" si="234"/>
        <v>4.8989690721649479</v>
      </c>
      <c r="I1355" s="213">
        <f t="shared" si="235"/>
        <v>283</v>
      </c>
      <c r="J1355" s="213">
        <f t="shared" si="236"/>
        <v>64</v>
      </c>
      <c r="K1355">
        <f>RANK(4.49,AI:AI,0)</f>
        <v>84</v>
      </c>
      <c r="L1355" s="357">
        <v>0</v>
      </c>
      <c r="M1355" s="357">
        <v>1</v>
      </c>
      <c r="N1355" s="357">
        <v>0</v>
      </c>
      <c r="O1355" s="357">
        <v>1</v>
      </c>
      <c r="P1355" s="357">
        <v>0</v>
      </c>
      <c r="Q1355" s="358">
        <v>0.1875</v>
      </c>
      <c r="R1355" s="359">
        <v>0.19583333333333333</v>
      </c>
      <c r="S1355" s="196">
        <v>496014000</v>
      </c>
      <c r="T1355" s="196">
        <v>19400000</v>
      </c>
      <c r="U1355" s="200">
        <f t="shared" si="237"/>
        <v>636320000</v>
      </c>
      <c r="V1355" s="196">
        <v>5000000</v>
      </c>
      <c r="W1355" s="196">
        <v>329000000</v>
      </c>
      <c r="X1355" s="196">
        <v>153000000</v>
      </c>
      <c r="Y1355" s="196">
        <v>492000000</v>
      </c>
      <c r="Z1355" s="196">
        <v>0</v>
      </c>
      <c r="AA1355" s="198">
        <v>0.01</v>
      </c>
      <c r="AB1355" s="198">
        <v>0.01</v>
      </c>
      <c r="AC1355" s="213">
        <f t="shared" si="238"/>
        <v>769</v>
      </c>
      <c r="AD1355" s="213">
        <f t="shared" si="239"/>
        <v>680</v>
      </c>
      <c r="AE1355" s="213">
        <v>1.08</v>
      </c>
      <c r="AF1355" s="196">
        <v>33000000</v>
      </c>
      <c r="AG1355" s="104">
        <f t="shared" si="240"/>
        <v>1.7010309278350515</v>
      </c>
      <c r="AH1355" s="104">
        <f t="shared" si="241"/>
        <v>6.6</v>
      </c>
      <c r="AI1355" s="195">
        <v>4.49</v>
      </c>
    </row>
    <row r="1356" spans="1:48">
      <c r="A1356">
        <v>6523</v>
      </c>
      <c r="C1356" s="107">
        <f>VLOOKUP(6523,收盤價!$A:$C,3,0)</f>
        <v>209</v>
      </c>
      <c r="D1356" s="107">
        <f t="shared" si="231"/>
        <v>30.555555555555557</v>
      </c>
      <c r="E1356" s="167">
        <f t="shared" si="232"/>
        <v>2</v>
      </c>
      <c r="F1356" s="104">
        <f t="shared" si="233"/>
        <v>9.0999144405361729</v>
      </c>
      <c r="G1356" s="167">
        <f>RANK(0.84,AE:AE,0)</f>
        <v>946</v>
      </c>
      <c r="H1356" s="365">
        <f t="shared" si="234"/>
        <v>-0.80786026200873362</v>
      </c>
      <c r="I1356" s="213">
        <f t="shared" si="235"/>
        <v>605</v>
      </c>
      <c r="J1356" s="213">
        <f t="shared" si="236"/>
        <v>768</v>
      </c>
      <c r="K1356">
        <f>RANK(1.13,AI:AI,0)</f>
        <v>777</v>
      </c>
      <c r="L1356" s="357">
        <v>0</v>
      </c>
      <c r="M1356" s="357">
        <v>1</v>
      </c>
      <c r="N1356" s="357">
        <v>1</v>
      </c>
      <c r="O1356" s="357">
        <v>0</v>
      </c>
      <c r="P1356" s="357">
        <v>0</v>
      </c>
      <c r="Q1356" s="358">
        <v>0.69485294117647056</v>
      </c>
      <c r="R1356" s="359">
        <v>1.71</v>
      </c>
      <c r="S1356" s="196">
        <v>1051900000</v>
      </c>
      <c r="T1356" s="196">
        <v>45800000</v>
      </c>
      <c r="U1356" s="200">
        <f t="shared" si="237"/>
        <v>9572200000</v>
      </c>
      <c r="V1356" s="196">
        <v>0</v>
      </c>
      <c r="W1356" s="196">
        <v>1820000000</v>
      </c>
      <c r="X1356" s="196">
        <v>12000000</v>
      </c>
      <c r="Y1356" s="196">
        <v>1880000000</v>
      </c>
      <c r="Z1356" s="196">
        <v>0</v>
      </c>
      <c r="AA1356" s="198">
        <v>0</v>
      </c>
      <c r="AB1356" s="198">
        <v>0</v>
      </c>
      <c r="AC1356" s="213">
        <f t="shared" si="238"/>
        <v>945</v>
      </c>
      <c r="AD1356" s="213">
        <f t="shared" si="239"/>
        <v>911</v>
      </c>
      <c r="AE1356" s="213">
        <v>0.84</v>
      </c>
      <c r="AF1356" s="196">
        <v>37000000</v>
      </c>
      <c r="AG1356" s="104">
        <f t="shared" si="240"/>
        <v>0.80786026200873362</v>
      </c>
      <c r="AH1356" s="104">
        <f t="shared" si="241"/>
        <v>0</v>
      </c>
      <c r="AI1356" s="195">
        <v>1.1299999999999999</v>
      </c>
      <c r="AO1356" s="213"/>
      <c r="AP1356" s="213"/>
      <c r="AQ1356" s="213"/>
      <c r="AR1356" s="213"/>
      <c r="AS1356" s="213"/>
      <c r="AT1356" s="213"/>
      <c r="AU1356" s="213"/>
      <c r="AV1356" s="213"/>
    </row>
    <row r="1357" spans="1:48">
      <c r="A1357">
        <v>6525</v>
      </c>
      <c r="C1357" s="107">
        <f>VLOOKUP(6525,收盤價!$A:$C,3,0)</f>
        <v>53</v>
      </c>
      <c r="D1357" s="107">
        <f t="shared" si="231"/>
        <v>10.271317829457365</v>
      </c>
      <c r="E1357" s="167">
        <f t="shared" si="232"/>
        <v>4</v>
      </c>
      <c r="F1357" s="104">
        <f t="shared" si="233"/>
        <v>3.3300082910146127</v>
      </c>
      <c r="G1357" s="167">
        <f>RANK(0.84,AE:AE,0)</f>
        <v>946</v>
      </c>
      <c r="H1357" s="365">
        <f t="shared" si="234"/>
        <v>-1.5838800374882849</v>
      </c>
      <c r="I1357" s="213">
        <f t="shared" si="235"/>
        <v>321</v>
      </c>
      <c r="J1357" s="213">
        <f t="shared" si="236"/>
        <v>768</v>
      </c>
      <c r="K1357">
        <f>RANK(1.43,AI:AI,0)</f>
        <v>601</v>
      </c>
      <c r="L1357" s="357">
        <v>0</v>
      </c>
      <c r="M1357" s="357">
        <v>1</v>
      </c>
      <c r="N1357" s="357">
        <v>2</v>
      </c>
      <c r="O1357" s="357">
        <v>1</v>
      </c>
      <c r="P1357" s="357">
        <v>0</v>
      </c>
      <c r="Q1357" s="358">
        <v>0.26979865771812078</v>
      </c>
      <c r="R1357" s="359">
        <v>1.29</v>
      </c>
      <c r="S1357" s="196">
        <v>1698224000</v>
      </c>
      <c r="T1357" s="196">
        <v>106700000</v>
      </c>
      <c r="U1357" s="200">
        <f t="shared" si="237"/>
        <v>5655100000</v>
      </c>
      <c r="V1357" s="196">
        <v>0</v>
      </c>
      <c r="W1357" s="196">
        <v>1668000000</v>
      </c>
      <c r="X1357" s="196">
        <v>703000000</v>
      </c>
      <c r="Y1357" s="196">
        <v>2626000000</v>
      </c>
      <c r="Z1357" s="196">
        <v>0</v>
      </c>
      <c r="AA1357" s="198">
        <v>0</v>
      </c>
      <c r="AB1357" s="198">
        <v>0</v>
      </c>
      <c r="AC1357" s="213">
        <f t="shared" si="238"/>
        <v>945</v>
      </c>
      <c r="AD1357" s="213">
        <f t="shared" si="239"/>
        <v>911</v>
      </c>
      <c r="AE1357" s="213">
        <v>0.84</v>
      </c>
      <c r="AF1357" s="196">
        <v>169000000</v>
      </c>
      <c r="AG1357" s="104">
        <f t="shared" si="240"/>
        <v>1.5838800374882849</v>
      </c>
      <c r="AH1357" s="104">
        <f t="shared" si="241"/>
        <v>0</v>
      </c>
      <c r="AI1357" s="195">
        <v>1.43</v>
      </c>
    </row>
    <row r="1358" spans="1:48">
      <c r="A1358">
        <v>6531</v>
      </c>
      <c r="C1358" s="107">
        <f>VLOOKUP(6531,收盤價!$A:$C,3,0)</f>
        <v>83.1</v>
      </c>
      <c r="D1358" s="107">
        <f t="shared" si="231"/>
        <v>23.407674973488863</v>
      </c>
      <c r="E1358" s="167">
        <f t="shared" si="232"/>
        <v>0</v>
      </c>
      <c r="F1358" s="104">
        <f t="shared" si="233"/>
        <v>2.1336758756709231</v>
      </c>
      <c r="G1358" s="167">
        <f>RANK(2.76,AE:AE,0)</f>
        <v>305</v>
      </c>
      <c r="H1358" s="365">
        <f t="shared" si="234"/>
        <v>3.1857142857142855</v>
      </c>
      <c r="I1358" s="213">
        <f t="shared" si="235"/>
        <v>1536</v>
      </c>
      <c r="J1358" s="213">
        <f t="shared" si="236"/>
        <v>768</v>
      </c>
      <c r="K1358">
        <f>RANK(0.68,AI:AI,0)</f>
        <v>1507</v>
      </c>
      <c r="L1358" s="357">
        <v>0</v>
      </c>
      <c r="M1358" s="357">
        <v>0</v>
      </c>
      <c r="N1358" s="357">
        <v>0</v>
      </c>
      <c r="O1358" s="357">
        <v>0</v>
      </c>
      <c r="P1358" s="357">
        <v>0</v>
      </c>
      <c r="Q1358" s="358">
        <v>0.32730560578661844</v>
      </c>
      <c r="R1358" s="359">
        <v>0.8875294117647059</v>
      </c>
      <c r="S1358" s="196">
        <v>2726281000</v>
      </c>
      <c r="T1358" s="196">
        <v>70000000</v>
      </c>
      <c r="U1358" s="200">
        <f t="shared" si="237"/>
        <v>5817000000</v>
      </c>
      <c r="V1358" s="196">
        <v>82000000</v>
      </c>
      <c r="W1358" s="196">
        <v>2209000000</v>
      </c>
      <c r="X1358" s="196">
        <v>4000000</v>
      </c>
      <c r="Y1358" s="196">
        <v>2312000000</v>
      </c>
      <c r="Z1358" s="196">
        <v>0</v>
      </c>
      <c r="AA1358" s="198">
        <v>0.04</v>
      </c>
      <c r="AB1358" s="198">
        <v>0.04</v>
      </c>
      <c r="AC1358" s="213">
        <f t="shared" si="238"/>
        <v>337</v>
      </c>
      <c r="AD1358" s="213">
        <f t="shared" si="239"/>
        <v>228</v>
      </c>
      <c r="AE1358" s="213">
        <v>2.76</v>
      </c>
      <c r="AF1358" s="196">
        <v>-223000000</v>
      </c>
      <c r="AG1358" s="104">
        <f t="shared" si="240"/>
        <v>-3.1857142857142855</v>
      </c>
      <c r="AH1358" s="104">
        <f t="shared" si="241"/>
        <v>0</v>
      </c>
      <c r="AI1358" s="195">
        <v>0.68</v>
      </c>
    </row>
    <row r="1359" spans="1:48">
      <c r="A1359">
        <v>6603</v>
      </c>
      <c r="C1359" s="107">
        <f>VLOOKUP(6603,收盤價!$A:$C,3,0)</f>
        <v>10.55</v>
      </c>
      <c r="D1359" s="107">
        <f t="shared" si="231"/>
        <v>20.067934782608699</v>
      </c>
      <c r="E1359" s="167">
        <f t="shared" si="232"/>
        <v>4</v>
      </c>
      <c r="F1359" s="104">
        <f t="shared" si="233"/>
        <v>0.44444370021391538</v>
      </c>
      <c r="G1359" s="167">
        <f>RANK(1.08,AE:AE,0)</f>
        <v>769</v>
      </c>
      <c r="H1359" s="365">
        <f t="shared" si="234"/>
        <v>4.8311931900158704</v>
      </c>
      <c r="I1359" s="213">
        <f t="shared" si="235"/>
        <v>333</v>
      </c>
      <c r="J1359" s="213">
        <f t="shared" si="236"/>
        <v>65</v>
      </c>
      <c r="K1359">
        <f>RANK(3.91,AI:AI,0)</f>
        <v>104</v>
      </c>
      <c r="L1359" s="357">
        <v>0</v>
      </c>
      <c r="M1359" s="357">
        <v>1</v>
      </c>
      <c r="N1359" s="357">
        <v>2</v>
      </c>
      <c r="O1359" s="357">
        <v>1</v>
      </c>
      <c r="P1359" s="357">
        <v>0</v>
      </c>
      <c r="Q1359" s="358">
        <v>0.25988700564971751</v>
      </c>
      <c r="R1359" s="359">
        <v>0.13142857142857142</v>
      </c>
      <c r="S1359" s="196">
        <v>2836636000</v>
      </c>
      <c r="T1359" s="196">
        <v>119500000</v>
      </c>
      <c r="U1359" s="200">
        <f t="shared" si="237"/>
        <v>1260725000</v>
      </c>
      <c r="V1359" s="196">
        <v>29000000</v>
      </c>
      <c r="W1359" s="196">
        <v>1612000000</v>
      </c>
      <c r="X1359" s="196">
        <v>1006000000</v>
      </c>
      <c r="Y1359" s="196">
        <v>1924000000</v>
      </c>
      <c r="Z1359" s="196">
        <v>489000000</v>
      </c>
      <c r="AA1359" s="198">
        <v>0.01</v>
      </c>
      <c r="AB1359" s="198">
        <v>0.01</v>
      </c>
      <c r="AC1359" s="213">
        <f t="shared" si="238"/>
        <v>769</v>
      </c>
      <c r="AD1359" s="213">
        <f t="shared" si="239"/>
        <v>680</v>
      </c>
      <c r="AE1359" s="213">
        <v>1.08</v>
      </c>
      <c r="AF1359" s="196">
        <v>185000000</v>
      </c>
      <c r="AG1359" s="104">
        <f t="shared" si="240"/>
        <v>1.5481171548117154</v>
      </c>
      <c r="AH1359" s="104">
        <f t="shared" si="241"/>
        <v>6.3793103448275863</v>
      </c>
      <c r="AI1359" s="195">
        <v>3.91</v>
      </c>
    </row>
    <row r="1360" spans="1:48">
      <c r="A1360">
        <v>6605</v>
      </c>
      <c r="C1360" s="107">
        <f>VLOOKUP(6605,收盤價!$A:$C,3,0)</f>
        <v>97.1</v>
      </c>
      <c r="D1360" s="107">
        <f t="shared" si="231"/>
        <v>17.339285714285715</v>
      </c>
      <c r="E1360" s="167">
        <f t="shared" si="232"/>
        <v>1</v>
      </c>
      <c r="F1360" s="104">
        <f t="shared" si="233"/>
        <v>1.0148646155229117</v>
      </c>
      <c r="G1360" s="167">
        <f>RANK(0.84,AE:AE,0)</f>
        <v>946</v>
      </c>
      <c r="H1360" s="365">
        <f t="shared" si="234"/>
        <v>-4.2340168878166464</v>
      </c>
      <c r="I1360" s="213">
        <f t="shared" si="235"/>
        <v>61</v>
      </c>
      <c r="J1360" s="213">
        <f t="shared" si="236"/>
        <v>768</v>
      </c>
      <c r="K1360">
        <f>RANK(1.88,AI:AI,0)</f>
        <v>389</v>
      </c>
      <c r="L1360" s="357">
        <v>0</v>
      </c>
      <c r="M1360" s="357">
        <v>0</v>
      </c>
      <c r="N1360" s="357">
        <v>0</v>
      </c>
      <c r="O1360" s="357">
        <v>1</v>
      </c>
      <c r="P1360" s="357">
        <v>0</v>
      </c>
      <c r="Q1360" s="358">
        <v>0.2895287958115183</v>
      </c>
      <c r="R1360" s="359">
        <v>1.4</v>
      </c>
      <c r="S1360" s="196">
        <v>15863377000</v>
      </c>
      <c r="T1360" s="196">
        <v>165800000</v>
      </c>
      <c r="U1360" s="200">
        <f t="shared" si="237"/>
        <v>16099180000</v>
      </c>
      <c r="V1360" s="196">
        <v>0</v>
      </c>
      <c r="W1360" s="196">
        <v>2703000000</v>
      </c>
      <c r="X1360" s="196">
        <v>11506000000</v>
      </c>
      <c r="Y1360" s="196">
        <v>11550000000</v>
      </c>
      <c r="Z1360" s="196">
        <v>3358000000</v>
      </c>
      <c r="AA1360" s="198">
        <v>0</v>
      </c>
      <c r="AB1360" s="198">
        <v>0</v>
      </c>
      <c r="AC1360" s="213">
        <f t="shared" si="238"/>
        <v>945</v>
      </c>
      <c r="AD1360" s="213">
        <f t="shared" si="239"/>
        <v>911</v>
      </c>
      <c r="AE1360" s="213">
        <v>0.84</v>
      </c>
      <c r="AF1360" s="196">
        <v>702000000</v>
      </c>
      <c r="AG1360" s="104">
        <f t="shared" si="240"/>
        <v>4.2340168878166464</v>
      </c>
      <c r="AH1360" s="104">
        <f t="shared" si="241"/>
        <v>0</v>
      </c>
      <c r="AI1360" s="195">
        <v>1.88</v>
      </c>
    </row>
    <row r="1361" spans="1:48">
      <c r="A1361">
        <v>6609</v>
      </c>
      <c r="C1361" s="107">
        <f>VLOOKUP(6609,收盤價!$A:$C,3,0)</f>
        <v>23.9</v>
      </c>
      <c r="D1361" s="107">
        <f t="shared" si="231"/>
        <v>25.978260869565215</v>
      </c>
      <c r="E1361" s="167">
        <f t="shared" si="232"/>
        <v>2</v>
      </c>
      <c r="F1361" s="104">
        <f t="shared" si="233"/>
        <v>0.67818462816146785</v>
      </c>
      <c r="G1361" s="167">
        <f>RANK(0.84,AE:AE,0)</f>
        <v>946</v>
      </c>
      <c r="H1361" s="365">
        <f t="shared" si="234"/>
        <v>-1.5070422535211268</v>
      </c>
      <c r="I1361" s="213">
        <f t="shared" si="235"/>
        <v>344</v>
      </c>
      <c r="J1361" s="213">
        <f t="shared" si="236"/>
        <v>768</v>
      </c>
      <c r="K1361">
        <f>RANK(1.4,AI:AI,0)</f>
        <v>622</v>
      </c>
      <c r="L1361" s="357">
        <v>0</v>
      </c>
      <c r="M1361" s="357">
        <v>1</v>
      </c>
      <c r="N1361" s="357">
        <v>0</v>
      </c>
      <c r="O1361" s="357">
        <v>1</v>
      </c>
      <c r="P1361" s="357">
        <v>0</v>
      </c>
      <c r="Q1361" s="358">
        <v>0.21243523316062177</v>
      </c>
      <c r="R1361" s="359">
        <v>0.23</v>
      </c>
      <c r="S1361" s="196">
        <v>2502121000</v>
      </c>
      <c r="T1361" s="196">
        <v>71000000</v>
      </c>
      <c r="U1361" s="200">
        <f t="shared" si="237"/>
        <v>1696900000</v>
      </c>
      <c r="V1361" s="196">
        <v>0</v>
      </c>
      <c r="W1361" s="196">
        <v>1348000000</v>
      </c>
      <c r="X1361" s="196">
        <v>777000000</v>
      </c>
      <c r="Y1361" s="196">
        <v>1828000000</v>
      </c>
      <c r="Z1361" s="196">
        <v>299000000</v>
      </c>
      <c r="AA1361" s="198">
        <v>0</v>
      </c>
      <c r="AB1361" s="198">
        <v>0</v>
      </c>
      <c r="AC1361" s="213">
        <f t="shared" si="238"/>
        <v>945</v>
      </c>
      <c r="AD1361" s="213">
        <f t="shared" si="239"/>
        <v>911</v>
      </c>
      <c r="AE1361" s="213">
        <v>0.84</v>
      </c>
      <c r="AF1361" s="196">
        <v>107000000</v>
      </c>
      <c r="AG1361" s="104">
        <f t="shared" si="240"/>
        <v>1.5070422535211268</v>
      </c>
      <c r="AH1361" s="104">
        <f t="shared" si="241"/>
        <v>0</v>
      </c>
      <c r="AI1361" s="195">
        <v>1.4</v>
      </c>
    </row>
    <row r="1362" spans="1:48">
      <c r="A1362">
        <v>6702</v>
      </c>
      <c r="C1362" s="107">
        <f>VLOOKUP(6702,收盤價!$A:$C,3,0)</f>
        <v>6.17</v>
      </c>
      <c r="D1362" s="107">
        <f t="shared" si="231"/>
        <v>0</v>
      </c>
      <c r="E1362" s="167">
        <f t="shared" si="232"/>
        <v>1</v>
      </c>
      <c r="F1362" s="104">
        <f t="shared" si="233"/>
        <v>0.33266857967335944</v>
      </c>
      <c r="G1362" s="167">
        <f>RANK(0.52,AE:AE,0)</f>
        <v>1493</v>
      </c>
      <c r="H1362" s="365">
        <f t="shared" si="234"/>
        <v>2.1066750828467731</v>
      </c>
      <c r="I1362" s="213">
        <f t="shared" si="235"/>
        <v>1516</v>
      </c>
      <c r="J1362" s="213">
        <f t="shared" si="236"/>
        <v>768</v>
      </c>
      <c r="K1362">
        <f>RANK(0.68,AI:AI,0)</f>
        <v>1507</v>
      </c>
      <c r="L1362" s="357">
        <v>0</v>
      </c>
      <c r="M1362" s="357">
        <v>0</v>
      </c>
      <c r="N1362" s="357">
        <v>1</v>
      </c>
      <c r="O1362" s="357">
        <v>0</v>
      </c>
      <c r="P1362" s="357">
        <v>0</v>
      </c>
      <c r="Q1362" s="358">
        <v>-0.21752577319587629</v>
      </c>
      <c r="R1362" s="359">
        <v>0</v>
      </c>
      <c r="S1362" s="196">
        <v>11753226000</v>
      </c>
      <c r="T1362" s="196">
        <v>633700000</v>
      </c>
      <c r="U1362" s="200">
        <f t="shared" si="237"/>
        <v>3909929000</v>
      </c>
      <c r="V1362" s="196">
        <v>-851000000</v>
      </c>
      <c r="W1362" s="196">
        <v>0</v>
      </c>
      <c r="X1362" s="196">
        <v>14528000000</v>
      </c>
      <c r="Y1362" s="196">
        <v>5716000000</v>
      </c>
      <c r="Z1362" s="196">
        <v>4839000000</v>
      </c>
      <c r="AA1362" s="198">
        <v>-0.06</v>
      </c>
      <c r="AB1362" s="198">
        <v>-0.08</v>
      </c>
      <c r="AC1362" s="213">
        <f t="shared" si="238"/>
        <v>1484</v>
      </c>
      <c r="AD1362" s="213">
        <f t="shared" si="239"/>
        <v>1531</v>
      </c>
      <c r="AE1362" s="213">
        <v>0.52</v>
      </c>
      <c r="AF1362" s="196">
        <v>-1335000000</v>
      </c>
      <c r="AG1362" s="104">
        <f t="shared" si="240"/>
        <v>-2.1066750828467731</v>
      </c>
      <c r="AH1362" s="104">
        <f t="shared" si="241"/>
        <v>0</v>
      </c>
      <c r="AI1362" s="195">
        <v>0.68</v>
      </c>
    </row>
    <row r="1363" spans="1:48">
      <c r="A1363">
        <v>6803</v>
      </c>
      <c r="C1363" s="107">
        <f>VLOOKUP(6803,收盤價!$A:$C,3,0)</f>
        <v>174</v>
      </c>
      <c r="D1363" s="107">
        <f t="shared" si="231"/>
        <v>15.541036558508296</v>
      </c>
      <c r="E1363" s="167">
        <f t="shared" si="232"/>
        <v>2</v>
      </c>
      <c r="F1363" s="104">
        <f t="shared" si="233"/>
        <v>2.3688855075633204</v>
      </c>
      <c r="G1363" s="167">
        <f>RANK(14.04,AE:AE,0)</f>
        <v>54</v>
      </c>
      <c r="H1363" s="365">
        <f t="shared" si="234"/>
        <v>-4.8179665580045086</v>
      </c>
      <c r="I1363" s="213">
        <f t="shared" si="235"/>
        <v>19</v>
      </c>
      <c r="J1363" s="213">
        <f t="shared" si="236"/>
        <v>377</v>
      </c>
      <c r="K1363">
        <f>RANK(3.93,AI:AI,0)</f>
        <v>103</v>
      </c>
      <c r="L1363" s="357">
        <v>0</v>
      </c>
      <c r="M1363" s="357">
        <v>0</v>
      </c>
      <c r="N1363" s="357">
        <v>1</v>
      </c>
      <c r="O1363" s="357">
        <v>1</v>
      </c>
      <c r="P1363" s="357">
        <v>0</v>
      </c>
      <c r="Q1363" s="358">
        <v>0.2782222222222222</v>
      </c>
      <c r="R1363" s="359">
        <v>2.7990410958904111</v>
      </c>
      <c r="S1363" s="196">
        <v>4869885000</v>
      </c>
      <c r="T1363" s="196">
        <v>66300000</v>
      </c>
      <c r="U1363" s="200">
        <f t="shared" si="237"/>
        <v>11536200000</v>
      </c>
      <c r="V1363" s="196">
        <v>279000000</v>
      </c>
      <c r="W1363" s="196">
        <v>1705000000</v>
      </c>
      <c r="X1363" s="196">
        <v>50000000</v>
      </c>
      <c r="Y1363" s="196">
        <v>4767000000</v>
      </c>
      <c r="Z1363" s="196">
        <v>176000000</v>
      </c>
      <c r="AA1363" s="198">
        <v>0.16</v>
      </c>
      <c r="AB1363" s="198">
        <v>0.06</v>
      </c>
      <c r="AC1363" s="213">
        <f t="shared" si="238"/>
        <v>16</v>
      </c>
      <c r="AD1363" s="213">
        <f t="shared" si="239"/>
        <v>95</v>
      </c>
      <c r="AE1363" s="213">
        <v>14.04</v>
      </c>
      <c r="AF1363" s="196">
        <v>419000000</v>
      </c>
      <c r="AG1363" s="104">
        <f t="shared" si="240"/>
        <v>6.3197586726998489</v>
      </c>
      <c r="AH1363" s="104">
        <f t="shared" si="241"/>
        <v>1.5017921146953406</v>
      </c>
      <c r="AI1363" s="195">
        <v>3.93</v>
      </c>
    </row>
    <row r="1364" spans="1:48">
      <c r="A1364">
        <v>7402</v>
      </c>
      <c r="C1364" s="107">
        <f>VLOOKUP(7402,收盤價!$A:$C,3,0)</f>
        <v>67.5</v>
      </c>
      <c r="D1364" s="107">
        <f t="shared" si="231"/>
        <v>48.214285714285715</v>
      </c>
      <c r="E1364" s="167">
        <f t="shared" si="232"/>
        <v>4</v>
      </c>
      <c r="F1364" s="104">
        <f t="shared" si="233"/>
        <v>3.7376964715079297</v>
      </c>
      <c r="G1364" s="167">
        <f>RANK(1.94,AE:AE,0)</f>
        <v>435</v>
      </c>
      <c r="H1364" s="365">
        <f t="shared" si="234"/>
        <v>2.0741978609625669</v>
      </c>
      <c r="I1364" s="213">
        <f t="shared" si="235"/>
        <v>332</v>
      </c>
      <c r="J1364" s="213">
        <f t="shared" si="236"/>
        <v>127</v>
      </c>
      <c r="K1364">
        <f>RANK(3.39,AI:AI,0)</f>
        <v>135</v>
      </c>
      <c r="L1364" s="357">
        <v>0</v>
      </c>
      <c r="M1364" s="357">
        <v>1</v>
      </c>
      <c r="N1364" s="357">
        <v>2</v>
      </c>
      <c r="O1364" s="357">
        <v>1</v>
      </c>
      <c r="P1364" s="357">
        <v>0</v>
      </c>
      <c r="Q1364" s="358">
        <v>0.44827586206896552</v>
      </c>
      <c r="R1364" s="359">
        <v>0.35</v>
      </c>
      <c r="S1364" s="196">
        <v>337708000</v>
      </c>
      <c r="T1364" s="196">
        <v>18700000</v>
      </c>
      <c r="U1364" s="200">
        <f t="shared" si="237"/>
        <v>1262250000</v>
      </c>
      <c r="V1364" s="196">
        <v>8000000</v>
      </c>
      <c r="W1364" s="196">
        <v>289000000</v>
      </c>
      <c r="X1364" s="196">
        <v>10000000</v>
      </c>
      <c r="Y1364" s="196">
        <v>309000000</v>
      </c>
      <c r="Z1364" s="196">
        <v>0</v>
      </c>
      <c r="AA1364" s="198">
        <v>0.03</v>
      </c>
      <c r="AB1364" s="198">
        <v>0.03</v>
      </c>
      <c r="AC1364" s="213">
        <f t="shared" si="238"/>
        <v>469</v>
      </c>
      <c r="AD1364" s="213">
        <f t="shared" si="239"/>
        <v>334</v>
      </c>
      <c r="AE1364" s="213">
        <v>1.94</v>
      </c>
      <c r="AF1364" s="196">
        <v>29000000</v>
      </c>
      <c r="AG1364" s="104">
        <f t="shared" si="240"/>
        <v>1.5508021390374331</v>
      </c>
      <c r="AH1364" s="104">
        <f t="shared" si="241"/>
        <v>3.625</v>
      </c>
      <c r="AI1364" s="195">
        <v>3.39</v>
      </c>
      <c r="AO1364" s="213"/>
      <c r="AP1364" s="213"/>
      <c r="AQ1364" s="213"/>
      <c r="AR1364" s="213"/>
      <c r="AS1364" s="213"/>
      <c r="AT1364" s="213"/>
      <c r="AU1364" s="213"/>
      <c r="AV1364" s="213"/>
    </row>
    <row r="1365" spans="1:48">
      <c r="A1365">
        <v>8011</v>
      </c>
      <c r="C1365" s="107">
        <f>VLOOKUP(8011,收盤價!$A:$C,3,0)</f>
        <v>18.149999999999999</v>
      </c>
      <c r="D1365" s="107">
        <f t="shared" si="231"/>
        <v>226.87499999999997</v>
      </c>
      <c r="E1365" s="167">
        <f t="shared" si="232"/>
        <v>2</v>
      </c>
      <c r="F1365" s="104">
        <f t="shared" si="233"/>
        <v>1.1553475628496679</v>
      </c>
      <c r="G1365" s="167">
        <f>RANK(0.84,AE:AE,0)</f>
        <v>946</v>
      </c>
      <c r="H1365" s="365">
        <f t="shared" si="234"/>
        <v>2.011776251226693</v>
      </c>
      <c r="I1365" s="213">
        <f t="shared" si="235"/>
        <v>1511</v>
      </c>
      <c r="J1365" s="213">
        <f t="shared" si="236"/>
        <v>768</v>
      </c>
      <c r="K1365">
        <f>RANK(0.68,AI:AI,0)</f>
        <v>1507</v>
      </c>
      <c r="L1365" s="357">
        <v>0</v>
      </c>
      <c r="M1365" s="357">
        <v>1</v>
      </c>
      <c r="N1365" s="357">
        <v>1</v>
      </c>
      <c r="O1365" s="357">
        <v>0</v>
      </c>
      <c r="P1365" s="357">
        <v>0</v>
      </c>
      <c r="Q1365" s="358">
        <v>0.1309255079006772</v>
      </c>
      <c r="R1365" s="359">
        <v>0.02</v>
      </c>
      <c r="S1365" s="196">
        <v>1600804000</v>
      </c>
      <c r="T1365" s="196">
        <v>101900000</v>
      </c>
      <c r="U1365" s="200">
        <f t="shared" si="237"/>
        <v>1849484999.9999998</v>
      </c>
      <c r="V1365" s="196">
        <v>0</v>
      </c>
      <c r="W1365" s="196">
        <v>1183000000</v>
      </c>
      <c r="X1365" s="196">
        <v>1348000000</v>
      </c>
      <c r="Y1365" s="196">
        <v>3444000000</v>
      </c>
      <c r="Z1365" s="196">
        <v>371000000</v>
      </c>
      <c r="AA1365" s="198">
        <v>0</v>
      </c>
      <c r="AB1365" s="198">
        <v>0</v>
      </c>
      <c r="AC1365" s="213">
        <f t="shared" si="238"/>
        <v>945</v>
      </c>
      <c r="AD1365" s="213">
        <f t="shared" si="239"/>
        <v>911</v>
      </c>
      <c r="AE1365" s="213">
        <v>0.84</v>
      </c>
      <c r="AF1365" s="196">
        <v>-205000000</v>
      </c>
      <c r="AG1365" s="104">
        <f t="shared" si="240"/>
        <v>-2.011776251226693</v>
      </c>
      <c r="AH1365" s="104">
        <f t="shared" si="241"/>
        <v>0</v>
      </c>
      <c r="AI1365" s="195">
        <v>0.68</v>
      </c>
    </row>
    <row r="1366" spans="1:48">
      <c r="A1366">
        <v>8016</v>
      </c>
      <c r="C1366" s="107">
        <f>VLOOKUP(8016,收盤價!$A:$C,3,0)</f>
        <v>117</v>
      </c>
      <c r="D1366" s="107">
        <f t="shared" si="231"/>
        <v>16.106892233067608</v>
      </c>
      <c r="E1366" s="167">
        <f t="shared" si="232"/>
        <v>4</v>
      </c>
      <c r="F1366" s="104">
        <f t="shared" si="233"/>
        <v>1.419561685740071</v>
      </c>
      <c r="G1366" s="167">
        <f>RANK(6.8,AE:AE,0)</f>
        <v>115</v>
      </c>
      <c r="H1366" s="365">
        <f t="shared" si="234"/>
        <v>-1.4925478885944461</v>
      </c>
      <c r="I1366" s="213">
        <f t="shared" si="235"/>
        <v>146</v>
      </c>
      <c r="J1366" s="213">
        <f t="shared" si="236"/>
        <v>466</v>
      </c>
      <c r="K1366">
        <f>RANK(2.55,AI:AI,0)</f>
        <v>224</v>
      </c>
      <c r="L1366" s="357">
        <v>0</v>
      </c>
      <c r="M1366" s="357">
        <v>1</v>
      </c>
      <c r="N1366" s="357">
        <v>2</v>
      </c>
      <c r="O1366" s="357">
        <v>1</v>
      </c>
      <c r="P1366" s="357">
        <v>0</v>
      </c>
      <c r="Q1366" s="358">
        <v>0.27439532944120099</v>
      </c>
      <c r="R1366" s="359">
        <v>1.8159927797833937</v>
      </c>
      <c r="S1366" s="196">
        <v>9816199000</v>
      </c>
      <c r="T1366" s="196">
        <v>119100000</v>
      </c>
      <c r="U1366" s="200">
        <f t="shared" si="237"/>
        <v>13934700000</v>
      </c>
      <c r="V1366" s="196">
        <v>269000000</v>
      </c>
      <c r="W1366" s="196">
        <v>2874000000</v>
      </c>
      <c r="X1366" s="196">
        <v>747000000</v>
      </c>
      <c r="Y1366" s="196">
        <v>4329000000</v>
      </c>
      <c r="Z1366" s="196">
        <v>25000000</v>
      </c>
      <c r="AA1366" s="198">
        <v>7.0000000000000007E-2</v>
      </c>
      <c r="AB1366" s="198">
        <v>0.06</v>
      </c>
      <c r="AC1366" s="213">
        <f t="shared" si="238"/>
        <v>134</v>
      </c>
      <c r="AD1366" s="213">
        <f t="shared" si="239"/>
        <v>95</v>
      </c>
      <c r="AE1366" s="213">
        <v>6.8</v>
      </c>
      <c r="AF1366" s="196">
        <v>319000000</v>
      </c>
      <c r="AG1366" s="104">
        <f t="shared" si="240"/>
        <v>2.6784214945424014</v>
      </c>
      <c r="AH1366" s="104">
        <f t="shared" si="241"/>
        <v>1.1858736059479553</v>
      </c>
      <c r="AI1366" s="195">
        <v>2.5499999999999998</v>
      </c>
    </row>
    <row r="1367" spans="1:48">
      <c r="A1367">
        <v>8021</v>
      </c>
      <c r="C1367" s="107">
        <f>VLOOKUP(8021,收盤價!$A:$C,3,0)</f>
        <v>19.899999999999999</v>
      </c>
      <c r="D1367" s="107">
        <f t="shared" si="231"/>
        <v>15.143060064935064</v>
      </c>
      <c r="E1367" s="167">
        <f t="shared" si="232"/>
        <v>2</v>
      </c>
      <c r="F1367" s="104">
        <f t="shared" si="233"/>
        <v>0.9546936711784807</v>
      </c>
      <c r="G1367" s="167">
        <f>RANK(1.41,AE:AE,0)</f>
        <v>618</v>
      </c>
      <c r="H1367" s="365">
        <f t="shared" si="234"/>
        <v>1.2621377781175931</v>
      </c>
      <c r="I1367" s="213">
        <f t="shared" si="235"/>
        <v>393</v>
      </c>
      <c r="J1367" s="213">
        <f t="shared" si="236"/>
        <v>184</v>
      </c>
      <c r="K1367">
        <f>RANK(2.7,AI:AI,0)</f>
        <v>201</v>
      </c>
      <c r="L1367" s="357">
        <v>0</v>
      </c>
      <c r="M1367" s="357">
        <v>1</v>
      </c>
      <c r="N1367" s="357">
        <v>0</v>
      </c>
      <c r="O1367" s="357">
        <v>1</v>
      </c>
      <c r="P1367" s="357">
        <v>0</v>
      </c>
      <c r="Q1367" s="358">
        <v>0.28058510638297873</v>
      </c>
      <c r="R1367" s="359">
        <v>0.32853333333333334</v>
      </c>
      <c r="S1367" s="196">
        <v>3324679000</v>
      </c>
      <c r="T1367" s="196">
        <v>159500000</v>
      </c>
      <c r="U1367" s="200">
        <f t="shared" si="237"/>
        <v>3174050000</v>
      </c>
      <c r="V1367" s="196">
        <v>82000000</v>
      </c>
      <c r="W1367" s="196">
        <v>2158000000</v>
      </c>
      <c r="X1367" s="196">
        <v>2677000000</v>
      </c>
      <c r="Y1367" s="196">
        <v>4655000000</v>
      </c>
      <c r="Z1367" s="196">
        <v>229000000</v>
      </c>
      <c r="AA1367" s="198">
        <v>0.02</v>
      </c>
      <c r="AB1367" s="198">
        <v>0.02</v>
      </c>
      <c r="AC1367" s="213">
        <f t="shared" si="238"/>
        <v>616</v>
      </c>
      <c r="AD1367" s="213">
        <f t="shared" si="239"/>
        <v>487</v>
      </c>
      <c r="AE1367" s="213">
        <v>1.41</v>
      </c>
      <c r="AF1367" s="196">
        <v>213000000</v>
      </c>
      <c r="AG1367" s="104">
        <f t="shared" si="240"/>
        <v>1.3354231974921631</v>
      </c>
      <c r="AH1367" s="104">
        <f t="shared" si="241"/>
        <v>2.5975609756097562</v>
      </c>
      <c r="AI1367" s="195">
        <v>2.7</v>
      </c>
    </row>
    <row r="1368" spans="1:48">
      <c r="A1368">
        <v>8024</v>
      </c>
      <c r="C1368" s="107">
        <f>VLOOKUP(8024,收盤價!$A:$C,3,0)</f>
        <v>12.75</v>
      </c>
      <c r="D1368" s="107">
        <f t="shared" si="231"/>
        <v>7.9687500000000009</v>
      </c>
      <c r="E1368" s="167">
        <f t="shared" si="232"/>
        <v>4</v>
      </c>
      <c r="F1368" s="104">
        <f t="shared" si="233"/>
        <v>0.96594090714450409</v>
      </c>
      <c r="G1368" s="167">
        <f>RANK(1.94,AE:AE,0)</f>
        <v>435</v>
      </c>
      <c r="H1368" s="365">
        <f t="shared" si="234"/>
        <v>0.19565217391304349</v>
      </c>
      <c r="I1368" s="213">
        <f t="shared" si="235"/>
        <v>1205</v>
      </c>
      <c r="J1368" s="213">
        <f t="shared" si="236"/>
        <v>768</v>
      </c>
      <c r="K1368">
        <f>RANK(0.79,AI:AI,0)</f>
        <v>1192</v>
      </c>
      <c r="L1368" s="357">
        <v>1</v>
      </c>
      <c r="M1368" s="357">
        <v>1</v>
      </c>
      <c r="N1368" s="357">
        <v>2</v>
      </c>
      <c r="O1368" s="357">
        <v>0</v>
      </c>
      <c r="P1368" s="357">
        <v>0</v>
      </c>
      <c r="Q1368" s="358">
        <v>0.33004926108374383</v>
      </c>
      <c r="R1368" s="359">
        <v>0.39999999999999997</v>
      </c>
      <c r="S1368" s="196">
        <v>607180000</v>
      </c>
      <c r="T1368" s="196">
        <v>46000000</v>
      </c>
      <c r="U1368" s="200">
        <f t="shared" si="237"/>
        <v>586500000</v>
      </c>
      <c r="V1368" s="196">
        <v>20000000</v>
      </c>
      <c r="W1368" s="196">
        <v>511000000</v>
      </c>
      <c r="X1368" s="196">
        <v>158000000</v>
      </c>
      <c r="Y1368" s="196">
        <v>688000000</v>
      </c>
      <c r="Z1368" s="196">
        <v>0</v>
      </c>
      <c r="AA1368" s="198">
        <v>0.03</v>
      </c>
      <c r="AB1368" s="198">
        <v>0.03</v>
      </c>
      <c r="AC1368" s="213">
        <f t="shared" si="238"/>
        <v>469</v>
      </c>
      <c r="AD1368" s="213">
        <f t="shared" si="239"/>
        <v>334</v>
      </c>
      <c r="AE1368" s="213">
        <v>1.94</v>
      </c>
      <c r="AF1368" s="196">
        <v>-9000000</v>
      </c>
      <c r="AG1368" s="104">
        <f t="shared" si="240"/>
        <v>-0.19565217391304349</v>
      </c>
      <c r="AH1368" s="104">
        <f t="shared" si="241"/>
        <v>0</v>
      </c>
      <c r="AI1368" s="195">
        <v>0.79</v>
      </c>
    </row>
    <row r="1369" spans="1:48">
      <c r="A1369">
        <v>8027</v>
      </c>
      <c r="C1369" s="107">
        <f>VLOOKUP(8027,收盤價!$A:$C,3,0)</f>
        <v>15.7</v>
      </c>
      <c r="D1369" s="107">
        <f t="shared" si="231"/>
        <v>0</v>
      </c>
      <c r="E1369" s="167">
        <f t="shared" si="232"/>
        <v>1</v>
      </c>
      <c r="F1369" s="104">
        <f t="shared" si="233"/>
        <v>0.63345274284949937</v>
      </c>
      <c r="G1369" s="167">
        <f>RANK(0.84,AE:AE,0)</f>
        <v>946</v>
      </c>
      <c r="H1369" s="365">
        <f t="shared" si="234"/>
        <v>0.65217391304347827</v>
      </c>
      <c r="I1369" s="213">
        <f t="shared" si="235"/>
        <v>1382</v>
      </c>
      <c r="J1369" s="213">
        <f t="shared" si="236"/>
        <v>768</v>
      </c>
      <c r="K1369">
        <f>RANK(0.72,AI:AI,0)</f>
        <v>1381</v>
      </c>
      <c r="L1369" s="357">
        <v>0</v>
      </c>
      <c r="M1369" s="357">
        <v>1</v>
      </c>
      <c r="N1369" s="357">
        <v>0</v>
      </c>
      <c r="O1369" s="357">
        <v>0</v>
      </c>
      <c r="P1369" s="357">
        <v>0</v>
      </c>
      <c r="Q1369" s="358">
        <v>0.26881720430107525</v>
      </c>
      <c r="R1369" s="359">
        <v>-0.28000000000000003</v>
      </c>
      <c r="S1369" s="196">
        <v>1368121000</v>
      </c>
      <c r="T1369" s="196">
        <v>55200000</v>
      </c>
      <c r="U1369" s="200">
        <f t="shared" si="237"/>
        <v>866640000</v>
      </c>
      <c r="V1369" s="196">
        <v>0</v>
      </c>
      <c r="W1369" s="196">
        <v>577000000</v>
      </c>
      <c r="X1369" s="196">
        <v>412000000</v>
      </c>
      <c r="Y1369" s="196">
        <v>788000000</v>
      </c>
      <c r="Z1369" s="196">
        <v>161000000</v>
      </c>
      <c r="AA1369" s="198">
        <v>0</v>
      </c>
      <c r="AB1369" s="198">
        <v>0</v>
      </c>
      <c r="AC1369" s="213">
        <f t="shared" si="238"/>
        <v>945</v>
      </c>
      <c r="AD1369" s="213">
        <f t="shared" si="239"/>
        <v>911</v>
      </c>
      <c r="AE1369" s="213">
        <v>0.84</v>
      </c>
      <c r="AF1369" s="196">
        <v>-36000000</v>
      </c>
      <c r="AG1369" s="104">
        <f t="shared" si="240"/>
        <v>-0.65217391304347827</v>
      </c>
      <c r="AH1369" s="104">
        <f t="shared" si="241"/>
        <v>0</v>
      </c>
      <c r="AI1369" s="195">
        <v>0.72</v>
      </c>
    </row>
    <row r="1370" spans="1:48">
      <c r="A1370">
        <v>8032</v>
      </c>
      <c r="C1370" s="107">
        <f>VLOOKUP(8032,收盤價!$A:$C,3,0)</f>
        <v>24.95</v>
      </c>
      <c r="D1370" s="107">
        <f t="shared" si="231"/>
        <v>12.921374764595104</v>
      </c>
      <c r="E1370" s="167">
        <f t="shared" si="232"/>
        <v>2</v>
      </c>
      <c r="F1370" s="104">
        <f t="shared" si="233"/>
        <v>0.27693916449617667</v>
      </c>
      <c r="G1370" s="167">
        <f>RANK(1.63,AE:AE,0)</f>
        <v>551</v>
      </c>
      <c r="H1370" s="365">
        <f t="shared" si="234"/>
        <v>3.8610038610038609E-2</v>
      </c>
      <c r="I1370" s="213">
        <f t="shared" si="235"/>
        <v>1096</v>
      </c>
      <c r="J1370" s="213">
        <f t="shared" si="236"/>
        <v>768</v>
      </c>
      <c r="K1370">
        <f>RANK(0.84,AI:AI,0)</f>
        <v>1076</v>
      </c>
      <c r="L1370" s="357">
        <v>0</v>
      </c>
      <c r="M1370" s="357">
        <v>1</v>
      </c>
      <c r="N1370" s="357">
        <v>1</v>
      </c>
      <c r="O1370" s="357">
        <v>0</v>
      </c>
      <c r="P1370" s="357">
        <v>0</v>
      </c>
      <c r="Q1370" s="358">
        <v>0.12134251290877797</v>
      </c>
      <c r="R1370" s="359">
        <v>0.48272727272727273</v>
      </c>
      <c r="S1370" s="196">
        <v>4666765000</v>
      </c>
      <c r="T1370" s="196">
        <v>51800000</v>
      </c>
      <c r="U1370" s="200">
        <f t="shared" si="237"/>
        <v>1292410000</v>
      </c>
      <c r="V1370" s="196">
        <v>37000000</v>
      </c>
      <c r="W1370" s="196">
        <v>1292000000</v>
      </c>
      <c r="X1370" s="196">
        <v>99000000</v>
      </c>
      <c r="Y1370" s="196">
        <v>1400000000</v>
      </c>
      <c r="Z1370" s="196">
        <v>107000000</v>
      </c>
      <c r="AA1370" s="198">
        <v>0.03</v>
      </c>
      <c r="AB1370" s="198">
        <v>0.02</v>
      </c>
      <c r="AC1370" s="213">
        <f t="shared" si="238"/>
        <v>469</v>
      </c>
      <c r="AD1370" s="213">
        <f t="shared" si="239"/>
        <v>487</v>
      </c>
      <c r="AE1370" s="213">
        <v>1.63</v>
      </c>
      <c r="AF1370" s="196">
        <v>-2000000</v>
      </c>
      <c r="AG1370" s="104">
        <f t="shared" si="240"/>
        <v>-3.8610038610038609E-2</v>
      </c>
      <c r="AH1370" s="104">
        <f t="shared" si="241"/>
        <v>0</v>
      </c>
      <c r="AI1370" s="195">
        <v>0.84</v>
      </c>
    </row>
    <row r="1371" spans="1:48">
      <c r="A1371">
        <v>8033</v>
      </c>
      <c r="C1371" s="107">
        <f>VLOOKUP(8033,收盤價!$A:$C,3,0)</f>
        <v>8.5299999999999994</v>
      </c>
      <c r="D1371" s="107">
        <f t="shared" si="231"/>
        <v>0</v>
      </c>
      <c r="E1371" s="167">
        <f t="shared" si="232"/>
        <v>2</v>
      </c>
      <c r="F1371" s="104">
        <f t="shared" si="233"/>
        <v>1.5527231787367597</v>
      </c>
      <c r="G1371" s="167">
        <f>RANK(0.54,AE:AE,0)</f>
        <v>1453</v>
      </c>
      <c r="H1371" s="365">
        <f t="shared" si="234"/>
        <v>0.36519036519036518</v>
      </c>
      <c r="I1371" s="213">
        <f t="shared" si="235"/>
        <v>1297</v>
      </c>
      <c r="J1371" s="213">
        <f t="shared" si="236"/>
        <v>768</v>
      </c>
      <c r="K1371">
        <f>RANK(0.75,AI:AI,0)</f>
        <v>1296</v>
      </c>
      <c r="L1371" s="357">
        <v>0</v>
      </c>
      <c r="M1371" s="357">
        <v>0</v>
      </c>
      <c r="N1371" s="357">
        <v>2</v>
      </c>
      <c r="O1371" s="357">
        <v>0</v>
      </c>
      <c r="P1371" s="357">
        <v>0</v>
      </c>
      <c r="Q1371" s="358">
        <v>0.40935672514619881</v>
      </c>
      <c r="R1371" s="359">
        <v>0</v>
      </c>
      <c r="S1371" s="196">
        <v>707023000</v>
      </c>
      <c r="T1371" s="196">
        <v>128700000</v>
      </c>
      <c r="U1371" s="200">
        <f t="shared" si="237"/>
        <v>1097811000</v>
      </c>
      <c r="V1371" s="196">
        <v>-27000000</v>
      </c>
      <c r="W1371" s="196">
        <v>460000000</v>
      </c>
      <c r="X1371" s="196">
        <v>120000000</v>
      </c>
      <c r="Y1371" s="196">
        <v>947000000</v>
      </c>
      <c r="Z1371" s="196">
        <v>73000000</v>
      </c>
      <c r="AA1371" s="198">
        <v>-0.05</v>
      </c>
      <c r="AB1371" s="198">
        <v>-0.03</v>
      </c>
      <c r="AC1371" s="213">
        <f t="shared" si="238"/>
        <v>1468</v>
      </c>
      <c r="AD1371" s="213">
        <f t="shared" si="239"/>
        <v>1444</v>
      </c>
      <c r="AE1371" s="213">
        <v>0.54</v>
      </c>
      <c r="AF1371" s="196">
        <v>-47000000</v>
      </c>
      <c r="AG1371" s="104">
        <f t="shared" si="240"/>
        <v>-0.36519036519036518</v>
      </c>
      <c r="AH1371" s="104">
        <f t="shared" si="241"/>
        <v>0</v>
      </c>
      <c r="AI1371" s="195">
        <v>0.75</v>
      </c>
    </row>
    <row r="1372" spans="1:48">
      <c r="A1372">
        <v>8034</v>
      </c>
      <c r="C1372" s="107">
        <f>VLOOKUP(8034,收盤價!$A:$C,3,0)</f>
        <v>6.3</v>
      </c>
      <c r="D1372" s="107">
        <f t="shared" si="231"/>
        <v>0</v>
      </c>
      <c r="E1372" s="167">
        <f t="shared" si="232"/>
        <v>1</v>
      </c>
      <c r="F1372" s="104">
        <f t="shared" si="233"/>
        <v>2.455828308306323</v>
      </c>
      <c r="G1372" s="167">
        <f>RANK(0.53,AE:AE,0)</f>
        <v>1475</v>
      </c>
      <c r="H1372" s="365">
        <f t="shared" si="234"/>
        <v>0.11128775834658187</v>
      </c>
      <c r="I1372" s="213">
        <f t="shared" si="235"/>
        <v>1149</v>
      </c>
      <c r="J1372" s="213">
        <f t="shared" si="236"/>
        <v>768</v>
      </c>
      <c r="K1372">
        <f>RANK(0.81,AI:AI,0)</f>
        <v>1144</v>
      </c>
      <c r="L1372" s="357">
        <v>0</v>
      </c>
      <c r="M1372" s="357">
        <v>0</v>
      </c>
      <c r="N1372" s="357">
        <v>1</v>
      </c>
      <c r="O1372" s="357">
        <v>0</v>
      </c>
      <c r="P1372" s="357">
        <v>0</v>
      </c>
      <c r="Q1372" s="358">
        <v>0.34615384615384615</v>
      </c>
      <c r="R1372" s="359">
        <v>0</v>
      </c>
      <c r="S1372" s="196">
        <v>161359000</v>
      </c>
      <c r="T1372" s="196">
        <v>62900000</v>
      </c>
      <c r="U1372" s="200">
        <f t="shared" si="237"/>
        <v>396270000</v>
      </c>
      <c r="V1372" s="196">
        <v>-15000000</v>
      </c>
      <c r="W1372" s="196">
        <v>351000000</v>
      </c>
      <c r="X1372" s="196">
        <v>6000000</v>
      </c>
      <c r="Y1372" s="196">
        <v>412000000</v>
      </c>
      <c r="Z1372" s="196">
        <v>0</v>
      </c>
      <c r="AA1372" s="198">
        <v>-0.04</v>
      </c>
      <c r="AB1372" s="198">
        <v>-0.04</v>
      </c>
      <c r="AC1372" s="213">
        <f t="shared" si="238"/>
        <v>1444</v>
      </c>
      <c r="AD1372" s="213">
        <f t="shared" si="239"/>
        <v>1483</v>
      </c>
      <c r="AE1372" s="213">
        <v>0.53</v>
      </c>
      <c r="AF1372" s="196">
        <v>-7000000</v>
      </c>
      <c r="AG1372" s="104">
        <f t="shared" si="240"/>
        <v>-0.11128775834658187</v>
      </c>
      <c r="AH1372" s="104">
        <f t="shared" si="241"/>
        <v>0</v>
      </c>
      <c r="AI1372" s="195">
        <v>0.81</v>
      </c>
    </row>
    <row r="1373" spans="1:48">
      <c r="A1373">
        <v>8038</v>
      </c>
      <c r="C1373" s="107">
        <f>VLOOKUP(8038,收盤價!$A:$C,3,0)</f>
        <v>48.2</v>
      </c>
      <c r="D1373" s="107">
        <f t="shared" si="231"/>
        <v>0</v>
      </c>
      <c r="E1373" s="167">
        <f t="shared" si="232"/>
        <v>5</v>
      </c>
      <c r="F1373" s="104">
        <f t="shared" si="233"/>
        <v>15.658258634667463</v>
      </c>
      <c r="G1373" s="167">
        <f>RANK(0.59,AE:AE,0)</f>
        <v>1348</v>
      </c>
      <c r="H1373" s="365">
        <f t="shared" si="234"/>
        <v>-0.84955752212389379</v>
      </c>
      <c r="I1373" s="213">
        <f t="shared" si="235"/>
        <v>581</v>
      </c>
      <c r="J1373" s="213">
        <f t="shared" si="236"/>
        <v>768</v>
      </c>
      <c r="K1373">
        <f>RANK(1.15,AI:AI,0)</f>
        <v>757</v>
      </c>
      <c r="L1373" s="357">
        <v>1</v>
      </c>
      <c r="M1373" s="357">
        <v>1</v>
      </c>
      <c r="N1373" s="357">
        <v>1</v>
      </c>
      <c r="O1373" s="357">
        <v>1</v>
      </c>
      <c r="P1373" s="357">
        <v>1</v>
      </c>
      <c r="Q1373" s="358">
        <v>0.24561403508771928</v>
      </c>
      <c r="R1373" s="359">
        <v>0</v>
      </c>
      <c r="S1373" s="196">
        <v>173921000</v>
      </c>
      <c r="T1373" s="196">
        <v>56500000</v>
      </c>
      <c r="U1373" s="200">
        <f t="shared" si="237"/>
        <v>2723300000</v>
      </c>
      <c r="V1373" s="196">
        <v>-9000000</v>
      </c>
      <c r="W1373" s="196">
        <v>145000000</v>
      </c>
      <c r="X1373" s="196">
        <v>440000000</v>
      </c>
      <c r="Y1373" s="196">
        <v>884000000</v>
      </c>
      <c r="Z1373" s="196">
        <v>356000000</v>
      </c>
      <c r="AA1373" s="198">
        <v>-0.02</v>
      </c>
      <c r="AB1373" s="198">
        <v>-0.01</v>
      </c>
      <c r="AC1373" s="213">
        <f t="shared" si="238"/>
        <v>1353</v>
      </c>
      <c r="AD1373" s="213">
        <f t="shared" si="239"/>
        <v>1294</v>
      </c>
      <c r="AE1373" s="213">
        <v>0.59</v>
      </c>
      <c r="AF1373" s="196">
        <v>48000000</v>
      </c>
      <c r="AG1373" s="104">
        <f t="shared" si="240"/>
        <v>0.84955752212389379</v>
      </c>
      <c r="AH1373" s="104">
        <f t="shared" si="241"/>
        <v>0</v>
      </c>
      <c r="AI1373" s="195">
        <v>1.1499999999999999</v>
      </c>
      <c r="AO1373" s="213"/>
      <c r="AP1373" s="213"/>
      <c r="AQ1373" s="213"/>
      <c r="AR1373" s="213"/>
      <c r="AS1373" s="213"/>
      <c r="AT1373" s="213"/>
      <c r="AU1373" s="213"/>
      <c r="AV1373" s="213"/>
    </row>
    <row r="1374" spans="1:48">
      <c r="A1374">
        <v>8039</v>
      </c>
      <c r="C1374" s="107">
        <f>VLOOKUP(8039,收盤價!$A:$C,3,0)</f>
        <v>30</v>
      </c>
      <c r="D1374" s="107">
        <f t="shared" si="231"/>
        <v>7.6287349014621739</v>
      </c>
      <c r="E1374" s="167">
        <f t="shared" si="232"/>
        <v>3</v>
      </c>
      <c r="F1374" s="104">
        <f t="shared" si="233"/>
        <v>0.57679602933952201</v>
      </c>
      <c r="G1374" s="167">
        <f>RANK(2.32,AE:AE,0)</f>
        <v>360</v>
      </c>
      <c r="H1374" s="365">
        <f t="shared" si="234"/>
        <v>-0.67187847639389497</v>
      </c>
      <c r="I1374" s="213">
        <f t="shared" si="235"/>
        <v>122</v>
      </c>
      <c r="J1374" s="213">
        <f t="shared" si="236"/>
        <v>213</v>
      </c>
      <c r="K1374">
        <f>RANK(4.65,AI:AI,0)</f>
        <v>77</v>
      </c>
      <c r="L1374" s="357">
        <v>0</v>
      </c>
      <c r="M1374" s="357">
        <v>0</v>
      </c>
      <c r="N1374" s="357">
        <v>2</v>
      </c>
      <c r="O1374" s="357">
        <v>1</v>
      </c>
      <c r="P1374" s="357">
        <v>0</v>
      </c>
      <c r="Q1374" s="358">
        <v>0.18688024408848208</v>
      </c>
      <c r="R1374" s="359">
        <v>0.98312500000000003</v>
      </c>
      <c r="S1374" s="196">
        <v>10625940000</v>
      </c>
      <c r="T1374" s="196">
        <v>204300000</v>
      </c>
      <c r="U1374" s="200">
        <f t="shared" si="237"/>
        <v>6129000000</v>
      </c>
      <c r="V1374" s="196">
        <v>264000000</v>
      </c>
      <c r="W1374" s="196">
        <v>4460000000</v>
      </c>
      <c r="X1374" s="196">
        <v>2769000000</v>
      </c>
      <c r="Y1374" s="196">
        <v>6589000000</v>
      </c>
      <c r="Z1374" s="196">
        <v>1297000000</v>
      </c>
      <c r="AA1374" s="198">
        <v>0.04</v>
      </c>
      <c r="AB1374" s="198">
        <v>0.03</v>
      </c>
      <c r="AC1374" s="213">
        <f t="shared" si="238"/>
        <v>337</v>
      </c>
      <c r="AD1374" s="213">
        <f t="shared" si="239"/>
        <v>334</v>
      </c>
      <c r="AE1374" s="213">
        <v>2.3199999999999998</v>
      </c>
      <c r="AF1374" s="196">
        <v>607000000</v>
      </c>
      <c r="AG1374" s="104">
        <f t="shared" si="240"/>
        <v>2.9711209006363193</v>
      </c>
      <c r="AH1374" s="104">
        <f t="shared" si="241"/>
        <v>2.2992424242424243</v>
      </c>
      <c r="AI1374" s="195">
        <v>4.6500000000000004</v>
      </c>
    </row>
    <row r="1375" spans="1:48">
      <c r="A1375">
        <v>8040</v>
      </c>
      <c r="C1375" s="107">
        <f>VLOOKUP(8040,收盤價!$A:$C,3,0)</f>
        <v>7.34</v>
      </c>
      <c r="D1375" s="107">
        <f t="shared" si="231"/>
        <v>0</v>
      </c>
      <c r="E1375" s="167">
        <f t="shared" si="232"/>
        <v>3</v>
      </c>
      <c r="F1375" s="104">
        <f t="shared" si="233"/>
        <v>0.72104045308981024</v>
      </c>
      <c r="G1375" s="167">
        <f>RANK(0.56,AE:AE,0)</f>
        <v>1414</v>
      </c>
      <c r="H1375" s="365">
        <f t="shared" si="234"/>
        <v>-0.12091898428053205</v>
      </c>
      <c r="I1375" s="213">
        <f t="shared" si="235"/>
        <v>981</v>
      </c>
      <c r="J1375" s="213">
        <f t="shared" si="236"/>
        <v>768</v>
      </c>
      <c r="K1375">
        <f>RANK(0.89,AI:AI,0)</f>
        <v>1004</v>
      </c>
      <c r="L1375" s="357">
        <v>1</v>
      </c>
      <c r="M1375" s="357">
        <v>1</v>
      </c>
      <c r="N1375" s="357">
        <v>0</v>
      </c>
      <c r="O1375" s="357">
        <v>1</v>
      </c>
      <c r="P1375" s="357">
        <v>0</v>
      </c>
      <c r="Q1375" s="358">
        <v>0.35377358490566035</v>
      </c>
      <c r="R1375" s="359">
        <v>0</v>
      </c>
      <c r="S1375" s="196">
        <v>841864000</v>
      </c>
      <c r="T1375" s="196">
        <v>82700000</v>
      </c>
      <c r="U1375" s="200">
        <f t="shared" si="237"/>
        <v>607018000</v>
      </c>
      <c r="V1375" s="196">
        <v>-13000000</v>
      </c>
      <c r="W1375" s="196">
        <v>166000000</v>
      </c>
      <c r="X1375" s="196">
        <v>291000000</v>
      </c>
      <c r="Y1375" s="196">
        <v>773000000</v>
      </c>
      <c r="Z1375" s="196">
        <v>15000000</v>
      </c>
      <c r="AA1375" s="198">
        <v>-0.03</v>
      </c>
      <c r="AB1375" s="198">
        <v>-0.02</v>
      </c>
      <c r="AC1375" s="213">
        <f t="shared" si="238"/>
        <v>1405</v>
      </c>
      <c r="AD1375" s="213">
        <f t="shared" si="239"/>
        <v>1388</v>
      </c>
      <c r="AE1375" s="213">
        <v>0.56000000000000005</v>
      </c>
      <c r="AF1375" s="196">
        <v>10000000</v>
      </c>
      <c r="AG1375" s="104">
        <f t="shared" si="240"/>
        <v>0.12091898428053205</v>
      </c>
      <c r="AH1375" s="104">
        <f t="shared" si="241"/>
        <v>0</v>
      </c>
      <c r="AI1375" s="195">
        <v>0.89</v>
      </c>
    </row>
    <row r="1376" spans="1:48">
      <c r="A1376">
        <v>8042</v>
      </c>
      <c r="C1376" s="107">
        <f>VLOOKUP(8042,收盤價!$A:$C,3,0)</f>
        <v>52</v>
      </c>
      <c r="D1376" s="107">
        <f t="shared" si="231"/>
        <v>12.5</v>
      </c>
      <c r="E1376" s="167">
        <f t="shared" si="232"/>
        <v>1</v>
      </c>
      <c r="F1376" s="104">
        <f t="shared" si="233"/>
        <v>1.5446772537435238</v>
      </c>
      <c r="G1376" s="167">
        <f>RANK(0.84,AE:AE,0)</f>
        <v>946</v>
      </c>
      <c r="H1376" s="365">
        <f t="shared" si="234"/>
        <v>0.55609756097560981</v>
      </c>
      <c r="I1376" s="213">
        <f t="shared" si="235"/>
        <v>1367</v>
      </c>
      <c r="J1376" s="213">
        <f t="shared" si="236"/>
        <v>768</v>
      </c>
      <c r="K1376">
        <f>RANK(0.73,AI:AI,0)</f>
        <v>1352</v>
      </c>
      <c r="L1376" s="357">
        <v>0</v>
      </c>
      <c r="M1376" s="357">
        <v>1</v>
      </c>
      <c r="N1376" s="357">
        <v>0</v>
      </c>
      <c r="O1376" s="357">
        <v>0</v>
      </c>
      <c r="P1376" s="357">
        <v>0</v>
      </c>
      <c r="Q1376" s="358">
        <v>0.31211750305997554</v>
      </c>
      <c r="R1376" s="359">
        <v>1.04</v>
      </c>
      <c r="S1376" s="196">
        <v>3450559000</v>
      </c>
      <c r="T1376" s="196">
        <v>102500000</v>
      </c>
      <c r="U1376" s="200">
        <f t="shared" si="237"/>
        <v>5330000000</v>
      </c>
      <c r="V1376" s="196">
        <v>0</v>
      </c>
      <c r="W1376" s="196">
        <v>1686000000</v>
      </c>
      <c r="X1376" s="196">
        <v>1243000000</v>
      </c>
      <c r="Y1376" s="196">
        <v>3556000000</v>
      </c>
      <c r="Z1376" s="196">
        <v>716000000</v>
      </c>
      <c r="AA1376" s="198">
        <v>0</v>
      </c>
      <c r="AB1376" s="198">
        <v>0</v>
      </c>
      <c r="AC1376" s="213">
        <f t="shared" si="238"/>
        <v>945</v>
      </c>
      <c r="AD1376" s="213">
        <f t="shared" si="239"/>
        <v>911</v>
      </c>
      <c r="AE1376" s="213">
        <v>0.84</v>
      </c>
      <c r="AF1376" s="196">
        <v>-57000000</v>
      </c>
      <c r="AG1376" s="104">
        <f t="shared" si="240"/>
        <v>-0.55609756097560981</v>
      </c>
      <c r="AH1376" s="104">
        <f t="shared" si="241"/>
        <v>0</v>
      </c>
      <c r="AI1376" s="195">
        <v>0.73</v>
      </c>
    </row>
    <row r="1377" spans="1:48">
      <c r="A1377">
        <v>8043</v>
      </c>
      <c r="C1377" s="107">
        <f>VLOOKUP(8043,收盤價!$A:$C,3,0)</f>
        <v>16.5</v>
      </c>
      <c r="D1377" s="107">
        <f t="shared" si="231"/>
        <v>9.866898148148147</v>
      </c>
      <c r="E1377" s="167">
        <f t="shared" si="232"/>
        <v>4</v>
      </c>
      <c r="F1377" s="104">
        <f t="shared" si="233"/>
        <v>0.26672755126566861</v>
      </c>
      <c r="G1377" s="167">
        <f>RANK(1.41,AE:AE,0)</f>
        <v>618</v>
      </c>
      <c r="H1377" s="365">
        <f t="shared" si="234"/>
        <v>1.2143825615352521</v>
      </c>
      <c r="I1377" s="213">
        <f t="shared" si="235"/>
        <v>262</v>
      </c>
      <c r="J1377" s="213">
        <f t="shared" si="236"/>
        <v>154</v>
      </c>
      <c r="K1377">
        <f>RANK(3.75,AI:AI,0)</f>
        <v>110</v>
      </c>
      <c r="L1377" s="357">
        <v>0</v>
      </c>
      <c r="M1377" s="357">
        <v>1</v>
      </c>
      <c r="N1377" s="357">
        <v>2</v>
      </c>
      <c r="O1377" s="357">
        <v>1</v>
      </c>
      <c r="P1377" s="357">
        <v>0</v>
      </c>
      <c r="Q1377" s="358">
        <v>0.10057471264367816</v>
      </c>
      <c r="R1377" s="359">
        <v>0.41806451612903228</v>
      </c>
      <c r="S1377" s="196">
        <v>4942684000</v>
      </c>
      <c r="T1377" s="196">
        <v>79900000</v>
      </c>
      <c r="U1377" s="200">
        <f t="shared" si="237"/>
        <v>1318350000</v>
      </c>
      <c r="V1377" s="196">
        <v>48000000</v>
      </c>
      <c r="W1377" s="196">
        <v>1896000000</v>
      </c>
      <c r="X1377" s="196">
        <v>128000000</v>
      </c>
      <c r="Y1377" s="196">
        <v>2194000000</v>
      </c>
      <c r="Z1377" s="196">
        <v>0</v>
      </c>
      <c r="AA1377" s="198">
        <v>0.02</v>
      </c>
      <c r="AB1377" s="198">
        <v>0.02</v>
      </c>
      <c r="AC1377" s="213">
        <f t="shared" si="238"/>
        <v>616</v>
      </c>
      <c r="AD1377" s="213">
        <f t="shared" si="239"/>
        <v>487</v>
      </c>
      <c r="AE1377" s="213">
        <v>1.41</v>
      </c>
      <c r="AF1377" s="196">
        <v>146000000</v>
      </c>
      <c r="AG1377" s="104">
        <f t="shared" si="240"/>
        <v>1.8272841051314144</v>
      </c>
      <c r="AH1377" s="104">
        <f t="shared" si="241"/>
        <v>3.0416666666666665</v>
      </c>
      <c r="AI1377" s="195">
        <v>3.75</v>
      </c>
    </row>
    <row r="1378" spans="1:48">
      <c r="A1378">
        <v>8044</v>
      </c>
      <c r="C1378" s="107">
        <f>VLOOKUP(8044,收盤價!$A:$C,3,0)</f>
        <v>352</v>
      </c>
      <c r="D1378" s="107">
        <f t="shared" si="231"/>
        <v>51.879594950756001</v>
      </c>
      <c r="E1378" s="167">
        <f t="shared" si="232"/>
        <v>2</v>
      </c>
      <c r="F1378" s="104">
        <f t="shared" si="233"/>
        <v>1.426164510603785</v>
      </c>
      <c r="G1378" s="167">
        <f>RANK(3.28,AE:AE,0)</f>
        <v>256</v>
      </c>
      <c r="H1378" s="365">
        <f t="shared" si="234"/>
        <v>-0.76042709376042705</v>
      </c>
      <c r="I1378" s="213">
        <f t="shared" si="235"/>
        <v>406</v>
      </c>
      <c r="J1378" s="213">
        <f t="shared" si="236"/>
        <v>665</v>
      </c>
      <c r="K1378">
        <f>RANK(1.45,AI:AI,0)</f>
        <v>582</v>
      </c>
      <c r="L1378" s="357">
        <v>0</v>
      </c>
      <c r="M1378" s="357">
        <v>1</v>
      </c>
      <c r="N1378" s="357">
        <v>0</v>
      </c>
      <c r="O1378" s="357">
        <v>0</v>
      </c>
      <c r="P1378" s="357">
        <v>1</v>
      </c>
      <c r="Q1378" s="358">
        <v>0.1737245748582861</v>
      </c>
      <c r="R1378" s="359">
        <v>1.6962352941176471</v>
      </c>
      <c r="S1378" s="196">
        <v>24656903000</v>
      </c>
      <c r="T1378" s="196">
        <v>99900000</v>
      </c>
      <c r="U1378" s="200">
        <f t="shared" si="237"/>
        <v>35164800000</v>
      </c>
      <c r="V1378" s="196">
        <v>243000000</v>
      </c>
      <c r="W1378" s="196">
        <v>5062000000</v>
      </c>
      <c r="X1378" s="196">
        <v>290000000</v>
      </c>
      <c r="Y1378" s="196">
        <v>5659000000</v>
      </c>
      <c r="Z1378" s="196">
        <v>97000000</v>
      </c>
      <c r="AA1378" s="198">
        <v>0.05</v>
      </c>
      <c r="AB1378" s="198">
        <v>0.04</v>
      </c>
      <c r="AC1378" s="213">
        <f t="shared" si="238"/>
        <v>247</v>
      </c>
      <c r="AD1378" s="213">
        <f t="shared" si="239"/>
        <v>228</v>
      </c>
      <c r="AE1378" s="213">
        <v>3.28</v>
      </c>
      <c r="AF1378" s="196">
        <v>129000000</v>
      </c>
      <c r="AG1378" s="104">
        <f t="shared" si="240"/>
        <v>1.2912912912912913</v>
      </c>
      <c r="AH1378" s="104">
        <f t="shared" si="241"/>
        <v>0.53086419753086422</v>
      </c>
      <c r="AI1378" s="195">
        <v>1.45</v>
      </c>
      <c r="AO1378" s="213"/>
      <c r="AP1378" s="213"/>
      <c r="AQ1378" s="213"/>
      <c r="AR1378" s="213"/>
      <c r="AS1378" s="213"/>
      <c r="AT1378" s="213"/>
      <c r="AU1378" s="213"/>
      <c r="AV1378" s="213"/>
    </row>
    <row r="1379" spans="1:48">
      <c r="A1379">
        <v>8046</v>
      </c>
      <c r="C1379" s="107">
        <f>VLOOKUP(8046,收盤價!$A:$C,3,0)</f>
        <v>24</v>
      </c>
      <c r="D1379" s="107">
        <f t="shared" si="231"/>
        <v>0</v>
      </c>
      <c r="E1379" s="167">
        <f t="shared" si="232"/>
        <v>3</v>
      </c>
      <c r="F1379" s="104">
        <f t="shared" si="233"/>
        <v>0.52717270596354948</v>
      </c>
      <c r="G1379" s="167">
        <f>RANK(0.84,AE:AE,0)</f>
        <v>946</v>
      </c>
      <c r="H1379" s="365">
        <f t="shared" si="234"/>
        <v>-1.3091922005571031</v>
      </c>
      <c r="I1379" s="213">
        <f t="shared" si="235"/>
        <v>399</v>
      </c>
      <c r="J1379" s="213">
        <f t="shared" si="236"/>
        <v>768</v>
      </c>
      <c r="K1379">
        <f>RANK(1.34,AI:AI,0)</f>
        <v>655</v>
      </c>
      <c r="L1379" s="357">
        <v>0</v>
      </c>
      <c r="M1379" s="357">
        <v>1</v>
      </c>
      <c r="N1379" s="357">
        <v>1</v>
      </c>
      <c r="O1379" s="357">
        <v>1</v>
      </c>
      <c r="P1379" s="357">
        <v>0</v>
      </c>
      <c r="Q1379" s="358">
        <v>-2.9705644072373751E-3</v>
      </c>
      <c r="R1379" s="359">
        <v>-0.36</v>
      </c>
      <c r="S1379" s="196">
        <v>29418822000</v>
      </c>
      <c r="T1379" s="196">
        <v>646200000</v>
      </c>
      <c r="U1379" s="200">
        <f t="shared" si="237"/>
        <v>15508800000</v>
      </c>
      <c r="V1379" s="196">
        <v>0</v>
      </c>
      <c r="W1379" s="196">
        <v>20688000000</v>
      </c>
      <c r="X1379" s="196">
        <v>17218000000</v>
      </c>
      <c r="Y1379" s="196">
        <v>34920000000</v>
      </c>
      <c r="Z1379" s="196">
        <v>1124000000</v>
      </c>
      <c r="AA1379" s="198">
        <v>0</v>
      </c>
      <c r="AB1379" s="198">
        <v>0</v>
      </c>
      <c r="AC1379" s="213">
        <f t="shared" si="238"/>
        <v>945</v>
      </c>
      <c r="AD1379" s="213">
        <f t="shared" si="239"/>
        <v>911</v>
      </c>
      <c r="AE1379" s="213">
        <v>0.84</v>
      </c>
      <c r="AF1379" s="196">
        <v>846000000</v>
      </c>
      <c r="AG1379" s="104">
        <f t="shared" si="240"/>
        <v>1.3091922005571031</v>
      </c>
      <c r="AH1379" s="104">
        <f t="shared" si="241"/>
        <v>0</v>
      </c>
      <c r="AI1379" s="195">
        <v>1.34</v>
      </c>
      <c r="AO1379" s="213"/>
      <c r="AP1379" s="213"/>
      <c r="AQ1379" s="213"/>
      <c r="AR1379" s="213"/>
      <c r="AS1379" s="213"/>
      <c r="AT1379" s="213"/>
      <c r="AU1379" s="213"/>
      <c r="AV1379" s="213"/>
    </row>
    <row r="1380" spans="1:48">
      <c r="A1380">
        <v>8047</v>
      </c>
      <c r="C1380" s="107">
        <f>VLOOKUP(8047,收盤價!$A:$C,3,0)</f>
        <v>10.1</v>
      </c>
      <c r="D1380" s="107">
        <f t="shared" si="231"/>
        <v>12.242424242424242</v>
      </c>
      <c r="E1380" s="167">
        <f t="shared" si="232"/>
        <v>4</v>
      </c>
      <c r="F1380" s="104">
        <f t="shared" si="233"/>
        <v>0.54809621072838022</v>
      </c>
      <c r="G1380" s="167">
        <f>RANK(1.41,AE:AE,0)</f>
        <v>618</v>
      </c>
      <c r="H1380" s="365">
        <f t="shared" si="234"/>
        <v>2.7393209200438116</v>
      </c>
      <c r="I1380" s="213">
        <f t="shared" si="235"/>
        <v>522</v>
      </c>
      <c r="J1380" s="213">
        <f t="shared" si="236"/>
        <v>120</v>
      </c>
      <c r="K1380">
        <f>RANK(2.43,AI:AI,0)</f>
        <v>252</v>
      </c>
      <c r="L1380" s="357">
        <v>0</v>
      </c>
      <c r="M1380" s="357">
        <v>1</v>
      </c>
      <c r="N1380" s="357">
        <v>2</v>
      </c>
      <c r="O1380" s="357">
        <v>1</v>
      </c>
      <c r="P1380" s="357">
        <v>0</v>
      </c>
      <c r="Q1380" s="358">
        <v>0.32663316582914576</v>
      </c>
      <c r="R1380" s="359">
        <v>0.20624999999999999</v>
      </c>
      <c r="S1380" s="196">
        <v>764738000</v>
      </c>
      <c r="T1380" s="196">
        <v>41500000</v>
      </c>
      <c r="U1380" s="200">
        <f t="shared" si="237"/>
        <v>419150000</v>
      </c>
      <c r="V1380" s="196">
        <v>11000000</v>
      </c>
      <c r="W1380" s="196">
        <v>376000000</v>
      </c>
      <c r="X1380" s="196">
        <v>137000000</v>
      </c>
      <c r="Y1380" s="196">
        <v>528000000</v>
      </c>
      <c r="Z1380" s="196">
        <v>0</v>
      </c>
      <c r="AA1380" s="198">
        <v>0.02</v>
      </c>
      <c r="AB1380" s="198">
        <v>0.02</v>
      </c>
      <c r="AC1380" s="213">
        <f t="shared" si="238"/>
        <v>616</v>
      </c>
      <c r="AD1380" s="213">
        <f t="shared" si="239"/>
        <v>487</v>
      </c>
      <c r="AE1380" s="213">
        <v>1.41</v>
      </c>
      <c r="AF1380" s="196">
        <v>41000000</v>
      </c>
      <c r="AG1380" s="104">
        <f t="shared" si="240"/>
        <v>0.98795180722891562</v>
      </c>
      <c r="AH1380" s="104">
        <f t="shared" si="241"/>
        <v>3.7272727272727271</v>
      </c>
      <c r="AI1380" s="195">
        <v>2.4300000000000002</v>
      </c>
    </row>
    <row r="1381" spans="1:48">
      <c r="A1381">
        <v>8048</v>
      </c>
      <c r="C1381" s="107">
        <f>VLOOKUP(8048,收盤價!$A:$C,3,0)</f>
        <v>27.35</v>
      </c>
      <c r="D1381" s="107">
        <f t="shared" si="231"/>
        <v>7.9742555831265509</v>
      </c>
      <c r="E1381" s="167">
        <f t="shared" si="232"/>
        <v>0</v>
      </c>
      <c r="F1381" s="104">
        <f t="shared" si="233"/>
        <v>0.8982873398847977</v>
      </c>
      <c r="G1381" s="167">
        <f>RANK(11.21,AE:AE,0)</f>
        <v>64</v>
      </c>
      <c r="H1381" s="365">
        <f t="shared" si="234"/>
        <v>0.29013539651837522</v>
      </c>
      <c r="I1381" s="213">
        <f t="shared" si="235"/>
        <v>1266</v>
      </c>
      <c r="J1381" s="213">
        <f t="shared" si="236"/>
        <v>768</v>
      </c>
      <c r="K1381">
        <f>RANK(0.77,AI:AI,0)</f>
        <v>1243</v>
      </c>
      <c r="L1381" s="357">
        <v>0</v>
      </c>
      <c r="M1381" s="357">
        <v>0</v>
      </c>
      <c r="N1381" s="357">
        <v>0</v>
      </c>
      <c r="O1381" s="357">
        <v>0</v>
      </c>
      <c r="P1381" s="357">
        <v>0</v>
      </c>
      <c r="Q1381" s="358">
        <v>0.24541284403669725</v>
      </c>
      <c r="R1381" s="359">
        <v>0.85744680851063837</v>
      </c>
      <c r="S1381" s="196">
        <v>1574101000</v>
      </c>
      <c r="T1381" s="196">
        <v>51700000</v>
      </c>
      <c r="U1381" s="200">
        <f t="shared" si="237"/>
        <v>1413995000</v>
      </c>
      <c r="V1381" s="196">
        <v>64000000</v>
      </c>
      <c r="W1381" s="196">
        <v>616000000</v>
      </c>
      <c r="X1381" s="196">
        <v>174000000</v>
      </c>
      <c r="Y1381" s="196">
        <v>782000000</v>
      </c>
      <c r="Z1381" s="196">
        <v>0</v>
      </c>
      <c r="AA1381" s="198">
        <v>0.08</v>
      </c>
      <c r="AB1381" s="198">
        <v>0.08</v>
      </c>
      <c r="AC1381" s="213">
        <f t="shared" si="238"/>
        <v>97</v>
      </c>
      <c r="AD1381" s="213">
        <f t="shared" si="239"/>
        <v>42</v>
      </c>
      <c r="AE1381" s="213">
        <v>11.21</v>
      </c>
      <c r="AF1381" s="196">
        <v>-15000000</v>
      </c>
      <c r="AG1381" s="104">
        <f t="shared" si="240"/>
        <v>-0.29013539651837522</v>
      </c>
      <c r="AH1381" s="104">
        <f t="shared" si="241"/>
        <v>0</v>
      </c>
      <c r="AI1381" s="195">
        <v>0.77</v>
      </c>
    </row>
    <row r="1382" spans="1:48">
      <c r="A1382">
        <v>8049</v>
      </c>
      <c r="C1382" s="107">
        <f>VLOOKUP(8049,收盤價!$A:$C,3,0)</f>
        <v>13.55</v>
      </c>
      <c r="D1382" s="107">
        <f t="shared" si="231"/>
        <v>7.1950344431687716</v>
      </c>
      <c r="E1382" s="167">
        <f t="shared" si="232"/>
        <v>5</v>
      </c>
      <c r="F1382" s="104">
        <f t="shared" si="233"/>
        <v>0.99285907391697503</v>
      </c>
      <c r="G1382" s="167">
        <f>RANK(4.81,AE:AE,0)</f>
        <v>170</v>
      </c>
      <c r="H1382" s="365">
        <f t="shared" si="234"/>
        <v>0.22677153211504353</v>
      </c>
      <c r="I1382" s="213">
        <f t="shared" si="235"/>
        <v>870</v>
      </c>
      <c r="J1382" s="213">
        <f t="shared" si="236"/>
        <v>673</v>
      </c>
      <c r="K1382">
        <f>RANK(1.01,AI:AI,0)</f>
        <v>874</v>
      </c>
      <c r="L1382" s="357">
        <v>1</v>
      </c>
      <c r="M1382" s="357">
        <v>1</v>
      </c>
      <c r="N1382" s="357">
        <v>2</v>
      </c>
      <c r="O1382" s="357">
        <v>1</v>
      </c>
      <c r="P1382" s="357">
        <v>0</v>
      </c>
      <c r="Q1382" s="358">
        <v>0.26046511627906976</v>
      </c>
      <c r="R1382" s="359">
        <v>0.47081081081081083</v>
      </c>
      <c r="S1382" s="196">
        <v>1609035000</v>
      </c>
      <c r="T1382" s="196">
        <v>117900000</v>
      </c>
      <c r="U1382" s="200">
        <f t="shared" si="237"/>
        <v>1597545000</v>
      </c>
      <c r="V1382" s="196">
        <v>66000000</v>
      </c>
      <c r="W1382" s="196">
        <v>690000000</v>
      </c>
      <c r="X1382" s="196">
        <v>353000000</v>
      </c>
      <c r="Y1382" s="196">
        <v>1368000000</v>
      </c>
      <c r="Z1382" s="196">
        <v>0</v>
      </c>
      <c r="AA1382" s="198">
        <v>0.06</v>
      </c>
      <c r="AB1382" s="198">
        <v>0.05</v>
      </c>
      <c r="AC1382" s="213">
        <f t="shared" si="238"/>
        <v>174</v>
      </c>
      <c r="AD1382" s="213">
        <f t="shared" si="239"/>
        <v>150</v>
      </c>
      <c r="AE1382" s="213">
        <v>4.8099999999999996</v>
      </c>
      <c r="AF1382" s="196">
        <v>34000000</v>
      </c>
      <c r="AG1382" s="104">
        <f t="shared" si="240"/>
        <v>0.28837998303647161</v>
      </c>
      <c r="AH1382" s="104">
        <f t="shared" si="241"/>
        <v>0.51515151515151514</v>
      </c>
      <c r="AI1382" s="195">
        <v>1.01</v>
      </c>
      <c r="AO1382" s="213"/>
      <c r="AP1382" s="213"/>
      <c r="AQ1382" s="213"/>
      <c r="AR1382" s="213"/>
      <c r="AS1382" s="213"/>
      <c r="AT1382" s="213"/>
      <c r="AU1382" s="213"/>
      <c r="AV1382" s="213"/>
    </row>
    <row r="1383" spans="1:48">
      <c r="A1383">
        <v>8050</v>
      </c>
      <c r="C1383" s="107">
        <f>VLOOKUP(8050,收盤價!$A:$C,3,0)</f>
        <v>67.900000000000006</v>
      </c>
      <c r="D1383" s="107">
        <f t="shared" si="231"/>
        <v>9.6584068607240052</v>
      </c>
      <c r="E1383" s="167">
        <f t="shared" si="232"/>
        <v>5</v>
      </c>
      <c r="F1383" s="104">
        <f t="shared" si="233"/>
        <v>1.70913872452334</v>
      </c>
      <c r="G1383" s="167">
        <f>RANK(21.64,AE:AE,0)</f>
        <v>33</v>
      </c>
      <c r="H1383" s="365">
        <f t="shared" si="234"/>
        <v>-1.2062338621630291</v>
      </c>
      <c r="I1383" s="213">
        <f t="shared" si="235"/>
        <v>212</v>
      </c>
      <c r="J1383" s="213">
        <f t="shared" si="236"/>
        <v>570</v>
      </c>
      <c r="K1383">
        <f>RANK(1.99,AI:AI,0)</f>
        <v>342</v>
      </c>
      <c r="L1383" s="357">
        <v>1</v>
      </c>
      <c r="M1383" s="357">
        <v>1</v>
      </c>
      <c r="N1383" s="357">
        <v>2</v>
      </c>
      <c r="O1383" s="357">
        <v>1</v>
      </c>
      <c r="P1383" s="357">
        <v>0</v>
      </c>
      <c r="Q1383" s="358">
        <v>0.37813211845102507</v>
      </c>
      <c r="R1383" s="359">
        <v>1.7575362318840579</v>
      </c>
      <c r="S1383" s="196">
        <v>4524975000</v>
      </c>
      <c r="T1383" s="196">
        <v>113900000</v>
      </c>
      <c r="U1383" s="200">
        <f t="shared" si="237"/>
        <v>7733810000.000001</v>
      </c>
      <c r="V1383" s="196">
        <v>271000000</v>
      </c>
      <c r="W1383" s="196">
        <v>1277000000</v>
      </c>
      <c r="X1383" s="196">
        <v>1091000000</v>
      </c>
      <c r="Y1383" s="196">
        <v>2837000000</v>
      </c>
      <c r="Z1383" s="196">
        <v>223000000</v>
      </c>
      <c r="AA1383" s="198">
        <v>0.11</v>
      </c>
      <c r="AB1383" s="198">
        <v>0.09</v>
      </c>
      <c r="AC1383" s="213">
        <f t="shared" si="238"/>
        <v>40</v>
      </c>
      <c r="AD1383" s="213">
        <f t="shared" si="239"/>
        <v>32</v>
      </c>
      <c r="AE1383" s="213">
        <v>21.64</v>
      </c>
      <c r="AF1383" s="196">
        <v>237000000</v>
      </c>
      <c r="AG1383" s="104">
        <f t="shared" si="240"/>
        <v>2.0807726075504829</v>
      </c>
      <c r="AH1383" s="104">
        <f t="shared" si="241"/>
        <v>0.87453874538745391</v>
      </c>
      <c r="AI1383" s="195">
        <v>1.99</v>
      </c>
    </row>
    <row r="1384" spans="1:48">
      <c r="A1384">
        <v>8054</v>
      </c>
      <c r="C1384" s="107">
        <f>VLOOKUP(8054,收盤價!$A:$C,3,0)</f>
        <v>19.75</v>
      </c>
      <c r="D1384" s="107">
        <f t="shared" si="231"/>
        <v>0</v>
      </c>
      <c r="E1384" s="167">
        <f t="shared" si="232"/>
        <v>4</v>
      </c>
      <c r="F1384" s="104">
        <f t="shared" si="233"/>
        <v>0.69569398875757438</v>
      </c>
      <c r="G1384" s="167">
        <f>RANK(0.84,AE:AE,0)</f>
        <v>946</v>
      </c>
      <c r="H1384" s="365">
        <f t="shared" si="234"/>
        <v>-8.9058524173027995E-2</v>
      </c>
      <c r="I1384" s="213">
        <f t="shared" si="235"/>
        <v>1000</v>
      </c>
      <c r="J1384" s="213">
        <f t="shared" si="236"/>
        <v>768</v>
      </c>
      <c r="K1384">
        <f>RANK(0.88,AI:AI,0)</f>
        <v>1021</v>
      </c>
      <c r="L1384" s="357">
        <v>1</v>
      </c>
      <c r="M1384" s="357">
        <v>1</v>
      </c>
      <c r="N1384" s="357">
        <v>2</v>
      </c>
      <c r="O1384" s="357">
        <v>0</v>
      </c>
      <c r="P1384" s="357">
        <v>0</v>
      </c>
      <c r="Q1384" s="358">
        <v>0.41946902654867257</v>
      </c>
      <c r="R1384" s="359">
        <v>0</v>
      </c>
      <c r="S1384" s="196">
        <v>2231369000</v>
      </c>
      <c r="T1384" s="196">
        <v>78600000</v>
      </c>
      <c r="U1384" s="200">
        <f t="shared" si="237"/>
        <v>1552350000</v>
      </c>
      <c r="V1384" s="196">
        <v>-6000000</v>
      </c>
      <c r="W1384" s="196">
        <v>1816000000</v>
      </c>
      <c r="X1384" s="196">
        <v>60000000</v>
      </c>
      <c r="Y1384" s="196">
        <v>2355000000</v>
      </c>
      <c r="Z1384" s="196">
        <v>0</v>
      </c>
      <c r="AA1384" s="198">
        <v>0</v>
      </c>
      <c r="AB1384" s="198">
        <v>0</v>
      </c>
      <c r="AC1384" s="213">
        <f t="shared" si="238"/>
        <v>945</v>
      </c>
      <c r="AD1384" s="213">
        <f t="shared" si="239"/>
        <v>911</v>
      </c>
      <c r="AE1384" s="213">
        <v>0.84</v>
      </c>
      <c r="AF1384" s="196">
        <v>7000000</v>
      </c>
      <c r="AG1384" s="104">
        <f t="shared" si="240"/>
        <v>8.9058524173027995E-2</v>
      </c>
      <c r="AH1384" s="104">
        <f t="shared" si="241"/>
        <v>0</v>
      </c>
      <c r="AI1384" s="195">
        <v>0.88</v>
      </c>
    </row>
    <row r="1385" spans="1:48">
      <c r="A1385">
        <v>8059</v>
      </c>
      <c r="C1385" s="107">
        <f>VLOOKUP(8059,收盤價!$A:$C,3,0)</f>
        <v>10.35</v>
      </c>
      <c r="D1385" s="107">
        <f t="shared" si="231"/>
        <v>0</v>
      </c>
      <c r="E1385" s="167">
        <f t="shared" si="232"/>
        <v>1</v>
      </c>
      <c r="F1385" s="104">
        <f t="shared" si="233"/>
        <v>0.88060755322815187</v>
      </c>
      <c r="G1385" s="167">
        <f>RANK(0.56,AE:AE,0)</f>
        <v>1414</v>
      </c>
      <c r="H1385" s="365">
        <f t="shared" si="234"/>
        <v>-0.51591657519209655</v>
      </c>
      <c r="I1385" s="213">
        <f t="shared" si="235"/>
        <v>739</v>
      </c>
      <c r="J1385" s="213">
        <f t="shared" si="236"/>
        <v>768</v>
      </c>
      <c r="K1385">
        <f>RANK(1.03,AI:AI,0)</f>
        <v>851</v>
      </c>
      <c r="L1385" s="357">
        <v>0</v>
      </c>
      <c r="M1385" s="357">
        <v>0</v>
      </c>
      <c r="N1385" s="357">
        <v>0</v>
      </c>
      <c r="O1385" s="357">
        <v>1</v>
      </c>
      <c r="P1385" s="357">
        <v>0</v>
      </c>
      <c r="Q1385" s="358">
        <v>0.1</v>
      </c>
      <c r="R1385" s="359">
        <v>0</v>
      </c>
      <c r="S1385" s="196">
        <v>1070721000</v>
      </c>
      <c r="T1385" s="196">
        <v>91100000</v>
      </c>
      <c r="U1385" s="200">
        <f t="shared" si="237"/>
        <v>942885000</v>
      </c>
      <c r="V1385" s="196">
        <v>-21000000</v>
      </c>
      <c r="W1385" s="196">
        <v>392000000</v>
      </c>
      <c r="X1385" s="196">
        <v>366000000</v>
      </c>
      <c r="Y1385" s="196">
        <v>952000000</v>
      </c>
      <c r="Z1385" s="196">
        <v>0</v>
      </c>
      <c r="AA1385" s="198">
        <v>-0.03</v>
      </c>
      <c r="AB1385" s="198">
        <v>-0.02</v>
      </c>
      <c r="AC1385" s="213">
        <f t="shared" si="238"/>
        <v>1405</v>
      </c>
      <c r="AD1385" s="213">
        <f t="shared" si="239"/>
        <v>1388</v>
      </c>
      <c r="AE1385" s="213">
        <v>0.56000000000000005</v>
      </c>
      <c r="AF1385" s="196">
        <v>47000000</v>
      </c>
      <c r="AG1385" s="104">
        <f t="shared" si="240"/>
        <v>0.51591657519209655</v>
      </c>
      <c r="AH1385" s="104">
        <f t="shared" si="241"/>
        <v>0</v>
      </c>
      <c r="AI1385" s="195">
        <v>1.03</v>
      </c>
    </row>
    <row r="1386" spans="1:48">
      <c r="A1386">
        <v>8064</v>
      </c>
      <c r="C1386" s="107">
        <f>VLOOKUP(8064,收盤價!$A:$C,3,0)</f>
        <v>17.149999999999999</v>
      </c>
      <c r="D1386" s="107">
        <f t="shared" si="231"/>
        <v>78.604166666666657</v>
      </c>
      <c r="E1386" s="167">
        <f t="shared" si="232"/>
        <v>2</v>
      </c>
      <c r="F1386" s="104">
        <f t="shared" si="233"/>
        <v>0.69906536991892687</v>
      </c>
      <c r="G1386" s="167">
        <f>RANK(1.08,AE:AE,0)</f>
        <v>769</v>
      </c>
      <c r="H1386" s="365">
        <f t="shared" si="234"/>
        <v>1.2770724421209858</v>
      </c>
      <c r="I1386" s="213">
        <f t="shared" si="235"/>
        <v>1464</v>
      </c>
      <c r="J1386" s="213">
        <f t="shared" si="236"/>
        <v>768</v>
      </c>
      <c r="K1386">
        <f>RANK(0.7,AI:AI,0)</f>
        <v>1442</v>
      </c>
      <c r="L1386" s="357">
        <v>0</v>
      </c>
      <c r="M1386" s="357">
        <v>1</v>
      </c>
      <c r="N1386" s="357">
        <v>1</v>
      </c>
      <c r="O1386" s="357">
        <v>0</v>
      </c>
      <c r="P1386" s="357">
        <v>0</v>
      </c>
      <c r="Q1386" s="358">
        <v>0.20336787564766839</v>
      </c>
      <c r="R1386" s="359">
        <v>5.4545454545454543E-2</v>
      </c>
      <c r="S1386" s="196">
        <v>3284936000</v>
      </c>
      <c r="T1386" s="196">
        <v>133900000</v>
      </c>
      <c r="U1386" s="200">
        <f t="shared" si="237"/>
        <v>2296385000</v>
      </c>
      <c r="V1386" s="196">
        <v>23000000</v>
      </c>
      <c r="W1386" s="196">
        <v>977000000</v>
      </c>
      <c r="X1386" s="196">
        <v>965000000</v>
      </c>
      <c r="Y1386" s="196">
        <v>2054000000</v>
      </c>
      <c r="Z1386" s="196">
        <v>939000000</v>
      </c>
      <c r="AA1386" s="198">
        <v>0.01</v>
      </c>
      <c r="AB1386" s="198">
        <v>0.01</v>
      </c>
      <c r="AC1386" s="213">
        <f t="shared" si="238"/>
        <v>769</v>
      </c>
      <c r="AD1386" s="213">
        <f t="shared" si="239"/>
        <v>680</v>
      </c>
      <c r="AE1386" s="213">
        <v>1.08</v>
      </c>
      <c r="AF1386" s="196">
        <v>-171000000</v>
      </c>
      <c r="AG1386" s="104">
        <f t="shared" si="240"/>
        <v>-1.2770724421209858</v>
      </c>
      <c r="AH1386" s="104">
        <f t="shared" si="241"/>
        <v>0</v>
      </c>
      <c r="AI1386" s="195">
        <v>0.7</v>
      </c>
      <c r="AO1386" s="213"/>
      <c r="AP1386" s="213"/>
      <c r="AQ1386" s="213"/>
      <c r="AR1386" s="213"/>
      <c r="AS1386" s="213"/>
      <c r="AT1386" s="213"/>
      <c r="AU1386" s="213"/>
      <c r="AV1386" s="213"/>
    </row>
    <row r="1387" spans="1:48">
      <c r="A1387">
        <v>8066</v>
      </c>
      <c r="C1387" s="107">
        <f>VLOOKUP(8066,收盤價!$A:$C,3,0)</f>
        <v>81.400000000000006</v>
      </c>
      <c r="D1387" s="107">
        <f t="shared" si="231"/>
        <v>8.14</v>
      </c>
      <c r="E1387" s="167">
        <f t="shared" si="232"/>
        <v>4</v>
      </c>
      <c r="F1387" s="104">
        <f t="shared" si="233"/>
        <v>0.23278089162758295</v>
      </c>
      <c r="G1387" s="167">
        <f>RANK(0.84,AE:AE,0)</f>
        <v>946</v>
      </c>
      <c r="H1387" s="365">
        <f t="shared" si="234"/>
        <v>-0.63745019920318724</v>
      </c>
      <c r="I1387" s="213">
        <f t="shared" si="235"/>
        <v>677</v>
      </c>
      <c r="J1387" s="213">
        <f t="shared" si="236"/>
        <v>768</v>
      </c>
      <c r="K1387">
        <f>RANK(1.08,AI:AI,0)</f>
        <v>817</v>
      </c>
      <c r="L1387" s="357">
        <v>1</v>
      </c>
      <c r="M1387" s="357">
        <v>1</v>
      </c>
      <c r="N1387" s="357">
        <v>1</v>
      </c>
      <c r="O1387" s="357">
        <v>1</v>
      </c>
      <c r="P1387" s="357">
        <v>0</v>
      </c>
      <c r="Q1387" s="358">
        <v>0.14191919191919192</v>
      </c>
      <c r="R1387" s="359">
        <v>2.5</v>
      </c>
      <c r="S1387" s="196">
        <v>8777095000</v>
      </c>
      <c r="T1387" s="196">
        <v>25100000</v>
      </c>
      <c r="U1387" s="200">
        <f t="shared" si="237"/>
        <v>2043140000.0000002</v>
      </c>
      <c r="V1387" s="196">
        <v>0</v>
      </c>
      <c r="W1387" s="196">
        <v>468000000</v>
      </c>
      <c r="X1387" s="196">
        <v>45000000</v>
      </c>
      <c r="Y1387" s="196">
        <v>606000000</v>
      </c>
      <c r="Z1387" s="196">
        <v>165000000</v>
      </c>
      <c r="AA1387" s="198">
        <v>0</v>
      </c>
      <c r="AB1387" s="198">
        <v>0</v>
      </c>
      <c r="AC1387" s="213">
        <f t="shared" si="238"/>
        <v>945</v>
      </c>
      <c r="AD1387" s="213">
        <f t="shared" si="239"/>
        <v>911</v>
      </c>
      <c r="AE1387" s="213">
        <v>0.84</v>
      </c>
      <c r="AF1387" s="196">
        <v>16000000</v>
      </c>
      <c r="AG1387" s="104">
        <f t="shared" si="240"/>
        <v>0.63745019920318724</v>
      </c>
      <c r="AH1387" s="104">
        <f t="shared" si="241"/>
        <v>0</v>
      </c>
      <c r="AI1387" s="195">
        <v>1.08</v>
      </c>
      <c r="AO1387" s="213"/>
      <c r="AP1387" s="213"/>
      <c r="AQ1387" s="213"/>
      <c r="AR1387" s="213"/>
      <c r="AS1387" s="213"/>
      <c r="AT1387" s="213"/>
      <c r="AU1387" s="213"/>
      <c r="AV1387" s="213"/>
    </row>
    <row r="1388" spans="1:48">
      <c r="A1388">
        <v>8067</v>
      </c>
      <c r="C1388" s="107">
        <f>VLOOKUP(8067,收盤價!$A:$C,3,0)</f>
        <v>0</v>
      </c>
      <c r="D1388" s="107">
        <f t="shared" si="231"/>
        <v>0</v>
      </c>
      <c r="E1388" s="167">
        <f t="shared" si="232"/>
        <v>1</v>
      </c>
      <c r="F1388" s="104">
        <f t="shared" si="233"/>
        <v>0</v>
      </c>
      <c r="G1388" s="167">
        <f>RANK(0.71,AE:AE,0)</f>
        <v>1276</v>
      </c>
      <c r="H1388" s="365">
        <f t="shared" si="234"/>
        <v>0.20089285714285715</v>
      </c>
      <c r="I1388" s="213">
        <f t="shared" si="235"/>
        <v>1209</v>
      </c>
      <c r="J1388" s="213">
        <f t="shared" si="236"/>
        <v>768</v>
      </c>
      <c r="K1388">
        <f>RANK(0.79,AI:AI,0)</f>
        <v>1192</v>
      </c>
      <c r="L1388" s="357">
        <v>0</v>
      </c>
      <c r="M1388" s="357">
        <v>1</v>
      </c>
      <c r="N1388" s="357">
        <v>0</v>
      </c>
      <c r="O1388" s="357">
        <v>0</v>
      </c>
      <c r="P1388" s="357">
        <v>0</v>
      </c>
      <c r="Q1388" s="358">
        <v>0.21348314606741572</v>
      </c>
      <c r="R1388" s="359">
        <v>0</v>
      </c>
      <c r="S1388" s="196">
        <v>455173000</v>
      </c>
      <c r="T1388" s="196">
        <v>44800000</v>
      </c>
      <c r="U1388" s="200">
        <f t="shared" si="237"/>
        <v>0</v>
      </c>
      <c r="V1388" s="196">
        <v>-2000000</v>
      </c>
      <c r="W1388" s="196">
        <v>91000000</v>
      </c>
      <c r="X1388" s="196">
        <v>86000000</v>
      </c>
      <c r="Y1388" s="196">
        <v>294000000</v>
      </c>
      <c r="Z1388" s="196">
        <v>250000000</v>
      </c>
      <c r="AA1388" s="198">
        <v>-0.01</v>
      </c>
      <c r="AB1388" s="198">
        <v>0</v>
      </c>
      <c r="AC1388" s="213">
        <f t="shared" si="238"/>
        <v>1277</v>
      </c>
      <c r="AD1388" s="213">
        <f t="shared" si="239"/>
        <v>911</v>
      </c>
      <c r="AE1388" s="213">
        <v>0.71</v>
      </c>
      <c r="AF1388" s="196">
        <v>-9000000</v>
      </c>
      <c r="AG1388" s="104">
        <f t="shared" si="240"/>
        <v>-0.20089285714285715</v>
      </c>
      <c r="AH1388" s="104">
        <f t="shared" si="241"/>
        <v>0</v>
      </c>
      <c r="AI1388" s="195">
        <v>0.79</v>
      </c>
    </row>
    <row r="1389" spans="1:48">
      <c r="A1389">
        <v>8068</v>
      </c>
      <c r="C1389" s="107">
        <f>VLOOKUP(8068,收盤價!$A:$C,3,0)</f>
        <v>25.45</v>
      </c>
      <c r="D1389" s="107">
        <f t="shared" si="231"/>
        <v>9.5381393298059951</v>
      </c>
      <c r="E1389" s="167">
        <f t="shared" si="232"/>
        <v>4</v>
      </c>
      <c r="F1389" s="104">
        <f t="shared" si="233"/>
        <v>0.46398995192721681</v>
      </c>
      <c r="G1389" s="167">
        <f>RANK(15.58,AE:AE,0)</f>
        <v>50</v>
      </c>
      <c r="H1389" s="365">
        <f t="shared" si="234"/>
        <v>2.3127035830618894</v>
      </c>
      <c r="I1389" s="213">
        <f t="shared" si="235"/>
        <v>1524</v>
      </c>
      <c r="J1389" s="213">
        <f t="shared" si="236"/>
        <v>768</v>
      </c>
      <c r="K1389">
        <f>RANK(0.68,AI:AI,0)</f>
        <v>1507</v>
      </c>
      <c r="L1389" s="357">
        <v>0</v>
      </c>
      <c r="M1389" s="357">
        <v>1</v>
      </c>
      <c r="N1389" s="357">
        <v>2</v>
      </c>
      <c r="O1389" s="357">
        <v>0</v>
      </c>
      <c r="P1389" s="357">
        <v>1</v>
      </c>
      <c r="Q1389" s="358">
        <v>6.1837455830388695E-2</v>
      </c>
      <c r="R1389" s="359">
        <v>0.66705882352941182</v>
      </c>
      <c r="S1389" s="196">
        <v>1683905000</v>
      </c>
      <c r="T1389" s="196">
        <v>30700000</v>
      </c>
      <c r="U1389" s="200">
        <f t="shared" si="237"/>
        <v>781315000</v>
      </c>
      <c r="V1389" s="196">
        <v>22000000</v>
      </c>
      <c r="W1389" s="196">
        <v>0</v>
      </c>
      <c r="X1389" s="196">
        <v>37000000</v>
      </c>
      <c r="Y1389" s="196">
        <v>121000000</v>
      </c>
      <c r="Z1389" s="196">
        <v>260000000</v>
      </c>
      <c r="AA1389" s="198">
        <v>0.59</v>
      </c>
      <c r="AB1389" s="198">
        <v>0.06</v>
      </c>
      <c r="AC1389" s="213">
        <f t="shared" si="238"/>
        <v>5</v>
      </c>
      <c r="AD1389" s="213">
        <f t="shared" si="239"/>
        <v>95</v>
      </c>
      <c r="AE1389" s="213">
        <v>15.58</v>
      </c>
      <c r="AF1389" s="196">
        <v>-71000000</v>
      </c>
      <c r="AG1389" s="104">
        <f t="shared" si="240"/>
        <v>-2.3127035830618894</v>
      </c>
      <c r="AH1389" s="104">
        <f t="shared" si="241"/>
        <v>0</v>
      </c>
      <c r="AI1389" s="195">
        <v>0.68</v>
      </c>
    </row>
    <row r="1390" spans="1:48">
      <c r="A1390">
        <v>8069</v>
      </c>
      <c r="C1390" s="107">
        <f>VLOOKUP(8069,收盤價!$A:$C,3,0)</f>
        <v>26.25</v>
      </c>
      <c r="D1390" s="107">
        <f t="shared" si="231"/>
        <v>59.258900928792563</v>
      </c>
      <c r="E1390" s="167">
        <f t="shared" si="232"/>
        <v>3</v>
      </c>
      <c r="F1390" s="104">
        <f t="shared" si="233"/>
        <v>2.2387206727171245</v>
      </c>
      <c r="G1390" s="167">
        <f>RANK(1.08,AE:AE,0)</f>
        <v>769</v>
      </c>
      <c r="H1390" s="365">
        <f t="shared" si="234"/>
        <v>1.8009018600864282</v>
      </c>
      <c r="I1390" s="213">
        <f t="shared" si="235"/>
        <v>832</v>
      </c>
      <c r="J1390" s="213">
        <f t="shared" si="236"/>
        <v>242</v>
      </c>
      <c r="K1390">
        <f>RANK(1.45,AI:AI,0)</f>
        <v>582</v>
      </c>
      <c r="L1390" s="357">
        <v>0</v>
      </c>
      <c r="M1390" s="357">
        <v>1</v>
      </c>
      <c r="N1390" s="357">
        <v>2</v>
      </c>
      <c r="O1390" s="357">
        <v>0</v>
      </c>
      <c r="P1390" s="357">
        <v>0</v>
      </c>
      <c r="Q1390" s="358">
        <v>0.39135285913528589</v>
      </c>
      <c r="R1390" s="359">
        <v>0.11074285714285716</v>
      </c>
      <c r="S1390" s="196">
        <v>13372872000</v>
      </c>
      <c r="T1390" s="196">
        <v>1140500000</v>
      </c>
      <c r="U1390" s="200">
        <f t="shared" si="237"/>
        <v>29938125000</v>
      </c>
      <c r="V1390" s="196">
        <v>182000000</v>
      </c>
      <c r="W1390" s="196">
        <v>7747000000</v>
      </c>
      <c r="X1390" s="196">
        <v>5903000000</v>
      </c>
      <c r="Y1390" s="196">
        <v>26260000000</v>
      </c>
      <c r="Z1390" s="196">
        <v>1960000000</v>
      </c>
      <c r="AA1390" s="198">
        <v>0.01</v>
      </c>
      <c r="AB1390" s="198">
        <v>0.01</v>
      </c>
      <c r="AC1390" s="213">
        <f t="shared" si="238"/>
        <v>769</v>
      </c>
      <c r="AD1390" s="213">
        <f t="shared" si="239"/>
        <v>680</v>
      </c>
      <c r="AE1390" s="213">
        <v>1.08</v>
      </c>
      <c r="AF1390" s="196">
        <v>390000000</v>
      </c>
      <c r="AG1390" s="104">
        <f t="shared" si="240"/>
        <v>0.34195528277071457</v>
      </c>
      <c r="AH1390" s="104">
        <f t="shared" si="241"/>
        <v>2.1428571428571428</v>
      </c>
      <c r="AI1390" s="195">
        <v>1.45</v>
      </c>
      <c r="AO1390" s="213"/>
      <c r="AP1390" s="213"/>
      <c r="AQ1390" s="213"/>
      <c r="AR1390" s="213"/>
      <c r="AS1390" s="213"/>
      <c r="AT1390" s="213"/>
      <c r="AU1390" s="213"/>
      <c r="AV1390" s="213"/>
    </row>
    <row r="1391" spans="1:48">
      <c r="A1391">
        <v>8070</v>
      </c>
      <c r="C1391" s="107">
        <f>VLOOKUP(8070,收盤價!$A:$C,3,0)</f>
        <v>136</v>
      </c>
      <c r="D1391" s="107">
        <f t="shared" si="231"/>
        <v>30.917008196721309</v>
      </c>
      <c r="E1391" s="167">
        <f t="shared" si="232"/>
        <v>3</v>
      </c>
      <c r="F1391" s="104">
        <f t="shared" si="233"/>
        <v>0.76265444818838768</v>
      </c>
      <c r="G1391" s="167">
        <f>RANK(2.36,AE:AE,0)</f>
        <v>355</v>
      </c>
      <c r="H1391" s="365">
        <f t="shared" si="234"/>
        <v>-0.95621792772136671</v>
      </c>
      <c r="I1391" s="213">
        <f t="shared" si="235"/>
        <v>206</v>
      </c>
      <c r="J1391" s="213">
        <f t="shared" si="236"/>
        <v>476</v>
      </c>
      <c r="K1391">
        <f>RANK(2.28,AI:AI,0)</f>
        <v>282</v>
      </c>
      <c r="L1391" s="357">
        <v>0</v>
      </c>
      <c r="M1391" s="357">
        <v>0</v>
      </c>
      <c r="N1391" s="357">
        <v>2</v>
      </c>
      <c r="O1391" s="357">
        <v>1</v>
      </c>
      <c r="P1391" s="357">
        <v>0</v>
      </c>
      <c r="Q1391" s="358">
        <v>9.1997008227374721E-2</v>
      </c>
      <c r="R1391" s="359">
        <v>1.099718309859155</v>
      </c>
      <c r="S1391" s="196">
        <v>12661042000</v>
      </c>
      <c r="T1391" s="196">
        <v>71000000</v>
      </c>
      <c r="U1391" s="200">
        <f t="shared" si="237"/>
        <v>9656000000</v>
      </c>
      <c r="V1391" s="196">
        <v>129000000</v>
      </c>
      <c r="W1391" s="196">
        <v>1264000000</v>
      </c>
      <c r="X1391" s="196">
        <v>763000000</v>
      </c>
      <c r="Y1391" s="196">
        <v>5380000000</v>
      </c>
      <c r="Z1391" s="196">
        <v>738000000</v>
      </c>
      <c r="AA1391" s="198">
        <v>0.06</v>
      </c>
      <c r="AB1391" s="198">
        <v>0.02</v>
      </c>
      <c r="AC1391" s="213">
        <f t="shared" si="238"/>
        <v>174</v>
      </c>
      <c r="AD1391" s="213">
        <f t="shared" si="239"/>
        <v>487</v>
      </c>
      <c r="AE1391" s="213">
        <v>2.36</v>
      </c>
      <c r="AF1391" s="196">
        <v>151000000</v>
      </c>
      <c r="AG1391" s="104">
        <f t="shared" si="240"/>
        <v>2.1267605633802815</v>
      </c>
      <c r="AH1391" s="104">
        <f t="shared" si="241"/>
        <v>1.1705426356589148</v>
      </c>
      <c r="AI1391" s="195">
        <v>2.2799999999999998</v>
      </c>
    </row>
    <row r="1392" spans="1:48">
      <c r="A1392">
        <v>8071</v>
      </c>
      <c r="C1392" s="107">
        <f>VLOOKUP(8071,收盤價!$A:$C,3,0)</f>
        <v>11.65</v>
      </c>
      <c r="D1392" s="107">
        <f t="shared" si="231"/>
        <v>0</v>
      </c>
      <c r="E1392" s="167">
        <f t="shared" si="232"/>
        <v>5</v>
      </c>
      <c r="F1392" s="104">
        <f t="shared" si="233"/>
        <v>0.2691286851158553</v>
      </c>
      <c r="G1392" s="167">
        <f>RANK(0.61,AE:AE,0)</f>
        <v>1295</v>
      </c>
      <c r="H1392" s="365">
        <f t="shared" si="234"/>
        <v>-0.40462427745664742</v>
      </c>
      <c r="I1392" s="213">
        <f t="shared" si="235"/>
        <v>800</v>
      </c>
      <c r="J1392" s="213">
        <f t="shared" si="236"/>
        <v>768</v>
      </c>
      <c r="K1392">
        <f>RANK(0.99,AI:AI,0)</f>
        <v>893</v>
      </c>
      <c r="L1392" s="357">
        <v>1</v>
      </c>
      <c r="M1392" s="357">
        <v>1</v>
      </c>
      <c r="N1392" s="357">
        <v>2</v>
      </c>
      <c r="O1392" s="357">
        <v>1</v>
      </c>
      <c r="P1392" s="357">
        <v>0</v>
      </c>
      <c r="Q1392" s="358">
        <v>0.12477396021699819</v>
      </c>
      <c r="R1392" s="359">
        <v>0</v>
      </c>
      <c r="S1392" s="196">
        <v>2246639000</v>
      </c>
      <c r="T1392" s="196">
        <v>51900000</v>
      </c>
      <c r="U1392" s="200">
        <f t="shared" si="237"/>
        <v>604635000</v>
      </c>
      <c r="V1392" s="196">
        <v>-9000000</v>
      </c>
      <c r="W1392" s="196">
        <v>252000000</v>
      </c>
      <c r="X1392" s="196">
        <v>401000000</v>
      </c>
      <c r="Y1392" s="196">
        <v>849000000</v>
      </c>
      <c r="Z1392" s="196">
        <v>482000000</v>
      </c>
      <c r="AA1392" s="198">
        <v>-0.01</v>
      </c>
      <c r="AB1392" s="198">
        <v>-0.01</v>
      </c>
      <c r="AC1392" s="213">
        <f t="shared" si="238"/>
        <v>1277</v>
      </c>
      <c r="AD1392" s="213">
        <f t="shared" si="239"/>
        <v>1294</v>
      </c>
      <c r="AE1392" s="213">
        <v>0.61</v>
      </c>
      <c r="AF1392" s="196">
        <v>21000000</v>
      </c>
      <c r="AG1392" s="104">
        <f t="shared" si="240"/>
        <v>0.40462427745664742</v>
      </c>
      <c r="AH1392" s="104">
        <f t="shared" si="241"/>
        <v>0</v>
      </c>
      <c r="AI1392" s="195">
        <v>0.99</v>
      </c>
      <c r="AO1392" s="213"/>
      <c r="AP1392" s="213"/>
      <c r="AQ1392" s="213"/>
      <c r="AR1392" s="213"/>
      <c r="AS1392" s="213"/>
      <c r="AT1392" s="213"/>
      <c r="AU1392" s="213"/>
      <c r="AV1392" s="213"/>
    </row>
    <row r="1393" spans="1:48">
      <c r="A1393">
        <v>8072</v>
      </c>
      <c r="C1393" s="107">
        <f>VLOOKUP(8072,收盤價!$A:$C,3,0)</f>
        <v>22.2</v>
      </c>
      <c r="D1393" s="107">
        <f t="shared" si="231"/>
        <v>44.674922600619198</v>
      </c>
      <c r="E1393" s="167">
        <f t="shared" si="232"/>
        <v>3</v>
      </c>
      <c r="F1393" s="104">
        <f t="shared" si="233"/>
        <v>1.513462659399319</v>
      </c>
      <c r="G1393" s="167">
        <f>RANK(1.08,AE:AE,0)</f>
        <v>769</v>
      </c>
      <c r="H1393" s="365">
        <f t="shared" si="234"/>
        <v>1.1599999999999999</v>
      </c>
      <c r="I1393" s="213">
        <f t="shared" si="235"/>
        <v>867</v>
      </c>
      <c r="J1393" s="213">
        <f t="shared" si="236"/>
        <v>395</v>
      </c>
      <c r="K1393">
        <f>RANK(1.23,AI:AI,0)</f>
        <v>720</v>
      </c>
      <c r="L1393" s="357">
        <v>0</v>
      </c>
      <c r="M1393" s="357">
        <v>1</v>
      </c>
      <c r="N1393" s="357">
        <v>2</v>
      </c>
      <c r="O1393" s="357">
        <v>0</v>
      </c>
      <c r="P1393" s="357">
        <v>0</v>
      </c>
      <c r="Q1393" s="358">
        <v>0.22413793103448276</v>
      </c>
      <c r="R1393" s="359">
        <v>0.12423076923076923</v>
      </c>
      <c r="S1393" s="196">
        <v>1466835000</v>
      </c>
      <c r="T1393" s="196">
        <v>100000000</v>
      </c>
      <c r="U1393" s="200">
        <f t="shared" si="237"/>
        <v>2220000000</v>
      </c>
      <c r="V1393" s="196">
        <v>20000000</v>
      </c>
      <c r="W1393" s="196">
        <v>1899000000</v>
      </c>
      <c r="X1393" s="196">
        <v>778000000</v>
      </c>
      <c r="Y1393" s="196">
        <v>2712000000</v>
      </c>
      <c r="Z1393" s="196">
        <v>0</v>
      </c>
      <c r="AA1393" s="198">
        <v>0.01</v>
      </c>
      <c r="AB1393" s="198">
        <v>0.01</v>
      </c>
      <c r="AC1393" s="213">
        <f t="shared" si="238"/>
        <v>769</v>
      </c>
      <c r="AD1393" s="213">
        <f t="shared" si="239"/>
        <v>680</v>
      </c>
      <c r="AE1393" s="213">
        <v>1.08</v>
      </c>
      <c r="AF1393" s="196">
        <v>29000000</v>
      </c>
      <c r="AG1393" s="104">
        <f t="shared" si="240"/>
        <v>0.28999999999999998</v>
      </c>
      <c r="AH1393" s="104">
        <f t="shared" si="241"/>
        <v>1.45</v>
      </c>
      <c r="AI1393" s="195">
        <v>1.23</v>
      </c>
    </row>
    <row r="1394" spans="1:48">
      <c r="A1394">
        <v>8074</v>
      </c>
      <c r="C1394" s="107">
        <f>VLOOKUP(8074,收盤價!$A:$C,3,0)</f>
        <v>28.15</v>
      </c>
      <c r="D1394" s="107">
        <f t="shared" si="231"/>
        <v>11.235486211901305</v>
      </c>
      <c r="E1394" s="167">
        <f t="shared" si="232"/>
        <v>4</v>
      </c>
      <c r="F1394" s="104">
        <f t="shared" si="233"/>
        <v>1.4610509413381885</v>
      </c>
      <c r="G1394" s="167">
        <f>RANK(2.76,AE:AE,0)</f>
        <v>305</v>
      </c>
      <c r="H1394" s="365">
        <f t="shared" si="234"/>
        <v>0.1967592592592593</v>
      </c>
      <c r="I1394" s="213">
        <f t="shared" si="235"/>
        <v>485</v>
      </c>
      <c r="J1394" s="213">
        <f t="shared" si="236"/>
        <v>441</v>
      </c>
      <c r="K1394">
        <f>RANK(1.68,AI:AI,0)</f>
        <v>465</v>
      </c>
      <c r="L1394" s="357">
        <v>0</v>
      </c>
      <c r="M1394" s="357">
        <v>1</v>
      </c>
      <c r="N1394" s="357">
        <v>2</v>
      </c>
      <c r="O1394" s="357">
        <v>1</v>
      </c>
      <c r="P1394" s="357">
        <v>0</v>
      </c>
      <c r="Q1394" s="358">
        <v>0.29870129870129869</v>
      </c>
      <c r="R1394" s="359">
        <v>0.62636363636363634</v>
      </c>
      <c r="S1394" s="196">
        <v>1233085000</v>
      </c>
      <c r="T1394" s="196">
        <v>64000000</v>
      </c>
      <c r="U1394" s="200">
        <f t="shared" si="237"/>
        <v>1801600000</v>
      </c>
      <c r="V1394" s="196">
        <v>54000000</v>
      </c>
      <c r="W1394" s="196">
        <v>576000000</v>
      </c>
      <c r="X1394" s="196">
        <v>807000000</v>
      </c>
      <c r="Y1394" s="196">
        <v>1097000000</v>
      </c>
      <c r="Z1394" s="196">
        <v>138000000</v>
      </c>
      <c r="AA1394" s="198">
        <v>0.04</v>
      </c>
      <c r="AB1394" s="198">
        <v>0.04</v>
      </c>
      <c r="AC1394" s="213">
        <f t="shared" si="238"/>
        <v>337</v>
      </c>
      <c r="AD1394" s="213">
        <f t="shared" si="239"/>
        <v>228</v>
      </c>
      <c r="AE1394" s="213">
        <v>2.76</v>
      </c>
      <c r="AF1394" s="196">
        <v>68000000</v>
      </c>
      <c r="AG1394" s="104">
        <f t="shared" si="240"/>
        <v>1.0625</v>
      </c>
      <c r="AH1394" s="104">
        <f t="shared" si="241"/>
        <v>1.2592592592592593</v>
      </c>
      <c r="AI1394" s="195">
        <v>1.68</v>
      </c>
      <c r="AO1394" s="213"/>
      <c r="AP1394" s="213"/>
      <c r="AQ1394" s="213"/>
      <c r="AR1394" s="213"/>
      <c r="AS1394" s="213"/>
      <c r="AT1394" s="213"/>
      <c r="AU1394" s="213"/>
      <c r="AV1394" s="213"/>
    </row>
    <row r="1395" spans="1:48">
      <c r="A1395">
        <v>8076</v>
      </c>
      <c r="C1395" s="107">
        <f>VLOOKUP(8076,收盤價!$A:$C,3,0)</f>
        <v>66</v>
      </c>
      <c r="D1395" s="107">
        <f t="shared" si="231"/>
        <v>50.574712643678161</v>
      </c>
      <c r="E1395" s="167">
        <f t="shared" si="232"/>
        <v>5</v>
      </c>
      <c r="F1395" s="104">
        <f t="shared" si="233"/>
        <v>5.0056859122882935</v>
      </c>
      <c r="G1395" s="167">
        <f>RANK(2.51,AE:AE,0)</f>
        <v>353</v>
      </c>
      <c r="H1395" s="365">
        <f t="shared" si="234"/>
        <v>0.58613382931199942</v>
      </c>
      <c r="I1395" s="213">
        <f t="shared" si="235"/>
        <v>801</v>
      </c>
      <c r="J1395" s="213">
        <f t="shared" si="236"/>
        <v>532</v>
      </c>
      <c r="K1395">
        <f>RANK(1.17,AI:AI,0)</f>
        <v>743</v>
      </c>
      <c r="L1395" s="357">
        <v>0</v>
      </c>
      <c r="M1395" s="357">
        <v>1</v>
      </c>
      <c r="N1395" s="357">
        <v>2</v>
      </c>
      <c r="O1395" s="357">
        <v>1</v>
      </c>
      <c r="P1395" s="357">
        <v>1</v>
      </c>
      <c r="Q1395" s="358">
        <v>0.27409261576971217</v>
      </c>
      <c r="R1395" s="359">
        <v>0.32624999999999998</v>
      </c>
      <c r="S1395" s="196">
        <v>3168357000</v>
      </c>
      <c r="T1395" s="196">
        <v>240300000</v>
      </c>
      <c r="U1395" s="200">
        <f t="shared" si="237"/>
        <v>15859800000</v>
      </c>
      <c r="V1395" s="196">
        <v>98000000</v>
      </c>
      <c r="W1395" s="196">
        <v>1002000000</v>
      </c>
      <c r="X1395" s="196">
        <v>372000000</v>
      </c>
      <c r="Y1395" s="196">
        <v>4354000000</v>
      </c>
      <c r="Z1395" s="196">
        <v>1397000000</v>
      </c>
      <c r="AA1395" s="198">
        <v>7.0000000000000007E-2</v>
      </c>
      <c r="AB1395" s="198">
        <v>0.02</v>
      </c>
      <c r="AC1395" s="213">
        <f t="shared" si="238"/>
        <v>134</v>
      </c>
      <c r="AD1395" s="213">
        <f t="shared" si="239"/>
        <v>487</v>
      </c>
      <c r="AE1395" s="213">
        <v>2.5099999999999998</v>
      </c>
      <c r="AF1395" s="196">
        <v>97000000</v>
      </c>
      <c r="AG1395" s="104">
        <f t="shared" si="240"/>
        <v>0.40366208905534751</v>
      </c>
      <c r="AH1395" s="104">
        <f t="shared" si="241"/>
        <v>0.98979591836734693</v>
      </c>
      <c r="AI1395" s="195">
        <v>1.17</v>
      </c>
    </row>
    <row r="1396" spans="1:48">
      <c r="A1396">
        <v>8077</v>
      </c>
      <c r="C1396" s="107">
        <f>VLOOKUP(8077,收盤價!$A:$C,3,0)</f>
        <v>24.2</v>
      </c>
      <c r="D1396" s="107">
        <f t="shared" si="231"/>
        <v>0</v>
      </c>
      <c r="E1396" s="167">
        <f t="shared" si="232"/>
        <v>3</v>
      </c>
      <c r="F1396" s="104">
        <f t="shared" si="233"/>
        <v>1.8190512767251519</v>
      </c>
      <c r="G1396" s="167">
        <f>RANK(0.57,AE:AE,0)</f>
        <v>1389</v>
      </c>
      <c r="H1396" s="365">
        <f t="shared" si="234"/>
        <v>-0.27833001988071571</v>
      </c>
      <c r="I1396" s="213">
        <f t="shared" si="235"/>
        <v>874</v>
      </c>
      <c r="J1396" s="213">
        <f t="shared" si="236"/>
        <v>768</v>
      </c>
      <c r="K1396">
        <f>RANK(0.95,AI:AI,0)</f>
        <v>930</v>
      </c>
      <c r="L1396" s="357">
        <v>0</v>
      </c>
      <c r="M1396" s="357">
        <v>0</v>
      </c>
      <c r="N1396" s="357">
        <v>1</v>
      </c>
      <c r="O1396" s="357">
        <v>1</v>
      </c>
      <c r="P1396" s="357">
        <v>1</v>
      </c>
      <c r="Q1396" s="358">
        <v>0.11392405063291139</v>
      </c>
      <c r="R1396" s="359">
        <v>0</v>
      </c>
      <c r="S1396" s="196">
        <v>669173000</v>
      </c>
      <c r="T1396" s="196">
        <v>50300000</v>
      </c>
      <c r="U1396" s="200">
        <f t="shared" si="237"/>
        <v>1217260000</v>
      </c>
      <c r="V1396" s="196">
        <v>-20000000</v>
      </c>
      <c r="W1396" s="196">
        <v>0</v>
      </c>
      <c r="X1396" s="196">
        <v>1090000000</v>
      </c>
      <c r="Y1396" s="196">
        <v>517000000</v>
      </c>
      <c r="Z1396" s="196">
        <v>715000000</v>
      </c>
      <c r="AA1396" s="198">
        <v>-0.02</v>
      </c>
      <c r="AB1396" s="198">
        <v>-0.02</v>
      </c>
      <c r="AC1396" s="213">
        <f t="shared" si="238"/>
        <v>1353</v>
      </c>
      <c r="AD1396" s="213">
        <f t="shared" si="239"/>
        <v>1388</v>
      </c>
      <c r="AE1396" s="213">
        <v>0.56999999999999995</v>
      </c>
      <c r="AF1396" s="196">
        <v>14000000</v>
      </c>
      <c r="AG1396" s="104">
        <f t="shared" si="240"/>
        <v>0.27833001988071571</v>
      </c>
      <c r="AH1396" s="104">
        <f t="shared" si="241"/>
        <v>0</v>
      </c>
      <c r="AI1396" s="195">
        <v>0.95</v>
      </c>
    </row>
    <row r="1397" spans="1:48">
      <c r="A1397">
        <v>8079</v>
      </c>
      <c r="C1397" s="107" t="e">
        <f>VLOOKUP(8079,收盤價!$A:$C,3,0)</f>
        <v>#N/A</v>
      </c>
      <c r="D1397" s="107">
        <f t="shared" si="231"/>
        <v>0</v>
      </c>
      <c r="E1397" s="167">
        <f t="shared" si="232"/>
        <v>3</v>
      </c>
      <c r="F1397" s="104">
        <f t="shared" si="233"/>
        <v>0</v>
      </c>
      <c r="G1397" s="167">
        <f>RANK(1.94,AE:AE,0)</f>
        <v>435</v>
      </c>
      <c r="H1397" s="365">
        <f t="shared" si="234"/>
        <v>0.60105688160550996</v>
      </c>
      <c r="I1397" s="213">
        <f t="shared" si="235"/>
        <v>666</v>
      </c>
      <c r="J1397" s="213">
        <f t="shared" si="236"/>
        <v>438</v>
      </c>
      <c r="K1397">
        <f>RANK(1.41,AI:AI,0)</f>
        <v>613</v>
      </c>
      <c r="L1397" s="357">
        <v>0</v>
      </c>
      <c r="M1397" s="357">
        <v>1</v>
      </c>
      <c r="N1397" s="357">
        <v>1</v>
      </c>
      <c r="O1397" s="357">
        <v>1</v>
      </c>
      <c r="P1397" s="357">
        <v>0</v>
      </c>
      <c r="Q1397" s="358">
        <v>0.41428571428571431</v>
      </c>
      <c r="R1397" s="359">
        <v>0.35</v>
      </c>
      <c r="S1397" s="196">
        <v>532558000</v>
      </c>
      <c r="T1397" s="196">
        <v>80200000</v>
      </c>
      <c r="U1397" s="200" t="e">
        <f t="shared" si="237"/>
        <v>#N/A</v>
      </c>
      <c r="V1397" s="196">
        <v>42000000</v>
      </c>
      <c r="W1397" s="196">
        <v>909000000</v>
      </c>
      <c r="X1397" s="196">
        <v>334000000</v>
      </c>
      <c r="Y1397" s="196">
        <v>1249000000</v>
      </c>
      <c r="Z1397" s="196">
        <v>0</v>
      </c>
      <c r="AA1397" s="198">
        <v>0.03</v>
      </c>
      <c r="AB1397" s="198">
        <v>0.03</v>
      </c>
      <c r="AC1397" s="213">
        <f t="shared" si="238"/>
        <v>469</v>
      </c>
      <c r="AD1397" s="213">
        <f t="shared" si="239"/>
        <v>334</v>
      </c>
      <c r="AE1397" s="213">
        <v>1.94</v>
      </c>
      <c r="AF1397" s="196">
        <v>53000000</v>
      </c>
      <c r="AG1397" s="104">
        <f t="shared" si="240"/>
        <v>0.6608478802992519</v>
      </c>
      <c r="AH1397" s="104">
        <f t="shared" si="241"/>
        <v>1.2619047619047619</v>
      </c>
      <c r="AI1397" s="195">
        <v>1.41</v>
      </c>
    </row>
    <row r="1398" spans="1:48">
      <c r="A1398">
        <v>8080</v>
      </c>
      <c r="C1398" s="107">
        <f>VLOOKUP(8080,收盤價!$A:$C,3,0)</f>
        <v>14.8</v>
      </c>
      <c r="D1398" s="107">
        <f t="shared" si="231"/>
        <v>0</v>
      </c>
      <c r="E1398" s="167">
        <f t="shared" si="232"/>
        <v>4</v>
      </c>
      <c r="F1398" s="104">
        <f t="shared" si="233"/>
        <v>1.3775911643350489</v>
      </c>
      <c r="G1398" s="167">
        <f>RANK(0.84,AE:AE,0)</f>
        <v>946</v>
      </c>
      <c r="H1398" s="365">
        <f t="shared" si="234"/>
        <v>0.4375</v>
      </c>
      <c r="I1398" s="213">
        <f t="shared" si="235"/>
        <v>1331</v>
      </c>
      <c r="J1398" s="213">
        <f t="shared" si="236"/>
        <v>768</v>
      </c>
      <c r="K1398">
        <f>RANK(0.74,AI:AI,0)</f>
        <v>1324</v>
      </c>
      <c r="L1398" s="357">
        <v>0</v>
      </c>
      <c r="M1398" s="357">
        <v>1</v>
      </c>
      <c r="N1398" s="357">
        <v>2</v>
      </c>
      <c r="O1398" s="357">
        <v>0</v>
      </c>
      <c r="P1398" s="357">
        <v>1</v>
      </c>
      <c r="Q1398" s="358">
        <v>5.6521739130434782E-2</v>
      </c>
      <c r="R1398" s="359">
        <v>0</v>
      </c>
      <c r="S1398" s="196">
        <v>687577000</v>
      </c>
      <c r="T1398" s="196">
        <v>64000000</v>
      </c>
      <c r="U1398" s="200">
        <f t="shared" si="237"/>
        <v>947200000</v>
      </c>
      <c r="V1398" s="196">
        <v>-2000000</v>
      </c>
      <c r="W1398" s="196">
        <v>283000000</v>
      </c>
      <c r="X1398" s="196">
        <v>143000000</v>
      </c>
      <c r="Y1398" s="196">
        <v>605000000</v>
      </c>
      <c r="Z1398" s="196">
        <v>97000000</v>
      </c>
      <c r="AA1398" s="198">
        <v>0</v>
      </c>
      <c r="AB1398" s="198">
        <v>0</v>
      </c>
      <c r="AC1398" s="213">
        <f t="shared" si="238"/>
        <v>945</v>
      </c>
      <c r="AD1398" s="213">
        <f t="shared" si="239"/>
        <v>911</v>
      </c>
      <c r="AE1398" s="213">
        <v>0.84</v>
      </c>
      <c r="AF1398" s="196">
        <v>-28000000</v>
      </c>
      <c r="AG1398" s="104">
        <f t="shared" si="240"/>
        <v>-0.4375</v>
      </c>
      <c r="AH1398" s="104">
        <f t="shared" si="241"/>
        <v>0</v>
      </c>
      <c r="AI1398" s="195">
        <v>0.74</v>
      </c>
    </row>
    <row r="1399" spans="1:48">
      <c r="A1399">
        <v>8081</v>
      </c>
      <c r="C1399" s="107">
        <f>VLOOKUP(8081,收盤價!$A:$C,3,0)</f>
        <v>70.400000000000006</v>
      </c>
      <c r="D1399" s="107">
        <f t="shared" si="231"/>
        <v>18.333333333333336</v>
      </c>
      <c r="E1399" s="167">
        <f t="shared" si="232"/>
        <v>1</v>
      </c>
      <c r="F1399" s="104">
        <f t="shared" si="233"/>
        <v>1.7415335819921078</v>
      </c>
      <c r="G1399" s="167">
        <f>RANK(0.84,AE:AE,0)</f>
        <v>946</v>
      </c>
      <c r="H1399" s="365">
        <f t="shared" si="234"/>
        <v>0.3248259860788863</v>
      </c>
      <c r="I1399" s="213">
        <f t="shared" si="235"/>
        <v>1279</v>
      </c>
      <c r="J1399" s="213">
        <f t="shared" si="236"/>
        <v>768</v>
      </c>
      <c r="K1399">
        <f>RANK(0.76,AI:AI,0)</f>
        <v>1269</v>
      </c>
      <c r="L1399" s="357">
        <v>0</v>
      </c>
      <c r="M1399" s="357">
        <v>1</v>
      </c>
      <c r="N1399" s="357">
        <v>0</v>
      </c>
      <c r="O1399" s="357">
        <v>0</v>
      </c>
      <c r="P1399" s="357">
        <v>0</v>
      </c>
      <c r="Q1399" s="358">
        <v>0.33372093023255817</v>
      </c>
      <c r="R1399" s="359">
        <v>0.96</v>
      </c>
      <c r="S1399" s="196">
        <v>3484561000</v>
      </c>
      <c r="T1399" s="196">
        <v>86200000</v>
      </c>
      <c r="U1399" s="200">
        <f t="shared" si="237"/>
        <v>6068480000.000001</v>
      </c>
      <c r="V1399" s="196">
        <v>0</v>
      </c>
      <c r="W1399" s="196">
        <v>2628000000</v>
      </c>
      <c r="X1399" s="196">
        <v>510000000</v>
      </c>
      <c r="Y1399" s="196">
        <v>3681000000</v>
      </c>
      <c r="Z1399" s="196">
        <v>484000000</v>
      </c>
      <c r="AA1399" s="198">
        <v>0</v>
      </c>
      <c r="AB1399" s="198">
        <v>0</v>
      </c>
      <c r="AC1399" s="213">
        <f t="shared" si="238"/>
        <v>945</v>
      </c>
      <c r="AD1399" s="213">
        <f t="shared" si="239"/>
        <v>911</v>
      </c>
      <c r="AE1399" s="213">
        <v>0.84</v>
      </c>
      <c r="AF1399" s="196">
        <v>-28000000</v>
      </c>
      <c r="AG1399" s="104">
        <f t="shared" si="240"/>
        <v>-0.3248259860788863</v>
      </c>
      <c r="AH1399" s="104">
        <f t="shared" si="241"/>
        <v>0</v>
      </c>
      <c r="AI1399" s="195">
        <v>0.76</v>
      </c>
    </row>
    <row r="1400" spans="1:48">
      <c r="A1400">
        <v>8082</v>
      </c>
      <c r="C1400" s="107" t="e">
        <f>VLOOKUP(8082,收盤價!$A:$C,3,0)</f>
        <v>#N/A</v>
      </c>
      <c r="D1400" s="107">
        <f t="shared" si="231"/>
        <v>0</v>
      </c>
      <c r="E1400" s="167">
        <f t="shared" si="232"/>
        <v>0</v>
      </c>
      <c r="F1400" s="104">
        <f t="shared" si="233"/>
        <v>0</v>
      </c>
      <c r="G1400" s="167">
        <f>RANK(0.84,AE:AE,0)</f>
        <v>946</v>
      </c>
      <c r="H1400" s="365">
        <f t="shared" si="234"/>
        <v>8.4427767354596617E-2</v>
      </c>
      <c r="I1400" s="213">
        <f t="shared" si="235"/>
        <v>1128</v>
      </c>
      <c r="J1400" s="213">
        <f t="shared" si="236"/>
        <v>768</v>
      </c>
      <c r="K1400">
        <f>RANK(0.82,AI:AI,0)</f>
        <v>1121</v>
      </c>
      <c r="L1400" s="357">
        <v>0</v>
      </c>
      <c r="M1400" s="357">
        <v>0</v>
      </c>
      <c r="N1400" s="357">
        <v>0</v>
      </c>
      <c r="O1400" s="357">
        <v>0</v>
      </c>
      <c r="P1400" s="357">
        <v>0</v>
      </c>
      <c r="Q1400" s="358">
        <v>0</v>
      </c>
      <c r="R1400" s="359">
        <v>0</v>
      </c>
      <c r="S1400" s="196">
        <v>963000</v>
      </c>
      <c r="T1400" s="196">
        <v>106600000</v>
      </c>
      <c r="U1400" s="200" t="e">
        <f t="shared" si="237"/>
        <v>#N/A</v>
      </c>
      <c r="V1400" s="196">
        <v>-5000000</v>
      </c>
      <c r="W1400" s="196">
        <v>103000000</v>
      </c>
      <c r="X1400" s="196">
        <v>0</v>
      </c>
      <c r="Y1400" s="196">
        <v>61000000</v>
      </c>
      <c r="Z1400" s="196">
        <v>0</v>
      </c>
      <c r="AA1400" s="198">
        <v>0</v>
      </c>
      <c r="AB1400" s="198">
        <v>0</v>
      </c>
      <c r="AC1400" s="213">
        <f t="shared" si="238"/>
        <v>945</v>
      </c>
      <c r="AD1400" s="213">
        <f t="shared" si="239"/>
        <v>911</v>
      </c>
      <c r="AE1400" s="213">
        <v>0.84</v>
      </c>
      <c r="AF1400" s="196">
        <v>-9000000</v>
      </c>
      <c r="AG1400" s="104">
        <f t="shared" si="240"/>
        <v>-8.4427767354596617E-2</v>
      </c>
      <c r="AH1400" s="104">
        <f t="shared" si="241"/>
        <v>0</v>
      </c>
      <c r="AI1400" s="195">
        <v>0.82</v>
      </c>
    </row>
    <row r="1401" spans="1:48">
      <c r="A1401">
        <v>8083</v>
      </c>
      <c r="C1401" s="107">
        <f>VLOOKUP(8083,收盤價!$A:$C,3,0)</f>
        <v>162</v>
      </c>
      <c r="D1401" s="107">
        <f t="shared" si="231"/>
        <v>14.44736842105263</v>
      </c>
      <c r="E1401" s="167">
        <f t="shared" si="232"/>
        <v>5</v>
      </c>
      <c r="F1401" s="104">
        <f t="shared" si="233"/>
        <v>4.3725032584999752</v>
      </c>
      <c r="G1401" s="167">
        <f>RANK(48.69,AE:AE,0)</f>
        <v>8</v>
      </c>
      <c r="H1401" s="365">
        <f t="shared" si="234"/>
        <v>-1.3504985754985754</v>
      </c>
      <c r="I1401" s="213">
        <f t="shared" si="235"/>
        <v>243</v>
      </c>
      <c r="J1401" s="213">
        <f t="shared" si="236"/>
        <v>660</v>
      </c>
      <c r="K1401">
        <f>RANK(1.73,AI:AI,0)</f>
        <v>445</v>
      </c>
      <c r="L1401" s="357">
        <v>1</v>
      </c>
      <c r="M1401" s="357">
        <v>1</v>
      </c>
      <c r="N1401" s="357">
        <v>2</v>
      </c>
      <c r="O1401" s="357">
        <v>1</v>
      </c>
      <c r="P1401" s="357">
        <v>0</v>
      </c>
      <c r="Q1401" s="358">
        <v>0.42377260981912146</v>
      </c>
      <c r="R1401" s="359">
        <v>2.8032786885245904</v>
      </c>
      <c r="S1401" s="196">
        <v>1300445000</v>
      </c>
      <c r="T1401" s="196">
        <v>35100000</v>
      </c>
      <c r="U1401" s="200">
        <f t="shared" si="237"/>
        <v>5686200000</v>
      </c>
      <c r="V1401" s="196">
        <v>120000000</v>
      </c>
      <c r="W1401" s="196">
        <v>178000000</v>
      </c>
      <c r="X1401" s="196">
        <v>775000000</v>
      </c>
      <c r="Y1401" s="196">
        <v>979000000</v>
      </c>
      <c r="Z1401" s="196">
        <v>23000000</v>
      </c>
      <c r="AA1401" s="198">
        <v>0.13</v>
      </c>
      <c r="AB1401" s="198">
        <v>0.12</v>
      </c>
      <c r="AC1401" s="213">
        <f t="shared" si="238"/>
        <v>26</v>
      </c>
      <c r="AD1401" s="213">
        <f t="shared" si="239"/>
        <v>6</v>
      </c>
      <c r="AE1401" s="213">
        <v>48.69</v>
      </c>
      <c r="AF1401" s="196">
        <v>67000000</v>
      </c>
      <c r="AG1401" s="104">
        <f t="shared" si="240"/>
        <v>1.9088319088319088</v>
      </c>
      <c r="AH1401" s="104">
        <f t="shared" si="241"/>
        <v>0.55833333333333335</v>
      </c>
      <c r="AI1401" s="195">
        <v>1.73</v>
      </c>
    </row>
    <row r="1402" spans="1:48">
      <c r="A1402">
        <v>8084</v>
      </c>
      <c r="C1402" s="107">
        <f>VLOOKUP(8084,收盤價!$A:$C,3,0)</f>
        <v>32.1</v>
      </c>
      <c r="D1402" s="107">
        <f t="shared" si="231"/>
        <v>29.722222222222221</v>
      </c>
      <c r="E1402" s="167">
        <f t="shared" si="232"/>
        <v>3</v>
      </c>
      <c r="F1402" s="104">
        <f t="shared" si="233"/>
        <v>0.6185747243801436</v>
      </c>
      <c r="G1402" s="167">
        <f>RANK(1.41,AE:AE,0)</f>
        <v>618</v>
      </c>
      <c r="H1402" s="365">
        <f t="shared" si="234"/>
        <v>1.0986781076066792</v>
      </c>
      <c r="I1402" s="213">
        <f t="shared" si="235"/>
        <v>764</v>
      </c>
      <c r="J1402" s="213">
        <f t="shared" si="236"/>
        <v>359</v>
      </c>
      <c r="K1402">
        <f>RANK(1.39,AI:AI,0)</f>
        <v>634</v>
      </c>
      <c r="L1402" s="357">
        <v>0</v>
      </c>
      <c r="M1402" s="357">
        <v>1</v>
      </c>
      <c r="N1402" s="357">
        <v>2</v>
      </c>
      <c r="O1402" s="357">
        <v>0</v>
      </c>
      <c r="P1402" s="357">
        <v>0</v>
      </c>
      <c r="Q1402" s="358">
        <v>3.2569360675512665E-2</v>
      </c>
      <c r="R1402" s="359">
        <v>0.27</v>
      </c>
      <c r="S1402" s="196">
        <v>2797059000</v>
      </c>
      <c r="T1402" s="196">
        <v>53900000</v>
      </c>
      <c r="U1402" s="200">
        <f t="shared" si="237"/>
        <v>1730190000</v>
      </c>
      <c r="V1402" s="196">
        <v>16000000</v>
      </c>
      <c r="W1402" s="196">
        <v>628000000</v>
      </c>
      <c r="X1402" s="196">
        <v>67000000</v>
      </c>
      <c r="Y1402" s="196">
        <v>572000000</v>
      </c>
      <c r="Z1402" s="196">
        <v>344000000</v>
      </c>
      <c r="AA1402" s="198">
        <v>0.02</v>
      </c>
      <c r="AB1402" s="198">
        <v>0.02</v>
      </c>
      <c r="AC1402" s="213">
        <f t="shared" si="238"/>
        <v>616</v>
      </c>
      <c r="AD1402" s="213">
        <f t="shared" si="239"/>
        <v>487</v>
      </c>
      <c r="AE1402" s="213">
        <v>1.41</v>
      </c>
      <c r="AF1402" s="196">
        <v>25000000</v>
      </c>
      <c r="AG1402" s="104">
        <f t="shared" si="240"/>
        <v>0.46382189239332094</v>
      </c>
      <c r="AH1402" s="104">
        <f t="shared" si="241"/>
        <v>1.5625</v>
      </c>
      <c r="AI1402" s="195">
        <v>1.39</v>
      </c>
    </row>
    <row r="1403" spans="1:48">
      <c r="A1403">
        <v>8085</v>
      </c>
      <c r="C1403" s="107">
        <f>VLOOKUP(8085,收盤價!$A:$C,3,0)</f>
        <v>4.5199999999999996</v>
      </c>
      <c r="D1403" s="107">
        <f t="shared" si="231"/>
        <v>0</v>
      </c>
      <c r="E1403" s="167">
        <f t="shared" si="232"/>
        <v>4</v>
      </c>
      <c r="F1403" s="104">
        <f t="shared" si="233"/>
        <v>0.43126893257002541</v>
      </c>
      <c r="G1403" s="167">
        <f>RANK(0.84,AE:AE,0)</f>
        <v>946</v>
      </c>
      <c r="H1403" s="365">
        <f t="shared" si="234"/>
        <v>-0.57851239669421484</v>
      </c>
      <c r="I1403" s="213">
        <f t="shared" si="235"/>
        <v>705</v>
      </c>
      <c r="J1403" s="213">
        <f t="shared" si="236"/>
        <v>768</v>
      </c>
      <c r="K1403">
        <f>RANK(1.06,AI:AI,0)</f>
        <v>836</v>
      </c>
      <c r="L1403" s="357">
        <v>0</v>
      </c>
      <c r="M1403" s="357">
        <v>1</v>
      </c>
      <c r="N1403" s="357">
        <v>2</v>
      </c>
      <c r="O1403" s="357">
        <v>1</v>
      </c>
      <c r="P1403" s="357">
        <v>0</v>
      </c>
      <c r="Q1403" s="358">
        <v>8.4367245657568243E-2</v>
      </c>
      <c r="R1403" s="359">
        <v>0</v>
      </c>
      <c r="S1403" s="196">
        <v>1648614000</v>
      </c>
      <c r="T1403" s="196">
        <v>157300000</v>
      </c>
      <c r="U1403" s="200">
        <f t="shared" si="237"/>
        <v>710995999.99999988</v>
      </c>
      <c r="V1403" s="196">
        <v>-6000000</v>
      </c>
      <c r="W1403" s="196">
        <v>871000000</v>
      </c>
      <c r="X1403" s="196">
        <v>681000000</v>
      </c>
      <c r="Y1403" s="196">
        <v>919000000</v>
      </c>
      <c r="Z1403" s="196">
        <v>821000000</v>
      </c>
      <c r="AA1403" s="198">
        <v>0</v>
      </c>
      <c r="AB1403" s="198">
        <v>0</v>
      </c>
      <c r="AC1403" s="213">
        <f t="shared" si="238"/>
        <v>945</v>
      </c>
      <c r="AD1403" s="213">
        <f t="shared" si="239"/>
        <v>911</v>
      </c>
      <c r="AE1403" s="213">
        <v>0.84</v>
      </c>
      <c r="AF1403" s="196">
        <v>91000000</v>
      </c>
      <c r="AG1403" s="104">
        <f t="shared" si="240"/>
        <v>0.57851239669421484</v>
      </c>
      <c r="AH1403" s="104">
        <f t="shared" si="241"/>
        <v>0</v>
      </c>
      <c r="AI1403" s="195">
        <v>1.06</v>
      </c>
    </row>
    <row r="1404" spans="1:48">
      <c r="A1404">
        <v>8086</v>
      </c>
      <c r="C1404" s="107">
        <f>VLOOKUP(8086,收盤價!$A:$C,3,0)</f>
        <v>47.8</v>
      </c>
      <c r="D1404" s="107">
        <f t="shared" si="231"/>
        <v>14.304035567715458</v>
      </c>
      <c r="E1404" s="167">
        <f t="shared" si="232"/>
        <v>2</v>
      </c>
      <c r="F1404" s="104">
        <f t="shared" si="233"/>
        <v>1.8720212058599723</v>
      </c>
      <c r="G1404" s="167">
        <f>RANK(5.79,AE:AE,0)</f>
        <v>129</v>
      </c>
      <c r="H1404" s="365">
        <f t="shared" si="234"/>
        <v>-1.707719338958047E-2</v>
      </c>
      <c r="I1404" s="213">
        <f t="shared" si="235"/>
        <v>995</v>
      </c>
      <c r="J1404" s="213">
        <f t="shared" si="236"/>
        <v>760</v>
      </c>
      <c r="K1404">
        <f>RANK(0.89,AI:AI,0)</f>
        <v>1004</v>
      </c>
      <c r="L1404" s="357">
        <v>0</v>
      </c>
      <c r="M1404" s="357">
        <v>0</v>
      </c>
      <c r="N1404" s="357">
        <v>1</v>
      </c>
      <c r="O1404" s="357">
        <v>1</v>
      </c>
      <c r="P1404" s="357">
        <v>0</v>
      </c>
      <c r="Q1404" s="358">
        <v>0.31869688385269124</v>
      </c>
      <c r="R1404" s="359">
        <v>0.83542857142857141</v>
      </c>
      <c r="S1404" s="196">
        <v>3582406000</v>
      </c>
      <c r="T1404" s="196">
        <v>140300000</v>
      </c>
      <c r="U1404" s="200">
        <f t="shared" si="237"/>
        <v>6706340000</v>
      </c>
      <c r="V1404" s="196">
        <v>172000000</v>
      </c>
      <c r="W1404" s="196">
        <v>1366000000</v>
      </c>
      <c r="X1404" s="196">
        <v>1343000000</v>
      </c>
      <c r="Y1404" s="196">
        <v>2852000000</v>
      </c>
      <c r="Z1404" s="196">
        <v>37000000</v>
      </c>
      <c r="AA1404" s="198">
        <v>0.06</v>
      </c>
      <c r="AB1404" s="198">
        <v>0.06</v>
      </c>
      <c r="AC1404" s="213">
        <f t="shared" si="238"/>
        <v>174</v>
      </c>
      <c r="AD1404" s="213">
        <f t="shared" si="239"/>
        <v>95</v>
      </c>
      <c r="AE1404" s="213">
        <v>5.79</v>
      </c>
      <c r="AF1404" s="196">
        <v>13000000</v>
      </c>
      <c r="AG1404" s="104">
        <f t="shared" si="240"/>
        <v>9.2658588738417674E-2</v>
      </c>
      <c r="AH1404" s="104">
        <f t="shared" si="241"/>
        <v>7.5581395348837205E-2</v>
      </c>
      <c r="AI1404" s="195">
        <v>0.89</v>
      </c>
    </row>
    <row r="1405" spans="1:48">
      <c r="A1405">
        <v>8087</v>
      </c>
      <c r="C1405" s="107">
        <f>VLOOKUP(8087,收盤價!$A:$C,3,0)</f>
        <v>0</v>
      </c>
      <c r="D1405" s="107">
        <f t="shared" si="231"/>
        <v>0</v>
      </c>
      <c r="E1405" s="167">
        <f t="shared" si="232"/>
        <v>2</v>
      </c>
      <c r="F1405" s="104">
        <f t="shared" si="233"/>
        <v>0</v>
      </c>
      <c r="G1405" s="167">
        <f>RANK(0.84,AE:AE,0)</f>
        <v>946</v>
      </c>
      <c r="H1405" s="365">
        <f t="shared" si="234"/>
        <v>-0.16722408026755853</v>
      </c>
      <c r="I1405" s="213">
        <f t="shared" si="235"/>
        <v>951</v>
      </c>
      <c r="J1405" s="213">
        <f t="shared" si="236"/>
        <v>768</v>
      </c>
      <c r="K1405">
        <f>RANK(0.91,AI:AI,0)</f>
        <v>974</v>
      </c>
      <c r="L1405" s="357">
        <v>0</v>
      </c>
      <c r="M1405" s="357">
        <v>1</v>
      </c>
      <c r="N1405" s="357">
        <v>0</v>
      </c>
      <c r="O1405" s="357">
        <v>1</v>
      </c>
      <c r="P1405" s="357">
        <v>0</v>
      </c>
      <c r="Q1405" s="358">
        <v>0.23333333333333334</v>
      </c>
      <c r="R1405" s="359">
        <v>0</v>
      </c>
      <c r="S1405" s="196">
        <v>136689000</v>
      </c>
      <c r="T1405" s="196">
        <v>29900000</v>
      </c>
      <c r="U1405" s="200">
        <f t="shared" si="237"/>
        <v>0</v>
      </c>
      <c r="V1405" s="196">
        <v>-1000000</v>
      </c>
      <c r="W1405" s="196">
        <v>117000000</v>
      </c>
      <c r="X1405" s="196">
        <v>226000000</v>
      </c>
      <c r="Y1405" s="196">
        <v>303000000</v>
      </c>
      <c r="Z1405" s="196">
        <v>22000000</v>
      </c>
      <c r="AA1405" s="198">
        <v>0</v>
      </c>
      <c r="AB1405" s="198">
        <v>0</v>
      </c>
      <c r="AC1405" s="213">
        <f t="shared" si="238"/>
        <v>945</v>
      </c>
      <c r="AD1405" s="213">
        <f t="shared" si="239"/>
        <v>911</v>
      </c>
      <c r="AE1405" s="213">
        <v>0.84</v>
      </c>
      <c r="AF1405" s="196">
        <v>5000000</v>
      </c>
      <c r="AG1405" s="104">
        <f t="shared" si="240"/>
        <v>0.16722408026755853</v>
      </c>
      <c r="AH1405" s="104">
        <f t="shared" si="241"/>
        <v>0</v>
      </c>
      <c r="AI1405" s="195">
        <v>0.91</v>
      </c>
    </row>
    <row r="1406" spans="1:48">
      <c r="A1406">
        <v>8088</v>
      </c>
      <c r="C1406" s="107">
        <f>VLOOKUP(8088,收盤價!$A:$C,3,0)</f>
        <v>23.3</v>
      </c>
      <c r="D1406" s="107">
        <f t="shared" si="231"/>
        <v>24.474789915966387</v>
      </c>
      <c r="E1406" s="167">
        <f t="shared" si="232"/>
        <v>2</v>
      </c>
      <c r="F1406" s="104">
        <f t="shared" si="233"/>
        <v>0.84033524459712405</v>
      </c>
      <c r="G1406" s="167">
        <f>RANK(1.41,AE:AE,0)</f>
        <v>618</v>
      </c>
      <c r="H1406" s="365">
        <f t="shared" si="234"/>
        <v>2.1607233567001929</v>
      </c>
      <c r="I1406" s="213">
        <f t="shared" si="235"/>
        <v>565</v>
      </c>
      <c r="J1406" s="213">
        <f t="shared" si="236"/>
        <v>152</v>
      </c>
      <c r="K1406">
        <f>RANK(2.17,AI:AI,0)</f>
        <v>301</v>
      </c>
      <c r="L1406" s="357">
        <v>0</v>
      </c>
      <c r="M1406" s="357">
        <v>1</v>
      </c>
      <c r="N1406" s="357">
        <v>0</v>
      </c>
      <c r="O1406" s="357">
        <v>1</v>
      </c>
      <c r="P1406" s="357">
        <v>0</v>
      </c>
      <c r="Q1406" s="358">
        <v>0.13793103448275862</v>
      </c>
      <c r="R1406" s="359">
        <v>0.23800000000000002</v>
      </c>
      <c r="S1406" s="196">
        <v>1605395000</v>
      </c>
      <c r="T1406" s="196">
        <v>57900000</v>
      </c>
      <c r="U1406" s="200">
        <f t="shared" si="237"/>
        <v>1349070000</v>
      </c>
      <c r="V1406" s="196">
        <v>17000000</v>
      </c>
      <c r="W1406" s="196">
        <v>342000000</v>
      </c>
      <c r="X1406" s="196">
        <v>475000000</v>
      </c>
      <c r="Y1406" s="196">
        <v>829000000</v>
      </c>
      <c r="Z1406" s="196">
        <v>45000000</v>
      </c>
      <c r="AA1406" s="198">
        <v>0.02</v>
      </c>
      <c r="AB1406" s="198">
        <v>0.02</v>
      </c>
      <c r="AC1406" s="213">
        <f t="shared" si="238"/>
        <v>616</v>
      </c>
      <c r="AD1406" s="213">
        <f t="shared" si="239"/>
        <v>487</v>
      </c>
      <c r="AE1406" s="213">
        <v>1.41</v>
      </c>
      <c r="AF1406" s="196">
        <v>52000000</v>
      </c>
      <c r="AG1406" s="104">
        <f t="shared" si="240"/>
        <v>0.89810017271157172</v>
      </c>
      <c r="AH1406" s="104">
        <f t="shared" si="241"/>
        <v>3.0588235294117645</v>
      </c>
      <c r="AI1406" s="195">
        <v>2.17</v>
      </c>
    </row>
    <row r="1407" spans="1:48">
      <c r="A1407">
        <v>8091</v>
      </c>
      <c r="C1407" s="107">
        <f>VLOOKUP(8091,收盤價!$A:$C,3,0)</f>
        <v>61.4</v>
      </c>
      <c r="D1407" s="107">
        <f t="shared" si="231"/>
        <v>19.628371628371625</v>
      </c>
      <c r="E1407" s="167">
        <f t="shared" si="232"/>
        <v>2</v>
      </c>
      <c r="F1407" s="104">
        <f t="shared" si="233"/>
        <v>1.3485882264395632</v>
      </c>
      <c r="G1407" s="167">
        <f>RANK(1.94,AE:AE,0)</f>
        <v>435</v>
      </c>
      <c r="H1407" s="365">
        <f t="shared" si="234"/>
        <v>-0.13950069699657819</v>
      </c>
      <c r="I1407" s="213">
        <f t="shared" si="235"/>
        <v>207</v>
      </c>
      <c r="J1407" s="213">
        <f t="shared" si="236"/>
        <v>273</v>
      </c>
      <c r="K1407">
        <f>RANK(3.25,AI:AI,0)</f>
        <v>143</v>
      </c>
      <c r="L1407" s="357">
        <v>0</v>
      </c>
      <c r="M1407" s="357">
        <v>0</v>
      </c>
      <c r="N1407" s="357">
        <v>1</v>
      </c>
      <c r="O1407" s="357">
        <v>1</v>
      </c>
      <c r="P1407" s="357">
        <v>0</v>
      </c>
      <c r="Q1407" s="358">
        <v>0.22466216216216217</v>
      </c>
      <c r="R1407" s="359">
        <v>0.78203125000000007</v>
      </c>
      <c r="S1407" s="196">
        <v>2763616000</v>
      </c>
      <c r="T1407" s="196">
        <v>60700000</v>
      </c>
      <c r="U1407" s="200">
        <f t="shared" si="237"/>
        <v>3726980000</v>
      </c>
      <c r="V1407" s="196">
        <v>65000000</v>
      </c>
      <c r="W1407" s="196">
        <v>1120000000</v>
      </c>
      <c r="X1407" s="196">
        <v>768000000</v>
      </c>
      <c r="Y1407" s="196">
        <v>2261000000</v>
      </c>
      <c r="Z1407" s="196">
        <v>56000000</v>
      </c>
      <c r="AA1407" s="198">
        <v>0.03</v>
      </c>
      <c r="AB1407" s="198">
        <v>0.03</v>
      </c>
      <c r="AC1407" s="213">
        <f t="shared" si="238"/>
        <v>469</v>
      </c>
      <c r="AD1407" s="213">
        <f t="shared" si="239"/>
        <v>334</v>
      </c>
      <c r="AE1407" s="213">
        <v>1.94</v>
      </c>
      <c r="AF1407" s="196">
        <v>128000000</v>
      </c>
      <c r="AG1407" s="104">
        <f t="shared" si="240"/>
        <v>2.1087314662273475</v>
      </c>
      <c r="AH1407" s="104">
        <f t="shared" si="241"/>
        <v>1.9692307692307693</v>
      </c>
      <c r="AI1407" s="195">
        <v>3.25</v>
      </c>
      <c r="AO1407" s="213"/>
      <c r="AP1407" s="213"/>
      <c r="AQ1407" s="213"/>
      <c r="AR1407" s="213"/>
      <c r="AS1407" s="213"/>
      <c r="AT1407" s="213"/>
      <c r="AU1407" s="213"/>
      <c r="AV1407" s="213"/>
    </row>
    <row r="1408" spans="1:48">
      <c r="A1408">
        <v>8092</v>
      </c>
      <c r="C1408" s="107">
        <f>VLOOKUP(8092,收盤價!$A:$C,3,0)</f>
        <v>7.81</v>
      </c>
      <c r="D1408" s="107">
        <f t="shared" si="231"/>
        <v>0</v>
      </c>
      <c r="E1408" s="167">
        <f t="shared" si="232"/>
        <v>2</v>
      </c>
      <c r="F1408" s="104">
        <f t="shared" si="233"/>
        <v>0.77868995319796797</v>
      </c>
      <c r="G1408" s="167">
        <f>RANK(0.56,AE:AE,0)</f>
        <v>1414</v>
      </c>
      <c r="H1408" s="365">
        <f t="shared" si="234"/>
        <v>0.38560411311053983</v>
      </c>
      <c r="I1408" s="213">
        <f t="shared" si="235"/>
        <v>1307</v>
      </c>
      <c r="J1408" s="213">
        <f t="shared" si="236"/>
        <v>768</v>
      </c>
      <c r="K1408">
        <f>RANK(0.75,AI:AI,0)</f>
        <v>1296</v>
      </c>
      <c r="L1408" s="357">
        <v>0</v>
      </c>
      <c r="M1408" s="357">
        <v>1</v>
      </c>
      <c r="N1408" s="357">
        <v>0</v>
      </c>
      <c r="O1408" s="357">
        <v>0</v>
      </c>
      <c r="P1408" s="357">
        <v>1</v>
      </c>
      <c r="Q1408" s="358">
        <v>8.7912087912087919E-2</v>
      </c>
      <c r="R1408" s="359">
        <v>0</v>
      </c>
      <c r="S1408" s="196">
        <v>390154000</v>
      </c>
      <c r="T1408" s="196">
        <v>38900000</v>
      </c>
      <c r="U1408" s="200">
        <f t="shared" si="237"/>
        <v>303809000</v>
      </c>
      <c r="V1408" s="196">
        <v>-13000000</v>
      </c>
      <c r="W1408" s="196">
        <v>207000000</v>
      </c>
      <c r="X1408" s="196">
        <v>295000000</v>
      </c>
      <c r="Y1408" s="196">
        <v>410000000</v>
      </c>
      <c r="Z1408" s="196">
        <v>145000000</v>
      </c>
      <c r="AA1408" s="198">
        <v>-0.03</v>
      </c>
      <c r="AB1408" s="198">
        <v>-0.02</v>
      </c>
      <c r="AC1408" s="213">
        <f t="shared" si="238"/>
        <v>1405</v>
      </c>
      <c r="AD1408" s="213">
        <f t="shared" si="239"/>
        <v>1388</v>
      </c>
      <c r="AE1408" s="213">
        <v>0.56000000000000005</v>
      </c>
      <c r="AF1408" s="196">
        <v>-15000000</v>
      </c>
      <c r="AG1408" s="104">
        <f t="shared" si="240"/>
        <v>-0.38560411311053983</v>
      </c>
      <c r="AH1408" s="104">
        <f t="shared" si="241"/>
        <v>0</v>
      </c>
      <c r="AI1408" s="195">
        <v>0.75</v>
      </c>
    </row>
    <row r="1409" spans="1:48">
      <c r="A1409">
        <v>8093</v>
      </c>
      <c r="C1409" s="107">
        <f>VLOOKUP(8093,收盤價!$A:$C,3,0)</f>
        <v>7</v>
      </c>
      <c r="D1409" s="107">
        <f t="shared" si="231"/>
        <v>29.166666666666668</v>
      </c>
      <c r="E1409" s="167">
        <f t="shared" si="232"/>
        <v>2</v>
      </c>
      <c r="F1409" s="104">
        <f t="shared" si="233"/>
        <v>0.75268817204301075</v>
      </c>
      <c r="G1409" s="167">
        <f>RANK(0.84,AE:AE,0)</f>
        <v>946</v>
      </c>
      <c r="H1409" s="365">
        <f t="shared" si="234"/>
        <v>0.23364485981308411</v>
      </c>
      <c r="I1409" s="213">
        <f t="shared" si="235"/>
        <v>1236</v>
      </c>
      <c r="J1409" s="213">
        <f t="shared" si="236"/>
        <v>768</v>
      </c>
      <c r="K1409">
        <f>RANK(0.78,AI:AI,0)</f>
        <v>1217</v>
      </c>
      <c r="L1409" s="357">
        <v>0</v>
      </c>
      <c r="M1409" s="357">
        <v>1</v>
      </c>
      <c r="N1409" s="357">
        <v>1</v>
      </c>
      <c r="O1409" s="357">
        <v>0</v>
      </c>
      <c r="P1409" s="357">
        <v>0</v>
      </c>
      <c r="Q1409" s="358">
        <v>0.27450980392156865</v>
      </c>
      <c r="R1409" s="359">
        <v>0.06</v>
      </c>
      <c r="S1409" s="196">
        <v>597060000</v>
      </c>
      <c r="T1409" s="196">
        <v>64200000</v>
      </c>
      <c r="U1409" s="200">
        <f t="shared" si="237"/>
        <v>449400000</v>
      </c>
      <c r="V1409" s="196">
        <v>0</v>
      </c>
      <c r="W1409" s="196">
        <v>195000000</v>
      </c>
      <c r="X1409" s="196">
        <v>247000000</v>
      </c>
      <c r="Y1409" s="196">
        <v>504000000</v>
      </c>
      <c r="Z1409" s="196">
        <v>68000000</v>
      </c>
      <c r="AA1409" s="198">
        <v>0</v>
      </c>
      <c r="AB1409" s="198">
        <v>0</v>
      </c>
      <c r="AC1409" s="213">
        <f t="shared" si="238"/>
        <v>945</v>
      </c>
      <c r="AD1409" s="213">
        <f t="shared" si="239"/>
        <v>911</v>
      </c>
      <c r="AE1409" s="213">
        <v>0.84</v>
      </c>
      <c r="AF1409" s="196">
        <v>-15000000</v>
      </c>
      <c r="AG1409" s="104">
        <f t="shared" si="240"/>
        <v>-0.23364485981308411</v>
      </c>
      <c r="AH1409" s="104">
        <f t="shared" si="241"/>
        <v>0</v>
      </c>
      <c r="AI1409" s="195">
        <v>0.78</v>
      </c>
    </row>
    <row r="1410" spans="1:48">
      <c r="A1410">
        <v>8096</v>
      </c>
      <c r="C1410" s="107">
        <f>VLOOKUP(8096,收盤價!$A:$C,3,0)</f>
        <v>13.9</v>
      </c>
      <c r="D1410" s="107">
        <f t="shared" ref="D1410:D1473" si="242">IF(AND(ISNUMBER(C1410),R1410&gt;0),C1410/(R1410*4),0)</f>
        <v>0</v>
      </c>
      <c r="E1410" s="167">
        <f t="shared" ref="E1410:E1473" si="243">SUM(L1410:P1410)</f>
        <v>2</v>
      </c>
      <c r="F1410" s="104">
        <f t="shared" ref="F1410:F1473" si="244">IF(AND(ISNUMBER(U1410),ISNUMBER(S1410)),U1410/S1410,0)</f>
        <v>4.5042768996387796E-2</v>
      </c>
      <c r="G1410" s="167">
        <f>RANK(0.93,AE:AE,0)</f>
        <v>920</v>
      </c>
      <c r="H1410" s="365">
        <f t="shared" ref="H1410:H1473" si="245">AH1410-AG1410</f>
        <v>11.275551921504498</v>
      </c>
      <c r="I1410" s="213">
        <f t="shared" ref="I1410:I1473" si="246">RANK(AG1410,AG:AG)</f>
        <v>1554</v>
      </c>
      <c r="J1410" s="213">
        <f t="shared" ref="J1410:J1473" si="247">RANK(AH1410,AH:AH)</f>
        <v>768</v>
      </c>
      <c r="K1410">
        <f>RANK(0.67,AI:AI,0)</f>
        <v>1541</v>
      </c>
      <c r="L1410" s="357">
        <v>0</v>
      </c>
      <c r="M1410" s="357">
        <v>1</v>
      </c>
      <c r="N1410" s="357">
        <v>1</v>
      </c>
      <c r="O1410" s="357">
        <v>0</v>
      </c>
      <c r="P1410" s="357">
        <v>0</v>
      </c>
      <c r="Q1410" s="358">
        <v>2.4776119402985075E-2</v>
      </c>
      <c r="R1410" s="359">
        <v>0</v>
      </c>
      <c r="S1410" s="196">
        <v>37741241000</v>
      </c>
      <c r="T1410" s="196">
        <v>122300000</v>
      </c>
      <c r="U1410" s="200">
        <f t="shared" ref="U1410:U1473" si="248">C1410*T1410</f>
        <v>1699970000</v>
      </c>
      <c r="V1410" s="196">
        <v>17000000</v>
      </c>
      <c r="W1410" s="196">
        <v>1578000000</v>
      </c>
      <c r="X1410" s="196">
        <v>165000000</v>
      </c>
      <c r="Y1410" s="196">
        <v>2422000000</v>
      </c>
      <c r="Z1410" s="196">
        <v>3038000000</v>
      </c>
      <c r="AA1410" s="198">
        <v>0.01</v>
      </c>
      <c r="AB1410" s="198">
        <v>0</v>
      </c>
      <c r="AC1410" s="213">
        <f t="shared" ref="AC1410:AC1473" si="249">RANK(AA1410,AA:AA)</f>
        <v>769</v>
      </c>
      <c r="AD1410" s="213">
        <f t="shared" ref="AD1410:AD1473" si="250">RANK(AB1410,AB:AB)</f>
        <v>911</v>
      </c>
      <c r="AE1410" s="213">
        <v>0.93</v>
      </c>
      <c r="AF1410" s="196">
        <v>-1379000000</v>
      </c>
      <c r="AG1410" s="104">
        <f t="shared" ref="AG1410:AG1473" si="251">AF1410/T1410</f>
        <v>-11.275551921504498</v>
      </c>
      <c r="AH1410" s="104">
        <f t="shared" ref="AH1410:AH1473" si="252">IF(AND(AF1410&gt;0,V1410&gt;0),AF1410/V1410,0)</f>
        <v>0</v>
      </c>
      <c r="AI1410" s="195">
        <v>0.67</v>
      </c>
    </row>
    <row r="1411" spans="1:48">
      <c r="A1411">
        <v>8097</v>
      </c>
      <c r="C1411" s="107">
        <f>VLOOKUP(8097,收盤價!$A:$C,3,0)</f>
        <v>10.8</v>
      </c>
      <c r="D1411" s="107">
        <f t="shared" si="242"/>
        <v>0</v>
      </c>
      <c r="E1411" s="167">
        <f t="shared" si="243"/>
        <v>2</v>
      </c>
      <c r="F1411" s="104">
        <f t="shared" si="244"/>
        <v>4.1878703380968982</v>
      </c>
      <c r="G1411" s="167">
        <f>RANK(0.84,AE:AE,0)</f>
        <v>946</v>
      </c>
      <c r="H1411" s="365">
        <f t="shared" si="245"/>
        <v>-1.0486891385767789</v>
      </c>
      <c r="I1411" s="213">
        <f t="shared" si="246"/>
        <v>492</v>
      </c>
      <c r="J1411" s="213">
        <f t="shared" si="247"/>
        <v>768</v>
      </c>
      <c r="K1411">
        <f>RANK(1.24,AI:AI,0)</f>
        <v>716</v>
      </c>
      <c r="L1411" s="357">
        <v>0</v>
      </c>
      <c r="M1411" s="357">
        <v>1</v>
      </c>
      <c r="N1411" s="357">
        <v>0</v>
      </c>
      <c r="O1411" s="357">
        <v>1</v>
      </c>
      <c r="P1411" s="357">
        <v>0</v>
      </c>
      <c r="Q1411" s="358">
        <v>0.3</v>
      </c>
      <c r="R1411" s="359">
        <v>0</v>
      </c>
      <c r="S1411" s="196">
        <v>68856000</v>
      </c>
      <c r="T1411" s="196">
        <v>26700000</v>
      </c>
      <c r="U1411" s="200">
        <f t="shared" si="248"/>
        <v>288360000</v>
      </c>
      <c r="V1411" s="196">
        <v>0</v>
      </c>
      <c r="W1411" s="196">
        <v>0</v>
      </c>
      <c r="X1411" s="196">
        <v>129000000</v>
      </c>
      <c r="Y1411" s="196">
        <v>276000000</v>
      </c>
      <c r="Z1411" s="196">
        <v>45000000</v>
      </c>
      <c r="AA1411" s="198">
        <v>0</v>
      </c>
      <c r="AB1411" s="198">
        <v>0</v>
      </c>
      <c r="AC1411" s="213">
        <f t="shared" si="249"/>
        <v>945</v>
      </c>
      <c r="AD1411" s="213">
        <f t="shared" si="250"/>
        <v>911</v>
      </c>
      <c r="AE1411" s="213">
        <v>0.84</v>
      </c>
      <c r="AF1411" s="196">
        <v>28000000</v>
      </c>
      <c r="AG1411" s="104">
        <f t="shared" si="251"/>
        <v>1.0486891385767789</v>
      </c>
      <c r="AH1411" s="104">
        <f t="shared" si="252"/>
        <v>0</v>
      </c>
      <c r="AI1411" s="195">
        <v>1.24</v>
      </c>
    </row>
    <row r="1412" spans="1:48">
      <c r="A1412">
        <v>8099</v>
      </c>
      <c r="C1412" s="107">
        <f>VLOOKUP(8099,收盤價!$A:$C,3,0)</f>
        <v>17.05</v>
      </c>
      <c r="D1412" s="107">
        <f t="shared" si="242"/>
        <v>13.993055555555555</v>
      </c>
      <c r="E1412" s="167">
        <f t="shared" si="243"/>
        <v>2</v>
      </c>
      <c r="F1412" s="104">
        <f t="shared" si="244"/>
        <v>0.33041692296645048</v>
      </c>
      <c r="G1412" s="167">
        <f>RANK(1.63,AE:AE,0)</f>
        <v>551</v>
      </c>
      <c r="H1412" s="365">
        <f t="shared" si="245"/>
        <v>2.3035714285714288</v>
      </c>
      <c r="I1412" s="213">
        <f t="shared" si="246"/>
        <v>410</v>
      </c>
      <c r="J1412" s="213">
        <f t="shared" si="247"/>
        <v>128</v>
      </c>
      <c r="K1412">
        <f>RANK(2.9,AI:AI,0)</f>
        <v>181</v>
      </c>
      <c r="L1412" s="357">
        <v>0</v>
      </c>
      <c r="M1412" s="357">
        <v>1</v>
      </c>
      <c r="N1412" s="357">
        <v>0</v>
      </c>
      <c r="O1412" s="357">
        <v>1</v>
      </c>
      <c r="P1412" s="357">
        <v>0</v>
      </c>
      <c r="Q1412" s="358">
        <v>0.20092378752886836</v>
      </c>
      <c r="R1412" s="359">
        <v>0.30461538461538462</v>
      </c>
      <c r="S1412" s="196">
        <v>3467619000</v>
      </c>
      <c r="T1412" s="196">
        <v>67200000</v>
      </c>
      <c r="U1412" s="200">
        <f t="shared" si="248"/>
        <v>1145760000</v>
      </c>
      <c r="V1412" s="196">
        <v>24000000</v>
      </c>
      <c r="W1412" s="196">
        <v>687000000</v>
      </c>
      <c r="X1412" s="196">
        <v>175000000</v>
      </c>
      <c r="Y1412" s="196">
        <v>933000000</v>
      </c>
      <c r="Z1412" s="196">
        <v>89000000</v>
      </c>
      <c r="AA1412" s="198">
        <v>0.03</v>
      </c>
      <c r="AB1412" s="198">
        <v>0.02</v>
      </c>
      <c r="AC1412" s="213">
        <f t="shared" si="249"/>
        <v>469</v>
      </c>
      <c r="AD1412" s="213">
        <f t="shared" si="250"/>
        <v>487</v>
      </c>
      <c r="AE1412" s="213">
        <v>1.63</v>
      </c>
      <c r="AF1412" s="196">
        <v>86000000</v>
      </c>
      <c r="AG1412" s="104">
        <f t="shared" si="251"/>
        <v>1.2797619047619047</v>
      </c>
      <c r="AH1412" s="104">
        <f t="shared" si="252"/>
        <v>3.5833333333333335</v>
      </c>
      <c r="AI1412" s="195">
        <v>2.9</v>
      </c>
    </row>
    <row r="1413" spans="1:48">
      <c r="A1413">
        <v>8101</v>
      </c>
      <c r="C1413" s="107">
        <f>VLOOKUP(8101,收盤價!$A:$C,3,0)</f>
        <v>4.9800000000000004</v>
      </c>
      <c r="D1413" s="107">
        <f t="shared" si="242"/>
        <v>0</v>
      </c>
      <c r="E1413" s="167">
        <f t="shared" si="243"/>
        <v>2</v>
      </c>
      <c r="F1413" s="104">
        <f t="shared" si="244"/>
        <v>9.6703865605311537E-2</v>
      </c>
      <c r="G1413" s="167">
        <f>RANK(0.53,AE:AE,0)</f>
        <v>1475</v>
      </c>
      <c r="H1413" s="365">
        <f t="shared" si="245"/>
        <v>-1.8140317155213839</v>
      </c>
      <c r="I1413" s="213">
        <f t="shared" si="246"/>
        <v>264</v>
      </c>
      <c r="J1413" s="213">
        <f t="shared" si="247"/>
        <v>768</v>
      </c>
      <c r="K1413">
        <f>RANK(1.51,AI:AI,0)</f>
        <v>558</v>
      </c>
      <c r="L1413" s="357">
        <v>0</v>
      </c>
      <c r="M1413" s="357">
        <v>0</v>
      </c>
      <c r="N1413" s="357">
        <v>1</v>
      </c>
      <c r="O1413" s="357">
        <v>1</v>
      </c>
      <c r="P1413" s="357">
        <v>0</v>
      </c>
      <c r="Q1413" s="358">
        <v>3.5819857416101546E-2</v>
      </c>
      <c r="R1413" s="359">
        <v>0</v>
      </c>
      <c r="S1413" s="196">
        <v>21433228000</v>
      </c>
      <c r="T1413" s="196">
        <v>416200000</v>
      </c>
      <c r="U1413" s="200">
        <f t="shared" si="248"/>
        <v>2072676000.0000002</v>
      </c>
      <c r="V1413" s="196">
        <v>-213000000</v>
      </c>
      <c r="W1413" s="196">
        <v>719000000</v>
      </c>
      <c r="X1413" s="196">
        <v>2218000000</v>
      </c>
      <c r="Y1413" s="196">
        <v>3490000000</v>
      </c>
      <c r="Z1413" s="196">
        <v>3721000000</v>
      </c>
      <c r="AA1413" s="198">
        <v>-7.0000000000000007E-2</v>
      </c>
      <c r="AB1413" s="198">
        <v>-0.03</v>
      </c>
      <c r="AC1413" s="213">
        <f t="shared" si="249"/>
        <v>1502</v>
      </c>
      <c r="AD1413" s="213">
        <f t="shared" si="250"/>
        <v>1444</v>
      </c>
      <c r="AE1413" s="213">
        <v>0.53</v>
      </c>
      <c r="AF1413" s="196">
        <v>755000000</v>
      </c>
      <c r="AG1413" s="104">
        <f t="shared" si="251"/>
        <v>1.8140317155213839</v>
      </c>
      <c r="AH1413" s="104">
        <f t="shared" si="252"/>
        <v>0</v>
      </c>
      <c r="AI1413" s="195">
        <v>1.51</v>
      </c>
    </row>
    <row r="1414" spans="1:48">
      <c r="A1414">
        <v>8103</v>
      </c>
      <c r="C1414" s="107">
        <f>VLOOKUP(8103,收盤價!$A:$C,3,0)</f>
        <v>26.85</v>
      </c>
      <c r="D1414" s="107">
        <f t="shared" si="242"/>
        <v>10.150609756097563</v>
      </c>
      <c r="E1414" s="167">
        <f t="shared" si="243"/>
        <v>5</v>
      </c>
      <c r="F1414" s="104">
        <f t="shared" si="244"/>
        <v>0.83533224279031737</v>
      </c>
      <c r="G1414" s="167">
        <f>RANK(2.32,AE:AE,0)</f>
        <v>360</v>
      </c>
      <c r="H1414" s="365">
        <f t="shared" si="245"/>
        <v>-8.4929757343550349E-2</v>
      </c>
      <c r="I1414" s="213">
        <f t="shared" si="246"/>
        <v>419</v>
      </c>
      <c r="J1414" s="213">
        <f t="shared" si="247"/>
        <v>478</v>
      </c>
      <c r="K1414">
        <f>RANK(1.74,AI:AI,0)</f>
        <v>441</v>
      </c>
      <c r="L1414" s="357">
        <v>1</v>
      </c>
      <c r="M1414" s="357">
        <v>1</v>
      </c>
      <c r="N1414" s="357">
        <v>2</v>
      </c>
      <c r="O1414" s="357">
        <v>1</v>
      </c>
      <c r="P1414" s="357">
        <v>0</v>
      </c>
      <c r="Q1414" s="358">
        <v>0.31911532385466035</v>
      </c>
      <c r="R1414" s="359">
        <v>0.66129032258064513</v>
      </c>
      <c r="S1414" s="196">
        <v>2516789000</v>
      </c>
      <c r="T1414" s="196">
        <v>78300000</v>
      </c>
      <c r="U1414" s="200">
        <f t="shared" si="248"/>
        <v>2102355000</v>
      </c>
      <c r="V1414" s="196">
        <v>84000000</v>
      </c>
      <c r="W1414" s="196">
        <v>1409000000</v>
      </c>
      <c r="X1414" s="196">
        <v>883000000</v>
      </c>
      <c r="Y1414" s="196">
        <v>2369000000</v>
      </c>
      <c r="Z1414" s="196">
        <v>438000000</v>
      </c>
      <c r="AA1414" s="198">
        <v>0.04</v>
      </c>
      <c r="AB1414" s="198">
        <v>0.03</v>
      </c>
      <c r="AC1414" s="213">
        <f t="shared" si="249"/>
        <v>337</v>
      </c>
      <c r="AD1414" s="213">
        <f t="shared" si="250"/>
        <v>334</v>
      </c>
      <c r="AE1414" s="213">
        <v>2.3199999999999998</v>
      </c>
      <c r="AF1414" s="196">
        <v>98000000</v>
      </c>
      <c r="AG1414" s="104">
        <f t="shared" si="251"/>
        <v>1.2515964240102171</v>
      </c>
      <c r="AH1414" s="104">
        <f t="shared" si="252"/>
        <v>1.1666666666666667</v>
      </c>
      <c r="AI1414" s="195">
        <v>1.74</v>
      </c>
    </row>
    <row r="1415" spans="1:48">
      <c r="A1415">
        <v>8105</v>
      </c>
      <c r="C1415" s="107">
        <f>VLOOKUP(8105,收盤價!$A:$C,3,0)</f>
        <v>17.100000000000001</v>
      </c>
      <c r="D1415" s="107">
        <f t="shared" si="242"/>
        <v>10.792360268989089</v>
      </c>
      <c r="E1415" s="167">
        <f t="shared" si="243"/>
        <v>3</v>
      </c>
      <c r="F1415" s="104">
        <f t="shared" si="244"/>
        <v>0.67520010102535011</v>
      </c>
      <c r="G1415" s="167">
        <f>RANK(1.63,AE:AE,0)</f>
        <v>551</v>
      </c>
      <c r="H1415" s="365">
        <f t="shared" si="245"/>
        <v>1.6721432475222977</v>
      </c>
      <c r="I1415" s="213">
        <f t="shared" si="246"/>
        <v>375</v>
      </c>
      <c r="J1415" s="213">
        <f t="shared" si="247"/>
        <v>151</v>
      </c>
      <c r="K1415">
        <f>RANK(2.96,AI:AI,0)</f>
        <v>174</v>
      </c>
      <c r="L1415" s="357">
        <v>0</v>
      </c>
      <c r="M1415" s="357">
        <v>1</v>
      </c>
      <c r="N1415" s="357">
        <v>1</v>
      </c>
      <c r="O1415" s="357">
        <v>1</v>
      </c>
      <c r="P1415" s="357">
        <v>0</v>
      </c>
      <c r="Q1415" s="358">
        <v>0.15581232492997199</v>
      </c>
      <c r="R1415" s="359">
        <v>0.39611353711790387</v>
      </c>
      <c r="S1415" s="196">
        <v>11181352000</v>
      </c>
      <c r="T1415" s="196">
        <v>441500000</v>
      </c>
      <c r="U1415" s="200">
        <f t="shared" si="248"/>
        <v>7549650000.000001</v>
      </c>
      <c r="V1415" s="196">
        <v>201000000</v>
      </c>
      <c r="W1415" s="196">
        <v>2532000000</v>
      </c>
      <c r="X1415" s="196">
        <v>5280000000</v>
      </c>
      <c r="Y1415" s="196">
        <v>7865000000</v>
      </c>
      <c r="Z1415" s="196">
        <v>1435000000</v>
      </c>
      <c r="AA1415" s="198">
        <v>0.03</v>
      </c>
      <c r="AB1415" s="198">
        <v>0.02</v>
      </c>
      <c r="AC1415" s="213">
        <f t="shared" si="249"/>
        <v>469</v>
      </c>
      <c r="AD1415" s="213">
        <f t="shared" si="250"/>
        <v>487</v>
      </c>
      <c r="AE1415" s="213">
        <v>1.63</v>
      </c>
      <c r="AF1415" s="196">
        <v>617000000</v>
      </c>
      <c r="AG1415" s="104">
        <f t="shared" si="251"/>
        <v>1.3975084937712345</v>
      </c>
      <c r="AH1415" s="104">
        <f t="shared" si="252"/>
        <v>3.0696517412935322</v>
      </c>
      <c r="AI1415" s="195">
        <v>2.96</v>
      </c>
      <c r="AO1415" s="213"/>
      <c r="AP1415" s="213"/>
      <c r="AQ1415" s="213"/>
      <c r="AR1415" s="213"/>
      <c r="AS1415" s="213"/>
      <c r="AT1415" s="213"/>
      <c r="AU1415" s="213"/>
      <c r="AV1415" s="213"/>
    </row>
    <row r="1416" spans="1:48">
      <c r="A1416">
        <v>8107</v>
      </c>
      <c r="C1416" s="107">
        <f>VLOOKUP(8107,收盤價!$A:$C,3,0)</f>
        <v>23.35</v>
      </c>
      <c r="D1416" s="107">
        <f t="shared" si="242"/>
        <v>15.361842105263159</v>
      </c>
      <c r="E1416" s="167">
        <f t="shared" si="243"/>
        <v>3</v>
      </c>
      <c r="F1416" s="104">
        <f t="shared" si="244"/>
        <v>2.3020365978004782</v>
      </c>
      <c r="G1416" s="167">
        <f>RANK(0.84,AE:AE,0)</f>
        <v>946</v>
      </c>
      <c r="H1416" s="365">
        <f t="shared" si="245"/>
        <v>-0.4028197381671702</v>
      </c>
      <c r="I1416" s="213">
        <f t="shared" si="246"/>
        <v>804</v>
      </c>
      <c r="J1416" s="213">
        <f t="shared" si="247"/>
        <v>768</v>
      </c>
      <c r="K1416">
        <f>RANK(0.99,AI:AI,0)</f>
        <v>893</v>
      </c>
      <c r="L1416" s="357">
        <v>1</v>
      </c>
      <c r="M1416" s="357">
        <v>1</v>
      </c>
      <c r="N1416" s="357">
        <v>0</v>
      </c>
      <c r="O1416" s="357">
        <v>1</v>
      </c>
      <c r="P1416" s="357">
        <v>0</v>
      </c>
      <c r="Q1416" s="358">
        <v>0.32340425531914896</v>
      </c>
      <c r="R1416" s="359">
        <v>0.38</v>
      </c>
      <c r="S1416" s="196">
        <v>1007219000</v>
      </c>
      <c r="T1416" s="196">
        <v>99300000</v>
      </c>
      <c r="U1416" s="200">
        <f t="shared" si="248"/>
        <v>2318655000</v>
      </c>
      <c r="V1416" s="196">
        <v>0</v>
      </c>
      <c r="W1416" s="196">
        <v>352000000</v>
      </c>
      <c r="X1416" s="196">
        <v>1352000000</v>
      </c>
      <c r="Y1416" s="196">
        <v>1571000000</v>
      </c>
      <c r="Z1416" s="196">
        <v>524000000</v>
      </c>
      <c r="AA1416" s="198">
        <v>0</v>
      </c>
      <c r="AB1416" s="198">
        <v>0</v>
      </c>
      <c r="AC1416" s="213">
        <f t="shared" si="249"/>
        <v>945</v>
      </c>
      <c r="AD1416" s="213">
        <f t="shared" si="250"/>
        <v>911</v>
      </c>
      <c r="AE1416" s="213">
        <v>0.84</v>
      </c>
      <c r="AF1416" s="196">
        <v>40000000</v>
      </c>
      <c r="AG1416" s="104">
        <f t="shared" si="251"/>
        <v>0.4028197381671702</v>
      </c>
      <c r="AH1416" s="104">
        <f t="shared" si="252"/>
        <v>0</v>
      </c>
      <c r="AI1416" s="195">
        <v>0.99</v>
      </c>
      <c r="AO1416" s="213"/>
      <c r="AP1416" s="213"/>
      <c r="AQ1416" s="213"/>
      <c r="AR1416" s="213"/>
      <c r="AS1416" s="213"/>
      <c r="AT1416" s="213"/>
      <c r="AU1416" s="213"/>
      <c r="AV1416" s="213"/>
    </row>
    <row r="1417" spans="1:48">
      <c r="A1417">
        <v>8109</v>
      </c>
      <c r="C1417" s="107">
        <f>VLOOKUP(8109,收盤價!$A:$C,3,0)</f>
        <v>64.5</v>
      </c>
      <c r="D1417" s="107">
        <f t="shared" si="242"/>
        <v>11.799308539205155</v>
      </c>
      <c r="E1417" s="167">
        <f t="shared" si="243"/>
        <v>2</v>
      </c>
      <c r="F1417" s="104">
        <f t="shared" si="244"/>
        <v>3.8458404304161258</v>
      </c>
      <c r="G1417" s="167">
        <f>RANK(9.5,AE:AE,0)</f>
        <v>85</v>
      </c>
      <c r="H1417" s="365">
        <f t="shared" si="245"/>
        <v>-0.55999999999999994</v>
      </c>
      <c r="I1417" s="213">
        <f t="shared" si="246"/>
        <v>374</v>
      </c>
      <c r="J1417" s="213">
        <f t="shared" si="247"/>
        <v>581</v>
      </c>
      <c r="K1417">
        <f>RANK(1.63,AI:AI,0)</f>
        <v>489</v>
      </c>
      <c r="L1417" s="357">
        <v>0</v>
      </c>
      <c r="M1417" s="357">
        <v>1</v>
      </c>
      <c r="N1417" s="357">
        <v>0</v>
      </c>
      <c r="O1417" s="357">
        <v>1</v>
      </c>
      <c r="P1417" s="357">
        <v>0</v>
      </c>
      <c r="Q1417" s="358">
        <v>0.53515625</v>
      </c>
      <c r="R1417" s="359">
        <v>1.3666055045871561</v>
      </c>
      <c r="S1417" s="196">
        <v>1006282000</v>
      </c>
      <c r="T1417" s="196">
        <v>60000000</v>
      </c>
      <c r="U1417" s="200">
        <f t="shared" si="248"/>
        <v>3870000000</v>
      </c>
      <c r="V1417" s="196">
        <v>100000000</v>
      </c>
      <c r="W1417" s="196">
        <v>939000000</v>
      </c>
      <c r="X1417" s="196">
        <v>207000000</v>
      </c>
      <c r="Y1417" s="196">
        <v>1105000000</v>
      </c>
      <c r="Z1417" s="196">
        <v>663000000</v>
      </c>
      <c r="AA1417" s="198">
        <v>0.09</v>
      </c>
      <c r="AB1417" s="198">
        <v>0.06</v>
      </c>
      <c r="AC1417" s="213">
        <f t="shared" si="249"/>
        <v>69</v>
      </c>
      <c r="AD1417" s="213">
        <f t="shared" si="250"/>
        <v>95</v>
      </c>
      <c r="AE1417" s="213">
        <v>9.5</v>
      </c>
      <c r="AF1417" s="196">
        <v>84000000</v>
      </c>
      <c r="AG1417" s="104">
        <f t="shared" si="251"/>
        <v>1.4</v>
      </c>
      <c r="AH1417" s="104">
        <f t="shared" si="252"/>
        <v>0.84</v>
      </c>
      <c r="AI1417" s="195">
        <v>1.63</v>
      </c>
      <c r="AO1417" s="213"/>
      <c r="AP1417" s="213"/>
      <c r="AQ1417" s="213"/>
      <c r="AR1417" s="213"/>
      <c r="AS1417" s="213"/>
      <c r="AT1417" s="213"/>
      <c r="AU1417" s="213"/>
      <c r="AV1417" s="213"/>
    </row>
    <row r="1418" spans="1:48">
      <c r="A1418">
        <v>8110</v>
      </c>
      <c r="C1418" s="107">
        <f>VLOOKUP(8110,收盤價!$A:$C,3,0)</f>
        <v>11.1</v>
      </c>
      <c r="D1418" s="107">
        <f t="shared" si="242"/>
        <v>14.605263157894736</v>
      </c>
      <c r="E1418" s="167">
        <f t="shared" si="243"/>
        <v>1</v>
      </c>
      <c r="F1418" s="104">
        <f t="shared" si="244"/>
        <v>0.66302082824280573</v>
      </c>
      <c r="G1418" s="167">
        <f>RANK(1.08,AE:AE,0)</f>
        <v>769</v>
      </c>
      <c r="H1418" s="365">
        <f t="shared" si="245"/>
        <v>3.3902770144454379</v>
      </c>
      <c r="I1418" s="213">
        <f t="shared" si="246"/>
        <v>566</v>
      </c>
      <c r="J1418" s="213">
        <f t="shared" si="247"/>
        <v>100</v>
      </c>
      <c r="K1418">
        <f>RANK(2.34,AI:AI,0)</f>
        <v>269</v>
      </c>
      <c r="L1418" s="357">
        <v>0</v>
      </c>
      <c r="M1418" s="357">
        <v>1</v>
      </c>
      <c r="N1418" s="357">
        <v>0</v>
      </c>
      <c r="O1418" s="357">
        <v>0</v>
      </c>
      <c r="P1418" s="357">
        <v>0</v>
      </c>
      <c r="Q1418" s="358">
        <v>9.238329238329239E-2</v>
      </c>
      <c r="R1418" s="359">
        <v>0.19</v>
      </c>
      <c r="S1418" s="196">
        <v>8082823000</v>
      </c>
      <c r="T1418" s="196">
        <v>482800000</v>
      </c>
      <c r="U1418" s="200">
        <f t="shared" si="248"/>
        <v>5359080000</v>
      </c>
      <c r="V1418" s="196">
        <v>101000000</v>
      </c>
      <c r="W1418" s="196">
        <v>1410000000</v>
      </c>
      <c r="X1418" s="196">
        <v>9176000000</v>
      </c>
      <c r="Y1418" s="196">
        <v>7667000000</v>
      </c>
      <c r="Z1418" s="196">
        <v>1554000000</v>
      </c>
      <c r="AA1418" s="198">
        <v>0.01</v>
      </c>
      <c r="AB1418" s="198">
        <v>0.01</v>
      </c>
      <c r="AC1418" s="213">
        <f t="shared" si="249"/>
        <v>769</v>
      </c>
      <c r="AD1418" s="213">
        <f t="shared" si="250"/>
        <v>680</v>
      </c>
      <c r="AE1418" s="213">
        <v>1.08</v>
      </c>
      <c r="AF1418" s="196">
        <v>433000000</v>
      </c>
      <c r="AG1418" s="104">
        <f t="shared" si="251"/>
        <v>0.89685169842584922</v>
      </c>
      <c r="AH1418" s="104">
        <f t="shared" si="252"/>
        <v>4.2871287128712874</v>
      </c>
      <c r="AI1418" s="195">
        <v>2.34</v>
      </c>
    </row>
    <row r="1419" spans="1:48">
      <c r="A1419">
        <v>8111</v>
      </c>
      <c r="C1419" s="107">
        <f>VLOOKUP(8111,收盤價!$A:$C,3,0)</f>
        <v>4.92</v>
      </c>
      <c r="D1419" s="107">
        <f t="shared" si="242"/>
        <v>0</v>
      </c>
      <c r="E1419" s="167">
        <f t="shared" si="243"/>
        <v>4</v>
      </c>
      <c r="F1419" s="104">
        <f t="shared" si="244"/>
        <v>0.79223675851390629</v>
      </c>
      <c r="G1419" s="167">
        <f>RANK(0.71,AE:AE,0)</f>
        <v>1276</v>
      </c>
      <c r="H1419" s="365">
        <f t="shared" si="245"/>
        <v>-0.35866780529462</v>
      </c>
      <c r="I1419" s="213">
        <f t="shared" si="246"/>
        <v>822</v>
      </c>
      <c r="J1419" s="213">
        <f t="shared" si="247"/>
        <v>768</v>
      </c>
      <c r="K1419">
        <f>RANK(0.98,AI:AI,0)</f>
        <v>903</v>
      </c>
      <c r="L1419" s="357">
        <v>1</v>
      </c>
      <c r="M1419" s="357">
        <v>1</v>
      </c>
      <c r="N1419" s="357">
        <v>1</v>
      </c>
      <c r="O1419" s="357">
        <v>1</v>
      </c>
      <c r="P1419" s="357">
        <v>0</v>
      </c>
      <c r="Q1419" s="358">
        <v>0.21857923497267759</v>
      </c>
      <c r="R1419" s="359">
        <v>0</v>
      </c>
      <c r="S1419" s="196">
        <v>727222000</v>
      </c>
      <c r="T1419" s="196">
        <v>117100000</v>
      </c>
      <c r="U1419" s="200">
        <f t="shared" si="248"/>
        <v>576132000</v>
      </c>
      <c r="V1419" s="196">
        <v>-6000000</v>
      </c>
      <c r="W1419" s="196">
        <v>108000000</v>
      </c>
      <c r="X1419" s="196">
        <v>833000000</v>
      </c>
      <c r="Y1419" s="196">
        <v>1063000000</v>
      </c>
      <c r="Z1419" s="196">
        <v>311000000</v>
      </c>
      <c r="AA1419" s="198">
        <v>-0.01</v>
      </c>
      <c r="AB1419" s="198">
        <v>0</v>
      </c>
      <c r="AC1419" s="213">
        <f t="shared" si="249"/>
        <v>1277</v>
      </c>
      <c r="AD1419" s="213">
        <f t="shared" si="250"/>
        <v>911</v>
      </c>
      <c r="AE1419" s="213">
        <v>0.71</v>
      </c>
      <c r="AF1419" s="196">
        <v>42000000</v>
      </c>
      <c r="AG1419" s="104">
        <f t="shared" si="251"/>
        <v>0.35866780529462</v>
      </c>
      <c r="AH1419" s="104">
        <f t="shared" si="252"/>
        <v>0</v>
      </c>
      <c r="AI1419" s="195">
        <v>0.98</v>
      </c>
      <c r="AO1419" s="213"/>
      <c r="AP1419" s="213"/>
      <c r="AQ1419" s="213"/>
      <c r="AR1419" s="213"/>
      <c r="AS1419" s="213"/>
      <c r="AT1419" s="213"/>
      <c r="AU1419" s="213"/>
      <c r="AV1419" s="213"/>
    </row>
    <row r="1420" spans="1:48">
      <c r="A1420">
        <v>8112</v>
      </c>
      <c r="C1420" s="107">
        <f>VLOOKUP(8112,收盤價!$A:$C,3,0)</f>
        <v>21.2</v>
      </c>
      <c r="D1420" s="107">
        <f t="shared" si="242"/>
        <v>3.9683612002477058</v>
      </c>
      <c r="E1420" s="167">
        <f t="shared" si="243"/>
        <v>2</v>
      </c>
      <c r="F1420" s="104">
        <f t="shared" si="244"/>
        <v>6.1181401801504373E-2</v>
      </c>
      <c r="G1420" s="167">
        <f>RANK(5.56,AE:AE,0)</f>
        <v>153</v>
      </c>
      <c r="H1420" s="365">
        <f t="shared" si="245"/>
        <v>3.113485630066323</v>
      </c>
      <c r="I1420" s="213">
        <f t="shared" si="246"/>
        <v>1535</v>
      </c>
      <c r="J1420" s="213">
        <f t="shared" si="247"/>
        <v>768</v>
      </c>
      <c r="K1420">
        <f>RANK(0.68,AI:AI,0)</f>
        <v>1507</v>
      </c>
      <c r="L1420" s="357">
        <v>0</v>
      </c>
      <c r="M1420" s="357">
        <v>1</v>
      </c>
      <c r="N1420" s="357">
        <v>1</v>
      </c>
      <c r="O1420" s="357">
        <v>0</v>
      </c>
      <c r="P1420" s="357">
        <v>0</v>
      </c>
      <c r="Q1420" s="358">
        <v>3.3973634651600755E-2</v>
      </c>
      <c r="R1420" s="359">
        <v>1.3355639097744361</v>
      </c>
      <c r="S1420" s="196">
        <v>94042958000</v>
      </c>
      <c r="T1420" s="196">
        <v>271400000</v>
      </c>
      <c r="U1420" s="200">
        <f t="shared" si="248"/>
        <v>5753680000</v>
      </c>
      <c r="V1420" s="196">
        <v>647000000</v>
      </c>
      <c r="W1420" s="196">
        <v>6343000000</v>
      </c>
      <c r="X1420" s="196">
        <v>264000000</v>
      </c>
      <c r="Y1420" s="196">
        <v>5488000000</v>
      </c>
      <c r="Z1420" s="196">
        <v>9167000000</v>
      </c>
      <c r="AA1420" s="198">
        <v>0.1</v>
      </c>
      <c r="AB1420" s="198">
        <v>0.04</v>
      </c>
      <c r="AC1420" s="213">
        <f t="shared" si="249"/>
        <v>52</v>
      </c>
      <c r="AD1420" s="213">
        <f t="shared" si="250"/>
        <v>228</v>
      </c>
      <c r="AE1420" s="213">
        <v>5.56</v>
      </c>
      <c r="AF1420" s="196">
        <v>-845000000</v>
      </c>
      <c r="AG1420" s="104">
        <f t="shared" si="251"/>
        <v>-3.113485630066323</v>
      </c>
      <c r="AH1420" s="104">
        <f t="shared" si="252"/>
        <v>0</v>
      </c>
      <c r="AI1420" s="195">
        <v>0.68</v>
      </c>
    </row>
    <row r="1421" spans="1:48">
      <c r="A1421">
        <v>8114</v>
      </c>
      <c r="C1421" s="107">
        <f>VLOOKUP(8114,收盤價!$A:$C,3,0)</f>
        <v>197</v>
      </c>
      <c r="D1421" s="107">
        <f t="shared" si="242"/>
        <v>20.291</v>
      </c>
      <c r="E1421" s="167">
        <f t="shared" si="243"/>
        <v>3</v>
      </c>
      <c r="F1421" s="104">
        <f t="shared" si="244"/>
        <v>4.2576401064505935</v>
      </c>
      <c r="G1421" s="167">
        <f>RANK(20.77,AE:AE,0)</f>
        <v>38</v>
      </c>
      <c r="H1421" s="365">
        <f t="shared" si="245"/>
        <v>-1.9684808717558147</v>
      </c>
      <c r="I1421" s="213">
        <f t="shared" si="246"/>
        <v>123</v>
      </c>
      <c r="J1421" s="213">
        <f t="shared" si="247"/>
        <v>531</v>
      </c>
      <c r="K1421">
        <f>RANK(2.38,AI:AI,0)</f>
        <v>261</v>
      </c>
      <c r="L1421" s="357">
        <v>0</v>
      </c>
      <c r="M1421" s="357">
        <v>1</v>
      </c>
      <c r="N1421" s="357">
        <v>1</v>
      </c>
      <c r="O1421" s="357">
        <v>1</v>
      </c>
      <c r="P1421" s="357">
        <v>0</v>
      </c>
      <c r="Q1421" s="358">
        <v>0.43781094527363185</v>
      </c>
      <c r="R1421" s="359">
        <v>2.4271844660194173</v>
      </c>
      <c r="S1421" s="196">
        <v>3127836000</v>
      </c>
      <c r="T1421" s="196">
        <v>67600000</v>
      </c>
      <c r="U1421" s="200">
        <f t="shared" si="248"/>
        <v>13317200000</v>
      </c>
      <c r="V1421" s="196">
        <v>202000000</v>
      </c>
      <c r="W1421" s="196">
        <v>720000000</v>
      </c>
      <c r="X1421" s="196">
        <v>1413000000</v>
      </c>
      <c r="Y1421" s="196">
        <v>1596000000</v>
      </c>
      <c r="Z1421" s="196">
        <v>114000000</v>
      </c>
      <c r="AA1421" s="198">
        <v>0.09</v>
      </c>
      <c r="AB1421" s="198">
        <v>0.12</v>
      </c>
      <c r="AC1421" s="213">
        <f t="shared" si="249"/>
        <v>69</v>
      </c>
      <c r="AD1421" s="213">
        <f t="shared" si="250"/>
        <v>6</v>
      </c>
      <c r="AE1421" s="213">
        <v>20.77</v>
      </c>
      <c r="AF1421" s="196">
        <v>200000000</v>
      </c>
      <c r="AG1421" s="104">
        <f t="shared" si="251"/>
        <v>2.9585798816568047</v>
      </c>
      <c r="AH1421" s="104">
        <f t="shared" si="252"/>
        <v>0.99009900990099009</v>
      </c>
      <c r="AI1421" s="195">
        <v>2.38</v>
      </c>
    </row>
    <row r="1422" spans="1:48">
      <c r="A1422">
        <v>8121</v>
      </c>
      <c r="C1422" s="107">
        <f>VLOOKUP(8121,收盤價!$A:$C,3,0)</f>
        <v>13.1</v>
      </c>
      <c r="D1422" s="107">
        <f t="shared" si="242"/>
        <v>0</v>
      </c>
      <c r="E1422" s="167">
        <f t="shared" si="243"/>
        <v>4</v>
      </c>
      <c r="F1422" s="104">
        <f t="shared" si="244"/>
        <v>1.0144945380654107</v>
      </c>
      <c r="G1422" s="167">
        <f>RANK(0.61,AE:AE,0)</f>
        <v>1295</v>
      </c>
      <c r="H1422" s="365">
        <f t="shared" si="245"/>
        <v>-0.4057017543859649</v>
      </c>
      <c r="I1422" s="213">
        <f t="shared" si="246"/>
        <v>798</v>
      </c>
      <c r="J1422" s="213">
        <f t="shared" si="247"/>
        <v>768</v>
      </c>
      <c r="K1422">
        <f>RANK(0.99,AI:AI,0)</f>
        <v>893</v>
      </c>
      <c r="L1422" s="357">
        <v>0</v>
      </c>
      <c r="M1422" s="357">
        <v>1</v>
      </c>
      <c r="N1422" s="357">
        <v>2</v>
      </c>
      <c r="O1422" s="357">
        <v>1</v>
      </c>
      <c r="P1422" s="357">
        <v>0</v>
      </c>
      <c r="Q1422" s="358">
        <v>8.598726114649681E-2</v>
      </c>
      <c r="R1422" s="359">
        <v>0</v>
      </c>
      <c r="S1422" s="196">
        <v>2355301000</v>
      </c>
      <c r="T1422" s="196">
        <v>182400000</v>
      </c>
      <c r="U1422" s="200">
        <f t="shared" si="248"/>
        <v>2389440000</v>
      </c>
      <c r="V1422" s="196">
        <v>-43000000</v>
      </c>
      <c r="W1422" s="196">
        <v>768000000</v>
      </c>
      <c r="X1422" s="196">
        <v>2633000000</v>
      </c>
      <c r="Y1422" s="196">
        <v>2680000000</v>
      </c>
      <c r="Z1422" s="196">
        <v>1358000000</v>
      </c>
      <c r="AA1422" s="198">
        <v>-0.01</v>
      </c>
      <c r="AB1422" s="198">
        <v>-0.01</v>
      </c>
      <c r="AC1422" s="213">
        <f t="shared" si="249"/>
        <v>1277</v>
      </c>
      <c r="AD1422" s="213">
        <f t="shared" si="250"/>
        <v>1294</v>
      </c>
      <c r="AE1422" s="213">
        <v>0.61</v>
      </c>
      <c r="AF1422" s="196">
        <v>74000000</v>
      </c>
      <c r="AG1422" s="104">
        <f t="shared" si="251"/>
        <v>0.4057017543859649</v>
      </c>
      <c r="AH1422" s="104">
        <f t="shared" si="252"/>
        <v>0</v>
      </c>
      <c r="AI1422" s="195">
        <v>0.99</v>
      </c>
    </row>
    <row r="1423" spans="1:48">
      <c r="A1423">
        <v>8131</v>
      </c>
      <c r="C1423" s="107">
        <f>VLOOKUP(8131,收盤價!$A:$C,3,0)</f>
        <v>22.05</v>
      </c>
      <c r="D1423" s="107">
        <f t="shared" si="242"/>
        <v>9.8016932646393577</v>
      </c>
      <c r="E1423" s="167">
        <f t="shared" si="243"/>
        <v>1</v>
      </c>
      <c r="F1423" s="104">
        <f t="shared" si="244"/>
        <v>1.1230062929980937</v>
      </c>
      <c r="G1423" s="167">
        <f>RANK(2.76,AE:AE,0)</f>
        <v>305</v>
      </c>
      <c r="H1423" s="365">
        <f t="shared" si="245"/>
        <v>0.4181209036268998</v>
      </c>
      <c r="I1423" s="213">
        <f t="shared" si="246"/>
        <v>345</v>
      </c>
      <c r="J1423" s="213">
        <f t="shared" si="247"/>
        <v>281</v>
      </c>
      <c r="K1423">
        <f>RANK(2.49,AI:AI,0)</f>
        <v>239</v>
      </c>
      <c r="L1423" s="357">
        <v>0</v>
      </c>
      <c r="M1423" s="357">
        <v>0</v>
      </c>
      <c r="N1423" s="357">
        <v>0</v>
      </c>
      <c r="O1423" s="357">
        <v>1</v>
      </c>
      <c r="P1423" s="357">
        <v>0</v>
      </c>
      <c r="Q1423" s="358">
        <v>0.17932987258140631</v>
      </c>
      <c r="R1423" s="359">
        <v>0.56240282685512366</v>
      </c>
      <c r="S1423" s="196">
        <v>8682507000</v>
      </c>
      <c r="T1423" s="196">
        <v>442200000</v>
      </c>
      <c r="U1423" s="200">
        <f t="shared" si="248"/>
        <v>9750510000</v>
      </c>
      <c r="V1423" s="196">
        <v>346000000</v>
      </c>
      <c r="W1423" s="196">
        <v>6158000000</v>
      </c>
      <c r="X1423" s="196">
        <v>2568000000</v>
      </c>
      <c r="Y1423" s="196">
        <v>9463000000</v>
      </c>
      <c r="Z1423" s="196">
        <v>0</v>
      </c>
      <c r="AA1423" s="198">
        <v>0.04</v>
      </c>
      <c r="AB1423" s="198">
        <v>0.04</v>
      </c>
      <c r="AC1423" s="213">
        <f t="shared" si="249"/>
        <v>337</v>
      </c>
      <c r="AD1423" s="213">
        <f t="shared" si="250"/>
        <v>228</v>
      </c>
      <c r="AE1423" s="213">
        <v>2.76</v>
      </c>
      <c r="AF1423" s="196">
        <v>665000000</v>
      </c>
      <c r="AG1423" s="104">
        <f t="shared" si="251"/>
        <v>1.5038444142921754</v>
      </c>
      <c r="AH1423" s="104">
        <f t="shared" si="252"/>
        <v>1.9219653179190752</v>
      </c>
      <c r="AI1423" s="195">
        <v>2.4900000000000002</v>
      </c>
      <c r="AO1423" s="213"/>
      <c r="AP1423" s="213"/>
      <c r="AQ1423" s="213"/>
      <c r="AR1423" s="213"/>
      <c r="AS1423" s="213"/>
      <c r="AT1423" s="213"/>
      <c r="AU1423" s="213"/>
      <c r="AV1423" s="213"/>
    </row>
    <row r="1424" spans="1:48">
      <c r="A1424">
        <v>8147</v>
      </c>
      <c r="C1424" s="107">
        <f>VLOOKUP(8147,收盤價!$A:$C,3,0)</f>
        <v>37.200000000000003</v>
      </c>
      <c r="D1424" s="107">
        <f t="shared" si="242"/>
        <v>17.714285714285715</v>
      </c>
      <c r="E1424" s="167">
        <f t="shared" si="243"/>
        <v>4</v>
      </c>
      <c r="F1424" s="104">
        <f t="shared" si="244"/>
        <v>1.0715512783583152</v>
      </c>
      <c r="G1424" s="167">
        <f>RANK(2.32,AE:AE,0)</f>
        <v>360</v>
      </c>
      <c r="H1424" s="365">
        <f t="shared" si="245"/>
        <v>0.44277108433734935</v>
      </c>
      <c r="I1424" s="213">
        <f t="shared" si="246"/>
        <v>266</v>
      </c>
      <c r="J1424" s="213">
        <f t="shared" si="247"/>
        <v>220</v>
      </c>
      <c r="K1424">
        <f>RANK(3.21,AI:AI,0)</f>
        <v>147</v>
      </c>
      <c r="L1424" s="357">
        <v>0</v>
      </c>
      <c r="M1424" s="357">
        <v>1</v>
      </c>
      <c r="N1424" s="357">
        <v>2</v>
      </c>
      <c r="O1424" s="357">
        <v>1</v>
      </c>
      <c r="P1424" s="357">
        <v>0</v>
      </c>
      <c r="Q1424" s="358">
        <v>0.27450980392156865</v>
      </c>
      <c r="R1424" s="359">
        <v>0.52500000000000002</v>
      </c>
      <c r="S1424" s="196">
        <v>864429000</v>
      </c>
      <c r="T1424" s="196">
        <v>24900000</v>
      </c>
      <c r="U1424" s="200">
        <f t="shared" si="248"/>
        <v>926280000.00000012</v>
      </c>
      <c r="V1424" s="196">
        <v>20000000</v>
      </c>
      <c r="W1424" s="196">
        <v>191000000</v>
      </c>
      <c r="X1424" s="196">
        <v>295000000</v>
      </c>
      <c r="Y1424" s="196">
        <v>529000000</v>
      </c>
      <c r="Z1424" s="196">
        <v>75000000</v>
      </c>
      <c r="AA1424" s="198">
        <v>0.04</v>
      </c>
      <c r="AB1424" s="198">
        <v>0.03</v>
      </c>
      <c r="AC1424" s="213">
        <f t="shared" si="249"/>
        <v>337</v>
      </c>
      <c r="AD1424" s="213">
        <f t="shared" si="250"/>
        <v>334</v>
      </c>
      <c r="AE1424" s="213">
        <v>2.3199999999999998</v>
      </c>
      <c r="AF1424" s="196">
        <v>45000000</v>
      </c>
      <c r="AG1424" s="104">
        <f t="shared" si="251"/>
        <v>1.8072289156626506</v>
      </c>
      <c r="AH1424" s="104">
        <f t="shared" si="252"/>
        <v>2.25</v>
      </c>
      <c r="AI1424" s="195">
        <v>3.21</v>
      </c>
    </row>
    <row r="1425" spans="1:48">
      <c r="A1425">
        <v>8150</v>
      </c>
      <c r="C1425" s="107">
        <f>VLOOKUP(8150,收盤價!$A:$C,3,0)</f>
        <v>28</v>
      </c>
      <c r="D1425" s="107">
        <f t="shared" si="242"/>
        <v>18.918918918918919</v>
      </c>
      <c r="E1425" s="167">
        <f t="shared" si="243"/>
        <v>1</v>
      </c>
      <c r="F1425" s="104">
        <f t="shared" si="244"/>
        <v>1.3208411729184866</v>
      </c>
      <c r="G1425" s="167">
        <f>RANK(0.84,AE:AE,0)</f>
        <v>946</v>
      </c>
      <c r="H1425" s="365">
        <f t="shared" si="245"/>
        <v>-0.72559072670530544</v>
      </c>
      <c r="I1425" s="213">
        <f t="shared" si="246"/>
        <v>636</v>
      </c>
      <c r="J1425" s="213">
        <f t="shared" si="247"/>
        <v>768</v>
      </c>
      <c r="K1425">
        <f>RANK(1.11,AI:AI,0)</f>
        <v>788</v>
      </c>
      <c r="L1425" s="357">
        <v>0</v>
      </c>
      <c r="M1425" s="357">
        <v>0</v>
      </c>
      <c r="N1425" s="357">
        <v>0</v>
      </c>
      <c r="O1425" s="357">
        <v>1</v>
      </c>
      <c r="P1425" s="357">
        <v>0</v>
      </c>
      <c r="Q1425" s="358">
        <v>0.16860588110852548</v>
      </c>
      <c r="R1425" s="359">
        <v>0.37</v>
      </c>
      <c r="S1425" s="196">
        <v>19019395000</v>
      </c>
      <c r="T1425" s="196">
        <v>897200000</v>
      </c>
      <c r="U1425" s="200">
        <f t="shared" si="248"/>
        <v>25121600000</v>
      </c>
      <c r="V1425" s="196">
        <v>0</v>
      </c>
      <c r="W1425" s="196">
        <v>10690000000</v>
      </c>
      <c r="X1425" s="196">
        <v>14491000000</v>
      </c>
      <c r="Y1425" s="196">
        <v>17067000000</v>
      </c>
      <c r="Z1425" s="196">
        <v>1437000000</v>
      </c>
      <c r="AA1425" s="198">
        <v>0</v>
      </c>
      <c r="AB1425" s="198">
        <v>0</v>
      </c>
      <c r="AC1425" s="213">
        <f t="shared" si="249"/>
        <v>945</v>
      </c>
      <c r="AD1425" s="213">
        <f t="shared" si="250"/>
        <v>911</v>
      </c>
      <c r="AE1425" s="213">
        <v>0.84</v>
      </c>
      <c r="AF1425" s="196">
        <v>651000000</v>
      </c>
      <c r="AG1425" s="104">
        <f t="shared" si="251"/>
        <v>0.72559072670530544</v>
      </c>
      <c r="AH1425" s="104">
        <f t="shared" si="252"/>
        <v>0</v>
      </c>
      <c r="AI1425" s="195">
        <v>1.1100000000000001</v>
      </c>
    </row>
    <row r="1426" spans="1:48">
      <c r="A1426">
        <v>8155</v>
      </c>
      <c r="C1426" s="107">
        <f>VLOOKUP(8155,收盤價!$A:$C,3,0)</f>
        <v>30.45</v>
      </c>
      <c r="D1426" s="107">
        <f t="shared" si="242"/>
        <v>8.5533707865168545</v>
      </c>
      <c r="E1426" s="167">
        <f t="shared" si="243"/>
        <v>5</v>
      </c>
      <c r="F1426" s="104">
        <f t="shared" si="244"/>
        <v>0.96535896742157778</v>
      </c>
      <c r="G1426" s="167">
        <f>RANK(2.76,AE:AE,0)</f>
        <v>305</v>
      </c>
      <c r="H1426" s="365">
        <f t="shared" si="245"/>
        <v>-5.8619091751621832E-2</v>
      </c>
      <c r="I1426" s="213">
        <f t="shared" si="246"/>
        <v>377</v>
      </c>
      <c r="J1426" s="213">
        <f t="shared" si="247"/>
        <v>421</v>
      </c>
      <c r="K1426">
        <f>RANK(1.95,AI:AI,0)</f>
        <v>358</v>
      </c>
      <c r="L1426" s="357">
        <v>1</v>
      </c>
      <c r="M1426" s="357">
        <v>1</v>
      </c>
      <c r="N1426" s="357">
        <v>2</v>
      </c>
      <c r="O1426" s="357">
        <v>1</v>
      </c>
      <c r="P1426" s="357">
        <v>0</v>
      </c>
      <c r="Q1426" s="358">
        <v>0.20181405895691609</v>
      </c>
      <c r="R1426" s="359">
        <v>0.89</v>
      </c>
      <c r="S1426" s="196">
        <v>1570825000</v>
      </c>
      <c r="T1426" s="196">
        <v>49800000</v>
      </c>
      <c r="U1426" s="200">
        <f t="shared" si="248"/>
        <v>1516410000</v>
      </c>
      <c r="V1426" s="196">
        <v>52000000</v>
      </c>
      <c r="W1426" s="196">
        <v>501000000</v>
      </c>
      <c r="X1426" s="196">
        <v>765000000</v>
      </c>
      <c r="Y1426" s="196">
        <v>1292000000</v>
      </c>
      <c r="Z1426" s="196">
        <v>87000000</v>
      </c>
      <c r="AA1426" s="198">
        <v>0.04</v>
      </c>
      <c r="AB1426" s="198">
        <v>0.04</v>
      </c>
      <c r="AC1426" s="213">
        <f t="shared" si="249"/>
        <v>337</v>
      </c>
      <c r="AD1426" s="213">
        <f t="shared" si="250"/>
        <v>228</v>
      </c>
      <c r="AE1426" s="213">
        <v>2.76</v>
      </c>
      <c r="AF1426" s="196">
        <v>69000000</v>
      </c>
      <c r="AG1426" s="104">
        <f t="shared" si="251"/>
        <v>1.3855421686746987</v>
      </c>
      <c r="AH1426" s="104">
        <f t="shared" si="252"/>
        <v>1.3269230769230769</v>
      </c>
      <c r="AI1426" s="195">
        <v>1.95</v>
      </c>
    </row>
    <row r="1427" spans="1:48">
      <c r="A1427">
        <v>8163</v>
      </c>
      <c r="C1427" s="107">
        <f>VLOOKUP(8163,收盤價!$A:$C,3,0)</f>
        <v>18.649999999999999</v>
      </c>
      <c r="D1427" s="107">
        <f t="shared" si="242"/>
        <v>22.427215189873415</v>
      </c>
      <c r="E1427" s="167">
        <f t="shared" si="243"/>
        <v>4</v>
      </c>
      <c r="F1427" s="104">
        <f t="shared" si="244"/>
        <v>0.30132732772375642</v>
      </c>
      <c r="G1427" s="167">
        <f>RANK(1.08,AE:AE,0)</f>
        <v>769</v>
      </c>
      <c r="H1427" s="365">
        <f t="shared" si="245"/>
        <v>1.8553321526547903</v>
      </c>
      <c r="I1427" s="213">
        <f t="shared" si="246"/>
        <v>626</v>
      </c>
      <c r="J1427" s="213">
        <f t="shared" si="247"/>
        <v>183</v>
      </c>
      <c r="K1427">
        <f>RANK(1.93,AI:AI,0)</f>
        <v>367</v>
      </c>
      <c r="L1427" s="357">
        <v>0</v>
      </c>
      <c r="M1427" s="357">
        <v>1</v>
      </c>
      <c r="N1427" s="357">
        <v>2</v>
      </c>
      <c r="O1427" s="357">
        <v>1</v>
      </c>
      <c r="P1427" s="357">
        <v>0</v>
      </c>
      <c r="Q1427" s="358">
        <v>0.14164546225614927</v>
      </c>
      <c r="R1427" s="359">
        <v>0.20789473684210527</v>
      </c>
      <c r="S1427" s="196">
        <v>18437873000</v>
      </c>
      <c r="T1427" s="196">
        <v>297900000</v>
      </c>
      <c r="U1427" s="200">
        <f t="shared" si="248"/>
        <v>5555835000</v>
      </c>
      <c r="V1427" s="196">
        <v>87000000</v>
      </c>
      <c r="W1427" s="196">
        <v>3499000000</v>
      </c>
      <c r="X1427" s="196">
        <v>5475000000</v>
      </c>
      <c r="Y1427" s="196">
        <v>8549000000</v>
      </c>
      <c r="Z1427" s="196">
        <v>520000000</v>
      </c>
      <c r="AA1427" s="198">
        <v>0.01</v>
      </c>
      <c r="AB1427" s="198">
        <v>0.01</v>
      </c>
      <c r="AC1427" s="213">
        <f t="shared" si="249"/>
        <v>769</v>
      </c>
      <c r="AD1427" s="213">
        <f t="shared" si="250"/>
        <v>680</v>
      </c>
      <c r="AE1427" s="213">
        <v>1.08</v>
      </c>
      <c r="AF1427" s="196">
        <v>228000000</v>
      </c>
      <c r="AG1427" s="104">
        <f t="shared" si="251"/>
        <v>0.76535750251762336</v>
      </c>
      <c r="AH1427" s="104">
        <f t="shared" si="252"/>
        <v>2.6206896551724137</v>
      </c>
      <c r="AI1427" s="195">
        <v>1.93</v>
      </c>
      <c r="AO1427" s="213"/>
      <c r="AP1427" s="213"/>
      <c r="AQ1427" s="213"/>
      <c r="AR1427" s="213"/>
      <c r="AS1427" s="213"/>
      <c r="AT1427" s="213"/>
      <c r="AU1427" s="213"/>
      <c r="AV1427" s="213"/>
    </row>
    <row r="1428" spans="1:48">
      <c r="A1428">
        <v>8171</v>
      </c>
      <c r="C1428" s="107">
        <f>VLOOKUP(8171,收盤價!$A:$C,3,0)</f>
        <v>9.35</v>
      </c>
      <c r="D1428" s="107">
        <f t="shared" si="242"/>
        <v>0</v>
      </c>
      <c r="E1428" s="167">
        <f t="shared" si="243"/>
        <v>1</v>
      </c>
      <c r="F1428" s="104">
        <f t="shared" si="244"/>
        <v>0.2568785417707235</v>
      </c>
      <c r="G1428" s="167">
        <f>RANK(0.56,AE:AE,0)</f>
        <v>1414</v>
      </c>
      <c r="H1428" s="365">
        <f t="shared" si="245"/>
        <v>2.4712643678160919</v>
      </c>
      <c r="I1428" s="213">
        <f t="shared" si="246"/>
        <v>1528</v>
      </c>
      <c r="J1428" s="213">
        <f t="shared" si="247"/>
        <v>768</v>
      </c>
      <c r="K1428">
        <f>RANK(0.68,AI:AI,0)</f>
        <v>1507</v>
      </c>
      <c r="L1428" s="357">
        <v>0</v>
      </c>
      <c r="M1428" s="357">
        <v>1</v>
      </c>
      <c r="N1428" s="357">
        <v>0</v>
      </c>
      <c r="O1428" s="357">
        <v>0</v>
      </c>
      <c r="P1428" s="357">
        <v>0</v>
      </c>
      <c r="Q1428" s="358">
        <v>5.9490084985835696E-2</v>
      </c>
      <c r="R1428" s="359">
        <v>0</v>
      </c>
      <c r="S1428" s="196">
        <v>1900003000</v>
      </c>
      <c r="T1428" s="196">
        <v>52200000</v>
      </c>
      <c r="U1428" s="200">
        <f t="shared" si="248"/>
        <v>488070000</v>
      </c>
      <c r="V1428" s="196">
        <v>-15000000</v>
      </c>
      <c r="W1428" s="196">
        <v>394000000</v>
      </c>
      <c r="X1428" s="196">
        <v>167000000</v>
      </c>
      <c r="Y1428" s="196">
        <v>621000000</v>
      </c>
      <c r="Z1428" s="196">
        <v>217000000</v>
      </c>
      <c r="AA1428" s="198">
        <v>-0.03</v>
      </c>
      <c r="AB1428" s="198">
        <v>-0.02</v>
      </c>
      <c r="AC1428" s="213">
        <f t="shared" si="249"/>
        <v>1405</v>
      </c>
      <c r="AD1428" s="213">
        <f t="shared" si="250"/>
        <v>1388</v>
      </c>
      <c r="AE1428" s="213">
        <v>0.56000000000000005</v>
      </c>
      <c r="AF1428" s="196">
        <v>-129000000</v>
      </c>
      <c r="AG1428" s="104">
        <f t="shared" si="251"/>
        <v>-2.4712643678160919</v>
      </c>
      <c r="AH1428" s="104">
        <f t="shared" si="252"/>
        <v>0</v>
      </c>
      <c r="AI1428" s="195">
        <v>0.68</v>
      </c>
      <c r="AO1428" s="213"/>
      <c r="AP1428" s="213"/>
      <c r="AQ1428" s="213"/>
      <c r="AR1428" s="213"/>
      <c r="AS1428" s="213"/>
      <c r="AT1428" s="213"/>
      <c r="AU1428" s="213"/>
      <c r="AV1428" s="213"/>
    </row>
    <row r="1429" spans="1:48">
      <c r="A1429">
        <v>8176</v>
      </c>
      <c r="C1429" s="107" t="e">
        <f>VLOOKUP(8176,收盤價!$A:$C,3,0)</f>
        <v>#N/A</v>
      </c>
      <c r="D1429" s="107">
        <f t="shared" si="242"/>
        <v>0</v>
      </c>
      <c r="E1429" s="167">
        <f t="shared" si="243"/>
        <v>3</v>
      </c>
      <c r="F1429" s="104">
        <f t="shared" si="244"/>
        <v>0</v>
      </c>
      <c r="G1429" s="167">
        <f>RANK(0.71,AE:AE,0)</f>
        <v>1276</v>
      </c>
      <c r="H1429" s="365">
        <f t="shared" si="245"/>
        <v>0.26548672566371684</v>
      </c>
      <c r="I1429" s="213">
        <f t="shared" si="246"/>
        <v>1253</v>
      </c>
      <c r="J1429" s="213">
        <f t="shared" si="247"/>
        <v>768</v>
      </c>
      <c r="K1429">
        <f>RANK(0.77,AI:AI,0)</f>
        <v>1243</v>
      </c>
      <c r="L1429" s="357">
        <v>0</v>
      </c>
      <c r="M1429" s="357">
        <v>1</v>
      </c>
      <c r="N1429" s="357">
        <v>2</v>
      </c>
      <c r="O1429" s="357">
        <v>0</v>
      </c>
      <c r="P1429" s="357">
        <v>0</v>
      </c>
      <c r="Q1429" s="358">
        <v>0.28052805280528054</v>
      </c>
      <c r="R1429" s="359">
        <v>0</v>
      </c>
      <c r="S1429" s="196">
        <v>1393027000</v>
      </c>
      <c r="T1429" s="196">
        <v>79100000</v>
      </c>
      <c r="U1429" s="200" t="e">
        <f t="shared" si="248"/>
        <v>#N/A</v>
      </c>
      <c r="V1429" s="196">
        <v>-4000000</v>
      </c>
      <c r="W1429" s="196">
        <v>187000000</v>
      </c>
      <c r="X1429" s="196">
        <v>468000000</v>
      </c>
      <c r="Y1429" s="196">
        <v>910000000</v>
      </c>
      <c r="Z1429" s="196">
        <v>340000000</v>
      </c>
      <c r="AA1429" s="198">
        <v>-0.01</v>
      </c>
      <c r="AB1429" s="198">
        <v>0</v>
      </c>
      <c r="AC1429" s="213">
        <f t="shared" si="249"/>
        <v>1277</v>
      </c>
      <c r="AD1429" s="213">
        <f t="shared" si="250"/>
        <v>911</v>
      </c>
      <c r="AE1429" s="213">
        <v>0.71</v>
      </c>
      <c r="AF1429" s="196">
        <v>-21000000</v>
      </c>
      <c r="AG1429" s="104">
        <f t="shared" si="251"/>
        <v>-0.26548672566371684</v>
      </c>
      <c r="AH1429" s="104">
        <f t="shared" si="252"/>
        <v>0</v>
      </c>
      <c r="AI1429" s="195">
        <v>0.77</v>
      </c>
      <c r="AO1429" s="213"/>
      <c r="AP1429" s="213"/>
      <c r="AQ1429" s="213"/>
      <c r="AR1429" s="213"/>
      <c r="AS1429" s="213"/>
      <c r="AT1429" s="213"/>
      <c r="AU1429" s="213"/>
      <c r="AV1429" s="213"/>
    </row>
    <row r="1430" spans="1:48">
      <c r="A1430">
        <v>8182</v>
      </c>
      <c r="C1430" s="107">
        <f>VLOOKUP(8182,收盤價!$A:$C,3,0)</f>
        <v>14.25</v>
      </c>
      <c r="D1430" s="107">
        <f t="shared" si="242"/>
        <v>50.240384615384613</v>
      </c>
      <c r="E1430" s="167">
        <f t="shared" si="243"/>
        <v>2</v>
      </c>
      <c r="F1430" s="104">
        <f t="shared" si="244"/>
        <v>0.53681783470974864</v>
      </c>
      <c r="G1430" s="167">
        <f>RANK(1.08,AE:AE,0)</f>
        <v>769</v>
      </c>
      <c r="H1430" s="365">
        <f t="shared" si="245"/>
        <v>1.1137071651090342</v>
      </c>
      <c r="I1430" s="213">
        <f t="shared" si="246"/>
        <v>641</v>
      </c>
      <c r="J1430" s="213">
        <f t="shared" si="247"/>
        <v>293</v>
      </c>
      <c r="K1430">
        <f>RANK(1.67,AI:AI,0)</f>
        <v>471</v>
      </c>
      <c r="L1430" s="357">
        <v>0</v>
      </c>
      <c r="M1430" s="357">
        <v>0</v>
      </c>
      <c r="N1430" s="357">
        <v>1</v>
      </c>
      <c r="O1430" s="357">
        <v>1</v>
      </c>
      <c r="P1430" s="357">
        <v>0</v>
      </c>
      <c r="Q1430" s="358">
        <v>0.17365269461077845</v>
      </c>
      <c r="R1430" s="359">
        <v>7.0909090909090908E-2</v>
      </c>
      <c r="S1430" s="196">
        <v>2840349000</v>
      </c>
      <c r="T1430" s="196">
        <v>107000000</v>
      </c>
      <c r="U1430" s="200">
        <f t="shared" si="248"/>
        <v>1524750000</v>
      </c>
      <c r="V1430" s="196">
        <v>42000000</v>
      </c>
      <c r="W1430" s="196">
        <v>1684000000</v>
      </c>
      <c r="X1430" s="196">
        <v>1254000000</v>
      </c>
      <c r="Y1430" s="196">
        <v>2577000000</v>
      </c>
      <c r="Z1430" s="196">
        <v>393000000</v>
      </c>
      <c r="AA1430" s="198">
        <v>0.01</v>
      </c>
      <c r="AB1430" s="198">
        <v>0.01</v>
      </c>
      <c r="AC1430" s="213">
        <f t="shared" si="249"/>
        <v>769</v>
      </c>
      <c r="AD1430" s="213">
        <f t="shared" si="250"/>
        <v>680</v>
      </c>
      <c r="AE1430" s="213">
        <v>1.08</v>
      </c>
      <c r="AF1430" s="196">
        <v>77000000</v>
      </c>
      <c r="AG1430" s="104">
        <f t="shared" si="251"/>
        <v>0.71962616822429903</v>
      </c>
      <c r="AH1430" s="104">
        <f t="shared" si="252"/>
        <v>1.8333333333333333</v>
      </c>
      <c r="AI1430" s="195">
        <v>1.67</v>
      </c>
      <c r="AO1430" s="213"/>
      <c r="AP1430" s="213"/>
      <c r="AQ1430" s="213"/>
      <c r="AR1430" s="213"/>
      <c r="AS1430" s="213"/>
      <c r="AT1430" s="213"/>
      <c r="AU1430" s="213"/>
      <c r="AV1430" s="213"/>
    </row>
    <row r="1431" spans="1:48">
      <c r="A1431">
        <v>8183</v>
      </c>
      <c r="C1431" s="107">
        <f>VLOOKUP(8183,收盤價!$A:$C,3,0)</f>
        <v>10.85</v>
      </c>
      <c r="D1431" s="107">
        <f t="shared" si="242"/>
        <v>0</v>
      </c>
      <c r="E1431" s="167">
        <f t="shared" si="243"/>
        <v>2</v>
      </c>
      <c r="F1431" s="104">
        <f t="shared" si="244"/>
        <v>0.40781616488957884</v>
      </c>
      <c r="G1431" s="167">
        <f>RANK(1.2,AE:AE,0)</f>
        <v>710</v>
      </c>
      <c r="H1431" s="365">
        <f t="shared" si="245"/>
        <v>1.317829457364341</v>
      </c>
      <c r="I1431" s="213">
        <f t="shared" si="246"/>
        <v>1466</v>
      </c>
      <c r="J1431" s="213">
        <f t="shared" si="247"/>
        <v>768</v>
      </c>
      <c r="K1431">
        <f>RANK(0.7,AI:AI,0)</f>
        <v>1442</v>
      </c>
      <c r="L1431" s="357">
        <v>0</v>
      </c>
      <c r="M1431" s="357">
        <v>1</v>
      </c>
      <c r="N1431" s="357">
        <v>1</v>
      </c>
      <c r="O1431" s="357">
        <v>0</v>
      </c>
      <c r="P1431" s="357">
        <v>0</v>
      </c>
      <c r="Q1431" s="358">
        <v>8.634772462077013E-2</v>
      </c>
      <c r="R1431" s="359">
        <v>0</v>
      </c>
      <c r="S1431" s="196">
        <v>3088855000</v>
      </c>
      <c r="T1431" s="196">
        <v>116100000</v>
      </c>
      <c r="U1431" s="200">
        <f t="shared" si="248"/>
        <v>1259685000</v>
      </c>
      <c r="V1431" s="196">
        <v>25000000</v>
      </c>
      <c r="W1431" s="196">
        <v>555000000</v>
      </c>
      <c r="X1431" s="196">
        <v>741000000</v>
      </c>
      <c r="Y1431" s="196">
        <v>1367000000</v>
      </c>
      <c r="Z1431" s="196">
        <v>620000000</v>
      </c>
      <c r="AA1431" s="198">
        <v>0.02</v>
      </c>
      <c r="AB1431" s="198">
        <v>0.01</v>
      </c>
      <c r="AC1431" s="213">
        <f t="shared" si="249"/>
        <v>616</v>
      </c>
      <c r="AD1431" s="213">
        <f t="shared" si="250"/>
        <v>680</v>
      </c>
      <c r="AE1431" s="213">
        <v>1.2</v>
      </c>
      <c r="AF1431" s="196">
        <v>-153000000</v>
      </c>
      <c r="AG1431" s="104">
        <f t="shared" si="251"/>
        <v>-1.317829457364341</v>
      </c>
      <c r="AH1431" s="104">
        <f t="shared" si="252"/>
        <v>0</v>
      </c>
      <c r="AI1431" s="195">
        <v>0.7</v>
      </c>
    </row>
    <row r="1432" spans="1:48">
      <c r="A1432">
        <v>8201</v>
      </c>
      <c r="C1432" s="107">
        <f>VLOOKUP(8201,收盤價!$A:$C,3,0)</f>
        <v>9.01</v>
      </c>
      <c r="D1432" s="107">
        <f t="shared" si="242"/>
        <v>0</v>
      </c>
      <c r="E1432" s="167">
        <f t="shared" si="243"/>
        <v>3</v>
      </c>
      <c r="F1432" s="104">
        <f t="shared" si="244"/>
        <v>0.8771893693305749</v>
      </c>
      <c r="G1432" s="167">
        <f>RANK(0.54,AE:AE,0)</f>
        <v>1453</v>
      </c>
      <c r="H1432" s="365">
        <f t="shared" si="245"/>
        <v>2.0032051282051282</v>
      </c>
      <c r="I1432" s="213">
        <f t="shared" si="246"/>
        <v>1510</v>
      </c>
      <c r="J1432" s="213">
        <f t="shared" si="247"/>
        <v>768</v>
      </c>
      <c r="K1432">
        <f>RANK(0.68,AI:AI,0)</f>
        <v>1507</v>
      </c>
      <c r="L1432" s="357">
        <v>0</v>
      </c>
      <c r="M1432" s="357">
        <v>1</v>
      </c>
      <c r="N1432" s="357">
        <v>2</v>
      </c>
      <c r="O1432" s="357">
        <v>0</v>
      </c>
      <c r="P1432" s="357">
        <v>0</v>
      </c>
      <c r="Q1432" s="358">
        <v>0.21229050279329609</v>
      </c>
      <c r="R1432" s="359">
        <v>0</v>
      </c>
      <c r="S1432" s="196">
        <v>640938000</v>
      </c>
      <c r="T1432" s="196">
        <v>62400000</v>
      </c>
      <c r="U1432" s="200">
        <f t="shared" si="248"/>
        <v>562224000</v>
      </c>
      <c r="V1432" s="196">
        <v>-32000000</v>
      </c>
      <c r="W1432" s="196">
        <v>605000000</v>
      </c>
      <c r="X1432" s="196">
        <v>296000000</v>
      </c>
      <c r="Y1432" s="196">
        <v>1049000000</v>
      </c>
      <c r="Z1432" s="196">
        <v>0</v>
      </c>
      <c r="AA1432" s="198">
        <v>-0.04</v>
      </c>
      <c r="AB1432" s="198">
        <v>-0.03</v>
      </c>
      <c r="AC1432" s="213">
        <f t="shared" si="249"/>
        <v>1444</v>
      </c>
      <c r="AD1432" s="213">
        <f t="shared" si="250"/>
        <v>1444</v>
      </c>
      <c r="AE1432" s="213">
        <v>0.54</v>
      </c>
      <c r="AF1432" s="196">
        <v>-125000000</v>
      </c>
      <c r="AG1432" s="104">
        <f t="shared" si="251"/>
        <v>-2.0032051282051282</v>
      </c>
      <c r="AH1432" s="104">
        <f t="shared" si="252"/>
        <v>0</v>
      </c>
      <c r="AI1432" s="195">
        <v>0.68</v>
      </c>
    </row>
    <row r="1433" spans="1:48">
      <c r="A1433">
        <v>8210</v>
      </c>
      <c r="C1433" s="107">
        <f>VLOOKUP(8210,收盤價!$A:$C,3,0)</f>
        <v>53</v>
      </c>
      <c r="D1433" s="107">
        <f t="shared" si="242"/>
        <v>10.473555619430872</v>
      </c>
      <c r="E1433" s="167">
        <f t="shared" si="243"/>
        <v>4</v>
      </c>
      <c r="F1433" s="104">
        <f t="shared" si="244"/>
        <v>1.2610552583624923</v>
      </c>
      <c r="G1433" s="167">
        <f>RANK(9.68,AE:AE,0)</f>
        <v>76</v>
      </c>
      <c r="H1433" s="365">
        <f t="shared" si="245"/>
        <v>-0.72627918945267567</v>
      </c>
      <c r="I1433" s="213">
        <f t="shared" si="246"/>
        <v>261</v>
      </c>
      <c r="J1433" s="213">
        <f t="shared" si="247"/>
        <v>502</v>
      </c>
      <c r="K1433">
        <f>RANK(2.04,AI:AI,0)</f>
        <v>323</v>
      </c>
      <c r="L1433" s="357">
        <v>1</v>
      </c>
      <c r="M1433" s="357">
        <v>1</v>
      </c>
      <c r="N1433" s="357">
        <v>1</v>
      </c>
      <c r="O1433" s="357">
        <v>1</v>
      </c>
      <c r="P1433" s="357">
        <v>0</v>
      </c>
      <c r="Q1433" s="358">
        <v>0.28431372549019607</v>
      </c>
      <c r="R1433" s="359">
        <v>1.265090909090909</v>
      </c>
      <c r="S1433" s="196">
        <v>5047598000</v>
      </c>
      <c r="T1433" s="196">
        <v>120100000</v>
      </c>
      <c r="U1433" s="200">
        <f t="shared" si="248"/>
        <v>6365300000</v>
      </c>
      <c r="V1433" s="196">
        <v>199000000</v>
      </c>
      <c r="W1433" s="196">
        <v>1152000000</v>
      </c>
      <c r="X1433" s="196">
        <v>1222000000</v>
      </c>
      <c r="Y1433" s="196">
        <v>2630000000</v>
      </c>
      <c r="Z1433" s="196">
        <v>97000000</v>
      </c>
      <c r="AA1433" s="198">
        <v>0.08</v>
      </c>
      <c r="AB1433" s="198">
        <v>7.0000000000000007E-2</v>
      </c>
      <c r="AC1433" s="213">
        <f t="shared" si="249"/>
        <v>97</v>
      </c>
      <c r="AD1433" s="213">
        <f t="shared" si="250"/>
        <v>64</v>
      </c>
      <c r="AE1433" s="213">
        <v>9.68</v>
      </c>
      <c r="AF1433" s="196">
        <v>220000000</v>
      </c>
      <c r="AG1433" s="104">
        <f t="shared" si="251"/>
        <v>1.8318068276436303</v>
      </c>
      <c r="AH1433" s="104">
        <f t="shared" si="252"/>
        <v>1.1055276381909547</v>
      </c>
      <c r="AI1433" s="195">
        <v>2.04</v>
      </c>
    </row>
    <row r="1434" spans="1:48">
      <c r="A1434">
        <v>8213</v>
      </c>
      <c r="C1434" s="107">
        <f>VLOOKUP(8213,收盤價!$A:$C,3,0)</f>
        <v>31.15</v>
      </c>
      <c r="D1434" s="107">
        <f t="shared" si="242"/>
        <v>23.827425373134325</v>
      </c>
      <c r="E1434" s="167">
        <f t="shared" si="243"/>
        <v>2</v>
      </c>
      <c r="F1434" s="104">
        <f t="shared" si="244"/>
        <v>0.38461102447982876</v>
      </c>
      <c r="G1434" s="167">
        <f>RANK(1.2,AE:AE,0)</f>
        <v>710</v>
      </c>
      <c r="H1434" s="365">
        <f t="shared" si="245"/>
        <v>0.18210508688539384</v>
      </c>
      <c r="I1434" s="213">
        <f t="shared" si="246"/>
        <v>521</v>
      </c>
      <c r="J1434" s="213">
        <f t="shared" si="247"/>
        <v>477</v>
      </c>
      <c r="K1434">
        <f>RANK(1.56,AI:AI,0)</f>
        <v>525</v>
      </c>
      <c r="L1434" s="357">
        <v>0</v>
      </c>
      <c r="M1434" s="357">
        <v>0</v>
      </c>
      <c r="N1434" s="357">
        <v>2</v>
      </c>
      <c r="O1434" s="357">
        <v>0</v>
      </c>
      <c r="P1434" s="357">
        <v>0</v>
      </c>
      <c r="Q1434" s="358">
        <v>0.1312726578897157</v>
      </c>
      <c r="R1434" s="359">
        <v>0.32682926829268294</v>
      </c>
      <c r="S1434" s="196">
        <v>21964737000</v>
      </c>
      <c r="T1434" s="196">
        <v>271200000</v>
      </c>
      <c r="U1434" s="200">
        <f t="shared" si="248"/>
        <v>8447880000</v>
      </c>
      <c r="V1434" s="196">
        <v>229000000</v>
      </c>
      <c r="W1434" s="196">
        <v>3599000000</v>
      </c>
      <c r="X1434" s="196">
        <v>9841000000</v>
      </c>
      <c r="Y1434" s="196">
        <v>12805000000</v>
      </c>
      <c r="Z1434" s="196">
        <v>5664000000</v>
      </c>
      <c r="AA1434" s="198">
        <v>0.02</v>
      </c>
      <c r="AB1434" s="198">
        <v>0.01</v>
      </c>
      <c r="AC1434" s="213">
        <f t="shared" si="249"/>
        <v>616</v>
      </c>
      <c r="AD1434" s="213">
        <f t="shared" si="250"/>
        <v>680</v>
      </c>
      <c r="AE1434" s="213">
        <v>1.2</v>
      </c>
      <c r="AF1434" s="196">
        <v>268000000</v>
      </c>
      <c r="AG1434" s="104">
        <f t="shared" si="251"/>
        <v>0.98820058997050142</v>
      </c>
      <c r="AH1434" s="104">
        <f t="shared" si="252"/>
        <v>1.1703056768558953</v>
      </c>
      <c r="AI1434" s="195">
        <v>1.56</v>
      </c>
    </row>
    <row r="1435" spans="1:48">
      <c r="A1435">
        <v>8215</v>
      </c>
      <c r="C1435" s="107">
        <f>VLOOKUP(8215,收盤價!$A:$C,3,0)</f>
        <v>14.2</v>
      </c>
      <c r="D1435" s="107">
        <f t="shared" si="242"/>
        <v>0</v>
      </c>
      <c r="E1435" s="167">
        <f t="shared" si="243"/>
        <v>1</v>
      </c>
      <c r="F1435" s="104">
        <f t="shared" si="244"/>
        <v>0.34302562986594931</v>
      </c>
      <c r="G1435" s="167">
        <f>RANK(2.76,AE:AE,0)</f>
        <v>305</v>
      </c>
      <c r="H1435" s="365">
        <f t="shared" si="245"/>
        <v>0.20891799189273463</v>
      </c>
      <c r="I1435" s="213">
        <f t="shared" si="246"/>
        <v>1213</v>
      </c>
      <c r="J1435" s="213">
        <f t="shared" si="247"/>
        <v>768</v>
      </c>
      <c r="K1435">
        <f>RANK(0.79,AI:AI,0)</f>
        <v>1192</v>
      </c>
      <c r="L1435" s="357">
        <v>0</v>
      </c>
      <c r="M1435" s="357">
        <v>1</v>
      </c>
      <c r="N1435" s="357">
        <v>0</v>
      </c>
      <c r="O1435" s="357">
        <v>0</v>
      </c>
      <c r="P1435" s="357">
        <v>0</v>
      </c>
      <c r="Q1435" s="358">
        <v>0.15</v>
      </c>
      <c r="R1435" s="359">
        <v>0</v>
      </c>
      <c r="S1435" s="196">
        <v>13275801000</v>
      </c>
      <c r="T1435" s="196">
        <v>320700000</v>
      </c>
      <c r="U1435" s="200">
        <f t="shared" si="248"/>
        <v>4553940000</v>
      </c>
      <c r="V1435" s="196">
        <v>191000000</v>
      </c>
      <c r="W1435" s="196">
        <v>402000000</v>
      </c>
      <c r="X1435" s="196">
        <v>4717000000</v>
      </c>
      <c r="Y1435" s="196">
        <v>3998000000</v>
      </c>
      <c r="Z1435" s="196">
        <v>1181000000</v>
      </c>
      <c r="AA1435" s="198">
        <v>0.04</v>
      </c>
      <c r="AB1435" s="198">
        <v>0.04</v>
      </c>
      <c r="AC1435" s="213">
        <f t="shared" si="249"/>
        <v>337</v>
      </c>
      <c r="AD1435" s="213">
        <f t="shared" si="250"/>
        <v>228</v>
      </c>
      <c r="AE1435" s="213">
        <v>2.76</v>
      </c>
      <c r="AF1435" s="196">
        <v>-67000000</v>
      </c>
      <c r="AG1435" s="104">
        <f t="shared" si="251"/>
        <v>-0.20891799189273463</v>
      </c>
      <c r="AH1435" s="104">
        <f t="shared" si="252"/>
        <v>0</v>
      </c>
      <c r="AI1435" s="195">
        <v>0.79</v>
      </c>
      <c r="AO1435" s="213"/>
      <c r="AP1435" s="213"/>
      <c r="AQ1435" s="213"/>
      <c r="AR1435" s="213"/>
      <c r="AS1435" s="213"/>
      <c r="AT1435" s="213"/>
      <c r="AU1435" s="213"/>
      <c r="AV1435" s="213"/>
    </row>
    <row r="1436" spans="1:48">
      <c r="A1436">
        <v>8222</v>
      </c>
      <c r="C1436" s="107">
        <f>VLOOKUP(8222,收盤價!$A:$C,3,0)</f>
        <v>27.6</v>
      </c>
      <c r="D1436" s="107">
        <f t="shared" si="242"/>
        <v>25.555555555555554</v>
      </c>
      <c r="E1436" s="167">
        <f t="shared" si="243"/>
        <v>1</v>
      </c>
      <c r="F1436" s="104">
        <f t="shared" si="244"/>
        <v>1.9852147852147852</v>
      </c>
      <c r="G1436" s="167">
        <f>RANK(1.63,AE:AE,0)</f>
        <v>551</v>
      </c>
      <c r="H1436" s="365">
        <f t="shared" si="245"/>
        <v>2.3364822312190734</v>
      </c>
      <c r="I1436" s="213">
        <f t="shared" si="246"/>
        <v>366</v>
      </c>
      <c r="J1436" s="213">
        <f t="shared" si="247"/>
        <v>118</v>
      </c>
      <c r="K1436">
        <f>RANK(3.22,AI:AI,0)</f>
        <v>146</v>
      </c>
      <c r="L1436" s="357">
        <v>0</v>
      </c>
      <c r="M1436" s="357">
        <v>0</v>
      </c>
      <c r="N1436" s="357">
        <v>0</v>
      </c>
      <c r="O1436" s="357">
        <v>1</v>
      </c>
      <c r="P1436" s="357">
        <v>0</v>
      </c>
      <c r="Q1436" s="358">
        <v>0.20425531914893616</v>
      </c>
      <c r="R1436" s="359">
        <v>0.27</v>
      </c>
      <c r="S1436" s="196">
        <v>950950000</v>
      </c>
      <c r="T1436" s="196">
        <v>68400000</v>
      </c>
      <c r="U1436" s="200">
        <f t="shared" si="248"/>
        <v>1887840000</v>
      </c>
      <c r="V1436" s="196">
        <v>26000000</v>
      </c>
      <c r="W1436" s="196">
        <v>371000000</v>
      </c>
      <c r="X1436" s="196">
        <v>582000000</v>
      </c>
      <c r="Y1436" s="196">
        <v>886000000</v>
      </c>
      <c r="Z1436" s="196">
        <v>234000000</v>
      </c>
      <c r="AA1436" s="198">
        <v>0.03</v>
      </c>
      <c r="AB1436" s="198">
        <v>0.02</v>
      </c>
      <c r="AC1436" s="213">
        <f t="shared" si="249"/>
        <v>469</v>
      </c>
      <c r="AD1436" s="213">
        <f t="shared" si="250"/>
        <v>487</v>
      </c>
      <c r="AE1436" s="213">
        <v>1.63</v>
      </c>
      <c r="AF1436" s="196">
        <v>98000000</v>
      </c>
      <c r="AG1436" s="104">
        <f t="shared" si="251"/>
        <v>1.432748538011696</v>
      </c>
      <c r="AH1436" s="104">
        <f t="shared" si="252"/>
        <v>3.7692307692307692</v>
      </c>
      <c r="AI1436" s="195">
        <v>3.22</v>
      </c>
    </row>
    <row r="1437" spans="1:48">
      <c r="A1437">
        <v>8234</v>
      </c>
      <c r="C1437" s="107">
        <f>VLOOKUP(8234,收盤價!$A:$C,3,0)</f>
        <v>34</v>
      </c>
      <c r="D1437" s="107">
        <f t="shared" si="242"/>
        <v>20.731707317073173</v>
      </c>
      <c r="E1437" s="167">
        <f t="shared" si="243"/>
        <v>2</v>
      </c>
      <c r="F1437" s="104">
        <f t="shared" si="244"/>
        <v>0.85502946860085227</v>
      </c>
      <c r="G1437" s="167">
        <f>RANK(0.84,AE:AE,0)</f>
        <v>946</v>
      </c>
      <c r="H1437" s="365">
        <f t="shared" si="245"/>
        <v>0.14967925873129009</v>
      </c>
      <c r="I1437" s="213">
        <f t="shared" si="246"/>
        <v>1174</v>
      </c>
      <c r="J1437" s="213">
        <f t="shared" si="247"/>
        <v>768</v>
      </c>
      <c r="K1437">
        <f>RANK(0.8,AI:AI,0)</f>
        <v>1168</v>
      </c>
      <c r="L1437" s="357">
        <v>0</v>
      </c>
      <c r="M1437" s="357">
        <v>1</v>
      </c>
      <c r="N1437" s="357">
        <v>1</v>
      </c>
      <c r="O1437" s="357">
        <v>0</v>
      </c>
      <c r="P1437" s="357">
        <v>0</v>
      </c>
      <c r="Q1437" s="358">
        <v>0.26120996441281141</v>
      </c>
      <c r="R1437" s="359">
        <v>0.41</v>
      </c>
      <c r="S1437" s="196">
        <v>5578989000</v>
      </c>
      <c r="T1437" s="196">
        <v>140300000</v>
      </c>
      <c r="U1437" s="200">
        <f t="shared" si="248"/>
        <v>4770200000</v>
      </c>
      <c r="V1437" s="196">
        <v>0</v>
      </c>
      <c r="W1437" s="196">
        <v>631000000</v>
      </c>
      <c r="X1437" s="196">
        <v>1479000000</v>
      </c>
      <c r="Y1437" s="196">
        <v>2306000000</v>
      </c>
      <c r="Z1437" s="196">
        <v>891000000</v>
      </c>
      <c r="AA1437" s="198">
        <v>0</v>
      </c>
      <c r="AB1437" s="198">
        <v>0</v>
      </c>
      <c r="AC1437" s="213">
        <f t="shared" si="249"/>
        <v>945</v>
      </c>
      <c r="AD1437" s="213">
        <f t="shared" si="250"/>
        <v>911</v>
      </c>
      <c r="AE1437" s="213">
        <v>0.84</v>
      </c>
      <c r="AF1437" s="196">
        <v>-21000000</v>
      </c>
      <c r="AG1437" s="104">
        <f t="shared" si="251"/>
        <v>-0.14967925873129009</v>
      </c>
      <c r="AH1437" s="104">
        <f t="shared" si="252"/>
        <v>0</v>
      </c>
      <c r="AI1437" s="195">
        <v>0.8</v>
      </c>
      <c r="AO1437" s="213"/>
      <c r="AP1437" s="213"/>
      <c r="AQ1437" s="213"/>
      <c r="AR1437" s="213"/>
      <c r="AS1437" s="213"/>
      <c r="AT1437" s="213"/>
      <c r="AU1437" s="213"/>
      <c r="AV1437" s="213"/>
    </row>
    <row r="1438" spans="1:48">
      <c r="A1438">
        <v>8240</v>
      </c>
      <c r="C1438" s="107">
        <f>VLOOKUP(8240,收盤價!$A:$C,3,0)</f>
        <v>19.8</v>
      </c>
      <c r="D1438" s="107">
        <f t="shared" si="242"/>
        <v>0</v>
      </c>
      <c r="E1438" s="167">
        <f t="shared" si="243"/>
        <v>3</v>
      </c>
      <c r="F1438" s="104">
        <f t="shared" si="244"/>
        <v>0.21467624382927775</v>
      </c>
      <c r="G1438" s="167">
        <f>RANK(0.57,AE:AE,0)</f>
        <v>1389</v>
      </c>
      <c r="H1438" s="365">
        <f t="shared" si="245"/>
        <v>-3.91</v>
      </c>
      <c r="I1438" s="213">
        <f t="shared" si="246"/>
        <v>75</v>
      </c>
      <c r="J1438" s="213">
        <f t="shared" si="247"/>
        <v>768</v>
      </c>
      <c r="K1438">
        <f>RANK(1.85,AI:AI,0)</f>
        <v>397</v>
      </c>
      <c r="L1438" s="357">
        <v>0</v>
      </c>
      <c r="M1438" s="357">
        <v>0</v>
      </c>
      <c r="N1438" s="357">
        <v>2</v>
      </c>
      <c r="O1438" s="357">
        <v>1</v>
      </c>
      <c r="P1438" s="357">
        <v>0</v>
      </c>
      <c r="Q1438" s="358">
        <v>3.7709497206703912E-2</v>
      </c>
      <c r="R1438" s="359">
        <v>0</v>
      </c>
      <c r="S1438" s="196">
        <v>9223191000</v>
      </c>
      <c r="T1438" s="196">
        <v>100000000</v>
      </c>
      <c r="U1438" s="200">
        <f t="shared" si="248"/>
        <v>1980000000</v>
      </c>
      <c r="V1438" s="196">
        <v>-111000000</v>
      </c>
      <c r="W1438" s="196">
        <v>2889000000</v>
      </c>
      <c r="X1438" s="196">
        <v>2386000000</v>
      </c>
      <c r="Y1438" s="196">
        <v>4379000000</v>
      </c>
      <c r="Z1438" s="196">
        <v>855000000</v>
      </c>
      <c r="AA1438" s="198">
        <v>-0.02</v>
      </c>
      <c r="AB1438" s="198">
        <v>-0.02</v>
      </c>
      <c r="AC1438" s="213">
        <f t="shared" si="249"/>
        <v>1353</v>
      </c>
      <c r="AD1438" s="213">
        <f t="shared" si="250"/>
        <v>1388</v>
      </c>
      <c r="AE1438" s="213">
        <v>0.56999999999999995</v>
      </c>
      <c r="AF1438" s="196">
        <v>391000000</v>
      </c>
      <c r="AG1438" s="104">
        <f t="shared" si="251"/>
        <v>3.91</v>
      </c>
      <c r="AH1438" s="104">
        <f t="shared" si="252"/>
        <v>0</v>
      </c>
      <c r="AI1438" s="195">
        <v>1.85</v>
      </c>
    </row>
    <row r="1439" spans="1:48">
      <c r="A1439">
        <v>8249</v>
      </c>
      <c r="C1439" s="107">
        <f>VLOOKUP(8249,收盤價!$A:$C,3,0)</f>
        <v>20</v>
      </c>
      <c r="D1439" s="107">
        <f t="shared" si="242"/>
        <v>10.533707865168539</v>
      </c>
      <c r="E1439" s="167">
        <f t="shared" si="243"/>
        <v>3</v>
      </c>
      <c r="F1439" s="104">
        <f t="shared" si="244"/>
        <v>0.61079869017080257</v>
      </c>
      <c r="G1439" s="167">
        <f>RANK(1.94,AE:AE,0)</f>
        <v>435</v>
      </c>
      <c r="H1439" s="365">
        <f t="shared" si="245"/>
        <v>1.5578284815106216</v>
      </c>
      <c r="I1439" s="213">
        <f t="shared" si="246"/>
        <v>1484</v>
      </c>
      <c r="J1439" s="213">
        <f t="shared" si="247"/>
        <v>768</v>
      </c>
      <c r="K1439">
        <f>RANK(0.69,AI:AI,0)</f>
        <v>1474</v>
      </c>
      <c r="L1439" s="357">
        <v>0</v>
      </c>
      <c r="M1439" s="357">
        <v>1</v>
      </c>
      <c r="N1439" s="357">
        <v>2</v>
      </c>
      <c r="O1439" s="357">
        <v>0</v>
      </c>
      <c r="P1439" s="357">
        <v>0</v>
      </c>
      <c r="Q1439" s="358">
        <v>0.15602836879432624</v>
      </c>
      <c r="R1439" s="359">
        <v>0.47466666666666668</v>
      </c>
      <c r="S1439" s="196">
        <v>4161764000</v>
      </c>
      <c r="T1439" s="196">
        <v>127100000</v>
      </c>
      <c r="U1439" s="200">
        <f t="shared" si="248"/>
        <v>2542000000</v>
      </c>
      <c r="V1439" s="196">
        <v>89000000</v>
      </c>
      <c r="W1439" s="196">
        <v>1775000000</v>
      </c>
      <c r="X1439" s="196">
        <v>825000000</v>
      </c>
      <c r="Y1439" s="196">
        <v>3327000000</v>
      </c>
      <c r="Z1439" s="196">
        <v>0</v>
      </c>
      <c r="AA1439" s="198">
        <v>0.03</v>
      </c>
      <c r="AB1439" s="198">
        <v>0.03</v>
      </c>
      <c r="AC1439" s="213">
        <f t="shared" si="249"/>
        <v>469</v>
      </c>
      <c r="AD1439" s="213">
        <f t="shared" si="250"/>
        <v>334</v>
      </c>
      <c r="AE1439" s="213">
        <v>1.94</v>
      </c>
      <c r="AF1439" s="196">
        <v>-198000000</v>
      </c>
      <c r="AG1439" s="104">
        <f t="shared" si="251"/>
        <v>-1.5578284815106216</v>
      </c>
      <c r="AH1439" s="104">
        <f t="shared" si="252"/>
        <v>0</v>
      </c>
      <c r="AI1439" s="195">
        <v>0.69</v>
      </c>
    </row>
    <row r="1440" spans="1:48">
      <c r="A1440">
        <v>8255</v>
      </c>
      <c r="C1440" s="107">
        <f>VLOOKUP(8255,收盤價!$A:$C,3,0)</f>
        <v>108</v>
      </c>
      <c r="D1440" s="107">
        <f t="shared" si="242"/>
        <v>12.735849056603772</v>
      </c>
      <c r="E1440" s="167">
        <f t="shared" si="243"/>
        <v>4</v>
      </c>
      <c r="F1440" s="104">
        <f t="shared" si="244"/>
        <v>2.2916528558971563</v>
      </c>
      <c r="G1440" s="167">
        <f>RANK(7.87,AE:AE,0)</f>
        <v>100</v>
      </c>
      <c r="H1440" s="365">
        <f t="shared" si="245"/>
        <v>-2.6476709314261564</v>
      </c>
      <c r="I1440" s="213">
        <f t="shared" si="246"/>
        <v>60</v>
      </c>
      <c r="J1440" s="213">
        <f t="shared" si="247"/>
        <v>346</v>
      </c>
      <c r="K1440">
        <f>RANK(3.84,AI:AI,0)</f>
        <v>107</v>
      </c>
      <c r="L1440" s="357">
        <v>0</v>
      </c>
      <c r="M1440" s="357">
        <v>1</v>
      </c>
      <c r="N1440" s="357">
        <v>2</v>
      </c>
      <c r="O1440" s="357">
        <v>1</v>
      </c>
      <c r="P1440" s="357">
        <v>0</v>
      </c>
      <c r="Q1440" s="358">
        <v>0.35223555070883317</v>
      </c>
      <c r="R1440" s="359">
        <v>2.12</v>
      </c>
      <c r="S1440" s="196">
        <v>3529854000</v>
      </c>
      <c r="T1440" s="196">
        <v>74900000</v>
      </c>
      <c r="U1440" s="200">
        <f t="shared" si="248"/>
        <v>8089200000</v>
      </c>
      <c r="V1440" s="196">
        <v>199000000</v>
      </c>
      <c r="W1440" s="196">
        <v>975000000</v>
      </c>
      <c r="X1440" s="196">
        <v>1715000000</v>
      </c>
      <c r="Y1440" s="196">
        <v>2965000000</v>
      </c>
      <c r="Z1440" s="196">
        <v>1000000</v>
      </c>
      <c r="AA1440" s="198">
        <v>7.0000000000000007E-2</v>
      </c>
      <c r="AB1440" s="198">
        <v>7.0000000000000007E-2</v>
      </c>
      <c r="AC1440" s="213">
        <f t="shared" si="249"/>
        <v>134</v>
      </c>
      <c r="AD1440" s="213">
        <f t="shared" si="250"/>
        <v>64</v>
      </c>
      <c r="AE1440" s="213">
        <v>7.87</v>
      </c>
      <c r="AF1440" s="196">
        <v>318000000</v>
      </c>
      <c r="AG1440" s="104">
        <f t="shared" si="251"/>
        <v>4.2456608811749001</v>
      </c>
      <c r="AH1440" s="104">
        <f t="shared" si="252"/>
        <v>1.5979899497487438</v>
      </c>
      <c r="AI1440" s="195">
        <v>3.84</v>
      </c>
    </row>
    <row r="1441" spans="1:48">
      <c r="A1441">
        <v>8261</v>
      </c>
      <c r="C1441" s="107">
        <f>VLOOKUP(8261,收盤價!$A:$C,3,0)</f>
        <v>25.1</v>
      </c>
      <c r="D1441" s="107">
        <f t="shared" si="242"/>
        <v>0</v>
      </c>
      <c r="E1441" s="167">
        <f t="shared" si="243"/>
        <v>4</v>
      </c>
      <c r="F1441" s="104">
        <f t="shared" si="244"/>
        <v>1.3655419604663814</v>
      </c>
      <c r="G1441" s="167">
        <f>RANK(0.84,AE:AE,0)</f>
        <v>946</v>
      </c>
      <c r="H1441" s="365">
        <f t="shared" si="245"/>
        <v>1.463235294117647</v>
      </c>
      <c r="I1441" s="213">
        <f t="shared" si="246"/>
        <v>1043</v>
      </c>
      <c r="J1441" s="213">
        <f t="shared" si="247"/>
        <v>378</v>
      </c>
      <c r="K1441">
        <f>RANK(1.1,AI:AI,0)</f>
        <v>795</v>
      </c>
      <c r="L1441" s="357">
        <v>1</v>
      </c>
      <c r="M1441" s="357">
        <v>1</v>
      </c>
      <c r="N1441" s="357">
        <v>2</v>
      </c>
      <c r="O1441" s="357">
        <v>0</v>
      </c>
      <c r="P1441" s="357">
        <v>0</v>
      </c>
      <c r="Q1441" s="358">
        <v>0.17506631299734748</v>
      </c>
      <c r="R1441" s="359">
        <v>0</v>
      </c>
      <c r="S1441" s="196">
        <v>1499888000</v>
      </c>
      <c r="T1441" s="196">
        <v>81600000</v>
      </c>
      <c r="U1441" s="200">
        <f t="shared" si="248"/>
        <v>2048160000</v>
      </c>
      <c r="V1441" s="196">
        <v>2000000</v>
      </c>
      <c r="W1441" s="196">
        <v>891000000</v>
      </c>
      <c r="X1441" s="196">
        <v>269000000</v>
      </c>
      <c r="Y1441" s="196">
        <v>1307000000</v>
      </c>
      <c r="Z1441" s="196">
        <v>0</v>
      </c>
      <c r="AA1441" s="198">
        <v>0</v>
      </c>
      <c r="AB1441" s="198">
        <v>0</v>
      </c>
      <c r="AC1441" s="213">
        <f t="shared" si="249"/>
        <v>945</v>
      </c>
      <c r="AD1441" s="213">
        <f t="shared" si="250"/>
        <v>911</v>
      </c>
      <c r="AE1441" s="213">
        <v>0.84</v>
      </c>
      <c r="AF1441" s="196">
        <v>3000000</v>
      </c>
      <c r="AG1441" s="104">
        <f t="shared" si="251"/>
        <v>3.6764705882352942E-2</v>
      </c>
      <c r="AH1441" s="104">
        <f t="shared" si="252"/>
        <v>1.5</v>
      </c>
      <c r="AI1441" s="195">
        <v>1.1000000000000001</v>
      </c>
    </row>
    <row r="1442" spans="1:48">
      <c r="A1442">
        <v>8266</v>
      </c>
      <c r="C1442" s="107">
        <f>VLOOKUP(8266,收盤價!$A:$C,3,0)</f>
        <v>21.2</v>
      </c>
      <c r="D1442" s="107">
        <f t="shared" si="242"/>
        <v>0</v>
      </c>
      <c r="E1442" s="167">
        <f t="shared" si="243"/>
        <v>3</v>
      </c>
      <c r="F1442" s="104">
        <f t="shared" si="244"/>
        <v>0.97990181093633177</v>
      </c>
      <c r="G1442" s="167">
        <f>RANK(2.24,AE:AE,0)</f>
        <v>416</v>
      </c>
      <c r="H1442" s="365">
        <f t="shared" si="245"/>
        <v>31.811420982735726</v>
      </c>
      <c r="I1442" s="213">
        <f t="shared" si="246"/>
        <v>226</v>
      </c>
      <c r="J1442" s="213">
        <f t="shared" si="247"/>
        <v>6</v>
      </c>
      <c r="K1442">
        <f>RANK(6.72,AI:AI,0)</f>
        <v>34</v>
      </c>
      <c r="L1442" s="357">
        <v>0</v>
      </c>
      <c r="M1442" s="357">
        <v>0</v>
      </c>
      <c r="N1442" s="357">
        <v>2</v>
      </c>
      <c r="O1442" s="357">
        <v>1</v>
      </c>
      <c r="P1442" s="357">
        <v>0</v>
      </c>
      <c r="Q1442" s="358">
        <v>0.15517241379310345</v>
      </c>
      <c r="R1442" s="359">
        <v>0</v>
      </c>
      <c r="S1442" s="196">
        <v>2172136000</v>
      </c>
      <c r="T1442" s="196">
        <v>100400000</v>
      </c>
      <c r="U1442" s="200">
        <f t="shared" si="248"/>
        <v>2128480000</v>
      </c>
      <c r="V1442" s="196">
        <v>6000000</v>
      </c>
      <c r="W1442" s="196">
        <v>0</v>
      </c>
      <c r="X1442" s="196">
        <v>38000000</v>
      </c>
      <c r="Y1442" s="196">
        <v>964000000</v>
      </c>
      <c r="Z1442" s="196">
        <v>40000000</v>
      </c>
      <c r="AA1442" s="198">
        <v>0.16</v>
      </c>
      <c r="AB1442" s="198">
        <v>0.01</v>
      </c>
      <c r="AC1442" s="213">
        <f t="shared" si="249"/>
        <v>16</v>
      </c>
      <c r="AD1442" s="213">
        <f t="shared" si="250"/>
        <v>680</v>
      </c>
      <c r="AE1442" s="213">
        <v>2.2400000000000002</v>
      </c>
      <c r="AF1442" s="196">
        <v>203000000</v>
      </c>
      <c r="AG1442" s="104">
        <f t="shared" si="251"/>
        <v>2.0219123505976095</v>
      </c>
      <c r="AH1442" s="104">
        <f t="shared" si="252"/>
        <v>33.833333333333336</v>
      </c>
      <c r="AI1442" s="195">
        <v>6.72</v>
      </c>
    </row>
    <row r="1443" spans="1:48">
      <c r="A1443">
        <v>8271</v>
      </c>
      <c r="C1443" s="107">
        <f>VLOOKUP(8271,收盤價!$A:$C,3,0)</f>
        <v>34.35</v>
      </c>
      <c r="D1443" s="107">
        <f t="shared" si="242"/>
        <v>19.99894781144781</v>
      </c>
      <c r="E1443" s="167">
        <f t="shared" si="243"/>
        <v>2</v>
      </c>
      <c r="F1443" s="104">
        <f t="shared" si="244"/>
        <v>0.79700807097950876</v>
      </c>
      <c r="G1443" s="167">
        <f>RANK(1.94,AE:AE,0)</f>
        <v>435</v>
      </c>
      <c r="H1443" s="365">
        <f t="shared" si="245"/>
        <v>0.91633466135458164</v>
      </c>
      <c r="I1443" s="213">
        <f t="shared" si="246"/>
        <v>1430</v>
      </c>
      <c r="J1443" s="213">
        <f t="shared" si="247"/>
        <v>768</v>
      </c>
      <c r="K1443">
        <f>RANK(0.71,AI:AI,0)</f>
        <v>1412</v>
      </c>
      <c r="L1443" s="357">
        <v>0</v>
      </c>
      <c r="M1443" s="357">
        <v>1</v>
      </c>
      <c r="N1443" s="357">
        <v>1</v>
      </c>
      <c r="O1443" s="357">
        <v>0</v>
      </c>
      <c r="P1443" s="357">
        <v>0</v>
      </c>
      <c r="Q1443" s="358">
        <v>0.16162862430598396</v>
      </c>
      <c r="R1443" s="359">
        <v>0.42939759036144581</v>
      </c>
      <c r="S1443" s="196">
        <v>6490662000</v>
      </c>
      <c r="T1443" s="196">
        <v>150600000</v>
      </c>
      <c r="U1443" s="200">
        <f t="shared" si="248"/>
        <v>5173110000</v>
      </c>
      <c r="V1443" s="196">
        <v>81000000</v>
      </c>
      <c r="W1443" s="196">
        <v>1794000000</v>
      </c>
      <c r="X1443" s="196">
        <v>896000000</v>
      </c>
      <c r="Y1443" s="196">
        <v>2731000000</v>
      </c>
      <c r="Z1443" s="196">
        <v>81000000</v>
      </c>
      <c r="AA1443" s="198">
        <v>0.03</v>
      </c>
      <c r="AB1443" s="198">
        <v>0.03</v>
      </c>
      <c r="AC1443" s="213">
        <f t="shared" si="249"/>
        <v>469</v>
      </c>
      <c r="AD1443" s="213">
        <f t="shared" si="250"/>
        <v>334</v>
      </c>
      <c r="AE1443" s="213">
        <v>1.94</v>
      </c>
      <c r="AF1443" s="196">
        <v>-138000000</v>
      </c>
      <c r="AG1443" s="104">
        <f t="shared" si="251"/>
        <v>-0.91633466135458164</v>
      </c>
      <c r="AH1443" s="104">
        <f t="shared" si="252"/>
        <v>0</v>
      </c>
      <c r="AI1443" s="195">
        <v>0.71</v>
      </c>
    </row>
    <row r="1444" spans="1:48">
      <c r="A1444">
        <v>8277</v>
      </c>
      <c r="C1444" s="107">
        <f>VLOOKUP(8277,收盤價!$A:$C,3,0)</f>
        <v>11.5</v>
      </c>
      <c r="D1444" s="107">
        <f t="shared" si="242"/>
        <v>0</v>
      </c>
      <c r="E1444" s="167">
        <f t="shared" si="243"/>
        <v>1</v>
      </c>
      <c r="F1444" s="104">
        <f t="shared" si="244"/>
        <v>1.8634452332136913</v>
      </c>
      <c r="G1444" s="167">
        <f>RANK(0.84,AE:AE,0)</f>
        <v>946</v>
      </c>
      <c r="H1444" s="365">
        <f t="shared" si="245"/>
        <v>0.17467248908296942</v>
      </c>
      <c r="I1444" s="213">
        <f t="shared" si="246"/>
        <v>1195</v>
      </c>
      <c r="J1444" s="213">
        <f t="shared" si="247"/>
        <v>768</v>
      </c>
      <c r="K1444">
        <f>RANK(0.79,AI:AI,0)</f>
        <v>1192</v>
      </c>
      <c r="L1444" s="357">
        <v>0</v>
      </c>
      <c r="M1444" s="357">
        <v>1</v>
      </c>
      <c r="N1444" s="357">
        <v>0</v>
      </c>
      <c r="O1444" s="357">
        <v>0</v>
      </c>
      <c r="P1444" s="357">
        <v>0</v>
      </c>
      <c r="Q1444" s="358">
        <v>0.10416666666666667</v>
      </c>
      <c r="R1444" s="359">
        <v>-0.27</v>
      </c>
      <c r="S1444" s="196">
        <v>565297000</v>
      </c>
      <c r="T1444" s="196">
        <v>91600000</v>
      </c>
      <c r="U1444" s="200">
        <f t="shared" si="248"/>
        <v>1053400000</v>
      </c>
      <c r="V1444" s="196">
        <v>0</v>
      </c>
      <c r="W1444" s="196">
        <v>791000000</v>
      </c>
      <c r="X1444" s="196">
        <v>293000000</v>
      </c>
      <c r="Y1444" s="196">
        <v>1079000000</v>
      </c>
      <c r="Z1444" s="196">
        <v>0</v>
      </c>
      <c r="AA1444" s="198">
        <v>0</v>
      </c>
      <c r="AB1444" s="198">
        <v>0</v>
      </c>
      <c r="AC1444" s="213">
        <f t="shared" si="249"/>
        <v>945</v>
      </c>
      <c r="AD1444" s="213">
        <f t="shared" si="250"/>
        <v>911</v>
      </c>
      <c r="AE1444" s="213">
        <v>0.84</v>
      </c>
      <c r="AF1444" s="196">
        <v>-16000000</v>
      </c>
      <c r="AG1444" s="104">
        <f t="shared" si="251"/>
        <v>-0.17467248908296942</v>
      </c>
      <c r="AH1444" s="104">
        <f t="shared" si="252"/>
        <v>0</v>
      </c>
      <c r="AI1444" s="195">
        <v>0.79</v>
      </c>
      <c r="AO1444" s="213"/>
      <c r="AP1444" s="213"/>
      <c r="AQ1444" s="213"/>
      <c r="AR1444" s="213"/>
      <c r="AS1444" s="213"/>
      <c r="AT1444" s="213"/>
      <c r="AU1444" s="213"/>
      <c r="AV1444" s="213"/>
    </row>
    <row r="1445" spans="1:48">
      <c r="A1445">
        <v>8287</v>
      </c>
      <c r="C1445" s="107">
        <f>VLOOKUP(8287,收盤價!$A:$C,3,0)</f>
        <v>16.8</v>
      </c>
      <c r="D1445" s="107">
        <f t="shared" si="242"/>
        <v>7.3684210526315796</v>
      </c>
      <c r="E1445" s="167">
        <f t="shared" si="243"/>
        <v>1</v>
      </c>
      <c r="F1445" s="104">
        <f t="shared" si="244"/>
        <v>0.14133201398119924</v>
      </c>
      <c r="G1445" s="167">
        <f>RANK(0.84,AE:AE,0)</f>
        <v>946</v>
      </c>
      <c r="H1445" s="365">
        <f t="shared" si="245"/>
        <v>0.17830609212481427</v>
      </c>
      <c r="I1445" s="213">
        <f t="shared" si="246"/>
        <v>1199</v>
      </c>
      <c r="J1445" s="213">
        <f t="shared" si="247"/>
        <v>768</v>
      </c>
      <c r="K1445">
        <f>RANK(0.79,AI:AI,0)</f>
        <v>1192</v>
      </c>
      <c r="L1445" s="357">
        <v>0</v>
      </c>
      <c r="M1445" s="357">
        <v>1</v>
      </c>
      <c r="N1445" s="357">
        <v>0</v>
      </c>
      <c r="O1445" s="357">
        <v>0</v>
      </c>
      <c r="P1445" s="357">
        <v>0</v>
      </c>
      <c r="Q1445" s="358">
        <v>4.5477903391572455E-2</v>
      </c>
      <c r="R1445" s="359">
        <v>0.56999999999999995</v>
      </c>
      <c r="S1445" s="196">
        <v>15999772000</v>
      </c>
      <c r="T1445" s="196">
        <v>134600000</v>
      </c>
      <c r="U1445" s="200">
        <f t="shared" si="248"/>
        <v>2261280000</v>
      </c>
      <c r="V1445" s="196">
        <v>0</v>
      </c>
      <c r="W1445" s="196">
        <v>2879000000</v>
      </c>
      <c r="X1445" s="196">
        <v>131000000</v>
      </c>
      <c r="Y1445" s="196">
        <v>3490000000</v>
      </c>
      <c r="Z1445" s="196">
        <v>1838000000</v>
      </c>
      <c r="AA1445" s="198">
        <v>0</v>
      </c>
      <c r="AB1445" s="198">
        <v>0</v>
      </c>
      <c r="AC1445" s="213">
        <f t="shared" si="249"/>
        <v>945</v>
      </c>
      <c r="AD1445" s="213">
        <f t="shared" si="250"/>
        <v>911</v>
      </c>
      <c r="AE1445" s="213">
        <v>0.84</v>
      </c>
      <c r="AF1445" s="196">
        <v>-24000000</v>
      </c>
      <c r="AG1445" s="104">
        <f t="shared" si="251"/>
        <v>-0.17830609212481427</v>
      </c>
      <c r="AH1445" s="104">
        <f t="shared" si="252"/>
        <v>0</v>
      </c>
      <c r="AI1445" s="195">
        <v>0.79</v>
      </c>
    </row>
    <row r="1446" spans="1:48">
      <c r="A1446">
        <v>8289</v>
      </c>
      <c r="C1446" s="107">
        <f>VLOOKUP(8289,收盤價!$A:$C,3,0)</f>
        <v>11.1</v>
      </c>
      <c r="D1446" s="107">
        <f t="shared" si="242"/>
        <v>19.588235294117641</v>
      </c>
      <c r="E1446" s="167">
        <f t="shared" si="243"/>
        <v>3</v>
      </c>
      <c r="F1446" s="104">
        <f t="shared" si="244"/>
        <v>0.5524707532483546</v>
      </c>
      <c r="G1446" s="167">
        <f>RANK(1.08,AE:AE,0)</f>
        <v>769</v>
      </c>
      <c r="H1446" s="365">
        <f t="shared" si="245"/>
        <v>0.96774193548387089</v>
      </c>
      <c r="I1446" s="213">
        <f t="shared" si="246"/>
        <v>907</v>
      </c>
      <c r="J1446" s="213">
        <f t="shared" si="247"/>
        <v>460</v>
      </c>
      <c r="K1446">
        <f>RANK(1.14,AI:AI,0)</f>
        <v>767</v>
      </c>
      <c r="L1446" s="357">
        <v>0</v>
      </c>
      <c r="M1446" s="357">
        <v>1</v>
      </c>
      <c r="N1446" s="357">
        <v>2</v>
      </c>
      <c r="O1446" s="357">
        <v>0</v>
      </c>
      <c r="P1446" s="357">
        <v>0</v>
      </c>
      <c r="Q1446" s="358">
        <v>0.20581113801452786</v>
      </c>
      <c r="R1446" s="359">
        <v>0.14166666666666669</v>
      </c>
      <c r="S1446" s="196">
        <v>1557096000</v>
      </c>
      <c r="T1446" s="196">
        <v>77500000</v>
      </c>
      <c r="U1446" s="200">
        <f t="shared" si="248"/>
        <v>860250000</v>
      </c>
      <c r="V1446" s="196">
        <v>15000000</v>
      </c>
      <c r="W1446" s="196">
        <v>927000000</v>
      </c>
      <c r="X1446" s="196">
        <v>470000000</v>
      </c>
      <c r="Y1446" s="196">
        <v>1423000000</v>
      </c>
      <c r="Z1446" s="196">
        <v>121000000</v>
      </c>
      <c r="AA1446" s="198">
        <v>0.01</v>
      </c>
      <c r="AB1446" s="198">
        <v>0.01</v>
      </c>
      <c r="AC1446" s="213">
        <f t="shared" si="249"/>
        <v>769</v>
      </c>
      <c r="AD1446" s="213">
        <f t="shared" si="250"/>
        <v>680</v>
      </c>
      <c r="AE1446" s="213">
        <v>1.08</v>
      </c>
      <c r="AF1446" s="196">
        <v>18000000</v>
      </c>
      <c r="AG1446" s="104">
        <f t="shared" si="251"/>
        <v>0.23225806451612904</v>
      </c>
      <c r="AH1446" s="104">
        <f t="shared" si="252"/>
        <v>1.2</v>
      </c>
      <c r="AI1446" s="195">
        <v>1.1399999999999999</v>
      </c>
    </row>
    <row r="1447" spans="1:48">
      <c r="A1447">
        <v>8291</v>
      </c>
      <c r="C1447" s="107">
        <f>VLOOKUP(8291,收盤價!$A:$C,3,0)</f>
        <v>6</v>
      </c>
      <c r="D1447" s="107">
        <f t="shared" si="242"/>
        <v>0</v>
      </c>
      <c r="E1447" s="167">
        <f t="shared" si="243"/>
        <v>3</v>
      </c>
      <c r="F1447" s="104">
        <f t="shared" si="244"/>
        <v>0.80041565444511531</v>
      </c>
      <c r="G1447" s="167">
        <f>RANK(0.57,AE:AE,0)</f>
        <v>1389</v>
      </c>
      <c r="H1447" s="365">
        <f t="shared" si="245"/>
        <v>6.5789473684210523E-2</v>
      </c>
      <c r="I1447" s="213">
        <f t="shared" si="246"/>
        <v>1110</v>
      </c>
      <c r="J1447" s="213">
        <f t="shared" si="247"/>
        <v>768</v>
      </c>
      <c r="K1447">
        <f>RANK(0.83,AI:AI,0)</f>
        <v>1098</v>
      </c>
      <c r="L1447" s="357">
        <v>0</v>
      </c>
      <c r="M1447" s="357">
        <v>1</v>
      </c>
      <c r="N1447" s="357">
        <v>2</v>
      </c>
      <c r="O1447" s="357">
        <v>0</v>
      </c>
      <c r="P1447" s="357">
        <v>0</v>
      </c>
      <c r="Q1447" s="358">
        <v>3.4482758620689655E-2</v>
      </c>
      <c r="R1447" s="359">
        <v>0</v>
      </c>
      <c r="S1447" s="196">
        <v>569704000</v>
      </c>
      <c r="T1447" s="196">
        <v>76000000</v>
      </c>
      <c r="U1447" s="200">
        <f t="shared" si="248"/>
        <v>456000000</v>
      </c>
      <c r="V1447" s="196">
        <v>-11000000</v>
      </c>
      <c r="W1447" s="196">
        <v>114000000</v>
      </c>
      <c r="X1447" s="196">
        <v>356000000</v>
      </c>
      <c r="Y1447" s="196">
        <v>369000000</v>
      </c>
      <c r="Z1447" s="196">
        <v>105000000</v>
      </c>
      <c r="AA1447" s="198">
        <v>-0.02</v>
      </c>
      <c r="AB1447" s="198">
        <v>-0.02</v>
      </c>
      <c r="AC1447" s="213">
        <f t="shared" si="249"/>
        <v>1353</v>
      </c>
      <c r="AD1447" s="213">
        <f t="shared" si="250"/>
        <v>1388</v>
      </c>
      <c r="AE1447" s="213">
        <v>0.56999999999999995</v>
      </c>
      <c r="AF1447" s="196">
        <v>-5000000</v>
      </c>
      <c r="AG1447" s="104">
        <f t="shared" si="251"/>
        <v>-6.5789473684210523E-2</v>
      </c>
      <c r="AH1447" s="104">
        <f t="shared" si="252"/>
        <v>0</v>
      </c>
      <c r="AI1447" s="195">
        <v>0.83</v>
      </c>
    </row>
    <row r="1448" spans="1:48">
      <c r="A1448">
        <v>8299</v>
      </c>
      <c r="C1448" s="107">
        <f>VLOOKUP(8299,收盤價!$A:$C,3,0)</f>
        <v>224.5</v>
      </c>
      <c r="D1448" s="107">
        <f t="shared" si="242"/>
        <v>11.524640657084189</v>
      </c>
      <c r="E1448" s="167">
        <f t="shared" si="243"/>
        <v>2</v>
      </c>
      <c r="F1448" s="104">
        <f t="shared" si="244"/>
        <v>1.0748753966965778</v>
      </c>
      <c r="G1448" s="167">
        <f>RANK(0.84,AE:AE,0)</f>
        <v>946</v>
      </c>
      <c r="H1448" s="365">
        <f t="shared" si="245"/>
        <v>-5.1165146909827763</v>
      </c>
      <c r="I1448" s="213">
        <f t="shared" si="246"/>
        <v>37</v>
      </c>
      <c r="J1448" s="213">
        <f t="shared" si="247"/>
        <v>768</v>
      </c>
      <c r="K1448">
        <f>RANK(1.94,AI:AI,0)</f>
        <v>365</v>
      </c>
      <c r="L1448" s="357">
        <v>0</v>
      </c>
      <c r="M1448" s="357">
        <v>0</v>
      </c>
      <c r="N1448" s="357">
        <v>0</v>
      </c>
      <c r="O1448" s="357">
        <v>1</v>
      </c>
      <c r="P1448" s="357">
        <v>1</v>
      </c>
      <c r="Q1448" s="358">
        <v>0.19336329731280483</v>
      </c>
      <c r="R1448" s="359">
        <v>4.87</v>
      </c>
      <c r="S1448" s="196">
        <v>41229244000</v>
      </c>
      <c r="T1448" s="196">
        <v>197400000</v>
      </c>
      <c r="U1448" s="200">
        <f t="shared" si="248"/>
        <v>44316300000</v>
      </c>
      <c r="V1448" s="196">
        <v>0</v>
      </c>
      <c r="W1448" s="196">
        <v>15627000000</v>
      </c>
      <c r="X1448" s="196">
        <v>1992000000</v>
      </c>
      <c r="Y1448" s="196">
        <v>19914000000</v>
      </c>
      <c r="Z1448" s="196">
        <v>97000000</v>
      </c>
      <c r="AA1448" s="198">
        <v>0</v>
      </c>
      <c r="AB1448" s="198">
        <v>0</v>
      </c>
      <c r="AC1448" s="213">
        <f t="shared" si="249"/>
        <v>945</v>
      </c>
      <c r="AD1448" s="213">
        <f t="shared" si="250"/>
        <v>911</v>
      </c>
      <c r="AE1448" s="213">
        <v>0.84</v>
      </c>
      <c r="AF1448" s="196">
        <v>1010000000</v>
      </c>
      <c r="AG1448" s="104">
        <f t="shared" si="251"/>
        <v>5.1165146909827763</v>
      </c>
      <c r="AH1448" s="104">
        <f t="shared" si="252"/>
        <v>0</v>
      </c>
      <c r="AI1448" s="195">
        <v>1.94</v>
      </c>
      <c r="AO1448" s="213"/>
      <c r="AP1448" s="213"/>
      <c r="AQ1448" s="213"/>
      <c r="AR1448" s="213"/>
      <c r="AS1448" s="213"/>
      <c r="AT1448" s="213"/>
      <c r="AU1448" s="213"/>
      <c r="AV1448" s="213"/>
    </row>
    <row r="1449" spans="1:48">
      <c r="A1449">
        <v>8341</v>
      </c>
      <c r="C1449" s="107">
        <f>VLOOKUP(8341,收盤價!$A:$C,3,0)</f>
        <v>119</v>
      </c>
      <c r="D1449" s="107">
        <f t="shared" si="242"/>
        <v>23.062015503875969</v>
      </c>
      <c r="E1449" s="167">
        <f t="shared" si="243"/>
        <v>2</v>
      </c>
      <c r="F1449" s="104">
        <f t="shared" si="244"/>
        <v>7.6586212230705826</v>
      </c>
      <c r="G1449" s="167">
        <f>RANK(16.57,AE:AE,0)</f>
        <v>46</v>
      </c>
      <c r="H1449" s="365">
        <f t="shared" si="245"/>
        <v>-0.66634697633427531</v>
      </c>
      <c r="I1449" s="213">
        <f t="shared" si="246"/>
        <v>251</v>
      </c>
      <c r="J1449" s="213">
        <f t="shared" si="247"/>
        <v>456</v>
      </c>
      <c r="K1449">
        <f>RANK(2.2,AI:AI,0)</f>
        <v>294</v>
      </c>
      <c r="L1449" s="357">
        <v>0</v>
      </c>
      <c r="M1449" s="357">
        <v>1</v>
      </c>
      <c r="N1449" s="357">
        <v>0</v>
      </c>
      <c r="O1449" s="357">
        <v>1</v>
      </c>
      <c r="P1449" s="357">
        <v>0</v>
      </c>
      <c r="Q1449" s="358">
        <v>0.58273381294964033</v>
      </c>
      <c r="R1449" s="359">
        <v>1.29</v>
      </c>
      <c r="S1449" s="196">
        <v>1732492000</v>
      </c>
      <c r="T1449" s="196">
        <v>111500000</v>
      </c>
      <c r="U1449" s="200">
        <f t="shared" si="248"/>
        <v>13268500000</v>
      </c>
      <c r="V1449" s="196">
        <v>173000000</v>
      </c>
      <c r="W1449" s="196">
        <v>357000000</v>
      </c>
      <c r="X1449" s="196">
        <v>1366000000</v>
      </c>
      <c r="Y1449" s="196">
        <v>2140000000</v>
      </c>
      <c r="Z1449" s="196">
        <v>124000000</v>
      </c>
      <c r="AA1449" s="198">
        <v>0.1</v>
      </c>
      <c r="AB1449" s="198">
        <v>0.08</v>
      </c>
      <c r="AC1449" s="213">
        <f t="shared" si="249"/>
        <v>52</v>
      </c>
      <c r="AD1449" s="213">
        <f t="shared" si="250"/>
        <v>42</v>
      </c>
      <c r="AE1449" s="213">
        <v>16.57</v>
      </c>
      <c r="AF1449" s="196">
        <v>209000000</v>
      </c>
      <c r="AG1449" s="104">
        <f t="shared" si="251"/>
        <v>1.8744394618834082</v>
      </c>
      <c r="AH1449" s="104">
        <f t="shared" si="252"/>
        <v>1.2080924855491328</v>
      </c>
      <c r="AI1449" s="195">
        <v>2.2000000000000002</v>
      </c>
    </row>
    <row r="1450" spans="1:48">
      <c r="A1450">
        <v>8349</v>
      </c>
      <c r="C1450" s="107">
        <f>VLOOKUP(8349,收盤價!$A:$C,3,0)</f>
        <v>73.7</v>
      </c>
      <c r="D1450" s="107">
        <f t="shared" si="242"/>
        <v>15.922839506172842</v>
      </c>
      <c r="E1450" s="167">
        <f t="shared" si="243"/>
        <v>2</v>
      </c>
      <c r="F1450" s="104">
        <f t="shared" si="244"/>
        <v>0.69032464722595865</v>
      </c>
      <c r="G1450" s="167">
        <f>RANK(3.92,AE:AE,0)</f>
        <v>209</v>
      </c>
      <c r="H1450" s="365">
        <f t="shared" si="245"/>
        <v>-2.1841551949855198</v>
      </c>
      <c r="I1450" s="213">
        <f t="shared" si="246"/>
        <v>103</v>
      </c>
      <c r="J1450" s="213">
        <f t="shared" si="247"/>
        <v>512</v>
      </c>
      <c r="K1450">
        <f>RANK(2.53,AI:AI,0)</f>
        <v>233</v>
      </c>
      <c r="L1450" s="357">
        <v>0</v>
      </c>
      <c r="M1450" s="357">
        <v>0</v>
      </c>
      <c r="N1450" s="357">
        <v>1</v>
      </c>
      <c r="O1450" s="357">
        <v>1</v>
      </c>
      <c r="P1450" s="357">
        <v>0</v>
      </c>
      <c r="Q1450" s="358">
        <v>0.25136612021857924</v>
      </c>
      <c r="R1450" s="359">
        <v>1.157142857142857</v>
      </c>
      <c r="S1450" s="196">
        <v>9715284000</v>
      </c>
      <c r="T1450" s="196">
        <v>91000000</v>
      </c>
      <c r="U1450" s="200">
        <f t="shared" si="248"/>
        <v>6706700000</v>
      </c>
      <c r="V1450" s="196">
        <v>277000000</v>
      </c>
      <c r="W1450" s="196">
        <v>1846000000</v>
      </c>
      <c r="X1450" s="196">
        <v>4093000000</v>
      </c>
      <c r="Y1450" s="196">
        <v>4094000000</v>
      </c>
      <c r="Z1450" s="196">
        <v>1845000000</v>
      </c>
      <c r="AA1450" s="198">
        <v>0.05</v>
      </c>
      <c r="AB1450" s="198">
        <v>0.05</v>
      </c>
      <c r="AC1450" s="213">
        <f t="shared" si="249"/>
        <v>247</v>
      </c>
      <c r="AD1450" s="213">
        <f t="shared" si="250"/>
        <v>150</v>
      </c>
      <c r="AE1450" s="213">
        <v>3.92</v>
      </c>
      <c r="AF1450" s="196">
        <v>296000000</v>
      </c>
      <c r="AG1450" s="104">
        <f t="shared" si="251"/>
        <v>3.2527472527472527</v>
      </c>
      <c r="AH1450" s="104">
        <f t="shared" si="252"/>
        <v>1.0685920577617329</v>
      </c>
      <c r="AI1450" s="195">
        <v>2.5299999999999998</v>
      </c>
    </row>
    <row r="1451" spans="1:48">
      <c r="A1451">
        <v>8354</v>
      </c>
      <c r="C1451" s="107">
        <f>VLOOKUP(8354,收盤價!$A:$C,3,0)</f>
        <v>17.7</v>
      </c>
      <c r="D1451" s="107">
        <f t="shared" si="242"/>
        <v>14.274193548387096</v>
      </c>
      <c r="E1451" s="167">
        <f t="shared" si="243"/>
        <v>3</v>
      </c>
      <c r="F1451" s="104">
        <f t="shared" si="244"/>
        <v>1.3598864318917001</v>
      </c>
      <c r="G1451" s="167">
        <f>RANK(1.41,AE:AE,0)</f>
        <v>618</v>
      </c>
      <c r="H1451" s="365">
        <f t="shared" si="245"/>
        <v>0.28176257240296654</v>
      </c>
      <c r="I1451" s="213">
        <f t="shared" si="246"/>
        <v>904</v>
      </c>
      <c r="J1451" s="213">
        <f t="shared" si="247"/>
        <v>670</v>
      </c>
      <c r="K1451">
        <f>RANK(0.99,AI:AI,0)</f>
        <v>893</v>
      </c>
      <c r="L1451" s="357">
        <v>0</v>
      </c>
      <c r="M1451" s="357">
        <v>1</v>
      </c>
      <c r="N1451" s="357">
        <v>1</v>
      </c>
      <c r="O1451" s="357">
        <v>1</v>
      </c>
      <c r="P1451" s="357">
        <v>0</v>
      </c>
      <c r="Q1451" s="358">
        <v>0.25120772946859904</v>
      </c>
      <c r="R1451" s="359">
        <v>0.31</v>
      </c>
      <c r="S1451" s="196">
        <v>829106000</v>
      </c>
      <c r="T1451" s="196">
        <v>63700000</v>
      </c>
      <c r="U1451" s="200">
        <f t="shared" si="248"/>
        <v>1127490000</v>
      </c>
      <c r="V1451" s="196">
        <v>29000000</v>
      </c>
      <c r="W1451" s="196">
        <v>253000000</v>
      </c>
      <c r="X1451" s="196">
        <v>1530000000</v>
      </c>
      <c r="Y1451" s="196">
        <v>1385000000</v>
      </c>
      <c r="Z1451" s="196">
        <v>298000000</v>
      </c>
      <c r="AA1451" s="198">
        <v>0.02</v>
      </c>
      <c r="AB1451" s="198">
        <v>0.02</v>
      </c>
      <c r="AC1451" s="213">
        <f t="shared" si="249"/>
        <v>616</v>
      </c>
      <c r="AD1451" s="213">
        <f t="shared" si="250"/>
        <v>487</v>
      </c>
      <c r="AE1451" s="213">
        <v>1.41</v>
      </c>
      <c r="AF1451" s="196">
        <v>15000000</v>
      </c>
      <c r="AG1451" s="104">
        <f t="shared" si="251"/>
        <v>0.23547880690737832</v>
      </c>
      <c r="AH1451" s="104">
        <f t="shared" si="252"/>
        <v>0.51724137931034486</v>
      </c>
      <c r="AI1451" s="195">
        <v>0.99</v>
      </c>
    </row>
    <row r="1452" spans="1:48">
      <c r="A1452">
        <v>8358</v>
      </c>
      <c r="C1452" s="107">
        <f>VLOOKUP(8358,收盤價!$A:$C,3,0)</f>
        <v>27.8</v>
      </c>
      <c r="D1452" s="107">
        <f t="shared" si="242"/>
        <v>10.983916083916082</v>
      </c>
      <c r="E1452" s="167">
        <f t="shared" si="243"/>
        <v>4</v>
      </c>
      <c r="F1452" s="104">
        <f t="shared" si="244"/>
        <v>1.2567741791452953</v>
      </c>
      <c r="G1452" s="167">
        <f>RANK(3.92,AE:AE,0)</f>
        <v>209</v>
      </c>
      <c r="H1452" s="365">
        <f t="shared" si="245"/>
        <v>0.18993352326685661</v>
      </c>
      <c r="I1452" s="213">
        <f t="shared" si="246"/>
        <v>1201</v>
      </c>
      <c r="J1452" s="213">
        <f t="shared" si="247"/>
        <v>768</v>
      </c>
      <c r="K1452">
        <f>RANK(0.79,AI:AI,0)</f>
        <v>1192</v>
      </c>
      <c r="L1452" s="357">
        <v>1</v>
      </c>
      <c r="M1452" s="357">
        <v>1</v>
      </c>
      <c r="N1452" s="357">
        <v>2</v>
      </c>
      <c r="O1452" s="357">
        <v>0</v>
      </c>
      <c r="P1452" s="357">
        <v>0</v>
      </c>
      <c r="Q1452" s="358">
        <v>0.15334420880913541</v>
      </c>
      <c r="R1452" s="359">
        <v>0.6327433628318585</v>
      </c>
      <c r="S1452" s="196">
        <v>4658498000</v>
      </c>
      <c r="T1452" s="196">
        <v>210600000</v>
      </c>
      <c r="U1452" s="200">
        <f t="shared" si="248"/>
        <v>5854680000</v>
      </c>
      <c r="V1452" s="196">
        <v>144000000</v>
      </c>
      <c r="W1452" s="196">
        <v>504000000</v>
      </c>
      <c r="X1452" s="196">
        <v>2677000000</v>
      </c>
      <c r="Y1452" s="196">
        <v>1769000000</v>
      </c>
      <c r="Z1452" s="196">
        <v>1288000000</v>
      </c>
      <c r="AA1452" s="198">
        <v>0.05</v>
      </c>
      <c r="AB1452" s="198">
        <v>0.05</v>
      </c>
      <c r="AC1452" s="213">
        <f t="shared" si="249"/>
        <v>247</v>
      </c>
      <c r="AD1452" s="213">
        <f t="shared" si="250"/>
        <v>150</v>
      </c>
      <c r="AE1452" s="213">
        <v>3.92</v>
      </c>
      <c r="AF1452" s="196">
        <v>-40000000</v>
      </c>
      <c r="AG1452" s="104">
        <f t="shared" si="251"/>
        <v>-0.18993352326685661</v>
      </c>
      <c r="AH1452" s="104">
        <f t="shared" si="252"/>
        <v>0</v>
      </c>
      <c r="AI1452" s="195">
        <v>0.79</v>
      </c>
    </row>
    <row r="1453" spans="1:48">
      <c r="A1453">
        <v>8374</v>
      </c>
      <c r="C1453" s="107">
        <f>VLOOKUP(8374,收盤價!$A:$C,3,0)</f>
        <v>14.2</v>
      </c>
      <c r="D1453" s="107">
        <f t="shared" si="242"/>
        <v>10.390243902439023</v>
      </c>
      <c r="E1453" s="167">
        <f t="shared" si="243"/>
        <v>3</v>
      </c>
      <c r="F1453" s="104">
        <f t="shared" si="244"/>
        <v>0.36335700368930396</v>
      </c>
      <c r="G1453" s="167">
        <f>RANK(1.89,AE:AE,0)</f>
        <v>498</v>
      </c>
      <c r="H1453" s="365">
        <f t="shared" si="245"/>
        <v>0.17290715372907156</v>
      </c>
      <c r="I1453" s="213">
        <f t="shared" si="246"/>
        <v>942</v>
      </c>
      <c r="J1453" s="213">
        <f t="shared" si="247"/>
        <v>718</v>
      </c>
      <c r="K1453">
        <f>RANK(0.94,AI:AI,0)</f>
        <v>936</v>
      </c>
      <c r="L1453" s="357">
        <v>0</v>
      </c>
      <c r="M1453" s="357">
        <v>1</v>
      </c>
      <c r="N1453" s="357">
        <v>2</v>
      </c>
      <c r="O1453" s="357">
        <v>0</v>
      </c>
      <c r="P1453" s="357">
        <v>0</v>
      </c>
      <c r="Q1453" s="358">
        <v>0.17451820128479659</v>
      </c>
      <c r="R1453" s="359">
        <v>0.34166666666666667</v>
      </c>
      <c r="S1453" s="196">
        <v>3423410000</v>
      </c>
      <c r="T1453" s="196">
        <v>87600000</v>
      </c>
      <c r="U1453" s="200">
        <f t="shared" si="248"/>
        <v>1243920000</v>
      </c>
      <c r="V1453" s="196">
        <v>45000000</v>
      </c>
      <c r="W1453" s="196">
        <v>622000000</v>
      </c>
      <c r="X1453" s="196">
        <v>418000000</v>
      </c>
      <c r="Y1453" s="196">
        <v>1330000000</v>
      </c>
      <c r="Z1453" s="196">
        <v>609000000</v>
      </c>
      <c r="AA1453" s="198">
        <v>0.04</v>
      </c>
      <c r="AB1453" s="198">
        <v>0.02</v>
      </c>
      <c r="AC1453" s="213">
        <f t="shared" si="249"/>
        <v>337</v>
      </c>
      <c r="AD1453" s="213">
        <f t="shared" si="250"/>
        <v>487</v>
      </c>
      <c r="AE1453" s="213">
        <v>1.89</v>
      </c>
      <c r="AF1453" s="196">
        <v>16000000</v>
      </c>
      <c r="AG1453" s="104">
        <f t="shared" si="251"/>
        <v>0.18264840182648401</v>
      </c>
      <c r="AH1453" s="104">
        <f t="shared" si="252"/>
        <v>0.35555555555555557</v>
      </c>
      <c r="AI1453" s="195">
        <v>0.94</v>
      </c>
    </row>
    <row r="1454" spans="1:48">
      <c r="A1454">
        <v>8383</v>
      </c>
      <c r="C1454" s="107">
        <f>VLOOKUP(8383,收盤價!$A:$C,3,0)</f>
        <v>50.1</v>
      </c>
      <c r="D1454" s="107">
        <f t="shared" si="242"/>
        <v>12.821185617103986</v>
      </c>
      <c r="E1454" s="167">
        <f t="shared" si="243"/>
        <v>2</v>
      </c>
      <c r="F1454" s="104">
        <f t="shared" si="244"/>
        <v>1.8091897534789467</v>
      </c>
      <c r="G1454" s="167">
        <f>RANK(4.81,AE:AE,0)</f>
        <v>170</v>
      </c>
      <c r="H1454" s="365">
        <f t="shared" si="245"/>
        <v>-0.56725888324873086</v>
      </c>
      <c r="I1454" s="213">
        <f t="shared" si="246"/>
        <v>135</v>
      </c>
      <c r="J1454" s="213">
        <f t="shared" si="247"/>
        <v>220</v>
      </c>
      <c r="K1454">
        <f>RANK(4.39,AI:AI,0)</f>
        <v>90</v>
      </c>
      <c r="L1454" s="357">
        <v>0</v>
      </c>
      <c r="M1454" s="357">
        <v>1</v>
      </c>
      <c r="N1454" s="357">
        <v>0</v>
      </c>
      <c r="O1454" s="357">
        <v>1</v>
      </c>
      <c r="P1454" s="357">
        <v>0</v>
      </c>
      <c r="Q1454" s="358">
        <v>0.30998702983138782</v>
      </c>
      <c r="R1454" s="359">
        <v>0.97689873417721518</v>
      </c>
      <c r="S1454" s="196">
        <v>3273189000</v>
      </c>
      <c r="T1454" s="196">
        <v>118200000</v>
      </c>
      <c r="U1454" s="200">
        <f t="shared" si="248"/>
        <v>5921820000</v>
      </c>
      <c r="V1454" s="196">
        <v>148000000</v>
      </c>
      <c r="W1454" s="196">
        <v>1513000000</v>
      </c>
      <c r="X1454" s="196">
        <v>890000000</v>
      </c>
      <c r="Y1454" s="196">
        <v>2996000000</v>
      </c>
      <c r="Z1454" s="196">
        <v>0</v>
      </c>
      <c r="AA1454" s="198">
        <v>0.06</v>
      </c>
      <c r="AB1454" s="198">
        <v>0.05</v>
      </c>
      <c r="AC1454" s="213">
        <f t="shared" si="249"/>
        <v>174</v>
      </c>
      <c r="AD1454" s="213">
        <f t="shared" si="250"/>
        <v>150</v>
      </c>
      <c r="AE1454" s="213">
        <v>4.8099999999999996</v>
      </c>
      <c r="AF1454" s="196">
        <v>333000000</v>
      </c>
      <c r="AG1454" s="104">
        <f t="shared" si="251"/>
        <v>2.8172588832487309</v>
      </c>
      <c r="AH1454" s="104">
        <f t="shared" si="252"/>
        <v>2.25</v>
      </c>
      <c r="AI1454" s="195">
        <v>4.3899999999999997</v>
      </c>
      <c r="AO1454" s="213"/>
      <c r="AP1454" s="213"/>
      <c r="AQ1454" s="213"/>
      <c r="AR1454" s="213"/>
      <c r="AS1454" s="213"/>
      <c r="AT1454" s="213"/>
      <c r="AU1454" s="213"/>
      <c r="AV1454" s="213"/>
    </row>
    <row r="1455" spans="1:48">
      <c r="A1455">
        <v>8390</v>
      </c>
      <c r="C1455" s="107">
        <f>VLOOKUP(8390,收盤價!$A:$C,3,0)</f>
        <v>13.6</v>
      </c>
      <c r="D1455" s="107">
        <f t="shared" si="242"/>
        <v>33.626373626373628</v>
      </c>
      <c r="E1455" s="167">
        <f t="shared" si="243"/>
        <v>4</v>
      </c>
      <c r="F1455" s="104">
        <f t="shared" si="244"/>
        <v>0.45496530185292716</v>
      </c>
      <c r="G1455" s="167">
        <f>RANK(1.08,AE:AE,0)</f>
        <v>769</v>
      </c>
      <c r="H1455" s="365">
        <f t="shared" si="245"/>
        <v>6.6254385964912279</v>
      </c>
      <c r="I1455" s="213">
        <f t="shared" si="246"/>
        <v>534</v>
      </c>
      <c r="J1455" s="213">
        <f t="shared" si="247"/>
        <v>51</v>
      </c>
      <c r="K1455">
        <f>RANK(2.66,AI:AI,0)</f>
        <v>205</v>
      </c>
      <c r="L1455" s="357">
        <v>0</v>
      </c>
      <c r="M1455" s="357">
        <v>1</v>
      </c>
      <c r="N1455" s="357">
        <v>2</v>
      </c>
      <c r="O1455" s="357">
        <v>1</v>
      </c>
      <c r="P1455" s="357">
        <v>0</v>
      </c>
      <c r="Q1455" s="358">
        <v>5.8823529411764705E-2</v>
      </c>
      <c r="R1455" s="359">
        <v>0.10111111111111111</v>
      </c>
      <c r="S1455" s="196">
        <v>2839777000</v>
      </c>
      <c r="T1455" s="196">
        <v>95000000</v>
      </c>
      <c r="U1455" s="200">
        <f t="shared" si="248"/>
        <v>1292000000</v>
      </c>
      <c r="V1455" s="196">
        <v>12000000</v>
      </c>
      <c r="W1455" s="196">
        <v>1038000000</v>
      </c>
      <c r="X1455" s="196">
        <v>647000000</v>
      </c>
      <c r="Y1455" s="196">
        <v>1847000000</v>
      </c>
      <c r="Z1455" s="196">
        <v>374000000</v>
      </c>
      <c r="AA1455" s="198">
        <v>0.01</v>
      </c>
      <c r="AB1455" s="198">
        <v>0.01</v>
      </c>
      <c r="AC1455" s="213">
        <f t="shared" si="249"/>
        <v>769</v>
      </c>
      <c r="AD1455" s="213">
        <f t="shared" si="250"/>
        <v>680</v>
      </c>
      <c r="AE1455" s="213">
        <v>1.08</v>
      </c>
      <c r="AF1455" s="196">
        <v>91000000</v>
      </c>
      <c r="AG1455" s="104">
        <f t="shared" si="251"/>
        <v>0.95789473684210524</v>
      </c>
      <c r="AH1455" s="104">
        <f t="shared" si="252"/>
        <v>7.583333333333333</v>
      </c>
      <c r="AI1455" s="195">
        <v>2.66</v>
      </c>
      <c r="AO1455" s="213"/>
      <c r="AP1455" s="213"/>
      <c r="AQ1455" s="213"/>
      <c r="AR1455" s="213"/>
      <c r="AS1455" s="213"/>
      <c r="AT1455" s="213"/>
      <c r="AU1455" s="213"/>
      <c r="AV1455" s="213"/>
    </row>
    <row r="1456" spans="1:48">
      <c r="A1456">
        <v>8401</v>
      </c>
      <c r="C1456" s="107">
        <f>VLOOKUP(8401,收盤價!$A:$C,3,0)</f>
        <v>11</v>
      </c>
      <c r="D1456" s="107">
        <f t="shared" si="242"/>
        <v>10.289115646258502</v>
      </c>
      <c r="E1456" s="167">
        <f t="shared" si="243"/>
        <v>4</v>
      </c>
      <c r="F1456" s="104">
        <f t="shared" si="244"/>
        <v>0.47992775312359576</v>
      </c>
      <c r="G1456" s="167">
        <f>RANK(1.41,AE:AE,0)</f>
        <v>618</v>
      </c>
      <c r="H1456" s="365">
        <f t="shared" si="245"/>
        <v>0.37460293450310089</v>
      </c>
      <c r="I1456" s="213">
        <f t="shared" si="246"/>
        <v>919</v>
      </c>
      <c r="J1456" s="213">
        <f t="shared" si="247"/>
        <v>651</v>
      </c>
      <c r="K1456">
        <f>RANK(0.99,AI:AI,0)</f>
        <v>893</v>
      </c>
      <c r="L1456" s="357">
        <v>0</v>
      </c>
      <c r="M1456" s="357">
        <v>1</v>
      </c>
      <c r="N1456" s="357">
        <v>2</v>
      </c>
      <c r="O1456" s="357">
        <v>1</v>
      </c>
      <c r="P1456" s="357">
        <v>0</v>
      </c>
      <c r="Q1456" s="358">
        <v>0.24301675977653631</v>
      </c>
      <c r="R1456" s="359">
        <v>0.26727272727272733</v>
      </c>
      <c r="S1456" s="196">
        <v>1377499000</v>
      </c>
      <c r="T1456" s="196">
        <v>60100000</v>
      </c>
      <c r="U1456" s="200">
        <f t="shared" si="248"/>
        <v>661100000</v>
      </c>
      <c r="V1456" s="196">
        <v>22000000</v>
      </c>
      <c r="W1456" s="196">
        <v>300000000</v>
      </c>
      <c r="X1456" s="196">
        <v>807000000</v>
      </c>
      <c r="Y1456" s="196">
        <v>863000000</v>
      </c>
      <c r="Z1456" s="196">
        <v>95000000</v>
      </c>
      <c r="AA1456" s="198">
        <v>0.02</v>
      </c>
      <c r="AB1456" s="198">
        <v>0.02</v>
      </c>
      <c r="AC1456" s="213">
        <f t="shared" si="249"/>
        <v>616</v>
      </c>
      <c r="AD1456" s="213">
        <f t="shared" si="250"/>
        <v>487</v>
      </c>
      <c r="AE1456" s="213">
        <v>1.41</v>
      </c>
      <c r="AF1456" s="196">
        <v>13000000</v>
      </c>
      <c r="AG1456" s="104">
        <f t="shared" si="251"/>
        <v>0.21630615640599002</v>
      </c>
      <c r="AH1456" s="104">
        <f t="shared" si="252"/>
        <v>0.59090909090909094</v>
      </c>
      <c r="AI1456" s="195">
        <v>0.99</v>
      </c>
      <c r="AO1456" s="213"/>
      <c r="AP1456" s="213"/>
      <c r="AQ1456" s="213"/>
      <c r="AR1456" s="213"/>
      <c r="AS1456" s="213"/>
      <c r="AT1456" s="213"/>
      <c r="AU1456" s="213"/>
      <c r="AV1456" s="213"/>
    </row>
    <row r="1457" spans="1:48">
      <c r="A1457">
        <v>8403</v>
      </c>
      <c r="C1457" s="107">
        <f>VLOOKUP(8403,收盤價!$A:$C,3,0)</f>
        <v>35.950000000000003</v>
      </c>
      <c r="D1457" s="107">
        <f t="shared" si="242"/>
        <v>18.341836734693878</v>
      </c>
      <c r="E1457" s="167">
        <f t="shared" si="243"/>
        <v>4</v>
      </c>
      <c r="F1457" s="104">
        <f t="shared" si="244"/>
        <v>1.2035890053232448</v>
      </c>
      <c r="G1457" s="167">
        <f>RANK(0.84,AE:AE,0)</f>
        <v>946</v>
      </c>
      <c r="H1457" s="365">
        <f t="shared" si="245"/>
        <v>-0.33333333333333331</v>
      </c>
      <c r="I1457" s="213">
        <f t="shared" si="246"/>
        <v>837</v>
      </c>
      <c r="J1457" s="213">
        <f t="shared" si="247"/>
        <v>768</v>
      </c>
      <c r="K1457">
        <f>RANK(0.97,AI:AI,0)</f>
        <v>912</v>
      </c>
      <c r="L1457" s="357">
        <v>0</v>
      </c>
      <c r="M1457" s="357">
        <v>1</v>
      </c>
      <c r="N1457" s="357">
        <v>2</v>
      </c>
      <c r="O1457" s="357">
        <v>0</v>
      </c>
      <c r="P1457" s="357">
        <v>1</v>
      </c>
      <c r="Q1457" s="358">
        <v>0.2071917808219178</v>
      </c>
      <c r="R1457" s="359">
        <v>0.49</v>
      </c>
      <c r="S1457" s="196">
        <v>2240175000</v>
      </c>
      <c r="T1457" s="196">
        <v>75000000</v>
      </c>
      <c r="U1457" s="200">
        <f t="shared" si="248"/>
        <v>2696250000</v>
      </c>
      <c r="V1457" s="196">
        <v>0</v>
      </c>
      <c r="W1457" s="196">
        <v>437000000</v>
      </c>
      <c r="X1457" s="196">
        <v>312000000</v>
      </c>
      <c r="Y1457" s="196">
        <v>1868000000</v>
      </c>
      <c r="Z1457" s="196">
        <v>134000000</v>
      </c>
      <c r="AA1457" s="198">
        <v>0</v>
      </c>
      <c r="AB1457" s="198">
        <v>0</v>
      </c>
      <c r="AC1457" s="213">
        <f t="shared" si="249"/>
        <v>945</v>
      </c>
      <c r="AD1457" s="213">
        <f t="shared" si="250"/>
        <v>911</v>
      </c>
      <c r="AE1457" s="213">
        <v>0.84</v>
      </c>
      <c r="AF1457" s="196">
        <v>25000000</v>
      </c>
      <c r="AG1457" s="104">
        <f t="shared" si="251"/>
        <v>0.33333333333333331</v>
      </c>
      <c r="AH1457" s="104">
        <f t="shared" si="252"/>
        <v>0</v>
      </c>
      <c r="AI1457" s="195">
        <v>0.97</v>
      </c>
    </row>
    <row r="1458" spans="1:48">
      <c r="A1458">
        <v>8404</v>
      </c>
      <c r="C1458" s="107">
        <f>VLOOKUP(8404,收盤價!$A:$C,3,0)</f>
        <v>39.200000000000003</v>
      </c>
      <c r="D1458" s="107">
        <f t="shared" si="242"/>
        <v>18.846153846153847</v>
      </c>
      <c r="E1458" s="167">
        <f t="shared" si="243"/>
        <v>1</v>
      </c>
      <c r="F1458" s="104">
        <f t="shared" si="244"/>
        <v>2.5976235081639416</v>
      </c>
      <c r="G1458" s="167">
        <f>RANK(0.84,AE:AE,0)</f>
        <v>946</v>
      </c>
      <c r="H1458" s="365">
        <f t="shared" si="245"/>
        <v>-0.5329153605015674</v>
      </c>
      <c r="I1458" s="213">
        <f t="shared" si="246"/>
        <v>727</v>
      </c>
      <c r="J1458" s="213">
        <f t="shared" si="247"/>
        <v>768</v>
      </c>
      <c r="K1458">
        <f>RANK(1.04,AI:AI,0)</f>
        <v>843</v>
      </c>
      <c r="L1458" s="357">
        <v>0</v>
      </c>
      <c r="M1458" s="357">
        <v>0</v>
      </c>
      <c r="N1458" s="357">
        <v>0</v>
      </c>
      <c r="O1458" s="357">
        <v>1</v>
      </c>
      <c r="P1458" s="357">
        <v>0</v>
      </c>
      <c r="Q1458" s="358">
        <v>0.37746806039488967</v>
      </c>
      <c r="R1458" s="359">
        <v>0.52</v>
      </c>
      <c r="S1458" s="196">
        <v>3369757000</v>
      </c>
      <c r="T1458" s="196">
        <v>223300000</v>
      </c>
      <c r="U1458" s="200">
        <f t="shared" si="248"/>
        <v>8753360000</v>
      </c>
      <c r="V1458" s="196">
        <v>0</v>
      </c>
      <c r="W1458" s="196">
        <v>2778000000</v>
      </c>
      <c r="X1458" s="196">
        <v>1492000000</v>
      </c>
      <c r="Y1458" s="196">
        <v>4710000000</v>
      </c>
      <c r="Z1458" s="196">
        <v>1112000000</v>
      </c>
      <c r="AA1458" s="198">
        <v>0</v>
      </c>
      <c r="AB1458" s="198">
        <v>0</v>
      </c>
      <c r="AC1458" s="213">
        <f t="shared" si="249"/>
        <v>945</v>
      </c>
      <c r="AD1458" s="213">
        <f t="shared" si="250"/>
        <v>911</v>
      </c>
      <c r="AE1458" s="213">
        <v>0.84</v>
      </c>
      <c r="AF1458" s="196">
        <v>119000000</v>
      </c>
      <c r="AG1458" s="104">
        <f t="shared" si="251"/>
        <v>0.5329153605015674</v>
      </c>
      <c r="AH1458" s="104">
        <f t="shared" si="252"/>
        <v>0</v>
      </c>
      <c r="AI1458" s="195">
        <v>1.04</v>
      </c>
    </row>
    <row r="1459" spans="1:48">
      <c r="A1459">
        <v>8406</v>
      </c>
      <c r="C1459" s="107">
        <f>VLOOKUP(8406,收盤價!$A:$C,3,0)</f>
        <v>304.5</v>
      </c>
      <c r="D1459" s="107">
        <f t="shared" si="242"/>
        <v>17.786214953271028</v>
      </c>
      <c r="E1459" s="167">
        <f t="shared" si="243"/>
        <v>2</v>
      </c>
      <c r="F1459" s="104">
        <f t="shared" si="244"/>
        <v>4.3512827868656609</v>
      </c>
      <c r="G1459" s="167">
        <f>RANK(0.84,AE:AE,0)</f>
        <v>946</v>
      </c>
      <c r="H1459" s="365">
        <f t="shared" si="245"/>
        <v>-3.2578209277238401</v>
      </c>
      <c r="I1459" s="213">
        <f t="shared" si="246"/>
        <v>101</v>
      </c>
      <c r="J1459" s="213">
        <f t="shared" si="247"/>
        <v>768</v>
      </c>
      <c r="K1459">
        <f>RANK(1.79,AI:AI,0)</f>
        <v>420</v>
      </c>
      <c r="L1459" s="357">
        <v>0</v>
      </c>
      <c r="M1459" s="357">
        <v>1</v>
      </c>
      <c r="N1459" s="357">
        <v>1</v>
      </c>
      <c r="O1459" s="357">
        <v>0</v>
      </c>
      <c r="P1459" s="357">
        <v>0</v>
      </c>
      <c r="Q1459" s="358">
        <v>0.56660527931246163</v>
      </c>
      <c r="R1459" s="359">
        <v>4.28</v>
      </c>
      <c r="S1459" s="196">
        <v>6487087000</v>
      </c>
      <c r="T1459" s="196">
        <v>92700000</v>
      </c>
      <c r="U1459" s="200">
        <f t="shared" si="248"/>
        <v>28227150000</v>
      </c>
      <c r="V1459" s="196">
        <v>0</v>
      </c>
      <c r="W1459" s="196">
        <v>4570000000</v>
      </c>
      <c r="X1459" s="196">
        <v>4499000000</v>
      </c>
      <c r="Y1459" s="196">
        <v>9707000000</v>
      </c>
      <c r="Z1459" s="196">
        <v>4201000000</v>
      </c>
      <c r="AA1459" s="198">
        <v>0</v>
      </c>
      <c r="AB1459" s="198">
        <v>0</v>
      </c>
      <c r="AC1459" s="213">
        <f t="shared" si="249"/>
        <v>945</v>
      </c>
      <c r="AD1459" s="213">
        <f t="shared" si="250"/>
        <v>911</v>
      </c>
      <c r="AE1459" s="213">
        <v>0.84</v>
      </c>
      <c r="AF1459" s="196">
        <v>302000000</v>
      </c>
      <c r="AG1459" s="104">
        <f t="shared" si="251"/>
        <v>3.2578209277238401</v>
      </c>
      <c r="AH1459" s="104">
        <f t="shared" si="252"/>
        <v>0</v>
      </c>
      <c r="AI1459" s="195">
        <v>1.79</v>
      </c>
    </row>
    <row r="1460" spans="1:48">
      <c r="A1460">
        <v>8409</v>
      </c>
      <c r="C1460" s="107">
        <f>VLOOKUP(8409,收盤價!$A:$C,3,0)</f>
        <v>22.5</v>
      </c>
      <c r="D1460" s="107">
        <f t="shared" si="242"/>
        <v>0</v>
      </c>
      <c r="E1460" s="167">
        <f t="shared" si="243"/>
        <v>1</v>
      </c>
      <c r="F1460" s="104">
        <f t="shared" si="244"/>
        <v>2.1836180124223601</v>
      </c>
      <c r="G1460" s="167">
        <f>RANK(0.52,AE:AE,0)</f>
        <v>1493</v>
      </c>
      <c r="H1460" s="365">
        <f t="shared" si="245"/>
        <v>0.42857142857142855</v>
      </c>
      <c r="I1460" s="213">
        <f t="shared" si="246"/>
        <v>1324</v>
      </c>
      <c r="J1460" s="213">
        <f t="shared" si="247"/>
        <v>768</v>
      </c>
      <c r="K1460">
        <f>RANK(0.74,AI:AI,0)</f>
        <v>1324</v>
      </c>
      <c r="L1460" s="357">
        <v>0</v>
      </c>
      <c r="M1460" s="357">
        <v>1</v>
      </c>
      <c r="N1460" s="357">
        <v>0</v>
      </c>
      <c r="O1460" s="357">
        <v>0</v>
      </c>
      <c r="P1460" s="357">
        <v>0</v>
      </c>
      <c r="Q1460" s="358">
        <v>0.4642857142857143</v>
      </c>
      <c r="R1460" s="359">
        <v>0</v>
      </c>
      <c r="S1460" s="196">
        <v>288512000</v>
      </c>
      <c r="T1460" s="196">
        <v>28000000</v>
      </c>
      <c r="U1460" s="200">
        <f t="shared" si="248"/>
        <v>630000000</v>
      </c>
      <c r="V1460" s="196">
        <v>-22000000</v>
      </c>
      <c r="W1460" s="196">
        <v>105000000</v>
      </c>
      <c r="X1460" s="196">
        <v>212000000</v>
      </c>
      <c r="Y1460" s="196">
        <v>389000000</v>
      </c>
      <c r="Z1460" s="196">
        <v>0</v>
      </c>
      <c r="AA1460" s="198">
        <v>-7.0000000000000007E-2</v>
      </c>
      <c r="AB1460" s="198">
        <v>-0.06</v>
      </c>
      <c r="AC1460" s="213">
        <f t="shared" si="249"/>
        <v>1502</v>
      </c>
      <c r="AD1460" s="213">
        <f t="shared" si="250"/>
        <v>1515</v>
      </c>
      <c r="AE1460" s="213">
        <v>0.52</v>
      </c>
      <c r="AF1460" s="196">
        <v>-12000000</v>
      </c>
      <c r="AG1460" s="104">
        <f t="shared" si="251"/>
        <v>-0.42857142857142855</v>
      </c>
      <c r="AH1460" s="104">
        <f t="shared" si="252"/>
        <v>0</v>
      </c>
      <c r="AI1460" s="195">
        <v>0.74</v>
      </c>
      <c r="AO1460" s="213"/>
      <c r="AP1460" s="213"/>
      <c r="AQ1460" s="213"/>
      <c r="AR1460" s="213"/>
      <c r="AS1460" s="213"/>
      <c r="AT1460" s="213"/>
      <c r="AU1460" s="213"/>
      <c r="AV1460" s="213"/>
    </row>
    <row r="1461" spans="1:48">
      <c r="A1461">
        <v>8410</v>
      </c>
      <c r="C1461" s="107">
        <f>VLOOKUP(8410,收盤價!$A:$C,3,0)</f>
        <v>26.55</v>
      </c>
      <c r="D1461" s="107">
        <f t="shared" si="242"/>
        <v>13.944327731092438</v>
      </c>
      <c r="E1461" s="167">
        <f t="shared" si="243"/>
        <v>3</v>
      </c>
      <c r="F1461" s="104">
        <f t="shared" si="244"/>
        <v>1.2152594962275218</v>
      </c>
      <c r="G1461" s="167">
        <f>RANK(1.41,AE:AE,0)</f>
        <v>618</v>
      </c>
      <c r="H1461" s="365">
        <f t="shared" si="245"/>
        <v>0.83216237314597974</v>
      </c>
      <c r="I1461" s="213">
        <f t="shared" si="246"/>
        <v>465</v>
      </c>
      <c r="J1461" s="213">
        <f t="shared" si="247"/>
        <v>277</v>
      </c>
      <c r="K1461">
        <f>RANK(2.1,AI:AI,0)</f>
        <v>309</v>
      </c>
      <c r="L1461" s="357">
        <v>0</v>
      </c>
      <c r="M1461" s="357">
        <v>1</v>
      </c>
      <c r="N1461" s="357">
        <v>1</v>
      </c>
      <c r="O1461" s="357">
        <v>1</v>
      </c>
      <c r="P1461" s="357">
        <v>0</v>
      </c>
      <c r="Q1461" s="358">
        <v>0.33333333333333331</v>
      </c>
      <c r="R1461" s="359">
        <v>0.47599999999999998</v>
      </c>
      <c r="S1461" s="196">
        <v>799607000</v>
      </c>
      <c r="T1461" s="196">
        <v>36600000</v>
      </c>
      <c r="U1461" s="200">
        <f t="shared" si="248"/>
        <v>971730000</v>
      </c>
      <c r="V1461" s="196">
        <v>21000000</v>
      </c>
      <c r="W1461" s="196">
        <v>628000000</v>
      </c>
      <c r="X1461" s="196">
        <v>678000000</v>
      </c>
      <c r="Y1461" s="196">
        <v>1252000000</v>
      </c>
      <c r="Z1461" s="196">
        <v>73000000</v>
      </c>
      <c r="AA1461" s="198">
        <v>0.02</v>
      </c>
      <c r="AB1461" s="198">
        <v>0.02</v>
      </c>
      <c r="AC1461" s="213">
        <f t="shared" si="249"/>
        <v>616</v>
      </c>
      <c r="AD1461" s="213">
        <f t="shared" si="250"/>
        <v>487</v>
      </c>
      <c r="AE1461" s="213">
        <v>1.41</v>
      </c>
      <c r="AF1461" s="196">
        <v>41000000</v>
      </c>
      <c r="AG1461" s="104">
        <f t="shared" si="251"/>
        <v>1.1202185792349726</v>
      </c>
      <c r="AH1461" s="104">
        <f t="shared" si="252"/>
        <v>1.9523809523809523</v>
      </c>
      <c r="AI1461" s="195">
        <v>2.1</v>
      </c>
    </row>
    <row r="1462" spans="1:48">
      <c r="A1462">
        <v>8411</v>
      </c>
      <c r="C1462" s="107">
        <f>VLOOKUP(8411,收盤價!$A:$C,3,0)</f>
        <v>26.2</v>
      </c>
      <c r="D1462" s="107">
        <f t="shared" si="242"/>
        <v>19.902494331065757</v>
      </c>
      <c r="E1462" s="167">
        <f t="shared" si="243"/>
        <v>2</v>
      </c>
      <c r="F1462" s="104">
        <f t="shared" si="244"/>
        <v>0.66856444942978988</v>
      </c>
      <c r="G1462" s="167">
        <f>RANK(1.08,AE:AE,0)</f>
        <v>769</v>
      </c>
      <c r="H1462" s="365">
        <f t="shared" si="245"/>
        <v>3.385380796923215</v>
      </c>
      <c r="I1462" s="213">
        <f t="shared" si="246"/>
        <v>203</v>
      </c>
      <c r="J1462" s="213">
        <f t="shared" si="247"/>
        <v>72</v>
      </c>
      <c r="K1462">
        <f>RANK(5.67,AI:AI,0)</f>
        <v>54</v>
      </c>
      <c r="L1462" s="357">
        <v>0</v>
      </c>
      <c r="M1462" s="357">
        <v>1</v>
      </c>
      <c r="N1462" s="357">
        <v>0</v>
      </c>
      <c r="O1462" s="357">
        <v>1</v>
      </c>
      <c r="P1462" s="357">
        <v>0</v>
      </c>
      <c r="Q1462" s="358">
        <v>0.16908625106746369</v>
      </c>
      <c r="R1462" s="359">
        <v>0.32910447761194034</v>
      </c>
      <c r="S1462" s="196">
        <v>5940968000</v>
      </c>
      <c r="T1462" s="196">
        <v>151600000</v>
      </c>
      <c r="U1462" s="200">
        <f t="shared" si="248"/>
        <v>3971920000</v>
      </c>
      <c r="V1462" s="196">
        <v>59000000</v>
      </c>
      <c r="W1462" s="196">
        <v>2227000000</v>
      </c>
      <c r="X1462" s="196">
        <v>4044000000</v>
      </c>
      <c r="Y1462" s="196">
        <v>5803000000</v>
      </c>
      <c r="Z1462" s="196">
        <v>918000000</v>
      </c>
      <c r="AA1462" s="198">
        <v>0.01</v>
      </c>
      <c r="AB1462" s="198">
        <v>0.01</v>
      </c>
      <c r="AC1462" s="213">
        <f t="shared" si="249"/>
        <v>769</v>
      </c>
      <c r="AD1462" s="213">
        <f t="shared" si="250"/>
        <v>680</v>
      </c>
      <c r="AE1462" s="213">
        <v>1.08</v>
      </c>
      <c r="AF1462" s="196">
        <v>327000000</v>
      </c>
      <c r="AG1462" s="104">
        <f t="shared" si="251"/>
        <v>2.1569920844327175</v>
      </c>
      <c r="AH1462" s="104">
        <f t="shared" si="252"/>
        <v>5.5423728813559325</v>
      </c>
      <c r="AI1462" s="195">
        <v>5.67</v>
      </c>
      <c r="AO1462" s="213"/>
      <c r="AP1462" s="213"/>
      <c r="AQ1462" s="213"/>
      <c r="AR1462" s="213"/>
      <c r="AS1462" s="213"/>
      <c r="AT1462" s="213"/>
      <c r="AU1462" s="213"/>
      <c r="AV1462" s="213"/>
    </row>
    <row r="1463" spans="1:48">
      <c r="A1463">
        <v>8416</v>
      </c>
      <c r="C1463" s="107">
        <f>VLOOKUP(8416,收盤價!$A:$C,3,0)</f>
        <v>92.8</v>
      </c>
      <c r="D1463" s="107">
        <f t="shared" si="242"/>
        <v>14.484656084656084</v>
      </c>
      <c r="E1463" s="167">
        <f t="shared" si="243"/>
        <v>3</v>
      </c>
      <c r="F1463" s="104">
        <f t="shared" si="244"/>
        <v>2.4943486363755678</v>
      </c>
      <c r="G1463" s="167">
        <f>RANK(11.21,AE:AE,0)</f>
        <v>64</v>
      </c>
      <c r="H1463" s="365">
        <f t="shared" si="245"/>
        <v>-1.5818865740740742</v>
      </c>
      <c r="I1463" s="213">
        <f t="shared" si="246"/>
        <v>119</v>
      </c>
      <c r="J1463" s="213">
        <f t="shared" si="247"/>
        <v>399</v>
      </c>
      <c r="K1463">
        <f>RANK(3.01,AI:AI,0)</f>
        <v>164</v>
      </c>
      <c r="L1463" s="357">
        <v>0</v>
      </c>
      <c r="M1463" s="357">
        <v>1</v>
      </c>
      <c r="N1463" s="357">
        <v>1</v>
      </c>
      <c r="O1463" s="357">
        <v>1</v>
      </c>
      <c r="P1463" s="357">
        <v>0</v>
      </c>
      <c r="Q1463" s="358">
        <v>0.54504504504504503</v>
      </c>
      <c r="R1463" s="359">
        <v>1.6016949152542372</v>
      </c>
      <c r="S1463" s="196">
        <v>952425000</v>
      </c>
      <c r="T1463" s="196">
        <v>25600000</v>
      </c>
      <c r="U1463" s="200">
        <f t="shared" si="248"/>
        <v>2375680000</v>
      </c>
      <c r="V1463" s="196">
        <v>54000000</v>
      </c>
      <c r="W1463" s="196">
        <v>467000000</v>
      </c>
      <c r="X1463" s="196">
        <v>210000000</v>
      </c>
      <c r="Y1463" s="196">
        <v>716000000</v>
      </c>
      <c r="Z1463" s="196">
        <v>0</v>
      </c>
      <c r="AA1463" s="198">
        <v>0.08</v>
      </c>
      <c r="AB1463" s="198">
        <v>0.08</v>
      </c>
      <c r="AC1463" s="213">
        <f t="shared" si="249"/>
        <v>97</v>
      </c>
      <c r="AD1463" s="213">
        <f t="shared" si="250"/>
        <v>42</v>
      </c>
      <c r="AE1463" s="213">
        <v>11.21</v>
      </c>
      <c r="AF1463" s="196">
        <v>77000000</v>
      </c>
      <c r="AG1463" s="104">
        <f t="shared" si="251"/>
        <v>3.0078125</v>
      </c>
      <c r="AH1463" s="104">
        <f t="shared" si="252"/>
        <v>1.4259259259259258</v>
      </c>
      <c r="AI1463" s="195">
        <v>3.01</v>
      </c>
    </row>
    <row r="1464" spans="1:48">
      <c r="A1464">
        <v>8418</v>
      </c>
      <c r="C1464" s="107">
        <f>VLOOKUP(8418,收盤價!$A:$C,3,0)</f>
        <v>11.9</v>
      </c>
      <c r="D1464" s="107">
        <f t="shared" si="242"/>
        <v>0</v>
      </c>
      <c r="E1464" s="167">
        <f t="shared" si="243"/>
        <v>2</v>
      </c>
      <c r="F1464" s="104">
        <f t="shared" si="244"/>
        <v>0.41687466610616292</v>
      </c>
      <c r="G1464" s="167">
        <f>RANK(1.08,AE:AE,0)</f>
        <v>769</v>
      </c>
      <c r="H1464" s="365">
        <f t="shared" si="245"/>
        <v>0.10294117647058823</v>
      </c>
      <c r="I1464" s="213">
        <f t="shared" si="246"/>
        <v>1141</v>
      </c>
      <c r="J1464" s="213">
        <f t="shared" si="247"/>
        <v>768</v>
      </c>
      <c r="K1464">
        <f>RANK(0.82,AI:AI,0)</f>
        <v>1121</v>
      </c>
      <c r="L1464" s="357">
        <v>0</v>
      </c>
      <c r="M1464" s="357">
        <v>1</v>
      </c>
      <c r="N1464" s="357">
        <v>1</v>
      </c>
      <c r="O1464" s="357">
        <v>0</v>
      </c>
      <c r="P1464" s="357">
        <v>0</v>
      </c>
      <c r="Q1464" s="358">
        <v>0.12427184466019417</v>
      </c>
      <c r="R1464" s="359">
        <v>0</v>
      </c>
      <c r="S1464" s="196">
        <v>1941111000</v>
      </c>
      <c r="T1464" s="196">
        <v>68000000</v>
      </c>
      <c r="U1464" s="200">
        <f t="shared" si="248"/>
        <v>809200000</v>
      </c>
      <c r="V1464" s="196">
        <v>23000000</v>
      </c>
      <c r="W1464" s="196">
        <v>0</v>
      </c>
      <c r="X1464" s="196">
        <v>3418000000</v>
      </c>
      <c r="Y1464" s="196">
        <v>1766000000</v>
      </c>
      <c r="Z1464" s="196">
        <v>1291000000</v>
      </c>
      <c r="AA1464" s="198">
        <v>0.01</v>
      </c>
      <c r="AB1464" s="198">
        <v>0.01</v>
      </c>
      <c r="AC1464" s="213">
        <f t="shared" si="249"/>
        <v>769</v>
      </c>
      <c r="AD1464" s="213">
        <f t="shared" si="250"/>
        <v>680</v>
      </c>
      <c r="AE1464" s="213">
        <v>1.08</v>
      </c>
      <c r="AF1464" s="196">
        <v>-7000000</v>
      </c>
      <c r="AG1464" s="104">
        <f t="shared" si="251"/>
        <v>-0.10294117647058823</v>
      </c>
      <c r="AH1464" s="104">
        <f t="shared" si="252"/>
        <v>0</v>
      </c>
      <c r="AI1464" s="195">
        <v>0.82</v>
      </c>
    </row>
    <row r="1465" spans="1:48">
      <c r="A1465">
        <v>8420</v>
      </c>
      <c r="C1465" s="107">
        <f>VLOOKUP(8420,收盤價!$A:$C,3,0)</f>
        <v>21.5</v>
      </c>
      <c r="D1465" s="107">
        <f t="shared" si="242"/>
        <v>7.166666666666667</v>
      </c>
      <c r="E1465" s="167">
        <f t="shared" si="243"/>
        <v>4</v>
      </c>
      <c r="F1465" s="104">
        <f t="shared" si="244"/>
        <v>0.82712081244158675</v>
      </c>
      <c r="G1465" s="167">
        <f>RANK(0.84,AE:AE,0)</f>
        <v>946</v>
      </c>
      <c r="H1465" s="365">
        <f t="shared" si="245"/>
        <v>-1.5098039215686274</v>
      </c>
      <c r="I1465" s="213">
        <f t="shared" si="246"/>
        <v>342</v>
      </c>
      <c r="J1465" s="213">
        <f t="shared" si="247"/>
        <v>768</v>
      </c>
      <c r="K1465">
        <f>RANK(1.4,AI:AI,0)</f>
        <v>622</v>
      </c>
      <c r="L1465" s="357">
        <v>1</v>
      </c>
      <c r="M1465" s="357">
        <v>1</v>
      </c>
      <c r="N1465" s="357">
        <v>1</v>
      </c>
      <c r="O1465" s="357">
        <v>1</v>
      </c>
      <c r="P1465" s="357">
        <v>0</v>
      </c>
      <c r="Q1465" s="358">
        <v>0.2</v>
      </c>
      <c r="R1465" s="359">
        <v>0.75</v>
      </c>
      <c r="S1465" s="196">
        <v>1325683000</v>
      </c>
      <c r="T1465" s="196">
        <v>51000000</v>
      </c>
      <c r="U1465" s="200">
        <f t="shared" si="248"/>
        <v>1096500000</v>
      </c>
      <c r="V1465" s="196">
        <v>0</v>
      </c>
      <c r="W1465" s="196">
        <v>246000000</v>
      </c>
      <c r="X1465" s="196">
        <v>494000000</v>
      </c>
      <c r="Y1465" s="196">
        <v>780000000</v>
      </c>
      <c r="Z1465" s="196">
        <v>0</v>
      </c>
      <c r="AA1465" s="198">
        <v>0</v>
      </c>
      <c r="AB1465" s="198">
        <v>0</v>
      </c>
      <c r="AC1465" s="213">
        <f t="shared" si="249"/>
        <v>945</v>
      </c>
      <c r="AD1465" s="213">
        <f t="shared" si="250"/>
        <v>911</v>
      </c>
      <c r="AE1465" s="213">
        <v>0.84</v>
      </c>
      <c r="AF1465" s="196">
        <v>77000000</v>
      </c>
      <c r="AG1465" s="104">
        <f t="shared" si="251"/>
        <v>1.5098039215686274</v>
      </c>
      <c r="AH1465" s="104">
        <f t="shared" si="252"/>
        <v>0</v>
      </c>
      <c r="AI1465" s="195">
        <v>1.4</v>
      </c>
    </row>
    <row r="1466" spans="1:48">
      <c r="A1466">
        <v>8421</v>
      </c>
      <c r="C1466" s="107">
        <f>VLOOKUP(8421,收盤價!$A:$C,3,0)</f>
        <v>19.899999999999999</v>
      </c>
      <c r="D1466" s="107">
        <f t="shared" si="242"/>
        <v>11.106037544393708</v>
      </c>
      <c r="E1466" s="167">
        <f t="shared" si="243"/>
        <v>4</v>
      </c>
      <c r="F1466" s="104">
        <f t="shared" si="244"/>
        <v>0.72064034280656952</v>
      </c>
      <c r="G1466" s="167">
        <f>RANK(1.94,AE:AE,0)</f>
        <v>435</v>
      </c>
      <c r="H1466" s="365">
        <f t="shared" si="245"/>
        <v>0.34945054945054932</v>
      </c>
      <c r="I1466" s="213">
        <f t="shared" si="246"/>
        <v>449</v>
      </c>
      <c r="J1466" s="213">
        <f t="shared" si="247"/>
        <v>373</v>
      </c>
      <c r="K1466">
        <f>RANK(1.9,AI:AI,0)</f>
        <v>379</v>
      </c>
      <c r="L1466" s="357">
        <v>1</v>
      </c>
      <c r="M1466" s="357">
        <v>1</v>
      </c>
      <c r="N1466" s="357">
        <v>1</v>
      </c>
      <c r="O1466" s="357">
        <v>1</v>
      </c>
      <c r="P1466" s="357">
        <v>0</v>
      </c>
      <c r="Q1466" s="358">
        <v>0.25225225225225223</v>
      </c>
      <c r="R1466" s="359">
        <v>0.44795454545454544</v>
      </c>
      <c r="S1466" s="196">
        <v>1256452000</v>
      </c>
      <c r="T1466" s="196">
        <v>45500000</v>
      </c>
      <c r="U1466" s="200">
        <f t="shared" si="248"/>
        <v>905449999.99999988</v>
      </c>
      <c r="V1466" s="196">
        <v>35000000</v>
      </c>
      <c r="W1466" s="196">
        <v>100000000</v>
      </c>
      <c r="X1466" s="196">
        <v>953000000</v>
      </c>
      <c r="Y1466" s="196">
        <v>639000000</v>
      </c>
      <c r="Z1466" s="196">
        <v>451000000</v>
      </c>
      <c r="AA1466" s="198">
        <v>0.03</v>
      </c>
      <c r="AB1466" s="198">
        <v>0.03</v>
      </c>
      <c r="AC1466" s="213">
        <f t="shared" si="249"/>
        <v>469</v>
      </c>
      <c r="AD1466" s="213">
        <f t="shared" si="250"/>
        <v>334</v>
      </c>
      <c r="AE1466" s="213">
        <v>1.94</v>
      </c>
      <c r="AF1466" s="196">
        <v>53000000</v>
      </c>
      <c r="AG1466" s="104">
        <f t="shared" si="251"/>
        <v>1.1648351648351649</v>
      </c>
      <c r="AH1466" s="104">
        <f t="shared" si="252"/>
        <v>1.5142857142857142</v>
      </c>
      <c r="AI1466" s="195">
        <v>1.9</v>
      </c>
    </row>
    <row r="1467" spans="1:48">
      <c r="A1467">
        <v>8422</v>
      </c>
      <c r="C1467" s="107">
        <f>VLOOKUP(8422,收盤價!$A:$C,3,0)</f>
        <v>174</v>
      </c>
      <c r="D1467" s="107">
        <f t="shared" si="242"/>
        <v>12.853487102497612</v>
      </c>
      <c r="E1467" s="167">
        <f t="shared" si="243"/>
        <v>2</v>
      </c>
      <c r="F1467" s="104">
        <f t="shared" si="244"/>
        <v>5.9275743918625752</v>
      </c>
      <c r="G1467" s="167">
        <f>RANK(21.64,AE:AE,0)</f>
        <v>33</v>
      </c>
      <c r="H1467" s="365">
        <f t="shared" si="245"/>
        <v>-2.1205282097498932</v>
      </c>
      <c r="I1467" s="213">
        <f t="shared" si="246"/>
        <v>131</v>
      </c>
      <c r="J1467" s="213">
        <f t="shared" si="247"/>
        <v>621</v>
      </c>
      <c r="K1467">
        <f>RANK(2.07,AI:AI,0)</f>
        <v>317</v>
      </c>
      <c r="L1467" s="357">
        <v>0</v>
      </c>
      <c r="M1467" s="357">
        <v>1</v>
      </c>
      <c r="N1467" s="357">
        <v>0</v>
      </c>
      <c r="O1467" s="357">
        <v>1</v>
      </c>
      <c r="P1467" s="357">
        <v>0</v>
      </c>
      <c r="Q1467" s="358">
        <v>0.59592326139088725</v>
      </c>
      <c r="R1467" s="359">
        <v>3.3842956120092378</v>
      </c>
      <c r="S1467" s="196">
        <v>3196687000</v>
      </c>
      <c r="T1467" s="196">
        <v>108900000</v>
      </c>
      <c r="U1467" s="200">
        <f t="shared" si="248"/>
        <v>18948600000</v>
      </c>
      <c r="V1467" s="196">
        <v>431000000</v>
      </c>
      <c r="W1467" s="196">
        <v>2226000000</v>
      </c>
      <c r="X1467" s="196">
        <v>1668000000</v>
      </c>
      <c r="Y1467" s="196">
        <v>4620000000</v>
      </c>
      <c r="Z1467" s="196">
        <v>0</v>
      </c>
      <c r="AA1467" s="198">
        <v>0.11</v>
      </c>
      <c r="AB1467" s="198">
        <v>0.09</v>
      </c>
      <c r="AC1467" s="213">
        <f t="shared" si="249"/>
        <v>40</v>
      </c>
      <c r="AD1467" s="213">
        <f t="shared" si="250"/>
        <v>32</v>
      </c>
      <c r="AE1467" s="213">
        <v>21.64</v>
      </c>
      <c r="AF1467" s="196">
        <v>309000000</v>
      </c>
      <c r="AG1467" s="104">
        <f t="shared" si="251"/>
        <v>2.837465564738292</v>
      </c>
      <c r="AH1467" s="104">
        <f t="shared" si="252"/>
        <v>0.71693735498839906</v>
      </c>
      <c r="AI1467" s="195">
        <v>2.0699999999999998</v>
      </c>
      <c r="AO1467" s="213"/>
      <c r="AP1467" s="213"/>
      <c r="AQ1467" s="213"/>
      <c r="AR1467" s="213"/>
      <c r="AS1467" s="213"/>
      <c r="AT1467" s="213"/>
      <c r="AU1467" s="213"/>
      <c r="AV1467" s="213"/>
    </row>
    <row r="1468" spans="1:48">
      <c r="A1468">
        <v>8423</v>
      </c>
      <c r="C1468" s="107">
        <f>VLOOKUP(8423,收盤價!$A:$C,3,0)</f>
        <v>0</v>
      </c>
      <c r="D1468" s="107">
        <f t="shared" si="242"/>
        <v>0</v>
      </c>
      <c r="E1468" s="167">
        <f t="shared" si="243"/>
        <v>2</v>
      </c>
      <c r="F1468" s="104">
        <f t="shared" si="244"/>
        <v>0</v>
      </c>
      <c r="G1468" s="167">
        <f>RANK(1.24,AE:AE,0)</f>
        <v>704</v>
      </c>
      <c r="H1468" s="365">
        <f t="shared" si="245"/>
        <v>0.79629629629629639</v>
      </c>
      <c r="I1468" s="213">
        <f t="shared" si="246"/>
        <v>819</v>
      </c>
      <c r="J1468" s="213">
        <f t="shared" si="247"/>
        <v>478</v>
      </c>
      <c r="K1468">
        <f>RANK(1.2,AI:AI,0)</f>
        <v>733</v>
      </c>
      <c r="L1468" s="357">
        <v>0</v>
      </c>
      <c r="M1468" s="357">
        <v>1</v>
      </c>
      <c r="N1468" s="357">
        <v>1</v>
      </c>
      <c r="O1468" s="357">
        <v>0</v>
      </c>
      <c r="P1468" s="357">
        <v>0</v>
      </c>
      <c r="Q1468" s="358">
        <v>0.25806451612903225</v>
      </c>
      <c r="R1468" s="359">
        <v>0.15000000000000002</v>
      </c>
      <c r="S1468" s="196">
        <v>252223000</v>
      </c>
      <c r="T1468" s="196">
        <v>18900000</v>
      </c>
      <c r="U1468" s="200">
        <f t="shared" si="248"/>
        <v>0</v>
      </c>
      <c r="V1468" s="196">
        <v>6000000</v>
      </c>
      <c r="W1468" s="196">
        <v>89000000</v>
      </c>
      <c r="X1468" s="196">
        <v>396000000</v>
      </c>
      <c r="Y1468" s="196">
        <v>279000000</v>
      </c>
      <c r="Z1468" s="196">
        <v>45000000</v>
      </c>
      <c r="AA1468" s="198">
        <v>0.01</v>
      </c>
      <c r="AB1468" s="198">
        <v>0.02</v>
      </c>
      <c r="AC1468" s="213">
        <f t="shared" si="249"/>
        <v>769</v>
      </c>
      <c r="AD1468" s="213">
        <f t="shared" si="250"/>
        <v>487</v>
      </c>
      <c r="AE1468" s="213">
        <v>1.24</v>
      </c>
      <c r="AF1468" s="196">
        <v>7000000</v>
      </c>
      <c r="AG1468" s="104">
        <f t="shared" si="251"/>
        <v>0.37037037037037035</v>
      </c>
      <c r="AH1468" s="104">
        <f t="shared" si="252"/>
        <v>1.1666666666666667</v>
      </c>
      <c r="AI1468" s="195">
        <v>1.2</v>
      </c>
    </row>
    <row r="1469" spans="1:48">
      <c r="A1469">
        <v>8424</v>
      </c>
      <c r="C1469" s="107">
        <f>VLOOKUP(8424,收盤價!$A:$C,3,0)</f>
        <v>33.799999999999997</v>
      </c>
      <c r="D1469" s="107">
        <f t="shared" si="242"/>
        <v>9.3888888888888875</v>
      </c>
      <c r="E1469" s="167">
        <f t="shared" si="243"/>
        <v>1</v>
      </c>
      <c r="F1469" s="104">
        <f t="shared" si="244"/>
        <v>1.400623759569039</v>
      </c>
      <c r="G1469" s="167">
        <f>RANK(3.92,AE:AE,0)</f>
        <v>209</v>
      </c>
      <c r="H1469" s="365">
        <f t="shared" si="245"/>
        <v>-1.9456536077034708E-2</v>
      </c>
      <c r="I1469" s="213">
        <f t="shared" si="246"/>
        <v>970</v>
      </c>
      <c r="J1469" s="213">
        <f t="shared" si="247"/>
        <v>751</v>
      </c>
      <c r="K1469">
        <f>RANK(0.91,AI:AI,0)</f>
        <v>974</v>
      </c>
      <c r="L1469" s="357">
        <v>0</v>
      </c>
      <c r="M1469" s="357">
        <v>1</v>
      </c>
      <c r="N1469" s="357">
        <v>0</v>
      </c>
      <c r="O1469" s="357">
        <v>0</v>
      </c>
      <c r="P1469" s="357">
        <v>0</v>
      </c>
      <c r="Q1469" s="358">
        <v>0.26991150442477874</v>
      </c>
      <c r="R1469" s="359">
        <v>0.9</v>
      </c>
      <c r="S1469" s="196">
        <v>871169000</v>
      </c>
      <c r="T1469" s="196">
        <v>36100000</v>
      </c>
      <c r="U1469" s="200">
        <f t="shared" si="248"/>
        <v>1220180000</v>
      </c>
      <c r="V1469" s="196">
        <v>42000000</v>
      </c>
      <c r="W1469" s="196">
        <v>497000000</v>
      </c>
      <c r="X1469" s="196">
        <v>289000000</v>
      </c>
      <c r="Y1469" s="196">
        <v>847000000</v>
      </c>
      <c r="Z1469" s="196">
        <v>0</v>
      </c>
      <c r="AA1469" s="198">
        <v>0.05</v>
      </c>
      <c r="AB1469" s="198">
        <v>0.05</v>
      </c>
      <c r="AC1469" s="213">
        <f t="shared" si="249"/>
        <v>247</v>
      </c>
      <c r="AD1469" s="213">
        <f t="shared" si="250"/>
        <v>150</v>
      </c>
      <c r="AE1469" s="213">
        <v>3.92</v>
      </c>
      <c r="AF1469" s="196">
        <v>5000000</v>
      </c>
      <c r="AG1469" s="104">
        <f t="shared" si="251"/>
        <v>0.13850415512465375</v>
      </c>
      <c r="AH1469" s="104">
        <f t="shared" si="252"/>
        <v>0.11904761904761904</v>
      </c>
      <c r="AI1469" s="195">
        <v>0.91</v>
      </c>
    </row>
    <row r="1470" spans="1:48">
      <c r="A1470">
        <v>8426</v>
      </c>
      <c r="C1470" s="107">
        <f>VLOOKUP(8426,收盤價!$A:$C,3,0)</f>
        <v>49.7</v>
      </c>
      <c r="D1470" s="107">
        <f t="shared" si="242"/>
        <v>6.5248364325068877</v>
      </c>
      <c r="E1470" s="167">
        <f t="shared" si="243"/>
        <v>4</v>
      </c>
      <c r="F1470" s="104">
        <f t="shared" si="244"/>
        <v>1.1818139747381853</v>
      </c>
      <c r="G1470" s="167">
        <f>RANK(48.69,AE:AE,0)</f>
        <v>8</v>
      </c>
      <c r="H1470" s="365">
        <f t="shared" si="245"/>
        <v>-2.7788213906983792</v>
      </c>
      <c r="I1470" s="213">
        <f t="shared" si="246"/>
        <v>50</v>
      </c>
      <c r="J1470" s="213">
        <f t="shared" si="247"/>
        <v>302</v>
      </c>
      <c r="K1470">
        <f>RANK(4.43,AI:AI,0)</f>
        <v>86</v>
      </c>
      <c r="L1470" s="357">
        <v>1</v>
      </c>
      <c r="M1470" s="357">
        <v>1</v>
      </c>
      <c r="N1470" s="357">
        <v>1</v>
      </c>
      <c r="O1470" s="357">
        <v>1</v>
      </c>
      <c r="P1470" s="357">
        <v>0</v>
      </c>
      <c r="Q1470" s="358">
        <v>0.38160136286201024</v>
      </c>
      <c r="R1470" s="359">
        <v>1.9042622950819672</v>
      </c>
      <c r="S1470" s="196">
        <v>2031208000</v>
      </c>
      <c r="T1470" s="196">
        <v>48300000</v>
      </c>
      <c r="U1470" s="200">
        <f t="shared" si="248"/>
        <v>2400510000</v>
      </c>
      <c r="V1470" s="196">
        <v>123000000</v>
      </c>
      <c r="W1470" s="196">
        <v>438000000</v>
      </c>
      <c r="X1470" s="196">
        <v>537000000</v>
      </c>
      <c r="Y1470" s="196">
        <v>1007000000</v>
      </c>
      <c r="Z1470" s="196">
        <v>37000000</v>
      </c>
      <c r="AA1470" s="198">
        <v>0.13</v>
      </c>
      <c r="AB1470" s="198">
        <v>0.12</v>
      </c>
      <c r="AC1470" s="213">
        <f t="shared" si="249"/>
        <v>26</v>
      </c>
      <c r="AD1470" s="213">
        <f t="shared" si="250"/>
        <v>6</v>
      </c>
      <c r="AE1470" s="213">
        <v>48.69</v>
      </c>
      <c r="AF1470" s="196">
        <v>221000000</v>
      </c>
      <c r="AG1470" s="104">
        <f t="shared" si="251"/>
        <v>4.5755693581780541</v>
      </c>
      <c r="AH1470" s="104">
        <f t="shared" si="252"/>
        <v>1.7967479674796747</v>
      </c>
      <c r="AI1470" s="195">
        <v>4.43</v>
      </c>
    </row>
    <row r="1471" spans="1:48">
      <c r="A1471">
        <v>8427</v>
      </c>
      <c r="C1471" s="107">
        <f>VLOOKUP(8427,收盤價!$A:$C,3,0)</f>
        <v>69.5</v>
      </c>
      <c r="D1471" s="107">
        <f t="shared" si="242"/>
        <v>3.5531697341513295</v>
      </c>
      <c r="E1471" s="167">
        <f t="shared" si="243"/>
        <v>2</v>
      </c>
      <c r="F1471" s="104">
        <f t="shared" si="244"/>
        <v>1.4384967883689106</v>
      </c>
      <c r="G1471" s="167">
        <f>RANK(0.84,AE:AE,0)</f>
        <v>946</v>
      </c>
      <c r="H1471" s="365">
        <f t="shared" si="245"/>
        <v>8.0249280920421864</v>
      </c>
      <c r="I1471" s="213">
        <f t="shared" si="246"/>
        <v>1551</v>
      </c>
      <c r="J1471" s="213">
        <f t="shared" si="247"/>
        <v>768</v>
      </c>
      <c r="K1471">
        <f>RANK(0.67,AI:AI,0)</f>
        <v>1541</v>
      </c>
      <c r="L1471" s="357">
        <v>1</v>
      </c>
      <c r="M1471" s="357">
        <v>1</v>
      </c>
      <c r="N1471" s="357">
        <v>0</v>
      </c>
      <c r="O1471" s="357">
        <v>0</v>
      </c>
      <c r="P1471" s="357">
        <v>0</v>
      </c>
      <c r="Q1471" s="358">
        <v>0.23561643835616439</v>
      </c>
      <c r="R1471" s="359">
        <v>4.8899999999999997</v>
      </c>
      <c r="S1471" s="196">
        <v>5039184000</v>
      </c>
      <c r="T1471" s="196">
        <v>104300000</v>
      </c>
      <c r="U1471" s="200">
        <f t="shared" si="248"/>
        <v>7248850000</v>
      </c>
      <c r="V1471" s="196">
        <v>0</v>
      </c>
      <c r="W1471" s="196">
        <v>3060000000</v>
      </c>
      <c r="X1471" s="196">
        <v>1567000000</v>
      </c>
      <c r="Y1471" s="196">
        <v>4809000000</v>
      </c>
      <c r="Z1471" s="196">
        <v>151000000</v>
      </c>
      <c r="AA1471" s="198">
        <v>0</v>
      </c>
      <c r="AB1471" s="198">
        <v>0</v>
      </c>
      <c r="AC1471" s="213">
        <f t="shared" si="249"/>
        <v>945</v>
      </c>
      <c r="AD1471" s="213">
        <f t="shared" si="250"/>
        <v>911</v>
      </c>
      <c r="AE1471" s="213">
        <v>0.84</v>
      </c>
      <c r="AF1471" s="196">
        <v>-837000000</v>
      </c>
      <c r="AG1471" s="104">
        <f t="shared" si="251"/>
        <v>-8.0249280920421864</v>
      </c>
      <c r="AH1471" s="104">
        <f t="shared" si="252"/>
        <v>0</v>
      </c>
      <c r="AI1471" s="195">
        <v>0.67</v>
      </c>
    </row>
    <row r="1472" spans="1:48">
      <c r="A1472">
        <v>8429</v>
      </c>
      <c r="C1472" s="107">
        <f>VLOOKUP(8429,收盤價!$A:$C,3,0)</f>
        <v>39</v>
      </c>
      <c r="D1472" s="107">
        <f t="shared" si="242"/>
        <v>4.3608279592261283</v>
      </c>
      <c r="E1472" s="167">
        <f t="shared" si="243"/>
        <v>4</v>
      </c>
      <c r="F1472" s="104">
        <f t="shared" si="244"/>
        <v>0.88344216023346001</v>
      </c>
      <c r="G1472" s="167">
        <f>RANK(7.87,AE:AE,0)</f>
        <v>100</v>
      </c>
      <c r="H1472" s="365">
        <f t="shared" si="245"/>
        <v>-0.49327831192036081</v>
      </c>
      <c r="I1472" s="213">
        <f t="shared" si="246"/>
        <v>650</v>
      </c>
      <c r="J1472" s="213">
        <f t="shared" si="247"/>
        <v>737</v>
      </c>
      <c r="K1472">
        <f>RANK(1.12,AI:AI,0)</f>
        <v>782</v>
      </c>
      <c r="L1472" s="357">
        <v>0</v>
      </c>
      <c r="M1472" s="357">
        <v>1</v>
      </c>
      <c r="N1472" s="357">
        <v>2</v>
      </c>
      <c r="O1472" s="357">
        <v>1</v>
      </c>
      <c r="P1472" s="357">
        <v>0</v>
      </c>
      <c r="Q1472" s="358">
        <v>0.3527902501603592</v>
      </c>
      <c r="R1472" s="359">
        <v>2.2358139534883721</v>
      </c>
      <c r="S1472" s="196">
        <v>5685941000</v>
      </c>
      <c r="T1472" s="196">
        <v>128800000</v>
      </c>
      <c r="U1472" s="200">
        <f t="shared" si="248"/>
        <v>5023200000</v>
      </c>
      <c r="V1472" s="196">
        <v>438000000</v>
      </c>
      <c r="W1472" s="196">
        <v>5621000000</v>
      </c>
      <c r="X1472" s="196">
        <v>735000000</v>
      </c>
      <c r="Y1472" s="196">
        <v>6083000000</v>
      </c>
      <c r="Z1472" s="196">
        <v>484000000</v>
      </c>
      <c r="AA1472" s="198">
        <v>7.0000000000000007E-2</v>
      </c>
      <c r="AB1472" s="198">
        <v>7.0000000000000007E-2</v>
      </c>
      <c r="AC1472" s="213">
        <f t="shared" si="249"/>
        <v>134</v>
      </c>
      <c r="AD1472" s="213">
        <f t="shared" si="250"/>
        <v>64</v>
      </c>
      <c r="AE1472" s="213">
        <v>7.87</v>
      </c>
      <c r="AF1472" s="196">
        <v>90000000</v>
      </c>
      <c r="AG1472" s="104">
        <f t="shared" si="251"/>
        <v>0.69875776397515532</v>
      </c>
      <c r="AH1472" s="104">
        <f t="shared" si="252"/>
        <v>0.20547945205479451</v>
      </c>
      <c r="AI1472" s="195">
        <v>1.1200000000000001</v>
      </c>
    </row>
    <row r="1473" spans="1:48">
      <c r="A1473">
        <v>8431</v>
      </c>
      <c r="C1473" s="107">
        <f>VLOOKUP(8431,收盤價!$A:$C,3,0)</f>
        <v>60.6</v>
      </c>
      <c r="D1473" s="107">
        <f t="shared" si="242"/>
        <v>0</v>
      </c>
      <c r="E1473" s="167">
        <f t="shared" si="243"/>
        <v>3</v>
      </c>
      <c r="F1473" s="104">
        <f t="shared" si="244"/>
        <v>3.8588256454366516</v>
      </c>
      <c r="G1473" s="167">
        <f>RANK(0.54,AE:AE,0)</f>
        <v>1453</v>
      </c>
      <c r="H1473" s="365">
        <f t="shared" si="245"/>
        <v>-0.27334851936218679</v>
      </c>
      <c r="I1473" s="213">
        <f t="shared" si="246"/>
        <v>877</v>
      </c>
      <c r="J1473" s="213">
        <f t="shared" si="247"/>
        <v>768</v>
      </c>
      <c r="K1473">
        <f>RANK(0.95,AI:AI,0)</f>
        <v>930</v>
      </c>
      <c r="L1473" s="357">
        <v>0</v>
      </c>
      <c r="M1473" s="357">
        <v>1</v>
      </c>
      <c r="N1473" s="357">
        <v>1</v>
      </c>
      <c r="O1473" s="357">
        <v>1</v>
      </c>
      <c r="P1473" s="357">
        <v>0</v>
      </c>
      <c r="Q1473" s="358">
        <v>-0.10191082802547771</v>
      </c>
      <c r="R1473" s="359">
        <v>0</v>
      </c>
      <c r="S1473" s="196">
        <v>689417000</v>
      </c>
      <c r="T1473" s="196">
        <v>43900000</v>
      </c>
      <c r="U1473" s="200">
        <f t="shared" si="248"/>
        <v>2660340000</v>
      </c>
      <c r="V1473" s="196">
        <v>-36000000</v>
      </c>
      <c r="W1473" s="196">
        <v>504000000</v>
      </c>
      <c r="X1473" s="196">
        <v>497000000</v>
      </c>
      <c r="Y1473" s="196">
        <v>1084000000</v>
      </c>
      <c r="Z1473" s="196">
        <v>85000000</v>
      </c>
      <c r="AA1473" s="198">
        <v>-0.04</v>
      </c>
      <c r="AB1473" s="198">
        <v>-0.03</v>
      </c>
      <c r="AC1473" s="213">
        <f t="shared" si="249"/>
        <v>1444</v>
      </c>
      <c r="AD1473" s="213">
        <f t="shared" si="250"/>
        <v>1444</v>
      </c>
      <c r="AE1473" s="213">
        <v>0.54</v>
      </c>
      <c r="AF1473" s="196">
        <v>12000000</v>
      </c>
      <c r="AG1473" s="104">
        <f t="shared" si="251"/>
        <v>0.27334851936218679</v>
      </c>
      <c r="AH1473" s="104">
        <f t="shared" si="252"/>
        <v>0</v>
      </c>
      <c r="AI1473" s="195">
        <v>0.95</v>
      </c>
    </row>
    <row r="1474" spans="1:48">
      <c r="A1474">
        <v>8432</v>
      </c>
      <c r="C1474" s="107">
        <f>VLOOKUP(8432,收盤價!$A:$C,3,0)</f>
        <v>78.400000000000006</v>
      </c>
      <c r="D1474" s="107">
        <f t="shared" ref="D1474:D1537" si="253">IF(AND(ISNUMBER(C1474),R1474&gt;0),C1474/(R1474*4),0)</f>
        <v>54.276923076923083</v>
      </c>
      <c r="E1474" s="167">
        <f t="shared" ref="E1474:E1537" si="254">SUM(L1474:P1474)</f>
        <v>5</v>
      </c>
      <c r="F1474" s="104">
        <f t="shared" ref="F1474:F1537" si="255">IF(AND(ISNUMBER(U1474),ISNUMBER(S1474)),U1474/S1474,0)</f>
        <v>6.1406539701835943</v>
      </c>
      <c r="G1474" s="167">
        <f>RANK(1.2,AE:AE,0)</f>
        <v>710</v>
      </c>
      <c r="H1474" s="365">
        <f t="shared" ref="H1474:H1537" si="256">AH1474-AG1474</f>
        <v>1.828125</v>
      </c>
      <c r="I1474" s="213">
        <f t="shared" ref="I1474:I1537" si="257">RANK(AG1474,AG:AG)</f>
        <v>443</v>
      </c>
      <c r="J1474" s="213">
        <f t="shared" ref="J1474:J1537" si="258">RANK(AH1474,AH:AH)</f>
        <v>157</v>
      </c>
      <c r="K1474">
        <f>RANK(2.6,AI:AI,0)</f>
        <v>216</v>
      </c>
      <c r="L1474" s="357">
        <v>1</v>
      </c>
      <c r="M1474" s="357">
        <v>1</v>
      </c>
      <c r="N1474" s="357">
        <v>2</v>
      </c>
      <c r="O1474" s="357">
        <v>1</v>
      </c>
      <c r="P1474" s="357">
        <v>0</v>
      </c>
      <c r="Q1474" s="358">
        <v>0.65942028985507251</v>
      </c>
      <c r="R1474" s="359">
        <v>0.3611111111111111</v>
      </c>
      <c r="S1474" s="196">
        <v>490267000</v>
      </c>
      <c r="T1474" s="196">
        <v>38400000</v>
      </c>
      <c r="U1474" s="200">
        <f t="shared" ref="U1474:U1537" si="259">C1474*T1474</f>
        <v>3010560000</v>
      </c>
      <c r="V1474" s="196">
        <v>15000000</v>
      </c>
      <c r="W1474" s="196">
        <v>925000000</v>
      </c>
      <c r="X1474" s="196">
        <v>23000000</v>
      </c>
      <c r="Y1474" s="196">
        <v>1302000000</v>
      </c>
      <c r="Z1474" s="196">
        <v>0</v>
      </c>
      <c r="AA1474" s="198">
        <v>0.02</v>
      </c>
      <c r="AB1474" s="198">
        <v>0.01</v>
      </c>
      <c r="AC1474" s="213">
        <f t="shared" ref="AC1474:AC1537" si="260">RANK(AA1474,AA:AA)</f>
        <v>616</v>
      </c>
      <c r="AD1474" s="213">
        <f t="shared" ref="AD1474:AD1537" si="261">RANK(AB1474,AB:AB)</f>
        <v>680</v>
      </c>
      <c r="AE1474" s="213">
        <v>1.2</v>
      </c>
      <c r="AF1474" s="196">
        <v>45000000</v>
      </c>
      <c r="AG1474" s="104">
        <f t="shared" ref="AG1474:AG1537" si="262">AF1474/T1474</f>
        <v>1.171875</v>
      </c>
      <c r="AH1474" s="104">
        <f t="shared" ref="AH1474:AH1537" si="263">IF(AND(AF1474&gt;0,V1474&gt;0),AF1474/V1474,0)</f>
        <v>3</v>
      </c>
      <c r="AI1474" s="195">
        <v>2.6</v>
      </c>
    </row>
    <row r="1475" spans="1:48">
      <c r="A1475">
        <v>8433</v>
      </c>
      <c r="C1475" s="107">
        <f>VLOOKUP(8433,收盤價!$A:$C,3,0)</f>
        <v>171.5</v>
      </c>
      <c r="D1475" s="107">
        <f t="shared" si="253"/>
        <v>27.185235507246375</v>
      </c>
      <c r="E1475" s="167">
        <f t="shared" si="254"/>
        <v>2</v>
      </c>
      <c r="F1475" s="104">
        <f t="shared" si="255"/>
        <v>3.3798028595075196</v>
      </c>
      <c r="G1475" s="167">
        <f>RANK(22.91,AE:AE,0)</f>
        <v>28</v>
      </c>
      <c r="H1475" s="365">
        <f t="shared" si="256"/>
        <v>0.57034220532319391</v>
      </c>
      <c r="I1475" s="213">
        <f t="shared" si="257"/>
        <v>1371</v>
      </c>
      <c r="J1475" s="213">
        <f t="shared" si="258"/>
        <v>768</v>
      </c>
      <c r="K1475">
        <f>RANK(0.73,AI:AI,0)</f>
        <v>1352</v>
      </c>
      <c r="L1475" s="357">
        <v>0</v>
      </c>
      <c r="M1475" s="357">
        <v>1</v>
      </c>
      <c r="N1475" s="357">
        <v>1</v>
      </c>
      <c r="O1475" s="357">
        <v>0</v>
      </c>
      <c r="P1475" s="357">
        <v>0</v>
      </c>
      <c r="Q1475" s="358">
        <v>0.23031203566121841</v>
      </c>
      <c r="R1475" s="359">
        <v>1.5771428571428572</v>
      </c>
      <c r="S1475" s="196">
        <v>2669061000</v>
      </c>
      <c r="T1475" s="196">
        <v>52600000</v>
      </c>
      <c r="U1475" s="200">
        <f t="shared" si="259"/>
        <v>9020900000</v>
      </c>
      <c r="V1475" s="196">
        <v>92000000</v>
      </c>
      <c r="W1475" s="196">
        <v>522000000</v>
      </c>
      <c r="X1475" s="196">
        <v>186000000</v>
      </c>
      <c r="Y1475" s="196">
        <v>1175000000</v>
      </c>
      <c r="Z1475" s="196">
        <v>0</v>
      </c>
      <c r="AA1475" s="198">
        <v>0.13</v>
      </c>
      <c r="AB1475" s="198">
        <v>0.08</v>
      </c>
      <c r="AC1475" s="213">
        <f t="shared" si="260"/>
        <v>26</v>
      </c>
      <c r="AD1475" s="213">
        <f t="shared" si="261"/>
        <v>42</v>
      </c>
      <c r="AE1475" s="213">
        <v>22.91</v>
      </c>
      <c r="AF1475" s="196">
        <v>-30000000</v>
      </c>
      <c r="AG1475" s="104">
        <f t="shared" si="262"/>
        <v>-0.57034220532319391</v>
      </c>
      <c r="AH1475" s="104">
        <f t="shared" si="263"/>
        <v>0</v>
      </c>
      <c r="AI1475" s="195">
        <v>0.73</v>
      </c>
    </row>
    <row r="1476" spans="1:48">
      <c r="A1476">
        <v>8435</v>
      </c>
      <c r="C1476" s="107">
        <f>VLOOKUP(8435,收盤價!$A:$C,3,0)</f>
        <v>40.75</v>
      </c>
      <c r="D1476" s="107">
        <f t="shared" si="253"/>
        <v>13.456682206682206</v>
      </c>
      <c r="E1476" s="167">
        <f t="shared" si="254"/>
        <v>3</v>
      </c>
      <c r="F1476" s="104">
        <f t="shared" si="255"/>
        <v>2.0277609901969247</v>
      </c>
      <c r="G1476" s="167">
        <f>RANK(3.92,AE:AE,0)</f>
        <v>209</v>
      </c>
      <c r="H1476" s="365">
        <f t="shared" si="256"/>
        <v>-3.7281330656725009E-2</v>
      </c>
      <c r="I1476" s="213">
        <f t="shared" si="257"/>
        <v>541</v>
      </c>
      <c r="J1476" s="213">
        <f t="shared" si="258"/>
        <v>557</v>
      </c>
      <c r="K1476">
        <f>RANK(1.42,AI:AI,0)</f>
        <v>606</v>
      </c>
      <c r="L1476" s="357">
        <v>0</v>
      </c>
      <c r="M1476" s="357">
        <v>1</v>
      </c>
      <c r="N1476" s="357">
        <v>1</v>
      </c>
      <c r="O1476" s="357">
        <v>1</v>
      </c>
      <c r="P1476" s="357">
        <v>0</v>
      </c>
      <c r="Q1476" s="358">
        <v>0.56470588235294117</v>
      </c>
      <c r="R1476" s="359">
        <v>0.75705882352941178</v>
      </c>
      <c r="S1476" s="196">
        <v>637045000</v>
      </c>
      <c r="T1476" s="196">
        <v>31700000</v>
      </c>
      <c r="U1476" s="200">
        <f t="shared" si="259"/>
        <v>1291775000</v>
      </c>
      <c r="V1476" s="196">
        <v>33000000</v>
      </c>
      <c r="W1476" s="196">
        <v>464000000</v>
      </c>
      <c r="X1476" s="196">
        <v>200000000</v>
      </c>
      <c r="Y1476" s="196">
        <v>684000000</v>
      </c>
      <c r="Z1476" s="196">
        <v>0</v>
      </c>
      <c r="AA1476" s="198">
        <v>0.05</v>
      </c>
      <c r="AB1476" s="198">
        <v>0.05</v>
      </c>
      <c r="AC1476" s="213">
        <f t="shared" si="260"/>
        <v>247</v>
      </c>
      <c r="AD1476" s="213">
        <f t="shared" si="261"/>
        <v>150</v>
      </c>
      <c r="AE1476" s="213">
        <v>3.92</v>
      </c>
      <c r="AF1476" s="196">
        <v>30000000</v>
      </c>
      <c r="AG1476" s="104">
        <f t="shared" si="262"/>
        <v>0.94637223974763407</v>
      </c>
      <c r="AH1476" s="104">
        <f t="shared" si="263"/>
        <v>0.90909090909090906</v>
      </c>
      <c r="AI1476" s="195">
        <v>1.42</v>
      </c>
    </row>
    <row r="1477" spans="1:48">
      <c r="A1477">
        <v>8436</v>
      </c>
      <c r="C1477" s="107">
        <f>VLOOKUP(8436,收盤價!$A:$C,3,0)</f>
        <v>165</v>
      </c>
      <c r="D1477" s="107">
        <f t="shared" si="253"/>
        <v>24.669329491880564</v>
      </c>
      <c r="E1477" s="167">
        <f t="shared" si="254"/>
        <v>4</v>
      </c>
      <c r="F1477" s="104">
        <f t="shared" si="255"/>
        <v>4.170583665384763</v>
      </c>
      <c r="G1477" s="167">
        <f>RANK(4.81,AE:AE,0)</f>
        <v>170</v>
      </c>
      <c r="H1477" s="365">
        <f t="shared" si="256"/>
        <v>-2.4791842201914145</v>
      </c>
      <c r="I1477" s="213">
        <f t="shared" si="257"/>
        <v>44</v>
      </c>
      <c r="J1477" s="213">
        <f t="shared" si="258"/>
        <v>218</v>
      </c>
      <c r="K1477">
        <f>RANK(5.95,AI:AI,0)</f>
        <v>47</v>
      </c>
      <c r="L1477" s="357">
        <v>1</v>
      </c>
      <c r="M1477" s="357">
        <v>1</v>
      </c>
      <c r="N1477" s="357">
        <v>1</v>
      </c>
      <c r="O1477" s="357">
        <v>1</v>
      </c>
      <c r="P1477" s="357">
        <v>0</v>
      </c>
      <c r="Q1477" s="358">
        <v>0.39944903581267216</v>
      </c>
      <c r="R1477" s="359">
        <v>1.6721167883211681</v>
      </c>
      <c r="S1477" s="196">
        <v>2634883000</v>
      </c>
      <c r="T1477" s="196">
        <v>66600000</v>
      </c>
      <c r="U1477" s="200">
        <f t="shared" si="259"/>
        <v>10989000000</v>
      </c>
      <c r="V1477" s="196">
        <v>139000000</v>
      </c>
      <c r="W1477" s="196">
        <v>1147000000</v>
      </c>
      <c r="X1477" s="196">
        <v>1073000000</v>
      </c>
      <c r="Y1477" s="196">
        <v>2468000000</v>
      </c>
      <c r="Z1477" s="196">
        <v>62000000</v>
      </c>
      <c r="AA1477" s="198">
        <v>0.06</v>
      </c>
      <c r="AB1477" s="198">
        <v>0.05</v>
      </c>
      <c r="AC1477" s="213">
        <f t="shared" si="260"/>
        <v>174</v>
      </c>
      <c r="AD1477" s="213">
        <f t="shared" si="261"/>
        <v>150</v>
      </c>
      <c r="AE1477" s="213">
        <v>4.8099999999999996</v>
      </c>
      <c r="AF1477" s="196">
        <v>317000000</v>
      </c>
      <c r="AG1477" s="104">
        <f t="shared" si="262"/>
        <v>4.7597597597597598</v>
      </c>
      <c r="AH1477" s="104">
        <f t="shared" si="263"/>
        <v>2.2805755395683454</v>
      </c>
      <c r="AI1477" s="195">
        <v>5.95</v>
      </c>
      <c r="AO1477" s="213"/>
      <c r="AP1477" s="213"/>
      <c r="AQ1477" s="213"/>
      <c r="AR1477" s="213"/>
      <c r="AS1477" s="213"/>
      <c r="AT1477" s="213"/>
      <c r="AU1477" s="213"/>
      <c r="AV1477" s="213"/>
    </row>
    <row r="1478" spans="1:48">
      <c r="A1478">
        <v>8437</v>
      </c>
      <c r="C1478" s="107">
        <f>VLOOKUP(8437,收盤價!$A:$C,3,0)</f>
        <v>189</v>
      </c>
      <c r="D1478" s="107">
        <f t="shared" si="253"/>
        <v>23.411541824540951</v>
      </c>
      <c r="E1478" s="167">
        <f t="shared" si="254"/>
        <v>2</v>
      </c>
      <c r="F1478" s="104">
        <f t="shared" si="255"/>
        <v>8.7847075278843736</v>
      </c>
      <c r="G1478" s="167">
        <f>RANK(11.71,AE:AE,0)</f>
        <v>60</v>
      </c>
      <c r="H1478" s="365">
        <f t="shared" si="256"/>
        <v>-2.3227058673794065</v>
      </c>
      <c r="I1478" s="213">
        <f t="shared" si="257"/>
        <v>89</v>
      </c>
      <c r="J1478" s="213">
        <f t="shared" si="258"/>
        <v>480</v>
      </c>
      <c r="K1478">
        <f>RANK(2.74,AI:AI,0)</f>
        <v>194</v>
      </c>
      <c r="L1478" s="357">
        <v>0</v>
      </c>
      <c r="M1478" s="357">
        <v>1</v>
      </c>
      <c r="N1478" s="357">
        <v>0</v>
      </c>
      <c r="O1478" s="357">
        <v>1</v>
      </c>
      <c r="P1478" s="357">
        <v>0</v>
      </c>
      <c r="Q1478" s="358">
        <v>0.87333333333333329</v>
      </c>
      <c r="R1478" s="359">
        <v>2.0182352941176469</v>
      </c>
      <c r="S1478" s="196">
        <v>697075000</v>
      </c>
      <c r="T1478" s="196">
        <v>32400000</v>
      </c>
      <c r="U1478" s="200">
        <f t="shared" si="259"/>
        <v>6123600000</v>
      </c>
      <c r="V1478" s="196">
        <v>97000000</v>
      </c>
      <c r="W1478" s="196">
        <v>1027000000</v>
      </c>
      <c r="X1478" s="196">
        <v>105000000</v>
      </c>
      <c r="Y1478" s="196">
        <v>1458000000</v>
      </c>
      <c r="Z1478" s="196">
        <v>2000000</v>
      </c>
      <c r="AA1478" s="198">
        <v>0.09</v>
      </c>
      <c r="AB1478" s="198">
        <v>7.0000000000000007E-2</v>
      </c>
      <c r="AC1478" s="213">
        <f t="shared" si="260"/>
        <v>69</v>
      </c>
      <c r="AD1478" s="213">
        <f t="shared" si="261"/>
        <v>64</v>
      </c>
      <c r="AE1478" s="213">
        <v>11.71</v>
      </c>
      <c r="AF1478" s="196">
        <v>113000000</v>
      </c>
      <c r="AG1478" s="104">
        <f t="shared" si="262"/>
        <v>3.4876543209876543</v>
      </c>
      <c r="AH1478" s="104">
        <f t="shared" si="263"/>
        <v>1.1649484536082475</v>
      </c>
      <c r="AI1478" s="195">
        <v>2.74</v>
      </c>
    </row>
    <row r="1479" spans="1:48">
      <c r="A1479">
        <v>8443</v>
      </c>
      <c r="C1479" s="107">
        <f>VLOOKUP(8443,收盤價!$A:$C,3,0)</f>
        <v>19.149999999999999</v>
      </c>
      <c r="D1479" s="107">
        <f t="shared" si="253"/>
        <v>76.599999999999994</v>
      </c>
      <c r="E1479" s="167">
        <f t="shared" si="254"/>
        <v>1</v>
      </c>
      <c r="F1479" s="104">
        <f t="shared" si="255"/>
        <v>0.60769593635824237</v>
      </c>
      <c r="G1479" s="167">
        <f>RANK(0.84,AE:AE,0)</f>
        <v>946</v>
      </c>
      <c r="H1479" s="365">
        <f t="shared" si="256"/>
        <v>4.8107784431137723</v>
      </c>
      <c r="I1479" s="213">
        <f t="shared" si="257"/>
        <v>808</v>
      </c>
      <c r="J1479" s="213">
        <f t="shared" si="258"/>
        <v>79</v>
      </c>
      <c r="K1479">
        <f>RANK(1.76,AI:AI,0)</f>
        <v>428</v>
      </c>
      <c r="L1479" s="357">
        <v>0</v>
      </c>
      <c r="M1479" s="357">
        <v>0</v>
      </c>
      <c r="N1479" s="357">
        <v>0</v>
      </c>
      <c r="O1479" s="357">
        <v>1</v>
      </c>
      <c r="P1479" s="357">
        <v>0</v>
      </c>
      <c r="Q1479" s="358">
        <v>0.59063136456211818</v>
      </c>
      <c r="R1479" s="359">
        <v>6.25E-2</v>
      </c>
      <c r="S1479" s="196">
        <v>2105033000</v>
      </c>
      <c r="T1479" s="196">
        <v>66800000</v>
      </c>
      <c r="U1479" s="200">
        <f t="shared" si="259"/>
        <v>1279220000</v>
      </c>
      <c r="V1479" s="196">
        <v>5000000</v>
      </c>
      <c r="W1479" s="196">
        <v>1111000000</v>
      </c>
      <c r="X1479" s="196">
        <v>388000000</v>
      </c>
      <c r="Y1479" s="196">
        <v>1625000000</v>
      </c>
      <c r="Z1479" s="196">
        <v>1000000</v>
      </c>
      <c r="AA1479" s="198">
        <v>0</v>
      </c>
      <c r="AB1479" s="198">
        <v>0</v>
      </c>
      <c r="AC1479" s="213">
        <f t="shared" si="260"/>
        <v>945</v>
      </c>
      <c r="AD1479" s="213">
        <f t="shared" si="261"/>
        <v>911</v>
      </c>
      <c r="AE1479" s="213">
        <v>0.84</v>
      </c>
      <c r="AF1479" s="196">
        <v>26000000</v>
      </c>
      <c r="AG1479" s="104">
        <f t="shared" si="262"/>
        <v>0.38922155688622756</v>
      </c>
      <c r="AH1479" s="104">
        <f t="shared" si="263"/>
        <v>5.2</v>
      </c>
      <c r="AI1479" s="195">
        <v>1.76</v>
      </c>
    </row>
    <row r="1480" spans="1:48">
      <c r="A1480">
        <v>8444</v>
      </c>
      <c r="C1480" s="107">
        <f>VLOOKUP(8444,收盤價!$A:$C,3,0)</f>
        <v>172.5</v>
      </c>
      <c r="D1480" s="107">
        <f t="shared" si="253"/>
        <v>26.785714285714285</v>
      </c>
      <c r="E1480" s="167">
        <f t="shared" si="254"/>
        <v>4</v>
      </c>
      <c r="F1480" s="104">
        <f t="shared" si="255"/>
        <v>5.9807323433694695</v>
      </c>
      <c r="G1480" s="167">
        <f>RANK(0.84,AE:AE,0)</f>
        <v>946</v>
      </c>
      <c r="H1480" s="365">
        <f t="shared" si="256"/>
        <v>-2.7432432432432434</v>
      </c>
      <c r="I1480" s="213">
        <f t="shared" si="257"/>
        <v>141</v>
      </c>
      <c r="J1480" s="213">
        <f t="shared" si="258"/>
        <v>768</v>
      </c>
      <c r="K1480">
        <f>RANK(1.71,AI:AI,0)</f>
        <v>449</v>
      </c>
      <c r="L1480" s="357">
        <v>1</v>
      </c>
      <c r="M1480" s="357">
        <v>0</v>
      </c>
      <c r="N1480" s="357">
        <v>2</v>
      </c>
      <c r="O1480" s="357">
        <v>1</v>
      </c>
      <c r="P1480" s="357">
        <v>0</v>
      </c>
      <c r="Q1480" s="358">
        <v>0.33490566037735847</v>
      </c>
      <c r="R1480" s="359">
        <v>1.61</v>
      </c>
      <c r="S1480" s="196">
        <v>2134354000</v>
      </c>
      <c r="T1480" s="196">
        <v>74000000</v>
      </c>
      <c r="U1480" s="200">
        <f t="shared" si="259"/>
        <v>12765000000</v>
      </c>
      <c r="V1480" s="196">
        <v>0</v>
      </c>
      <c r="W1480" s="196">
        <v>0</v>
      </c>
      <c r="X1480" s="196">
        <v>3847000000</v>
      </c>
      <c r="Y1480" s="196">
        <v>2193000000</v>
      </c>
      <c r="Z1480" s="196">
        <v>1038000000</v>
      </c>
      <c r="AA1480" s="198">
        <v>0</v>
      </c>
      <c r="AB1480" s="198">
        <v>0</v>
      </c>
      <c r="AC1480" s="213">
        <f t="shared" si="260"/>
        <v>945</v>
      </c>
      <c r="AD1480" s="213">
        <f t="shared" si="261"/>
        <v>911</v>
      </c>
      <c r="AE1480" s="213">
        <v>0.84</v>
      </c>
      <c r="AF1480" s="196">
        <v>203000000</v>
      </c>
      <c r="AG1480" s="104">
        <f t="shared" si="262"/>
        <v>2.7432432432432434</v>
      </c>
      <c r="AH1480" s="104">
        <f t="shared" si="263"/>
        <v>0</v>
      </c>
      <c r="AI1480" s="195">
        <v>1.71</v>
      </c>
    </row>
    <row r="1481" spans="1:48">
      <c r="A1481">
        <v>8446</v>
      </c>
      <c r="C1481" s="107">
        <f>VLOOKUP(8446,收盤價!$A:$C,3,0)</f>
        <v>112.5</v>
      </c>
      <c r="D1481" s="107">
        <f t="shared" si="253"/>
        <v>18.505079825834542</v>
      </c>
      <c r="E1481" s="167">
        <f t="shared" si="254"/>
        <v>2</v>
      </c>
      <c r="F1481" s="104">
        <f t="shared" si="255"/>
        <v>3.9399039858081633</v>
      </c>
      <c r="G1481" s="167">
        <f>RANK(23.25,AE:AE,0)</f>
        <v>27</v>
      </c>
      <c r="H1481" s="365">
        <f t="shared" si="256"/>
        <v>-0.31209289153214381</v>
      </c>
      <c r="I1481" s="213">
        <f t="shared" si="257"/>
        <v>569</v>
      </c>
      <c r="J1481" s="213">
        <f t="shared" si="258"/>
        <v>657</v>
      </c>
      <c r="K1481">
        <f>RANK(1.27,AI:AI,0)</f>
        <v>690</v>
      </c>
      <c r="L1481" s="357">
        <v>0</v>
      </c>
      <c r="M1481" s="357">
        <v>1</v>
      </c>
      <c r="N1481" s="357">
        <v>1</v>
      </c>
      <c r="O1481" s="357">
        <v>0</v>
      </c>
      <c r="P1481" s="357">
        <v>0</v>
      </c>
      <c r="Q1481" s="358">
        <v>0.46587537091988129</v>
      </c>
      <c r="R1481" s="359">
        <v>1.5198529411764707</v>
      </c>
      <c r="S1481" s="196">
        <v>1222111000</v>
      </c>
      <c r="T1481" s="196">
        <v>42800000</v>
      </c>
      <c r="U1481" s="200">
        <f t="shared" si="259"/>
        <v>4815000000</v>
      </c>
      <c r="V1481" s="196">
        <v>66000000</v>
      </c>
      <c r="W1481" s="196">
        <v>82000000</v>
      </c>
      <c r="X1481" s="196">
        <v>14000000</v>
      </c>
      <c r="Y1481" s="196">
        <v>950000000</v>
      </c>
      <c r="Z1481" s="196">
        <v>22000000</v>
      </c>
      <c r="AA1481" s="198">
        <v>0.69</v>
      </c>
      <c r="AB1481" s="198">
        <v>7.0000000000000007E-2</v>
      </c>
      <c r="AC1481" s="213">
        <f t="shared" si="260"/>
        <v>3</v>
      </c>
      <c r="AD1481" s="213">
        <f t="shared" si="261"/>
        <v>64</v>
      </c>
      <c r="AE1481" s="213">
        <v>23.25</v>
      </c>
      <c r="AF1481" s="196">
        <v>38000000</v>
      </c>
      <c r="AG1481" s="104">
        <f t="shared" si="262"/>
        <v>0.88785046728971961</v>
      </c>
      <c r="AH1481" s="104">
        <f t="shared" si="263"/>
        <v>0.5757575757575758</v>
      </c>
      <c r="AI1481" s="195">
        <v>1.27</v>
      </c>
    </row>
    <row r="1482" spans="1:48">
      <c r="A1482">
        <v>8450</v>
      </c>
      <c r="C1482" s="107">
        <f>VLOOKUP(8450,收盤價!$A:$C,3,0)</f>
        <v>97.3</v>
      </c>
      <c r="D1482" s="107">
        <f t="shared" si="253"/>
        <v>22.733644859813083</v>
      </c>
      <c r="E1482" s="167">
        <f t="shared" si="254"/>
        <v>2</v>
      </c>
      <c r="F1482" s="104">
        <f t="shared" si="255"/>
        <v>6.3685890602332753</v>
      </c>
      <c r="G1482" s="167">
        <f>RANK(0.84,AE:AE,0)</f>
        <v>946</v>
      </c>
      <c r="H1482" s="365">
        <f t="shared" si="256"/>
        <v>-0.9567198177676538</v>
      </c>
      <c r="I1482" s="213">
        <f t="shared" si="257"/>
        <v>535</v>
      </c>
      <c r="J1482" s="213">
        <f t="shared" si="258"/>
        <v>768</v>
      </c>
      <c r="K1482">
        <f>RANK(1.2,AI:AI,0)</f>
        <v>733</v>
      </c>
      <c r="L1482" s="357">
        <v>0</v>
      </c>
      <c r="M1482" s="357">
        <v>1</v>
      </c>
      <c r="N1482" s="357">
        <v>0</v>
      </c>
      <c r="O1482" s="357">
        <v>1</v>
      </c>
      <c r="P1482" s="357">
        <v>0</v>
      </c>
      <c r="Q1482" s="358">
        <v>0.5757575757575758</v>
      </c>
      <c r="R1482" s="359">
        <v>1.07</v>
      </c>
      <c r="S1482" s="196">
        <v>670709000</v>
      </c>
      <c r="T1482" s="196">
        <v>43900000</v>
      </c>
      <c r="U1482" s="200">
        <f t="shared" si="259"/>
        <v>4271470000</v>
      </c>
      <c r="V1482" s="196">
        <v>0</v>
      </c>
      <c r="W1482" s="196">
        <v>1583000000</v>
      </c>
      <c r="X1482" s="196">
        <v>289000000</v>
      </c>
      <c r="Y1482" s="196">
        <v>1460000000</v>
      </c>
      <c r="Z1482" s="196">
        <v>10000000</v>
      </c>
      <c r="AA1482" s="198">
        <v>0</v>
      </c>
      <c r="AB1482" s="198">
        <v>0</v>
      </c>
      <c r="AC1482" s="213">
        <f t="shared" si="260"/>
        <v>945</v>
      </c>
      <c r="AD1482" s="213">
        <f t="shared" si="261"/>
        <v>911</v>
      </c>
      <c r="AE1482" s="213">
        <v>0.84</v>
      </c>
      <c r="AF1482" s="196">
        <v>42000000</v>
      </c>
      <c r="AG1482" s="104">
        <f t="shared" si="262"/>
        <v>0.9567198177676538</v>
      </c>
      <c r="AH1482" s="104">
        <f t="shared" si="263"/>
        <v>0</v>
      </c>
      <c r="AI1482" s="195">
        <v>1.2</v>
      </c>
    </row>
    <row r="1483" spans="1:48">
      <c r="A1483">
        <v>8454</v>
      </c>
      <c r="C1483" s="107">
        <f>VLOOKUP(8454,收盤價!$A:$C,3,0)</f>
        <v>210</v>
      </c>
      <c r="D1483" s="107">
        <f t="shared" si="253"/>
        <v>27.240566037735849</v>
      </c>
      <c r="E1483" s="167">
        <f t="shared" si="254"/>
        <v>3</v>
      </c>
      <c r="F1483" s="104">
        <f t="shared" si="255"/>
        <v>1.1030635269000788</v>
      </c>
      <c r="G1483" s="167">
        <f>RANK(8.11,AE:AE,0)</f>
        <v>90</v>
      </c>
      <c r="H1483" s="365">
        <f t="shared" si="256"/>
        <v>-1.1598537465960899</v>
      </c>
      <c r="I1483" s="213">
        <f t="shared" si="257"/>
        <v>215</v>
      </c>
      <c r="J1483" s="213">
        <f t="shared" si="258"/>
        <v>555</v>
      </c>
      <c r="K1483">
        <f>RANK(2.02,AI:AI,0)</f>
        <v>330</v>
      </c>
      <c r="L1483" s="357">
        <v>0</v>
      </c>
      <c r="M1483" s="357">
        <v>1</v>
      </c>
      <c r="N1483" s="357">
        <v>0</v>
      </c>
      <c r="O1483" s="357">
        <v>1</v>
      </c>
      <c r="P1483" s="357">
        <v>1</v>
      </c>
      <c r="Q1483" s="358">
        <v>0.12214082822544477</v>
      </c>
      <c r="R1483" s="359">
        <v>1.9272727272727272</v>
      </c>
      <c r="S1483" s="196">
        <v>27052839000</v>
      </c>
      <c r="T1483" s="196">
        <v>142100000</v>
      </c>
      <c r="U1483" s="200">
        <f t="shared" si="259"/>
        <v>29841000000</v>
      </c>
      <c r="V1483" s="196">
        <v>322000000</v>
      </c>
      <c r="W1483" s="196">
        <v>1593000000</v>
      </c>
      <c r="X1483" s="196">
        <v>2425000000</v>
      </c>
      <c r="Y1483" s="196">
        <v>5291000000</v>
      </c>
      <c r="Z1483" s="196">
        <v>69000000</v>
      </c>
      <c r="AA1483" s="198">
        <v>0.08</v>
      </c>
      <c r="AB1483" s="198">
        <v>0.06</v>
      </c>
      <c r="AC1483" s="213">
        <f t="shared" si="260"/>
        <v>97</v>
      </c>
      <c r="AD1483" s="213">
        <f t="shared" si="261"/>
        <v>95</v>
      </c>
      <c r="AE1483" s="213">
        <v>8.11</v>
      </c>
      <c r="AF1483" s="196">
        <v>295000000</v>
      </c>
      <c r="AG1483" s="104">
        <f t="shared" si="262"/>
        <v>2.0760028149190712</v>
      </c>
      <c r="AH1483" s="104">
        <f t="shared" si="263"/>
        <v>0.91614906832298137</v>
      </c>
      <c r="AI1483" s="195">
        <v>2.02</v>
      </c>
    </row>
    <row r="1484" spans="1:48">
      <c r="A1484">
        <v>8455</v>
      </c>
      <c r="C1484" s="107">
        <f>VLOOKUP(8455,收盤價!$A:$C,3,0)</f>
        <v>34.75</v>
      </c>
      <c r="D1484" s="107">
        <f t="shared" si="253"/>
        <v>20.575657894736839</v>
      </c>
      <c r="E1484" s="167">
        <f t="shared" si="254"/>
        <v>2</v>
      </c>
      <c r="F1484" s="104">
        <f t="shared" si="255"/>
        <v>0.68829891838741397</v>
      </c>
      <c r="G1484" s="167">
        <f>RANK(3.07,AE:AE,0)</f>
        <v>293</v>
      </c>
      <c r="H1484" s="365">
        <f t="shared" si="256"/>
        <v>0.33015873015873032</v>
      </c>
      <c r="I1484" s="213">
        <f t="shared" si="257"/>
        <v>412</v>
      </c>
      <c r="J1484" s="213">
        <f t="shared" si="258"/>
        <v>344</v>
      </c>
      <c r="K1484">
        <f>RANK(2.06,AI:AI,0)</f>
        <v>320</v>
      </c>
      <c r="L1484" s="357">
        <v>0</v>
      </c>
      <c r="M1484" s="357">
        <v>1</v>
      </c>
      <c r="N1484" s="357">
        <v>0</v>
      </c>
      <c r="O1484" s="357">
        <v>1</v>
      </c>
      <c r="P1484" s="357">
        <v>0</v>
      </c>
      <c r="Q1484" s="358">
        <v>0.12669683257918551</v>
      </c>
      <c r="R1484" s="359">
        <v>0.42222222222222228</v>
      </c>
      <c r="S1484" s="196">
        <v>1272267000</v>
      </c>
      <c r="T1484" s="196">
        <v>25200000</v>
      </c>
      <c r="U1484" s="200">
        <f t="shared" si="259"/>
        <v>875700000</v>
      </c>
      <c r="V1484" s="196">
        <v>20000000</v>
      </c>
      <c r="W1484" s="196">
        <v>198000000</v>
      </c>
      <c r="X1484" s="196">
        <v>119000000</v>
      </c>
      <c r="Y1484" s="196">
        <v>420000000</v>
      </c>
      <c r="Z1484" s="196">
        <v>348000000</v>
      </c>
      <c r="AA1484" s="198">
        <v>0.06</v>
      </c>
      <c r="AB1484" s="198">
        <v>0.03</v>
      </c>
      <c r="AC1484" s="213">
        <f t="shared" si="260"/>
        <v>174</v>
      </c>
      <c r="AD1484" s="213">
        <f t="shared" si="261"/>
        <v>334</v>
      </c>
      <c r="AE1484" s="213">
        <v>3.07</v>
      </c>
      <c r="AF1484" s="196">
        <v>32000000</v>
      </c>
      <c r="AG1484" s="104">
        <f t="shared" si="262"/>
        <v>1.2698412698412698</v>
      </c>
      <c r="AH1484" s="104">
        <f t="shared" si="263"/>
        <v>1.6</v>
      </c>
      <c r="AI1484" s="195">
        <v>2.06</v>
      </c>
    </row>
    <row r="1485" spans="1:48">
      <c r="A1485">
        <v>8462</v>
      </c>
      <c r="C1485" s="107">
        <f>VLOOKUP(8462,收盤價!$A:$C,3,0)</f>
        <v>97.5</v>
      </c>
      <c r="D1485" s="107">
        <f t="shared" si="253"/>
        <v>18.821022727272727</v>
      </c>
      <c r="E1485" s="167">
        <f t="shared" si="254"/>
        <v>4</v>
      </c>
      <c r="F1485" s="104">
        <f t="shared" si="255"/>
        <v>2.2270397019986601</v>
      </c>
      <c r="G1485" s="167">
        <f>RANK(4.56,AE:AE,0)</f>
        <v>194</v>
      </c>
      <c r="H1485" s="365">
        <f t="shared" si="256"/>
        <v>-1.2818218092686542</v>
      </c>
      <c r="I1485" s="213">
        <f t="shared" si="257"/>
        <v>95</v>
      </c>
      <c r="J1485" s="213">
        <f t="shared" si="258"/>
        <v>246</v>
      </c>
      <c r="K1485">
        <f>RANK(4.57,AI:AI,0)</f>
        <v>81</v>
      </c>
      <c r="L1485" s="357">
        <v>0</v>
      </c>
      <c r="M1485" s="357">
        <v>1</v>
      </c>
      <c r="N1485" s="357">
        <v>2</v>
      </c>
      <c r="O1485" s="357">
        <v>1</v>
      </c>
      <c r="P1485" s="357">
        <v>0</v>
      </c>
      <c r="Q1485" s="358">
        <v>0.29197080291970801</v>
      </c>
      <c r="R1485" s="359">
        <v>1.2950943396226415</v>
      </c>
      <c r="S1485" s="196">
        <v>1449121000</v>
      </c>
      <c r="T1485" s="196">
        <v>33100000</v>
      </c>
      <c r="U1485" s="200">
        <f t="shared" si="259"/>
        <v>3227250000</v>
      </c>
      <c r="V1485" s="196">
        <v>53000000</v>
      </c>
      <c r="W1485" s="196">
        <v>0</v>
      </c>
      <c r="X1485" s="196">
        <v>1059000000</v>
      </c>
      <c r="Y1485" s="196">
        <v>831000000</v>
      </c>
      <c r="Z1485" s="196">
        <v>116000000</v>
      </c>
      <c r="AA1485" s="198">
        <v>0.05</v>
      </c>
      <c r="AB1485" s="198">
        <v>0.06</v>
      </c>
      <c r="AC1485" s="213">
        <f t="shared" si="260"/>
        <v>247</v>
      </c>
      <c r="AD1485" s="213">
        <f t="shared" si="261"/>
        <v>95</v>
      </c>
      <c r="AE1485" s="213">
        <v>4.5599999999999996</v>
      </c>
      <c r="AF1485" s="196">
        <v>113000000</v>
      </c>
      <c r="AG1485" s="104">
        <f t="shared" si="262"/>
        <v>3.4138972809667676</v>
      </c>
      <c r="AH1485" s="104">
        <f t="shared" si="263"/>
        <v>2.1320754716981134</v>
      </c>
      <c r="AI1485" s="195">
        <v>4.57</v>
      </c>
    </row>
    <row r="1486" spans="1:48">
      <c r="A1486">
        <v>8463</v>
      </c>
      <c r="C1486" s="107">
        <f>VLOOKUP(8463,收盤價!$A:$C,3,0)</f>
        <v>16.75</v>
      </c>
      <c r="D1486" s="107">
        <f t="shared" si="253"/>
        <v>10.055509868421053</v>
      </c>
      <c r="E1486" s="167">
        <f t="shared" si="254"/>
        <v>1</v>
      </c>
      <c r="F1486" s="104">
        <f t="shared" si="255"/>
        <v>0.8500340351936081</v>
      </c>
      <c r="G1486" s="167">
        <f>RANK(1.94,AE:AE,0)</f>
        <v>435</v>
      </c>
      <c r="H1486" s="365">
        <f t="shared" si="256"/>
        <v>0.10666666666666667</v>
      </c>
      <c r="I1486" s="213">
        <f t="shared" si="257"/>
        <v>1144</v>
      </c>
      <c r="J1486" s="213">
        <f t="shared" si="258"/>
        <v>768</v>
      </c>
      <c r="K1486">
        <f>RANK(0.81,AI:AI,0)</f>
        <v>1144</v>
      </c>
      <c r="L1486" s="357">
        <v>0</v>
      </c>
      <c r="M1486" s="357">
        <v>1</v>
      </c>
      <c r="N1486" s="357">
        <v>0</v>
      </c>
      <c r="O1486" s="357">
        <v>0</v>
      </c>
      <c r="P1486" s="357">
        <v>0</v>
      </c>
      <c r="Q1486" s="358">
        <v>0.1611185086551265</v>
      </c>
      <c r="R1486" s="359">
        <v>0.41643835616438357</v>
      </c>
      <c r="S1486" s="196">
        <v>2955764000</v>
      </c>
      <c r="T1486" s="196">
        <v>150000000</v>
      </c>
      <c r="U1486" s="200">
        <f t="shared" si="259"/>
        <v>2512500000</v>
      </c>
      <c r="V1486" s="196">
        <v>81000000</v>
      </c>
      <c r="W1486" s="196">
        <v>270000000</v>
      </c>
      <c r="X1486" s="196">
        <v>2934000000</v>
      </c>
      <c r="Y1486" s="196">
        <v>2291000000</v>
      </c>
      <c r="Z1486" s="196">
        <v>270000000</v>
      </c>
      <c r="AA1486" s="198">
        <v>0.03</v>
      </c>
      <c r="AB1486" s="198">
        <v>0.03</v>
      </c>
      <c r="AC1486" s="213">
        <f t="shared" si="260"/>
        <v>469</v>
      </c>
      <c r="AD1486" s="213">
        <f t="shared" si="261"/>
        <v>334</v>
      </c>
      <c r="AE1486" s="213">
        <v>1.94</v>
      </c>
      <c r="AF1486" s="196">
        <v>-16000000</v>
      </c>
      <c r="AG1486" s="104">
        <f t="shared" si="262"/>
        <v>-0.10666666666666667</v>
      </c>
      <c r="AH1486" s="104">
        <f t="shared" si="263"/>
        <v>0</v>
      </c>
      <c r="AI1486" s="195">
        <v>0.81</v>
      </c>
    </row>
    <row r="1487" spans="1:48">
      <c r="A1487">
        <v>8464</v>
      </c>
      <c r="C1487" s="107">
        <f>VLOOKUP(8464,收盤價!$A:$C,3,0)</f>
        <v>363.5</v>
      </c>
      <c r="D1487" s="107">
        <f t="shared" si="253"/>
        <v>27.719447219447218</v>
      </c>
      <c r="E1487" s="167">
        <f t="shared" si="254"/>
        <v>5</v>
      </c>
      <c r="F1487" s="104">
        <f t="shared" si="255"/>
        <v>5.8010444717784502</v>
      </c>
      <c r="G1487" s="167">
        <f>RANK(59.92,AE:AE,0)</f>
        <v>4</v>
      </c>
      <c r="H1487" s="365">
        <f t="shared" si="256"/>
        <v>-3.0102760341668189</v>
      </c>
      <c r="I1487" s="213">
        <f t="shared" si="257"/>
        <v>76</v>
      </c>
      <c r="J1487" s="213">
        <f t="shared" si="258"/>
        <v>563</v>
      </c>
      <c r="K1487">
        <f>RANK(2.44,AI:AI,0)</f>
        <v>250</v>
      </c>
      <c r="L1487" s="357">
        <v>1</v>
      </c>
      <c r="M1487" s="357">
        <v>1</v>
      </c>
      <c r="N1487" s="357">
        <v>2</v>
      </c>
      <c r="O1487" s="357">
        <v>1</v>
      </c>
      <c r="P1487" s="357">
        <v>0</v>
      </c>
      <c r="Q1487" s="358">
        <v>0.48129423660262893</v>
      </c>
      <c r="R1487" s="359">
        <v>3.2783842794759828</v>
      </c>
      <c r="S1487" s="196">
        <v>18359711000</v>
      </c>
      <c r="T1487" s="196">
        <v>293000000</v>
      </c>
      <c r="U1487" s="200">
        <f t="shared" si="259"/>
        <v>106505500000</v>
      </c>
      <c r="V1487" s="196">
        <v>1287000000</v>
      </c>
      <c r="W1487" s="196">
        <v>4440000000</v>
      </c>
      <c r="X1487" s="196">
        <v>4706000000</v>
      </c>
      <c r="Y1487" s="196">
        <v>9926000000</v>
      </c>
      <c r="Z1487" s="196">
        <v>0</v>
      </c>
      <c r="AA1487" s="198">
        <v>0.14000000000000001</v>
      </c>
      <c r="AB1487" s="198">
        <v>0.13</v>
      </c>
      <c r="AC1487" s="213">
        <f t="shared" si="260"/>
        <v>22</v>
      </c>
      <c r="AD1487" s="213">
        <f t="shared" si="261"/>
        <v>4</v>
      </c>
      <c r="AE1487" s="213">
        <v>59.92</v>
      </c>
      <c r="AF1487" s="196">
        <v>1142000000</v>
      </c>
      <c r="AG1487" s="104">
        <f t="shared" si="262"/>
        <v>3.8976109215017063</v>
      </c>
      <c r="AH1487" s="104">
        <f t="shared" si="263"/>
        <v>0.8873348873348873</v>
      </c>
      <c r="AI1487" s="195">
        <v>2.44</v>
      </c>
    </row>
    <row r="1488" spans="1:48">
      <c r="A1488">
        <v>8467</v>
      </c>
      <c r="C1488" s="107">
        <f>VLOOKUP(8467,收盤價!$A:$C,3,0)</f>
        <v>36.200000000000003</v>
      </c>
      <c r="D1488" s="107">
        <f t="shared" si="253"/>
        <v>32.440257352941181</v>
      </c>
      <c r="E1488" s="167">
        <f t="shared" si="254"/>
        <v>2</v>
      </c>
      <c r="F1488" s="104">
        <f t="shared" si="255"/>
        <v>1.504793908729309</v>
      </c>
      <c r="G1488" s="167">
        <f>RANK(1.2,AE:AE,0)</f>
        <v>710</v>
      </c>
      <c r="H1488" s="365">
        <f t="shared" si="256"/>
        <v>4.5755725190839698</v>
      </c>
      <c r="I1488" s="213">
        <f t="shared" si="257"/>
        <v>133</v>
      </c>
      <c r="J1488" s="213">
        <f t="shared" si="258"/>
        <v>55</v>
      </c>
      <c r="K1488">
        <f>RANK(8.29,AI:AI,0)</f>
        <v>22</v>
      </c>
      <c r="L1488" s="357">
        <v>0</v>
      </c>
      <c r="M1488" s="357">
        <v>1</v>
      </c>
      <c r="N1488" s="357">
        <v>0</v>
      </c>
      <c r="O1488" s="357">
        <v>1</v>
      </c>
      <c r="P1488" s="357">
        <v>0</v>
      </c>
      <c r="Q1488" s="358">
        <v>0.25223214285714285</v>
      </c>
      <c r="R1488" s="359">
        <v>0.27897435897435896</v>
      </c>
      <c r="S1488" s="196">
        <v>1260558000</v>
      </c>
      <c r="T1488" s="196">
        <v>52400000</v>
      </c>
      <c r="U1488" s="200">
        <f t="shared" si="259"/>
        <v>1896880000.0000002</v>
      </c>
      <c r="V1488" s="196">
        <v>20000000</v>
      </c>
      <c r="W1488" s="196">
        <v>430000000</v>
      </c>
      <c r="X1488" s="196">
        <v>846000000</v>
      </c>
      <c r="Y1488" s="196">
        <v>1470000000</v>
      </c>
      <c r="Z1488" s="196">
        <v>454000000</v>
      </c>
      <c r="AA1488" s="198">
        <v>0.02</v>
      </c>
      <c r="AB1488" s="198">
        <v>0.01</v>
      </c>
      <c r="AC1488" s="213">
        <f t="shared" si="260"/>
        <v>616</v>
      </c>
      <c r="AD1488" s="213">
        <f t="shared" si="261"/>
        <v>680</v>
      </c>
      <c r="AE1488" s="213">
        <v>1.2</v>
      </c>
      <c r="AF1488" s="196">
        <v>148000000</v>
      </c>
      <c r="AG1488" s="104">
        <f t="shared" si="262"/>
        <v>2.8244274809160306</v>
      </c>
      <c r="AH1488" s="104">
        <f t="shared" si="263"/>
        <v>7.4</v>
      </c>
      <c r="AI1488" s="195">
        <v>8.2899999999999991</v>
      </c>
      <c r="AO1488" s="213"/>
      <c r="AP1488" s="213"/>
      <c r="AQ1488" s="213"/>
      <c r="AR1488" s="213"/>
      <c r="AS1488" s="213"/>
      <c r="AT1488" s="213"/>
      <c r="AU1488" s="213"/>
      <c r="AV1488" s="213"/>
    </row>
    <row r="1489" spans="1:48">
      <c r="A1489">
        <v>8472</v>
      </c>
      <c r="C1489" s="107">
        <f>VLOOKUP(8472,收盤價!$A:$C,3,0)</f>
        <v>43.2</v>
      </c>
      <c r="D1489" s="107">
        <f t="shared" si="253"/>
        <v>15.046439628482974</v>
      </c>
      <c r="E1489" s="167">
        <f t="shared" si="254"/>
        <v>3</v>
      </c>
      <c r="F1489" s="104">
        <f t="shared" si="255"/>
        <v>1.5217259276097401</v>
      </c>
      <c r="G1489" s="167">
        <f>RANK(3.07,AE:AE,0)</f>
        <v>293</v>
      </c>
      <c r="H1489" s="365">
        <f t="shared" si="256"/>
        <v>0.2581860330339032</v>
      </c>
      <c r="I1489" s="213">
        <f t="shared" si="257"/>
        <v>394</v>
      </c>
      <c r="J1489" s="213">
        <f t="shared" si="258"/>
        <v>349</v>
      </c>
      <c r="K1489">
        <f>RANK(2.1,AI:AI,0)</f>
        <v>309</v>
      </c>
      <c r="L1489" s="357">
        <v>0</v>
      </c>
      <c r="M1489" s="357">
        <v>1</v>
      </c>
      <c r="N1489" s="357">
        <v>1</v>
      </c>
      <c r="O1489" s="357">
        <v>1</v>
      </c>
      <c r="P1489" s="357">
        <v>0</v>
      </c>
      <c r="Q1489" s="358">
        <v>0.94326241134751776</v>
      </c>
      <c r="R1489" s="359">
        <v>0.71777777777777774</v>
      </c>
      <c r="S1489" s="196">
        <v>576293000</v>
      </c>
      <c r="T1489" s="196">
        <v>20300000</v>
      </c>
      <c r="U1489" s="200">
        <f t="shared" si="259"/>
        <v>876960000</v>
      </c>
      <c r="V1489" s="196">
        <v>17000000</v>
      </c>
      <c r="W1489" s="196">
        <v>273000000</v>
      </c>
      <c r="X1489" s="196">
        <v>14000000</v>
      </c>
      <c r="Y1489" s="196">
        <v>581000000</v>
      </c>
      <c r="Z1489" s="196">
        <v>0</v>
      </c>
      <c r="AA1489" s="198">
        <v>0.06</v>
      </c>
      <c r="AB1489" s="198">
        <v>0.03</v>
      </c>
      <c r="AC1489" s="213">
        <f t="shared" si="260"/>
        <v>174</v>
      </c>
      <c r="AD1489" s="213">
        <f t="shared" si="261"/>
        <v>334</v>
      </c>
      <c r="AE1489" s="213">
        <v>3.07</v>
      </c>
      <c r="AF1489" s="196">
        <v>27000000</v>
      </c>
      <c r="AG1489" s="104">
        <f t="shared" si="262"/>
        <v>1.3300492610837438</v>
      </c>
      <c r="AH1489" s="104">
        <f t="shared" si="263"/>
        <v>1.588235294117647</v>
      </c>
      <c r="AI1489" s="195">
        <v>2.1</v>
      </c>
      <c r="AO1489" s="213"/>
      <c r="AP1489" s="213"/>
      <c r="AQ1489" s="213"/>
      <c r="AR1489" s="213"/>
      <c r="AS1489" s="213"/>
      <c r="AT1489" s="213"/>
      <c r="AU1489" s="213"/>
      <c r="AV1489" s="213"/>
    </row>
    <row r="1490" spans="1:48">
      <c r="A1490">
        <v>8905</v>
      </c>
      <c r="C1490" s="107">
        <f>VLOOKUP(8905,收盤價!$A:$C,3,0)</f>
        <v>13.45</v>
      </c>
      <c r="D1490" s="107">
        <f t="shared" si="253"/>
        <v>17.392241379310342</v>
      </c>
      <c r="E1490" s="167">
        <f t="shared" si="254"/>
        <v>3</v>
      </c>
      <c r="F1490" s="104">
        <f t="shared" si="255"/>
        <v>0.91090806063985286</v>
      </c>
      <c r="G1490" s="167">
        <f>RANK(1.08,AE:AE,0)</f>
        <v>769</v>
      </c>
      <c r="H1490" s="365">
        <f t="shared" si="256"/>
        <v>2.4192038624495025</v>
      </c>
      <c r="I1490" s="213">
        <f t="shared" si="257"/>
        <v>532</v>
      </c>
      <c r="J1490" s="213">
        <f t="shared" si="258"/>
        <v>137</v>
      </c>
      <c r="K1490">
        <f>RANK(2.33,AI:AI,0)</f>
        <v>274</v>
      </c>
      <c r="L1490" s="357">
        <v>0</v>
      </c>
      <c r="M1490" s="357">
        <v>1</v>
      </c>
      <c r="N1490" s="357">
        <v>1</v>
      </c>
      <c r="O1490" s="357">
        <v>1</v>
      </c>
      <c r="P1490" s="357">
        <v>0</v>
      </c>
      <c r="Q1490" s="358">
        <v>0.13272311212814644</v>
      </c>
      <c r="R1490" s="359">
        <v>0.19333333333333336</v>
      </c>
      <c r="S1490" s="196">
        <v>1762999000</v>
      </c>
      <c r="T1490" s="196">
        <v>119400000</v>
      </c>
      <c r="U1490" s="200">
        <f t="shared" si="259"/>
        <v>1605930000</v>
      </c>
      <c r="V1490" s="196">
        <v>34000000</v>
      </c>
      <c r="W1490" s="196">
        <v>1440000000</v>
      </c>
      <c r="X1490" s="196">
        <v>991000000</v>
      </c>
      <c r="Y1490" s="196">
        <v>2259000000</v>
      </c>
      <c r="Z1490" s="196">
        <v>1173000000</v>
      </c>
      <c r="AA1490" s="198">
        <v>0.01</v>
      </c>
      <c r="AB1490" s="198">
        <v>0.01</v>
      </c>
      <c r="AC1490" s="213">
        <f t="shared" si="260"/>
        <v>769</v>
      </c>
      <c r="AD1490" s="213">
        <f t="shared" si="261"/>
        <v>680</v>
      </c>
      <c r="AE1490" s="213">
        <v>1.08</v>
      </c>
      <c r="AF1490" s="196">
        <v>115000000</v>
      </c>
      <c r="AG1490" s="104">
        <f t="shared" si="262"/>
        <v>0.9631490787269682</v>
      </c>
      <c r="AH1490" s="104">
        <f t="shared" si="263"/>
        <v>3.3823529411764706</v>
      </c>
      <c r="AI1490" s="195">
        <v>2.33</v>
      </c>
      <c r="AO1490" s="213"/>
      <c r="AP1490" s="213"/>
      <c r="AQ1490" s="213"/>
      <c r="AR1490" s="213"/>
      <c r="AS1490" s="213"/>
      <c r="AT1490" s="213"/>
      <c r="AU1490" s="213"/>
      <c r="AV1490" s="213"/>
    </row>
    <row r="1491" spans="1:48">
      <c r="A1491">
        <v>8906</v>
      </c>
      <c r="C1491" s="107">
        <f>VLOOKUP(8906,收盤價!$A:$C,3,0)</f>
        <v>0</v>
      </c>
      <c r="D1491" s="107">
        <f t="shared" si="253"/>
        <v>0</v>
      </c>
      <c r="E1491" s="167">
        <f t="shared" si="254"/>
        <v>1</v>
      </c>
      <c r="F1491" s="104">
        <f t="shared" si="255"/>
        <v>0</v>
      </c>
      <c r="G1491" s="167">
        <f>RANK(0.61,AE:AE,0)</f>
        <v>1295</v>
      </c>
      <c r="H1491" s="365">
        <f t="shared" si="256"/>
        <v>5.8479532163742687E-2</v>
      </c>
      <c r="I1491" s="213">
        <f t="shared" si="257"/>
        <v>1106</v>
      </c>
      <c r="J1491" s="213">
        <f t="shared" si="258"/>
        <v>768</v>
      </c>
      <c r="K1491">
        <f>RANK(0.83,AI:AI,0)</f>
        <v>1098</v>
      </c>
      <c r="L1491" s="357">
        <v>0</v>
      </c>
      <c r="M1491" s="357">
        <v>0</v>
      </c>
      <c r="N1491" s="357">
        <v>1</v>
      </c>
      <c r="O1491" s="357">
        <v>0</v>
      </c>
      <c r="P1491" s="357">
        <v>0</v>
      </c>
      <c r="Q1491" s="358">
        <v>9.5238095238095233E-2</v>
      </c>
      <c r="R1491" s="359">
        <v>0</v>
      </c>
      <c r="S1491" s="196">
        <v>222673000</v>
      </c>
      <c r="T1491" s="196">
        <v>51300000</v>
      </c>
      <c r="U1491" s="200">
        <f t="shared" si="259"/>
        <v>0</v>
      </c>
      <c r="V1491" s="196">
        <v>-5000000</v>
      </c>
      <c r="W1491" s="196">
        <v>45000000</v>
      </c>
      <c r="X1491" s="196">
        <v>329000000</v>
      </c>
      <c r="Y1491" s="196">
        <v>362000000</v>
      </c>
      <c r="Z1491" s="196">
        <v>0</v>
      </c>
      <c r="AA1491" s="198">
        <v>-0.01</v>
      </c>
      <c r="AB1491" s="198">
        <v>-0.01</v>
      </c>
      <c r="AC1491" s="213">
        <f t="shared" si="260"/>
        <v>1277</v>
      </c>
      <c r="AD1491" s="213">
        <f t="shared" si="261"/>
        <v>1294</v>
      </c>
      <c r="AE1491" s="213">
        <v>0.61</v>
      </c>
      <c r="AF1491" s="196">
        <v>-3000000</v>
      </c>
      <c r="AG1491" s="104">
        <f t="shared" si="262"/>
        <v>-5.8479532163742687E-2</v>
      </c>
      <c r="AH1491" s="104">
        <f t="shared" si="263"/>
        <v>0</v>
      </c>
      <c r="AI1491" s="195">
        <v>0.83</v>
      </c>
    </row>
    <row r="1492" spans="1:48">
      <c r="A1492">
        <v>8908</v>
      </c>
      <c r="C1492" s="107">
        <f>VLOOKUP(8908,收盤價!$A:$C,3,0)</f>
        <v>29.15</v>
      </c>
      <c r="D1492" s="107">
        <f t="shared" si="253"/>
        <v>18.471788194444443</v>
      </c>
      <c r="E1492" s="167">
        <f t="shared" si="254"/>
        <v>2</v>
      </c>
      <c r="F1492" s="104">
        <f t="shared" si="255"/>
        <v>0.78429395656218082</v>
      </c>
      <c r="G1492" s="167">
        <f>RANK(1.94,AE:AE,0)</f>
        <v>435</v>
      </c>
      <c r="H1492" s="365">
        <f t="shared" si="256"/>
        <v>0.69461588639670824</v>
      </c>
      <c r="I1492" s="213">
        <f t="shared" si="257"/>
        <v>610</v>
      </c>
      <c r="J1492" s="213">
        <f t="shared" si="258"/>
        <v>381</v>
      </c>
      <c r="K1492">
        <f>RANK(1.57,AI:AI,0)</f>
        <v>517</v>
      </c>
      <c r="L1492" s="357">
        <v>0</v>
      </c>
      <c r="M1492" s="357">
        <v>1</v>
      </c>
      <c r="N1492" s="357">
        <v>0</v>
      </c>
      <c r="O1492" s="357">
        <v>1</v>
      </c>
      <c r="P1492" s="357">
        <v>0</v>
      </c>
      <c r="Q1492" s="358">
        <v>8.340425531914894E-2</v>
      </c>
      <c r="R1492" s="359">
        <v>0.39452054794520547</v>
      </c>
      <c r="S1492" s="196">
        <v>5073321000</v>
      </c>
      <c r="T1492" s="196">
        <v>136500000</v>
      </c>
      <c r="U1492" s="200">
        <f t="shared" si="259"/>
        <v>3978975000</v>
      </c>
      <c r="V1492" s="196">
        <v>73000000</v>
      </c>
      <c r="W1492" s="196">
        <v>0</v>
      </c>
      <c r="X1492" s="196">
        <v>2520000000</v>
      </c>
      <c r="Y1492" s="196">
        <v>1731000000</v>
      </c>
      <c r="Z1492" s="196">
        <v>668000000</v>
      </c>
      <c r="AA1492" s="198">
        <v>0.03</v>
      </c>
      <c r="AB1492" s="198">
        <v>0.03</v>
      </c>
      <c r="AC1492" s="213">
        <f t="shared" si="260"/>
        <v>469</v>
      </c>
      <c r="AD1492" s="213">
        <f t="shared" si="261"/>
        <v>334</v>
      </c>
      <c r="AE1492" s="213">
        <v>1.94</v>
      </c>
      <c r="AF1492" s="196">
        <v>109000000</v>
      </c>
      <c r="AG1492" s="104">
        <f t="shared" si="262"/>
        <v>0.79853479853479858</v>
      </c>
      <c r="AH1492" s="104">
        <f t="shared" si="263"/>
        <v>1.4931506849315068</v>
      </c>
      <c r="AI1492" s="195">
        <v>1.57</v>
      </c>
      <c r="AO1492" s="213"/>
      <c r="AP1492" s="213"/>
      <c r="AQ1492" s="213"/>
      <c r="AR1492" s="213"/>
      <c r="AS1492" s="213"/>
      <c r="AT1492" s="213"/>
      <c r="AU1492" s="213"/>
      <c r="AV1492" s="213"/>
    </row>
    <row r="1493" spans="1:48">
      <c r="A1493">
        <v>8913</v>
      </c>
      <c r="C1493" s="107">
        <f>VLOOKUP(8913,收盤價!$A:$C,3,0)</f>
        <v>20</v>
      </c>
      <c r="D1493" s="107">
        <f t="shared" si="253"/>
        <v>0</v>
      </c>
      <c r="E1493" s="167">
        <f t="shared" si="254"/>
        <v>5</v>
      </c>
      <c r="F1493" s="104">
        <f t="shared" si="255"/>
        <v>14.406902647862053</v>
      </c>
      <c r="G1493" s="167">
        <f>RANK(0.71,AE:AE,0)</f>
        <v>1276</v>
      </c>
      <c r="H1493" s="365">
        <f t="shared" si="256"/>
        <v>-9.1575091575091569E-2</v>
      </c>
      <c r="I1493" s="213">
        <f t="shared" si="257"/>
        <v>996</v>
      </c>
      <c r="J1493" s="213">
        <f t="shared" si="258"/>
        <v>768</v>
      </c>
      <c r="K1493">
        <f>RANK(0.88,AI:AI,0)</f>
        <v>1021</v>
      </c>
      <c r="L1493" s="357">
        <v>1</v>
      </c>
      <c r="M1493" s="357">
        <v>1</v>
      </c>
      <c r="N1493" s="357">
        <v>1</v>
      </c>
      <c r="O1493" s="357">
        <v>1</v>
      </c>
      <c r="P1493" s="357">
        <v>1</v>
      </c>
      <c r="Q1493" s="358">
        <v>0.66666666666666663</v>
      </c>
      <c r="R1493" s="359">
        <v>0</v>
      </c>
      <c r="S1493" s="196">
        <v>75797000</v>
      </c>
      <c r="T1493" s="196">
        <v>54600000</v>
      </c>
      <c r="U1493" s="200">
        <f t="shared" si="259"/>
        <v>1092000000</v>
      </c>
      <c r="V1493" s="196">
        <v>-2000000</v>
      </c>
      <c r="W1493" s="196">
        <v>169000000</v>
      </c>
      <c r="X1493" s="196">
        <v>1000000</v>
      </c>
      <c r="Y1493" s="196">
        <v>810000000</v>
      </c>
      <c r="Z1493" s="196">
        <v>120000000</v>
      </c>
      <c r="AA1493" s="198">
        <v>-0.01</v>
      </c>
      <c r="AB1493" s="198">
        <v>0</v>
      </c>
      <c r="AC1493" s="213">
        <f t="shared" si="260"/>
        <v>1277</v>
      </c>
      <c r="AD1493" s="213">
        <f t="shared" si="261"/>
        <v>911</v>
      </c>
      <c r="AE1493" s="213">
        <v>0.71</v>
      </c>
      <c r="AF1493" s="196">
        <v>5000000</v>
      </c>
      <c r="AG1493" s="104">
        <f t="shared" si="262"/>
        <v>9.1575091575091569E-2</v>
      </c>
      <c r="AH1493" s="104">
        <f t="shared" si="263"/>
        <v>0</v>
      </c>
      <c r="AI1493" s="195">
        <v>0.88</v>
      </c>
      <c r="AO1493" s="213"/>
      <c r="AP1493" s="213"/>
      <c r="AQ1493" s="213"/>
      <c r="AR1493" s="213"/>
      <c r="AS1493" s="213"/>
      <c r="AT1493" s="213"/>
      <c r="AU1493" s="213"/>
      <c r="AV1493" s="213"/>
    </row>
    <row r="1494" spans="1:48">
      <c r="A1494">
        <v>8916</v>
      </c>
      <c r="C1494" s="107">
        <f>VLOOKUP(8916,收盤價!$A:$C,3,0)</f>
        <v>48.7</v>
      </c>
      <c r="D1494" s="107">
        <f t="shared" si="253"/>
        <v>9.2938931297709928</v>
      </c>
      <c r="E1494" s="167">
        <f t="shared" si="254"/>
        <v>2</v>
      </c>
      <c r="F1494" s="104">
        <f t="shared" si="255"/>
        <v>0.58454736948677788</v>
      </c>
      <c r="G1494" s="167">
        <f>RANK(0.84,AE:AE,0)</f>
        <v>946</v>
      </c>
      <c r="H1494" s="365">
        <f t="shared" si="256"/>
        <v>1.4807872539831304</v>
      </c>
      <c r="I1494" s="213">
        <f t="shared" si="257"/>
        <v>1478</v>
      </c>
      <c r="J1494" s="213">
        <f t="shared" si="258"/>
        <v>768</v>
      </c>
      <c r="K1494">
        <f>RANK(0.69,AI:AI,0)</f>
        <v>1474</v>
      </c>
      <c r="L1494" s="357">
        <v>0</v>
      </c>
      <c r="M1494" s="357">
        <v>1</v>
      </c>
      <c r="N1494" s="357">
        <v>1</v>
      </c>
      <c r="O1494" s="357">
        <v>0</v>
      </c>
      <c r="P1494" s="357">
        <v>0</v>
      </c>
      <c r="Q1494" s="358">
        <v>0.16084843128590368</v>
      </c>
      <c r="R1494" s="359">
        <v>1.31</v>
      </c>
      <c r="S1494" s="196">
        <v>8889425000</v>
      </c>
      <c r="T1494" s="196">
        <v>106700000</v>
      </c>
      <c r="U1494" s="200">
        <f t="shared" si="259"/>
        <v>5196290000</v>
      </c>
      <c r="V1494" s="196">
        <v>0</v>
      </c>
      <c r="W1494" s="196">
        <v>2132000000</v>
      </c>
      <c r="X1494" s="196">
        <v>1253000000</v>
      </c>
      <c r="Y1494" s="196">
        <v>3120000000</v>
      </c>
      <c r="Z1494" s="196">
        <v>990000000</v>
      </c>
      <c r="AA1494" s="198">
        <v>0</v>
      </c>
      <c r="AB1494" s="198">
        <v>0</v>
      </c>
      <c r="AC1494" s="213">
        <f t="shared" si="260"/>
        <v>945</v>
      </c>
      <c r="AD1494" s="213">
        <f t="shared" si="261"/>
        <v>911</v>
      </c>
      <c r="AE1494" s="213">
        <v>0.84</v>
      </c>
      <c r="AF1494" s="196">
        <v>-158000000</v>
      </c>
      <c r="AG1494" s="104">
        <f t="shared" si="262"/>
        <v>-1.4807872539831304</v>
      </c>
      <c r="AH1494" s="104">
        <f t="shared" si="263"/>
        <v>0</v>
      </c>
      <c r="AI1494" s="195">
        <v>0.69</v>
      </c>
    </row>
    <row r="1495" spans="1:48">
      <c r="A1495">
        <v>8917</v>
      </c>
      <c r="C1495" s="107">
        <f>VLOOKUP(8917,收盤價!$A:$C,3,0)</f>
        <v>48.5</v>
      </c>
      <c r="D1495" s="107">
        <f t="shared" si="253"/>
        <v>27.338043823436013</v>
      </c>
      <c r="E1495" s="167">
        <f t="shared" si="254"/>
        <v>3</v>
      </c>
      <c r="F1495" s="104">
        <f t="shared" si="255"/>
        <v>3.9669960281177667</v>
      </c>
      <c r="G1495" s="167">
        <f>RANK(2.24,AE:AE,0)</f>
        <v>416</v>
      </c>
      <c r="H1495" s="365">
        <f t="shared" si="256"/>
        <v>2.3664655446173386</v>
      </c>
      <c r="I1495" s="213">
        <f t="shared" si="257"/>
        <v>128</v>
      </c>
      <c r="J1495" s="213">
        <f t="shared" si="258"/>
        <v>78</v>
      </c>
      <c r="K1495">
        <f>RANK(7.56,AI:AI,0)</f>
        <v>27</v>
      </c>
      <c r="L1495" s="357">
        <v>1</v>
      </c>
      <c r="M1495" s="357">
        <v>1</v>
      </c>
      <c r="N1495" s="357">
        <v>0</v>
      </c>
      <c r="O1495" s="357">
        <v>1</v>
      </c>
      <c r="P1495" s="357">
        <v>0</v>
      </c>
      <c r="Q1495" s="358">
        <v>0.25779036827195467</v>
      </c>
      <c r="R1495" s="359">
        <v>0.44352112676056332</v>
      </c>
      <c r="S1495" s="196">
        <v>1494002000</v>
      </c>
      <c r="T1495" s="196">
        <v>122200000</v>
      </c>
      <c r="U1495" s="200">
        <f t="shared" si="259"/>
        <v>5926700000</v>
      </c>
      <c r="V1495" s="196">
        <v>67000000</v>
      </c>
      <c r="W1495" s="196">
        <v>634000000</v>
      </c>
      <c r="X1495" s="196">
        <v>1551000000</v>
      </c>
      <c r="Y1495" s="196">
        <v>1772000000</v>
      </c>
      <c r="Z1495" s="196">
        <v>0</v>
      </c>
      <c r="AA1495" s="198">
        <v>0.03</v>
      </c>
      <c r="AB1495" s="198">
        <v>0.04</v>
      </c>
      <c r="AC1495" s="213">
        <f t="shared" si="260"/>
        <v>469</v>
      </c>
      <c r="AD1495" s="213">
        <f t="shared" si="261"/>
        <v>228</v>
      </c>
      <c r="AE1495" s="213">
        <v>2.2400000000000002</v>
      </c>
      <c r="AF1495" s="196">
        <v>351000000</v>
      </c>
      <c r="AG1495" s="104">
        <f t="shared" si="262"/>
        <v>2.8723404255319149</v>
      </c>
      <c r="AH1495" s="104">
        <f t="shared" si="263"/>
        <v>5.2388059701492535</v>
      </c>
      <c r="AI1495" s="195">
        <v>7.56</v>
      </c>
    </row>
    <row r="1496" spans="1:48">
      <c r="A1496">
        <v>8921</v>
      </c>
      <c r="C1496" s="107">
        <f>VLOOKUP(8921,收盤價!$A:$C,3,0)</f>
        <v>0</v>
      </c>
      <c r="D1496" s="107">
        <f t="shared" si="253"/>
        <v>0</v>
      </c>
      <c r="E1496" s="167">
        <f t="shared" si="254"/>
        <v>3</v>
      </c>
      <c r="F1496" s="104">
        <f t="shared" si="255"/>
        <v>0</v>
      </c>
      <c r="G1496" s="167">
        <f>RANK(1.08,AE:AE,0)</f>
        <v>769</v>
      </c>
      <c r="H1496" s="365">
        <f t="shared" si="256"/>
        <v>1.3447782546494993</v>
      </c>
      <c r="I1496" s="213">
        <f t="shared" si="257"/>
        <v>848</v>
      </c>
      <c r="J1496" s="213">
        <f t="shared" si="258"/>
        <v>330</v>
      </c>
      <c r="K1496">
        <f>RANK(1.32,AI:AI,0)</f>
        <v>665</v>
      </c>
      <c r="L1496" s="357">
        <v>1</v>
      </c>
      <c r="M1496" s="357">
        <v>1</v>
      </c>
      <c r="N1496" s="357">
        <v>0</v>
      </c>
      <c r="O1496" s="357">
        <v>1</v>
      </c>
      <c r="P1496" s="357">
        <v>0</v>
      </c>
      <c r="Q1496" s="358">
        <v>0.18421052631578946</v>
      </c>
      <c r="R1496" s="359">
        <v>0.16500000000000001</v>
      </c>
      <c r="S1496" s="196">
        <v>662783000</v>
      </c>
      <c r="T1496" s="196">
        <v>46600000</v>
      </c>
      <c r="U1496" s="200">
        <f t="shared" si="259"/>
        <v>0</v>
      </c>
      <c r="V1496" s="196">
        <v>9000000</v>
      </c>
      <c r="W1496" s="196">
        <v>336000000</v>
      </c>
      <c r="X1496" s="196">
        <v>384000000</v>
      </c>
      <c r="Y1496" s="196">
        <v>818000000</v>
      </c>
      <c r="Z1496" s="196">
        <v>0</v>
      </c>
      <c r="AA1496" s="198">
        <v>0.01</v>
      </c>
      <c r="AB1496" s="198">
        <v>0.01</v>
      </c>
      <c r="AC1496" s="213">
        <f t="shared" si="260"/>
        <v>769</v>
      </c>
      <c r="AD1496" s="213">
        <f t="shared" si="261"/>
        <v>680</v>
      </c>
      <c r="AE1496" s="213">
        <v>1.08</v>
      </c>
      <c r="AF1496" s="196">
        <v>15000000</v>
      </c>
      <c r="AG1496" s="104">
        <f t="shared" si="262"/>
        <v>0.32188841201716739</v>
      </c>
      <c r="AH1496" s="104">
        <f t="shared" si="263"/>
        <v>1.6666666666666667</v>
      </c>
      <c r="AI1496" s="195">
        <v>1.32</v>
      </c>
    </row>
    <row r="1497" spans="1:48">
      <c r="A1497">
        <v>8923</v>
      </c>
      <c r="C1497" s="107">
        <f>VLOOKUP(8923,收盤價!$A:$C,3,0)</f>
        <v>0</v>
      </c>
      <c r="D1497" s="107">
        <f t="shared" si="253"/>
        <v>0</v>
      </c>
      <c r="E1497" s="167">
        <f t="shared" si="254"/>
        <v>2</v>
      </c>
      <c r="F1497" s="104">
        <f t="shared" si="255"/>
        <v>0</v>
      </c>
      <c r="G1497" s="167">
        <f>RANK(1.2,AE:AE,0)</f>
        <v>710</v>
      </c>
      <c r="H1497" s="365">
        <f t="shared" si="256"/>
        <v>4.7763157894736841</v>
      </c>
      <c r="I1497" s="213">
        <f t="shared" si="257"/>
        <v>638</v>
      </c>
      <c r="J1497" s="213">
        <f t="shared" si="258"/>
        <v>74</v>
      </c>
      <c r="K1497">
        <f>RANK(2.19,AI:AI,0)</f>
        <v>296</v>
      </c>
      <c r="L1497" s="357">
        <v>0</v>
      </c>
      <c r="M1497" s="357">
        <v>1</v>
      </c>
      <c r="N1497" s="357">
        <v>0</v>
      </c>
      <c r="O1497" s="357">
        <v>1</v>
      </c>
      <c r="P1497" s="357">
        <v>0</v>
      </c>
      <c r="Q1497" s="358">
        <v>0.47169811320754718</v>
      </c>
      <c r="R1497" s="359">
        <v>7.0000000000000007E-2</v>
      </c>
      <c r="S1497" s="196">
        <v>435284000</v>
      </c>
      <c r="T1497" s="196">
        <v>30400000</v>
      </c>
      <c r="U1497" s="200">
        <f t="shared" si="259"/>
        <v>0</v>
      </c>
      <c r="V1497" s="196">
        <v>4000000</v>
      </c>
      <c r="W1497" s="196">
        <v>199000000</v>
      </c>
      <c r="X1497" s="196">
        <v>11000000</v>
      </c>
      <c r="Y1497" s="196">
        <v>422000000</v>
      </c>
      <c r="Z1497" s="196">
        <v>0</v>
      </c>
      <c r="AA1497" s="198">
        <v>0.02</v>
      </c>
      <c r="AB1497" s="198">
        <v>0.01</v>
      </c>
      <c r="AC1497" s="213">
        <f t="shared" si="260"/>
        <v>616</v>
      </c>
      <c r="AD1497" s="213">
        <f t="shared" si="261"/>
        <v>680</v>
      </c>
      <c r="AE1497" s="213">
        <v>1.2</v>
      </c>
      <c r="AF1497" s="196">
        <v>22000000</v>
      </c>
      <c r="AG1497" s="104">
        <f t="shared" si="262"/>
        <v>0.72368421052631582</v>
      </c>
      <c r="AH1497" s="104">
        <f t="shared" si="263"/>
        <v>5.5</v>
      </c>
      <c r="AI1497" s="195">
        <v>2.19</v>
      </c>
    </row>
    <row r="1498" spans="1:48">
      <c r="A1498">
        <v>8924</v>
      </c>
      <c r="C1498" s="107">
        <f>VLOOKUP(8924,收盤價!$A:$C,3,0)</f>
        <v>14</v>
      </c>
      <c r="D1498" s="107">
        <f t="shared" si="253"/>
        <v>0</v>
      </c>
      <c r="E1498" s="167">
        <f t="shared" si="254"/>
        <v>3</v>
      </c>
      <c r="F1498" s="104">
        <f t="shared" si="255"/>
        <v>0.36558923115607317</v>
      </c>
      <c r="G1498" s="167">
        <f>RANK(0.54,AE:AE,0)</f>
        <v>1453</v>
      </c>
      <c r="H1498" s="365">
        <f t="shared" si="256"/>
        <v>0.8903544929925804</v>
      </c>
      <c r="I1498" s="213">
        <f t="shared" si="257"/>
        <v>1428</v>
      </c>
      <c r="J1498" s="213">
        <f t="shared" si="258"/>
        <v>768</v>
      </c>
      <c r="K1498">
        <f>RANK(0.71,AI:AI,0)</f>
        <v>1412</v>
      </c>
      <c r="L1498" s="357">
        <v>0</v>
      </c>
      <c r="M1498" s="357">
        <v>1</v>
      </c>
      <c r="N1498" s="357">
        <v>2</v>
      </c>
      <c r="O1498" s="357">
        <v>0</v>
      </c>
      <c r="P1498" s="357">
        <v>0</v>
      </c>
      <c r="Q1498" s="358">
        <v>5.736782902137233E-2</v>
      </c>
      <c r="R1498" s="359">
        <v>0</v>
      </c>
      <c r="S1498" s="196">
        <v>4645104000</v>
      </c>
      <c r="T1498" s="196">
        <v>121300000</v>
      </c>
      <c r="U1498" s="200">
        <f t="shared" si="259"/>
        <v>1698200000</v>
      </c>
      <c r="V1498" s="196">
        <v>-71000000</v>
      </c>
      <c r="W1498" s="196">
        <v>1194000000</v>
      </c>
      <c r="X1498" s="196">
        <v>816000000</v>
      </c>
      <c r="Y1498" s="196">
        <v>1997000000</v>
      </c>
      <c r="Z1498" s="196">
        <v>404000000</v>
      </c>
      <c r="AA1498" s="198">
        <v>-0.04</v>
      </c>
      <c r="AB1498" s="198">
        <v>-0.03</v>
      </c>
      <c r="AC1498" s="213">
        <f t="shared" si="260"/>
        <v>1444</v>
      </c>
      <c r="AD1498" s="213">
        <f t="shared" si="261"/>
        <v>1444</v>
      </c>
      <c r="AE1498" s="213">
        <v>0.54</v>
      </c>
      <c r="AF1498" s="196">
        <v>-108000000</v>
      </c>
      <c r="AG1498" s="104">
        <f t="shared" si="262"/>
        <v>-0.8903544929925804</v>
      </c>
      <c r="AH1498" s="104">
        <f t="shared" si="263"/>
        <v>0</v>
      </c>
      <c r="AI1498" s="195">
        <v>0.71</v>
      </c>
    </row>
    <row r="1499" spans="1:48">
      <c r="A1499">
        <v>8926</v>
      </c>
      <c r="C1499" s="107">
        <f>VLOOKUP(8926,收盤價!$A:$C,3,0)</f>
        <v>23.3</v>
      </c>
      <c r="D1499" s="107">
        <f t="shared" si="253"/>
        <v>131.37465051258155</v>
      </c>
      <c r="E1499" s="167">
        <f t="shared" si="254"/>
        <v>2</v>
      </c>
      <c r="F1499" s="104">
        <f t="shared" si="255"/>
        <v>9.2274187540426311</v>
      </c>
      <c r="G1499" s="167">
        <f>RANK(1.13,AE:AE,0)</f>
        <v>768</v>
      </c>
      <c r="H1499" s="365">
        <f t="shared" si="256"/>
        <v>0.19864176570458403</v>
      </c>
      <c r="I1499" s="213">
        <f t="shared" si="257"/>
        <v>1207</v>
      </c>
      <c r="J1499" s="213">
        <f t="shared" si="258"/>
        <v>768</v>
      </c>
      <c r="K1499">
        <f>RANK(0.79,AI:AI,0)</f>
        <v>1192</v>
      </c>
      <c r="L1499" s="357">
        <v>0</v>
      </c>
      <c r="M1499" s="357">
        <v>1</v>
      </c>
      <c r="N1499" s="357">
        <v>1</v>
      </c>
      <c r="O1499" s="357">
        <v>0</v>
      </c>
      <c r="P1499" s="357">
        <v>0</v>
      </c>
      <c r="Q1499" s="358">
        <v>0.20634920634920634</v>
      </c>
      <c r="R1499" s="359">
        <v>4.4338842975206613E-2</v>
      </c>
      <c r="S1499" s="196">
        <v>1487274000</v>
      </c>
      <c r="T1499" s="196">
        <v>589000000</v>
      </c>
      <c r="U1499" s="200">
        <f t="shared" si="259"/>
        <v>13723700000</v>
      </c>
      <c r="V1499" s="196">
        <v>39000000</v>
      </c>
      <c r="W1499" s="196">
        <v>781000000</v>
      </c>
      <c r="X1499" s="196">
        <v>438000000</v>
      </c>
      <c r="Y1499" s="196">
        <v>11128000000</v>
      </c>
      <c r="Z1499" s="196">
        <v>270000000</v>
      </c>
      <c r="AA1499" s="198">
        <v>0.03</v>
      </c>
      <c r="AB1499" s="198">
        <v>0</v>
      </c>
      <c r="AC1499" s="213">
        <f t="shared" si="260"/>
        <v>469</v>
      </c>
      <c r="AD1499" s="213">
        <f t="shared" si="261"/>
        <v>911</v>
      </c>
      <c r="AE1499" s="213">
        <v>1.1299999999999999</v>
      </c>
      <c r="AF1499" s="196">
        <v>-117000000</v>
      </c>
      <c r="AG1499" s="104">
        <f t="shared" si="262"/>
        <v>-0.19864176570458403</v>
      </c>
      <c r="AH1499" s="104">
        <f t="shared" si="263"/>
        <v>0</v>
      </c>
      <c r="AI1499" s="195">
        <v>0.79</v>
      </c>
    </row>
    <row r="1500" spans="1:48">
      <c r="A1500">
        <v>8927</v>
      </c>
      <c r="C1500" s="107">
        <f>VLOOKUP(8927,收盤價!$A:$C,3,0)</f>
        <v>10</v>
      </c>
      <c r="D1500" s="107">
        <f t="shared" si="253"/>
        <v>19.53125</v>
      </c>
      <c r="E1500" s="167">
        <f t="shared" si="254"/>
        <v>4</v>
      </c>
      <c r="F1500" s="104">
        <f t="shared" si="255"/>
        <v>0.5499662077593408</v>
      </c>
      <c r="G1500" s="167">
        <f>RANK(1.08,AE:AE,0)</f>
        <v>769</v>
      </c>
      <c r="H1500" s="365">
        <f t="shared" si="256"/>
        <v>3.7233229058046575</v>
      </c>
      <c r="I1500" s="213">
        <f t="shared" si="257"/>
        <v>692</v>
      </c>
      <c r="J1500" s="213">
        <f t="shared" si="258"/>
        <v>99</v>
      </c>
      <c r="K1500">
        <f>RANK(1.97,AI:AI,0)</f>
        <v>350</v>
      </c>
      <c r="L1500" s="357">
        <v>1</v>
      </c>
      <c r="M1500" s="357">
        <v>1</v>
      </c>
      <c r="N1500" s="357">
        <v>1</v>
      </c>
      <c r="O1500" s="357">
        <v>1</v>
      </c>
      <c r="P1500" s="357">
        <v>0</v>
      </c>
      <c r="Q1500" s="358">
        <v>0.15283842794759825</v>
      </c>
      <c r="R1500" s="359">
        <v>0.128</v>
      </c>
      <c r="S1500" s="196">
        <v>3487487000</v>
      </c>
      <c r="T1500" s="196">
        <v>191800000</v>
      </c>
      <c r="U1500" s="200">
        <f t="shared" si="259"/>
        <v>1918000000</v>
      </c>
      <c r="V1500" s="196">
        <v>27000000</v>
      </c>
      <c r="W1500" s="196">
        <v>0</v>
      </c>
      <c r="X1500" s="196">
        <v>2700000000</v>
      </c>
      <c r="Y1500" s="196">
        <v>2035000000</v>
      </c>
      <c r="Z1500" s="196">
        <v>486000000</v>
      </c>
      <c r="AA1500" s="198">
        <v>0.01</v>
      </c>
      <c r="AB1500" s="198">
        <v>0.01</v>
      </c>
      <c r="AC1500" s="213">
        <f t="shared" si="260"/>
        <v>769</v>
      </c>
      <c r="AD1500" s="213">
        <f t="shared" si="261"/>
        <v>680</v>
      </c>
      <c r="AE1500" s="213">
        <v>1.08</v>
      </c>
      <c r="AF1500" s="196">
        <v>117000000</v>
      </c>
      <c r="AG1500" s="104">
        <f t="shared" si="262"/>
        <v>0.61001042752867574</v>
      </c>
      <c r="AH1500" s="104">
        <f t="shared" si="263"/>
        <v>4.333333333333333</v>
      </c>
      <c r="AI1500" s="195">
        <v>1.97</v>
      </c>
    </row>
    <row r="1501" spans="1:48">
      <c r="A1501">
        <v>8928</v>
      </c>
      <c r="C1501" s="107">
        <f>VLOOKUP(8928,收盤價!$A:$C,3,0)</f>
        <v>26.2</v>
      </c>
      <c r="D1501" s="107">
        <f t="shared" si="253"/>
        <v>262</v>
      </c>
      <c r="E1501" s="167">
        <f t="shared" si="254"/>
        <v>1</v>
      </c>
      <c r="F1501" s="104">
        <f t="shared" si="255"/>
        <v>0.65352635584494889</v>
      </c>
      <c r="G1501" s="167">
        <f>RANK(1.08,AE:AE,0)</f>
        <v>769</v>
      </c>
      <c r="H1501" s="365">
        <f t="shared" si="256"/>
        <v>9.4092992796332666</v>
      </c>
      <c r="I1501" s="213">
        <f t="shared" si="257"/>
        <v>415</v>
      </c>
      <c r="J1501" s="213">
        <f t="shared" si="258"/>
        <v>35</v>
      </c>
      <c r="K1501">
        <f>RANK(3.46,AI:AI,0)</f>
        <v>130</v>
      </c>
      <c r="L1501" s="357">
        <v>0</v>
      </c>
      <c r="M1501" s="357">
        <v>0</v>
      </c>
      <c r="N1501" s="357">
        <v>0</v>
      </c>
      <c r="O1501" s="357">
        <v>1</v>
      </c>
      <c r="P1501" s="357">
        <v>0</v>
      </c>
      <c r="Q1501" s="358">
        <v>0.12290502793296089</v>
      </c>
      <c r="R1501" s="359">
        <v>2.5000000000000001E-2</v>
      </c>
      <c r="S1501" s="196">
        <v>2040591000</v>
      </c>
      <c r="T1501" s="196">
        <v>50900000</v>
      </c>
      <c r="U1501" s="200">
        <f t="shared" si="259"/>
        <v>1333580000</v>
      </c>
      <c r="V1501" s="196">
        <v>6000000</v>
      </c>
      <c r="W1501" s="196">
        <v>76000000</v>
      </c>
      <c r="X1501" s="196">
        <v>708000000</v>
      </c>
      <c r="Y1501" s="196">
        <v>726000000</v>
      </c>
      <c r="Z1501" s="196">
        <v>202000000</v>
      </c>
      <c r="AA1501" s="198">
        <v>0.01</v>
      </c>
      <c r="AB1501" s="198">
        <v>0.01</v>
      </c>
      <c r="AC1501" s="213">
        <f t="shared" si="260"/>
        <v>769</v>
      </c>
      <c r="AD1501" s="213">
        <f t="shared" si="261"/>
        <v>680</v>
      </c>
      <c r="AE1501" s="213">
        <v>1.08</v>
      </c>
      <c r="AF1501" s="196">
        <v>64000000</v>
      </c>
      <c r="AG1501" s="104">
        <f t="shared" si="262"/>
        <v>1.2573673870333988</v>
      </c>
      <c r="AH1501" s="104">
        <f t="shared" si="263"/>
        <v>10.666666666666666</v>
      </c>
      <c r="AI1501" s="195">
        <v>3.46</v>
      </c>
    </row>
    <row r="1502" spans="1:48">
      <c r="A1502">
        <v>8929</v>
      </c>
      <c r="C1502" s="107">
        <f>VLOOKUP(8929,收盤價!$A:$C,3,0)</f>
        <v>24.2</v>
      </c>
      <c r="D1502" s="107">
        <f t="shared" si="253"/>
        <v>19.459064327485379</v>
      </c>
      <c r="E1502" s="167">
        <f t="shared" si="254"/>
        <v>3</v>
      </c>
      <c r="F1502" s="104">
        <f t="shared" si="255"/>
        <v>0.70191704616727113</v>
      </c>
      <c r="G1502" s="167">
        <f>RANK(1.41,AE:AE,0)</f>
        <v>618</v>
      </c>
      <c r="H1502" s="365">
        <f t="shared" si="256"/>
        <v>2.084045584045584</v>
      </c>
      <c r="I1502" s="213">
        <f t="shared" si="257"/>
        <v>199</v>
      </c>
      <c r="J1502" s="213">
        <f t="shared" si="258"/>
        <v>102</v>
      </c>
      <c r="K1502">
        <f>RANK(5.18,AI:AI,0)</f>
        <v>62</v>
      </c>
      <c r="L1502" s="357">
        <v>0</v>
      </c>
      <c r="M1502" s="357">
        <v>1</v>
      </c>
      <c r="N1502" s="357">
        <v>1</v>
      </c>
      <c r="O1502" s="357">
        <v>1</v>
      </c>
      <c r="P1502" s="357">
        <v>0</v>
      </c>
      <c r="Q1502" s="358">
        <v>0.22580645161290322</v>
      </c>
      <c r="R1502" s="359">
        <v>0.31090909090909091</v>
      </c>
      <c r="S1502" s="196">
        <v>1210143000</v>
      </c>
      <c r="T1502" s="196">
        <v>35100000</v>
      </c>
      <c r="U1502" s="200">
        <f t="shared" si="259"/>
        <v>849420000</v>
      </c>
      <c r="V1502" s="196">
        <v>18000000</v>
      </c>
      <c r="W1502" s="196">
        <v>644000000</v>
      </c>
      <c r="X1502" s="196">
        <v>282000000</v>
      </c>
      <c r="Y1502" s="196">
        <v>900000000</v>
      </c>
      <c r="Z1502" s="196">
        <v>132000000</v>
      </c>
      <c r="AA1502" s="198">
        <v>0.02</v>
      </c>
      <c r="AB1502" s="198">
        <v>0.02</v>
      </c>
      <c r="AC1502" s="213">
        <f t="shared" si="260"/>
        <v>616</v>
      </c>
      <c r="AD1502" s="213">
        <f t="shared" si="261"/>
        <v>487</v>
      </c>
      <c r="AE1502" s="213">
        <v>1.41</v>
      </c>
      <c r="AF1502" s="196">
        <v>77000000</v>
      </c>
      <c r="AG1502" s="104">
        <f t="shared" si="262"/>
        <v>2.1937321937321936</v>
      </c>
      <c r="AH1502" s="104">
        <f t="shared" si="263"/>
        <v>4.2777777777777777</v>
      </c>
      <c r="AI1502" s="195">
        <v>5.18</v>
      </c>
    </row>
    <row r="1503" spans="1:48">
      <c r="A1503">
        <v>8930</v>
      </c>
      <c r="C1503" s="107">
        <f>VLOOKUP(8930,收盤價!$A:$C,3,0)</f>
        <v>10.6</v>
      </c>
      <c r="D1503" s="107">
        <f t="shared" si="253"/>
        <v>7.0745272525027811</v>
      </c>
      <c r="E1503" s="167">
        <f t="shared" si="254"/>
        <v>4</v>
      </c>
      <c r="F1503" s="104">
        <f t="shared" si="255"/>
        <v>0.70828425298920772</v>
      </c>
      <c r="G1503" s="167">
        <f>RANK(1.64,AE:AE,0)</f>
        <v>539</v>
      </c>
      <c r="H1503" s="365">
        <f t="shared" si="256"/>
        <v>0.54285714285714282</v>
      </c>
      <c r="I1503" s="213">
        <f t="shared" si="257"/>
        <v>1363</v>
      </c>
      <c r="J1503" s="213">
        <f t="shared" si="258"/>
        <v>768</v>
      </c>
      <c r="K1503">
        <f>RANK(0.73,AI:AI,0)</f>
        <v>1352</v>
      </c>
      <c r="L1503" s="357">
        <v>1</v>
      </c>
      <c r="M1503" s="357">
        <v>1</v>
      </c>
      <c r="N1503" s="357">
        <v>2</v>
      </c>
      <c r="O1503" s="357">
        <v>0</v>
      </c>
      <c r="P1503" s="357">
        <v>0</v>
      </c>
      <c r="Q1503" s="358">
        <v>0.24922118380062305</v>
      </c>
      <c r="R1503" s="359">
        <v>0.37458333333333332</v>
      </c>
      <c r="S1503" s="196">
        <v>1047602000</v>
      </c>
      <c r="T1503" s="196">
        <v>70000000</v>
      </c>
      <c r="U1503" s="200">
        <f t="shared" si="259"/>
        <v>742000000</v>
      </c>
      <c r="V1503" s="196">
        <v>31000000</v>
      </c>
      <c r="W1503" s="196">
        <v>359000000</v>
      </c>
      <c r="X1503" s="196">
        <v>975000000</v>
      </c>
      <c r="Y1503" s="196">
        <v>943000000</v>
      </c>
      <c r="Z1503" s="196">
        <v>151000000</v>
      </c>
      <c r="AA1503" s="198">
        <v>0.02</v>
      </c>
      <c r="AB1503" s="198">
        <v>0.03</v>
      </c>
      <c r="AC1503" s="213">
        <f t="shared" si="260"/>
        <v>616</v>
      </c>
      <c r="AD1503" s="213">
        <f t="shared" si="261"/>
        <v>334</v>
      </c>
      <c r="AE1503" s="213">
        <v>1.64</v>
      </c>
      <c r="AF1503" s="196">
        <v>-38000000</v>
      </c>
      <c r="AG1503" s="104">
        <f t="shared" si="262"/>
        <v>-0.54285714285714282</v>
      </c>
      <c r="AH1503" s="104">
        <f t="shared" si="263"/>
        <v>0</v>
      </c>
      <c r="AI1503" s="195">
        <v>0.73</v>
      </c>
      <c r="AO1503" s="213"/>
      <c r="AP1503" s="213"/>
      <c r="AQ1503" s="213"/>
      <c r="AR1503" s="213"/>
      <c r="AS1503" s="213"/>
      <c r="AT1503" s="213"/>
      <c r="AU1503" s="213"/>
      <c r="AV1503" s="213"/>
    </row>
    <row r="1504" spans="1:48">
      <c r="A1504">
        <v>8931</v>
      </c>
      <c r="C1504" s="107">
        <f>VLOOKUP(8931,收盤價!$A:$C,3,0)</f>
        <v>19.100000000000001</v>
      </c>
      <c r="D1504" s="107">
        <f t="shared" si="253"/>
        <v>35.603070175438596</v>
      </c>
      <c r="E1504" s="167">
        <f t="shared" si="254"/>
        <v>1</v>
      </c>
      <c r="F1504" s="104">
        <f t="shared" si="255"/>
        <v>1.6238636294627407</v>
      </c>
      <c r="G1504" s="167">
        <f>RANK(1.08,AE:AE,0)</f>
        <v>769</v>
      </c>
      <c r="H1504" s="365">
        <f t="shared" si="256"/>
        <v>0.4017857142857143</v>
      </c>
      <c r="I1504" s="213">
        <f t="shared" si="257"/>
        <v>1313</v>
      </c>
      <c r="J1504" s="213">
        <f t="shared" si="258"/>
        <v>768</v>
      </c>
      <c r="K1504">
        <f>RANK(0.75,AI:AI,0)</f>
        <v>1296</v>
      </c>
      <c r="L1504" s="357">
        <v>0</v>
      </c>
      <c r="M1504" s="357">
        <v>1</v>
      </c>
      <c r="N1504" s="357">
        <v>0</v>
      </c>
      <c r="O1504" s="357">
        <v>0</v>
      </c>
      <c r="P1504" s="357">
        <v>0</v>
      </c>
      <c r="Q1504" s="358">
        <v>0.14150943396226415</v>
      </c>
      <c r="R1504" s="359">
        <v>0.13411764705882354</v>
      </c>
      <c r="S1504" s="196">
        <v>1317352000</v>
      </c>
      <c r="T1504" s="196">
        <v>112000000</v>
      </c>
      <c r="U1504" s="200">
        <f t="shared" si="259"/>
        <v>2139200000.0000002</v>
      </c>
      <c r="V1504" s="196">
        <v>21000000</v>
      </c>
      <c r="W1504" s="196">
        <v>56000000</v>
      </c>
      <c r="X1504" s="196">
        <v>1578000000</v>
      </c>
      <c r="Y1504" s="196">
        <v>1616000000</v>
      </c>
      <c r="Z1504" s="196">
        <v>426000000</v>
      </c>
      <c r="AA1504" s="198">
        <v>0.01</v>
      </c>
      <c r="AB1504" s="198">
        <v>0.01</v>
      </c>
      <c r="AC1504" s="213">
        <f t="shared" si="260"/>
        <v>769</v>
      </c>
      <c r="AD1504" s="213">
        <f t="shared" si="261"/>
        <v>680</v>
      </c>
      <c r="AE1504" s="213">
        <v>1.08</v>
      </c>
      <c r="AF1504" s="196">
        <v>-45000000</v>
      </c>
      <c r="AG1504" s="104">
        <f t="shared" si="262"/>
        <v>-0.4017857142857143</v>
      </c>
      <c r="AH1504" s="104">
        <f t="shared" si="263"/>
        <v>0</v>
      </c>
      <c r="AI1504" s="195">
        <v>0.75</v>
      </c>
    </row>
    <row r="1505" spans="1:48">
      <c r="A1505">
        <v>8932</v>
      </c>
      <c r="C1505" s="107">
        <f>VLOOKUP(8932,收盤價!$A:$C,3,0)</f>
        <v>9.17</v>
      </c>
      <c r="D1505" s="107">
        <f t="shared" si="253"/>
        <v>4.0802570863546475</v>
      </c>
      <c r="E1505" s="167">
        <f t="shared" si="254"/>
        <v>1</v>
      </c>
      <c r="F1505" s="104">
        <f t="shared" si="255"/>
        <v>0.37361417124956897</v>
      </c>
      <c r="G1505" s="167">
        <f>RANK(5.25,AE:AE,0)</f>
        <v>164</v>
      </c>
      <c r="H1505" s="365">
        <f t="shared" si="256"/>
        <v>0.77868852459016391</v>
      </c>
      <c r="I1505" s="213">
        <f t="shared" si="257"/>
        <v>1405</v>
      </c>
      <c r="J1505" s="213">
        <f t="shared" si="258"/>
        <v>768</v>
      </c>
      <c r="K1505">
        <f>RANK(0.72,AI:AI,0)</f>
        <v>1381</v>
      </c>
      <c r="L1505" s="357">
        <v>0</v>
      </c>
      <c r="M1505" s="357">
        <v>1</v>
      </c>
      <c r="N1505" s="357">
        <v>0</v>
      </c>
      <c r="O1505" s="357">
        <v>0</v>
      </c>
      <c r="P1505" s="357">
        <v>0</v>
      </c>
      <c r="Q1505" s="358">
        <v>0.20652173913043478</v>
      </c>
      <c r="R1505" s="359">
        <v>0.56185185185185182</v>
      </c>
      <c r="S1505" s="196">
        <v>1197749000</v>
      </c>
      <c r="T1505" s="196">
        <v>48800000</v>
      </c>
      <c r="U1505" s="200">
        <f t="shared" si="259"/>
        <v>447496000</v>
      </c>
      <c r="V1505" s="196">
        <v>42000000</v>
      </c>
      <c r="W1505" s="196">
        <v>0</v>
      </c>
      <c r="X1505" s="196">
        <v>447000000</v>
      </c>
      <c r="Y1505" s="196">
        <v>479000000</v>
      </c>
      <c r="Z1505" s="196">
        <v>680000000</v>
      </c>
      <c r="AA1505" s="198">
        <v>0.09</v>
      </c>
      <c r="AB1505" s="198">
        <v>0.04</v>
      </c>
      <c r="AC1505" s="213">
        <f t="shared" si="260"/>
        <v>69</v>
      </c>
      <c r="AD1505" s="213">
        <f t="shared" si="261"/>
        <v>228</v>
      </c>
      <c r="AE1505" s="213">
        <v>5.25</v>
      </c>
      <c r="AF1505" s="196">
        <v>-38000000</v>
      </c>
      <c r="AG1505" s="104">
        <f t="shared" si="262"/>
        <v>-0.77868852459016391</v>
      </c>
      <c r="AH1505" s="104">
        <f t="shared" si="263"/>
        <v>0</v>
      </c>
      <c r="AI1505" s="195">
        <v>0.72</v>
      </c>
    </row>
    <row r="1506" spans="1:48">
      <c r="A1506">
        <v>8933</v>
      </c>
      <c r="C1506" s="107">
        <f>VLOOKUP(8933,收盤價!$A:$C,3,0)</f>
        <v>10.55</v>
      </c>
      <c r="D1506" s="107">
        <f t="shared" si="253"/>
        <v>0</v>
      </c>
      <c r="E1506" s="167">
        <f t="shared" si="254"/>
        <v>1</v>
      </c>
      <c r="F1506" s="104">
        <f t="shared" si="255"/>
        <v>0.29087643241714745</v>
      </c>
      <c r="G1506" s="167">
        <f>RANK(0.93,AE:AE,0)</f>
        <v>920</v>
      </c>
      <c r="H1506" s="365">
        <f t="shared" si="256"/>
        <v>15.278638814016173</v>
      </c>
      <c r="I1506" s="213">
        <f t="shared" si="257"/>
        <v>258</v>
      </c>
      <c r="J1506" s="213">
        <f t="shared" si="258"/>
        <v>17</v>
      </c>
      <c r="K1506">
        <f>RANK(5.67,AI:AI,0)</f>
        <v>54</v>
      </c>
      <c r="L1506" s="357">
        <v>0</v>
      </c>
      <c r="M1506" s="357">
        <v>0</v>
      </c>
      <c r="N1506" s="357">
        <v>0</v>
      </c>
      <c r="O1506" s="357">
        <v>1</v>
      </c>
      <c r="P1506" s="357">
        <v>0</v>
      </c>
      <c r="Q1506" s="358">
        <v>0.10125260960334029</v>
      </c>
      <c r="R1506" s="359">
        <v>0</v>
      </c>
      <c r="S1506" s="196">
        <v>5382423000</v>
      </c>
      <c r="T1506" s="196">
        <v>148400000</v>
      </c>
      <c r="U1506" s="200">
        <f t="shared" si="259"/>
        <v>1565620000</v>
      </c>
      <c r="V1506" s="196">
        <v>16000000</v>
      </c>
      <c r="W1506" s="196">
        <v>1499000000</v>
      </c>
      <c r="X1506" s="196">
        <v>735000000</v>
      </c>
      <c r="Y1506" s="196">
        <v>2377000000</v>
      </c>
      <c r="Z1506" s="196">
        <v>1595000000</v>
      </c>
      <c r="AA1506" s="198">
        <v>0.01</v>
      </c>
      <c r="AB1506" s="198">
        <v>0</v>
      </c>
      <c r="AC1506" s="213">
        <f t="shared" si="260"/>
        <v>769</v>
      </c>
      <c r="AD1506" s="213">
        <f t="shared" si="261"/>
        <v>911</v>
      </c>
      <c r="AE1506" s="213">
        <v>0.93</v>
      </c>
      <c r="AF1506" s="196">
        <v>274000000</v>
      </c>
      <c r="AG1506" s="104">
        <f t="shared" si="262"/>
        <v>1.8463611859838276</v>
      </c>
      <c r="AH1506" s="104">
        <f t="shared" si="263"/>
        <v>17.125</v>
      </c>
      <c r="AI1506" s="195">
        <v>5.67</v>
      </c>
    </row>
    <row r="1507" spans="1:48">
      <c r="A1507">
        <v>8934</v>
      </c>
      <c r="C1507" s="107">
        <f>VLOOKUP(8934,收盤價!$A:$C,3,0)</f>
        <v>27</v>
      </c>
      <c r="D1507" s="107">
        <f t="shared" si="253"/>
        <v>0</v>
      </c>
      <c r="E1507" s="167">
        <f t="shared" si="254"/>
        <v>1</v>
      </c>
      <c r="F1507" s="104">
        <f t="shared" si="255"/>
        <v>0.36767002936554088</v>
      </c>
      <c r="G1507" s="167">
        <f>RANK(0.84,AE:AE,0)</f>
        <v>946</v>
      </c>
      <c r="H1507" s="365">
        <f t="shared" si="256"/>
        <v>-1.7647058823529411</v>
      </c>
      <c r="I1507" s="213">
        <f t="shared" si="257"/>
        <v>273</v>
      </c>
      <c r="J1507" s="213">
        <f t="shared" si="258"/>
        <v>768</v>
      </c>
      <c r="K1507">
        <f>RANK(1.5,AI:AI,0)</f>
        <v>562</v>
      </c>
      <c r="L1507" s="357">
        <v>0</v>
      </c>
      <c r="M1507" s="357">
        <v>0</v>
      </c>
      <c r="N1507" s="357">
        <v>1</v>
      </c>
      <c r="O1507" s="357">
        <v>0</v>
      </c>
      <c r="P1507" s="357">
        <v>0</v>
      </c>
      <c r="Q1507" s="358">
        <v>0.15267175572519084</v>
      </c>
      <c r="R1507" s="359">
        <v>-0.5</v>
      </c>
      <c r="S1507" s="196">
        <v>624201000</v>
      </c>
      <c r="T1507" s="196">
        <v>8500000</v>
      </c>
      <c r="U1507" s="200">
        <f t="shared" si="259"/>
        <v>229500000</v>
      </c>
      <c r="V1507" s="196">
        <v>0</v>
      </c>
      <c r="W1507" s="196">
        <v>427000000</v>
      </c>
      <c r="X1507" s="196">
        <v>5000000</v>
      </c>
      <c r="Y1507" s="196">
        <v>224000000</v>
      </c>
      <c r="Z1507" s="196">
        <v>0</v>
      </c>
      <c r="AA1507" s="198">
        <v>0</v>
      </c>
      <c r="AB1507" s="198">
        <v>0</v>
      </c>
      <c r="AC1507" s="213">
        <f t="shared" si="260"/>
        <v>945</v>
      </c>
      <c r="AD1507" s="213">
        <f t="shared" si="261"/>
        <v>911</v>
      </c>
      <c r="AE1507" s="213">
        <v>0.84</v>
      </c>
      <c r="AF1507" s="196">
        <v>15000000</v>
      </c>
      <c r="AG1507" s="104">
        <f t="shared" si="262"/>
        <v>1.7647058823529411</v>
      </c>
      <c r="AH1507" s="104">
        <f t="shared" si="263"/>
        <v>0</v>
      </c>
      <c r="AI1507" s="195">
        <v>1.5</v>
      </c>
    </row>
    <row r="1508" spans="1:48">
      <c r="A1508">
        <v>8935</v>
      </c>
      <c r="C1508" s="107">
        <f>VLOOKUP(8935,收盤價!$A:$C,3,0)</f>
        <v>6.9</v>
      </c>
      <c r="D1508" s="107">
        <f t="shared" si="253"/>
        <v>0</v>
      </c>
      <c r="E1508" s="167">
        <f t="shared" si="254"/>
        <v>1</v>
      </c>
      <c r="F1508" s="104">
        <f t="shared" si="255"/>
        <v>1.2298080327842136</v>
      </c>
      <c r="G1508" s="167">
        <f>RANK(0.59,AE:AE,0)</f>
        <v>1348</v>
      </c>
      <c r="H1508" s="365">
        <f t="shared" si="256"/>
        <v>-8.3125519534497094E-3</v>
      </c>
      <c r="I1508" s="213">
        <f t="shared" si="257"/>
        <v>1061</v>
      </c>
      <c r="J1508" s="213">
        <f t="shared" si="258"/>
        <v>768</v>
      </c>
      <c r="K1508">
        <f>RANK(0.85,AI:AI,0)</f>
        <v>1059</v>
      </c>
      <c r="L1508" s="357">
        <v>0</v>
      </c>
      <c r="M1508" s="357">
        <v>0</v>
      </c>
      <c r="N1508" s="357">
        <v>0</v>
      </c>
      <c r="O1508" s="357">
        <v>1</v>
      </c>
      <c r="P1508" s="357">
        <v>0</v>
      </c>
      <c r="Q1508" s="358">
        <v>9.0277777777777776E-2</v>
      </c>
      <c r="R1508" s="359">
        <v>0</v>
      </c>
      <c r="S1508" s="196">
        <v>674959000</v>
      </c>
      <c r="T1508" s="196">
        <v>120300000</v>
      </c>
      <c r="U1508" s="200">
        <f t="shared" si="259"/>
        <v>830070000</v>
      </c>
      <c r="V1508" s="196">
        <v>-18000000</v>
      </c>
      <c r="W1508" s="196">
        <v>0</v>
      </c>
      <c r="X1508" s="196">
        <v>726000000</v>
      </c>
      <c r="Y1508" s="196">
        <v>873000000</v>
      </c>
      <c r="Z1508" s="196">
        <v>595000000</v>
      </c>
      <c r="AA1508" s="198">
        <v>-0.02</v>
      </c>
      <c r="AB1508" s="198">
        <v>-0.01</v>
      </c>
      <c r="AC1508" s="213">
        <f t="shared" si="260"/>
        <v>1353</v>
      </c>
      <c r="AD1508" s="213">
        <f t="shared" si="261"/>
        <v>1294</v>
      </c>
      <c r="AE1508" s="213">
        <v>0.59</v>
      </c>
      <c r="AF1508" s="196">
        <v>1000000</v>
      </c>
      <c r="AG1508" s="104">
        <f t="shared" si="262"/>
        <v>8.3125519534497094E-3</v>
      </c>
      <c r="AH1508" s="104">
        <f t="shared" si="263"/>
        <v>0</v>
      </c>
      <c r="AI1508" s="195">
        <v>0.85</v>
      </c>
    </row>
    <row r="1509" spans="1:48">
      <c r="A1509">
        <v>8936</v>
      </c>
      <c r="C1509" s="107">
        <f>VLOOKUP(8936,收盤價!$A:$C,3,0)</f>
        <v>17.8</v>
      </c>
      <c r="D1509" s="107">
        <f t="shared" si="253"/>
        <v>0</v>
      </c>
      <c r="E1509" s="167">
        <f t="shared" si="254"/>
        <v>0</v>
      </c>
      <c r="F1509" s="104">
        <f t="shared" si="255"/>
        <v>1.1331834963013299</v>
      </c>
      <c r="G1509" s="167">
        <f>RANK(0.84,AE:AE,0)</f>
        <v>946</v>
      </c>
      <c r="H1509" s="365">
        <f t="shared" si="256"/>
        <v>1.2970711297071129</v>
      </c>
      <c r="I1509" s="213">
        <f t="shared" si="257"/>
        <v>1465</v>
      </c>
      <c r="J1509" s="213">
        <f t="shared" si="258"/>
        <v>768</v>
      </c>
      <c r="K1509">
        <f>RANK(0.7,AI:AI,0)</f>
        <v>1442</v>
      </c>
      <c r="L1509" s="357">
        <v>0</v>
      </c>
      <c r="M1509" s="357">
        <v>0</v>
      </c>
      <c r="N1509" s="357">
        <v>0</v>
      </c>
      <c r="O1509" s="357">
        <v>0</v>
      </c>
      <c r="P1509" s="357">
        <v>0</v>
      </c>
      <c r="Q1509" s="358">
        <v>2.5188916876574308E-2</v>
      </c>
      <c r="R1509" s="359">
        <v>0</v>
      </c>
      <c r="S1509" s="196">
        <v>3378782000</v>
      </c>
      <c r="T1509" s="196">
        <v>215100000</v>
      </c>
      <c r="U1509" s="200">
        <f t="shared" si="259"/>
        <v>3828780000</v>
      </c>
      <c r="V1509" s="196">
        <v>-15000000</v>
      </c>
      <c r="W1509" s="196">
        <v>3019000000</v>
      </c>
      <c r="X1509" s="196">
        <v>1470000000</v>
      </c>
      <c r="Y1509" s="196">
        <v>5768000000</v>
      </c>
      <c r="Z1509" s="196">
        <v>3626000000</v>
      </c>
      <c r="AA1509" s="198">
        <v>0</v>
      </c>
      <c r="AB1509" s="198">
        <v>0</v>
      </c>
      <c r="AC1509" s="213">
        <f t="shared" si="260"/>
        <v>945</v>
      </c>
      <c r="AD1509" s="213">
        <f t="shared" si="261"/>
        <v>911</v>
      </c>
      <c r="AE1509" s="213">
        <v>0.84</v>
      </c>
      <c r="AF1509" s="196">
        <v>-279000000</v>
      </c>
      <c r="AG1509" s="104">
        <f t="shared" si="262"/>
        <v>-1.2970711297071129</v>
      </c>
      <c r="AH1509" s="104">
        <f t="shared" si="263"/>
        <v>0</v>
      </c>
      <c r="AI1509" s="195">
        <v>0.7</v>
      </c>
    </row>
    <row r="1510" spans="1:48">
      <c r="A1510">
        <v>8937</v>
      </c>
      <c r="C1510" s="107">
        <f>VLOOKUP(8937,收盤價!$A:$C,3,0)</f>
        <v>10.3</v>
      </c>
      <c r="D1510" s="107">
        <f t="shared" si="253"/>
        <v>0</v>
      </c>
      <c r="E1510" s="167">
        <f t="shared" si="254"/>
        <v>2</v>
      </c>
      <c r="F1510" s="104">
        <f t="shared" si="255"/>
        <v>1.6523393850885637</v>
      </c>
      <c r="G1510" s="167">
        <f>RANK(0.84,AE:AE,0)</f>
        <v>946</v>
      </c>
      <c r="H1510" s="365">
        <f t="shared" si="256"/>
        <v>9.7241379310344822</v>
      </c>
      <c r="I1510" s="213">
        <f t="shared" si="257"/>
        <v>876</v>
      </c>
      <c r="J1510" s="213">
        <f t="shared" si="258"/>
        <v>40</v>
      </c>
      <c r="K1510">
        <f>RANK(1.7,AI:AI,0)</f>
        <v>456</v>
      </c>
      <c r="L1510" s="357">
        <v>0</v>
      </c>
      <c r="M1510" s="357">
        <v>1</v>
      </c>
      <c r="N1510" s="357">
        <v>0</v>
      </c>
      <c r="O1510" s="357">
        <v>1</v>
      </c>
      <c r="P1510" s="357">
        <v>0</v>
      </c>
      <c r="Q1510" s="358">
        <v>0.11382113821138211</v>
      </c>
      <c r="R1510" s="359">
        <v>0</v>
      </c>
      <c r="S1510" s="196">
        <v>451935000</v>
      </c>
      <c r="T1510" s="196">
        <v>72500000</v>
      </c>
      <c r="U1510" s="200">
        <f t="shared" si="259"/>
        <v>746750000</v>
      </c>
      <c r="V1510" s="196">
        <v>2000000</v>
      </c>
      <c r="W1510" s="196">
        <v>567000000</v>
      </c>
      <c r="X1510" s="196">
        <v>164000000</v>
      </c>
      <c r="Y1510" s="196">
        <v>790000000</v>
      </c>
      <c r="Z1510" s="196">
        <v>0</v>
      </c>
      <c r="AA1510" s="198">
        <v>0</v>
      </c>
      <c r="AB1510" s="198">
        <v>0</v>
      </c>
      <c r="AC1510" s="213">
        <f t="shared" si="260"/>
        <v>945</v>
      </c>
      <c r="AD1510" s="213">
        <f t="shared" si="261"/>
        <v>911</v>
      </c>
      <c r="AE1510" s="213">
        <v>0.84</v>
      </c>
      <c r="AF1510" s="196">
        <v>20000000</v>
      </c>
      <c r="AG1510" s="104">
        <f t="shared" si="262"/>
        <v>0.27586206896551724</v>
      </c>
      <c r="AH1510" s="104">
        <f t="shared" si="263"/>
        <v>10</v>
      </c>
      <c r="AI1510" s="195">
        <v>1.7</v>
      </c>
    </row>
    <row r="1511" spans="1:48">
      <c r="A1511">
        <v>8938</v>
      </c>
      <c r="C1511" s="107">
        <f>VLOOKUP(8938,收盤價!$A:$C,3,0)</f>
        <v>20.350000000000001</v>
      </c>
      <c r="D1511" s="107">
        <f t="shared" si="253"/>
        <v>0</v>
      </c>
      <c r="E1511" s="167">
        <f t="shared" si="254"/>
        <v>3</v>
      </c>
      <c r="F1511" s="104">
        <f t="shared" si="255"/>
        <v>0.29979666716141529</v>
      </c>
      <c r="G1511" s="167">
        <f>RANK(0.61,AE:AE,0)</f>
        <v>1295</v>
      </c>
      <c r="H1511" s="365">
        <f t="shared" si="256"/>
        <v>-2.7511244377811095</v>
      </c>
      <c r="I1511" s="213">
        <f t="shared" si="257"/>
        <v>140</v>
      </c>
      <c r="J1511" s="213">
        <f t="shared" si="258"/>
        <v>768</v>
      </c>
      <c r="K1511">
        <f>RANK(1.72,AI:AI,0)</f>
        <v>447</v>
      </c>
      <c r="L1511" s="357">
        <v>0</v>
      </c>
      <c r="M1511" s="357">
        <v>1</v>
      </c>
      <c r="N1511" s="357">
        <v>1</v>
      </c>
      <c r="O1511" s="357">
        <v>1</v>
      </c>
      <c r="P1511" s="357">
        <v>0</v>
      </c>
      <c r="Q1511" s="358">
        <v>7.9171094580233789E-2</v>
      </c>
      <c r="R1511" s="359">
        <v>0</v>
      </c>
      <c r="S1511" s="196">
        <v>9055104000</v>
      </c>
      <c r="T1511" s="196">
        <v>133400000</v>
      </c>
      <c r="U1511" s="200">
        <f t="shared" si="259"/>
        <v>2714690000</v>
      </c>
      <c r="V1511" s="196">
        <v>-38000000</v>
      </c>
      <c r="W1511" s="196">
        <v>1578000000</v>
      </c>
      <c r="X1511" s="196">
        <v>1760000000</v>
      </c>
      <c r="Y1511" s="196">
        <v>3470000000</v>
      </c>
      <c r="Z1511" s="196">
        <v>39000000</v>
      </c>
      <c r="AA1511" s="198">
        <v>-0.01</v>
      </c>
      <c r="AB1511" s="198">
        <v>-0.01</v>
      </c>
      <c r="AC1511" s="213">
        <f t="shared" si="260"/>
        <v>1277</v>
      </c>
      <c r="AD1511" s="213">
        <f t="shared" si="261"/>
        <v>1294</v>
      </c>
      <c r="AE1511" s="213">
        <v>0.61</v>
      </c>
      <c r="AF1511" s="196">
        <v>367000000</v>
      </c>
      <c r="AG1511" s="104">
        <f t="shared" si="262"/>
        <v>2.7511244377811095</v>
      </c>
      <c r="AH1511" s="104">
        <f t="shared" si="263"/>
        <v>0</v>
      </c>
      <c r="AI1511" s="195">
        <v>1.72</v>
      </c>
    </row>
    <row r="1512" spans="1:48">
      <c r="A1512">
        <v>8940</v>
      </c>
      <c r="C1512" s="107">
        <f>VLOOKUP(8940,收盤價!$A:$C,3,0)</f>
        <v>15.1</v>
      </c>
      <c r="D1512" s="107">
        <f t="shared" si="253"/>
        <v>0</v>
      </c>
      <c r="E1512" s="167">
        <f t="shared" si="254"/>
        <v>1</v>
      </c>
      <c r="F1512" s="104">
        <f t="shared" si="255"/>
        <v>0.66449308809838603</v>
      </c>
      <c r="G1512" s="167">
        <f>RANK(0.55,AE:AE,0)</f>
        <v>1436</v>
      </c>
      <c r="H1512" s="365">
        <f t="shared" si="256"/>
        <v>-0.47407407407407409</v>
      </c>
      <c r="I1512" s="213">
        <f t="shared" si="257"/>
        <v>757</v>
      </c>
      <c r="J1512" s="213">
        <f t="shared" si="258"/>
        <v>768</v>
      </c>
      <c r="K1512">
        <f>RANK(1.02,AI:AI,0)</f>
        <v>862</v>
      </c>
      <c r="L1512" s="357">
        <v>0</v>
      </c>
      <c r="M1512" s="357">
        <v>0</v>
      </c>
      <c r="N1512" s="357">
        <v>0</v>
      </c>
      <c r="O1512" s="357">
        <v>1</v>
      </c>
      <c r="P1512" s="357">
        <v>0</v>
      </c>
      <c r="Q1512" s="358">
        <v>0.43448275862068964</v>
      </c>
      <c r="R1512" s="359">
        <v>0</v>
      </c>
      <c r="S1512" s="196">
        <v>1533876000</v>
      </c>
      <c r="T1512" s="196">
        <v>67500000</v>
      </c>
      <c r="U1512" s="200">
        <f t="shared" si="259"/>
        <v>1019250000</v>
      </c>
      <c r="V1512" s="196">
        <v>-31000000</v>
      </c>
      <c r="W1512" s="196">
        <v>0</v>
      </c>
      <c r="X1512" s="196">
        <v>1103000000</v>
      </c>
      <c r="Y1512" s="196">
        <v>844000000</v>
      </c>
      <c r="Z1512" s="196">
        <v>53000000</v>
      </c>
      <c r="AA1512" s="198">
        <v>-0.03</v>
      </c>
      <c r="AB1512" s="198">
        <v>-0.03</v>
      </c>
      <c r="AC1512" s="213">
        <f t="shared" si="260"/>
        <v>1405</v>
      </c>
      <c r="AD1512" s="213">
        <f t="shared" si="261"/>
        <v>1444</v>
      </c>
      <c r="AE1512" s="213">
        <v>0.55000000000000004</v>
      </c>
      <c r="AF1512" s="196">
        <v>32000000</v>
      </c>
      <c r="AG1512" s="104">
        <f t="shared" si="262"/>
        <v>0.47407407407407409</v>
      </c>
      <c r="AH1512" s="104">
        <f t="shared" si="263"/>
        <v>0</v>
      </c>
      <c r="AI1512" s="195">
        <v>1.02</v>
      </c>
    </row>
    <row r="1513" spans="1:48">
      <c r="A1513">
        <v>8941</v>
      </c>
      <c r="C1513" s="107">
        <f>VLOOKUP(8941,收盤價!$A:$C,3,0)</f>
        <v>71</v>
      </c>
      <c r="D1513" s="107">
        <f t="shared" si="253"/>
        <v>0</v>
      </c>
      <c r="E1513" s="167">
        <f t="shared" si="254"/>
        <v>4</v>
      </c>
      <c r="F1513" s="104">
        <f t="shared" si="255"/>
        <v>0.60834839456722545</v>
      </c>
      <c r="G1513" s="167">
        <f>RANK(21.64,AE:AE,0)</f>
        <v>33</v>
      </c>
      <c r="H1513" s="365">
        <f t="shared" si="256"/>
        <v>-1.3262531860662703</v>
      </c>
      <c r="I1513" s="213">
        <f t="shared" si="257"/>
        <v>237</v>
      </c>
      <c r="J1513" s="213">
        <f t="shared" si="258"/>
        <v>647</v>
      </c>
      <c r="K1513">
        <f>RANK(1.76,AI:AI,0)</f>
        <v>428</v>
      </c>
      <c r="L1513" s="357">
        <v>0</v>
      </c>
      <c r="M1513" s="357">
        <v>1</v>
      </c>
      <c r="N1513" s="357">
        <v>2</v>
      </c>
      <c r="O1513" s="357">
        <v>1</v>
      </c>
      <c r="P1513" s="357">
        <v>0</v>
      </c>
      <c r="Q1513" s="358">
        <v>0.33760683760683763</v>
      </c>
      <c r="R1513" s="359">
        <v>0</v>
      </c>
      <c r="S1513" s="196">
        <v>2497582000</v>
      </c>
      <c r="T1513" s="196">
        <v>21400000</v>
      </c>
      <c r="U1513" s="200">
        <f t="shared" si="259"/>
        <v>1519400000</v>
      </c>
      <c r="V1513" s="196">
        <v>66000000</v>
      </c>
      <c r="W1513" s="196">
        <v>0</v>
      </c>
      <c r="X1513" s="196">
        <v>229000000</v>
      </c>
      <c r="Y1513" s="196">
        <v>811000000</v>
      </c>
      <c r="Z1513" s="196">
        <v>112000000</v>
      </c>
      <c r="AA1513" s="198">
        <v>0.28999999999999998</v>
      </c>
      <c r="AB1513" s="198">
        <v>7.0000000000000007E-2</v>
      </c>
      <c r="AC1513" s="213">
        <f t="shared" si="260"/>
        <v>8</v>
      </c>
      <c r="AD1513" s="213">
        <f t="shared" si="261"/>
        <v>64</v>
      </c>
      <c r="AE1513" s="213">
        <v>21.64</v>
      </c>
      <c r="AF1513" s="196">
        <v>42000000</v>
      </c>
      <c r="AG1513" s="104">
        <f t="shared" si="262"/>
        <v>1.9626168224299065</v>
      </c>
      <c r="AH1513" s="104">
        <f t="shared" si="263"/>
        <v>0.63636363636363635</v>
      </c>
      <c r="AI1513" s="195">
        <v>1.76</v>
      </c>
    </row>
    <row r="1514" spans="1:48">
      <c r="A1514">
        <v>8942</v>
      </c>
      <c r="C1514" s="107">
        <f>VLOOKUP(8942,收盤價!$A:$C,3,0)</f>
        <v>82.4</v>
      </c>
      <c r="D1514" s="107">
        <f t="shared" si="253"/>
        <v>10.248756218905475</v>
      </c>
      <c r="E1514" s="167">
        <f t="shared" si="254"/>
        <v>1</v>
      </c>
      <c r="F1514" s="104">
        <f t="shared" si="255"/>
        <v>2.7811070860365121</v>
      </c>
      <c r="G1514" s="167">
        <f>RANK(0.84,AE:AE,0)</f>
        <v>946</v>
      </c>
      <c r="H1514" s="365">
        <f t="shared" si="256"/>
        <v>-0.66237942122186499</v>
      </c>
      <c r="I1514" s="213">
        <f t="shared" si="257"/>
        <v>665</v>
      </c>
      <c r="J1514" s="213">
        <f t="shared" si="258"/>
        <v>768</v>
      </c>
      <c r="K1514">
        <f>RANK(1.09,AI:AI,0)</f>
        <v>803</v>
      </c>
      <c r="L1514" s="357">
        <v>0</v>
      </c>
      <c r="M1514" s="357">
        <v>1</v>
      </c>
      <c r="N1514" s="357">
        <v>0</v>
      </c>
      <c r="O1514" s="357">
        <v>0</v>
      </c>
      <c r="P1514" s="357">
        <v>0</v>
      </c>
      <c r="Q1514" s="358">
        <v>0.4028892455858748</v>
      </c>
      <c r="R1514" s="359">
        <v>2.0099999999999998</v>
      </c>
      <c r="S1514" s="196">
        <v>4607230000</v>
      </c>
      <c r="T1514" s="196">
        <v>155500000</v>
      </c>
      <c r="U1514" s="200">
        <f t="shared" si="259"/>
        <v>12813200000</v>
      </c>
      <c r="V1514" s="196">
        <v>0</v>
      </c>
      <c r="W1514" s="196">
        <v>1942000000</v>
      </c>
      <c r="X1514" s="196">
        <v>4488000000</v>
      </c>
      <c r="Y1514" s="196">
        <v>7028000000</v>
      </c>
      <c r="Z1514" s="196">
        <v>2030000000</v>
      </c>
      <c r="AA1514" s="198">
        <v>0</v>
      </c>
      <c r="AB1514" s="198">
        <v>0</v>
      </c>
      <c r="AC1514" s="213">
        <f t="shared" si="260"/>
        <v>945</v>
      </c>
      <c r="AD1514" s="213">
        <f t="shared" si="261"/>
        <v>911</v>
      </c>
      <c r="AE1514" s="213">
        <v>0.84</v>
      </c>
      <c r="AF1514" s="196">
        <v>103000000</v>
      </c>
      <c r="AG1514" s="104">
        <f t="shared" si="262"/>
        <v>0.66237942122186499</v>
      </c>
      <c r="AH1514" s="104">
        <f t="shared" si="263"/>
        <v>0</v>
      </c>
      <c r="AI1514" s="195">
        <v>1.0900000000000001</v>
      </c>
    </row>
    <row r="1515" spans="1:48">
      <c r="A1515">
        <v>8996</v>
      </c>
      <c r="C1515" s="107">
        <f>VLOOKUP(8996,收盤價!$A:$C,3,0)</f>
        <v>57</v>
      </c>
      <c r="D1515" s="107">
        <f t="shared" si="253"/>
        <v>12.302612160566705</v>
      </c>
      <c r="E1515" s="167">
        <f t="shared" si="254"/>
        <v>3</v>
      </c>
      <c r="F1515" s="104">
        <f t="shared" si="255"/>
        <v>2.0125361913311419</v>
      </c>
      <c r="G1515" s="167">
        <f>RANK(4.81,AE:AE,0)</f>
        <v>170</v>
      </c>
      <c r="H1515" s="365">
        <f t="shared" si="256"/>
        <v>1.7561521252796422</v>
      </c>
      <c r="I1515" s="213">
        <f t="shared" si="257"/>
        <v>1499</v>
      </c>
      <c r="J1515" s="213">
        <f t="shared" si="258"/>
        <v>768</v>
      </c>
      <c r="K1515">
        <f>RANK(0.69,AI:AI,0)</f>
        <v>1474</v>
      </c>
      <c r="L1515" s="357">
        <v>0</v>
      </c>
      <c r="M1515" s="357">
        <v>1</v>
      </c>
      <c r="N1515" s="357">
        <v>2</v>
      </c>
      <c r="O1515" s="357">
        <v>0</v>
      </c>
      <c r="P1515" s="357">
        <v>0</v>
      </c>
      <c r="Q1515" s="358">
        <v>0.30235783633841884</v>
      </c>
      <c r="R1515" s="359">
        <v>1.1582905982905984</v>
      </c>
      <c r="S1515" s="196">
        <v>2532029000</v>
      </c>
      <c r="T1515" s="196">
        <v>89400000</v>
      </c>
      <c r="U1515" s="200">
        <f t="shared" si="259"/>
        <v>5095800000</v>
      </c>
      <c r="V1515" s="196">
        <v>124000000</v>
      </c>
      <c r="W1515" s="196">
        <v>1029000000</v>
      </c>
      <c r="X1515" s="196">
        <v>1149000000</v>
      </c>
      <c r="Y1515" s="196">
        <v>1885000000</v>
      </c>
      <c r="Z1515" s="196">
        <v>557000000</v>
      </c>
      <c r="AA1515" s="198">
        <v>0.06</v>
      </c>
      <c r="AB1515" s="198">
        <v>0.05</v>
      </c>
      <c r="AC1515" s="213">
        <f t="shared" si="260"/>
        <v>174</v>
      </c>
      <c r="AD1515" s="213">
        <f t="shared" si="261"/>
        <v>150</v>
      </c>
      <c r="AE1515" s="213">
        <v>4.8099999999999996</v>
      </c>
      <c r="AF1515" s="196">
        <v>-157000000</v>
      </c>
      <c r="AG1515" s="104">
        <f t="shared" si="262"/>
        <v>-1.7561521252796422</v>
      </c>
      <c r="AH1515" s="104">
        <f t="shared" si="263"/>
        <v>0</v>
      </c>
      <c r="AI1515" s="195">
        <v>0.69</v>
      </c>
      <c r="AO1515" s="213"/>
      <c r="AP1515" s="213"/>
      <c r="AQ1515" s="213"/>
      <c r="AR1515" s="213"/>
      <c r="AS1515" s="213"/>
      <c r="AT1515" s="213"/>
      <c r="AU1515" s="213"/>
      <c r="AV1515" s="213"/>
    </row>
    <row r="1516" spans="1:48">
      <c r="A1516">
        <v>9802</v>
      </c>
      <c r="C1516" s="107">
        <f>VLOOKUP(9802,收盤價!$A:$C,3,0)</f>
        <v>62.1</v>
      </c>
      <c r="D1516" s="107">
        <f t="shared" si="253"/>
        <v>14.385116115411682</v>
      </c>
      <c r="E1516" s="167">
        <f t="shared" si="254"/>
        <v>2</v>
      </c>
      <c r="F1516" s="104">
        <f t="shared" si="255"/>
        <v>0.92366326420024647</v>
      </c>
      <c r="G1516" s="167">
        <f>RANK(1.94,AE:AE,0)</f>
        <v>435</v>
      </c>
      <c r="H1516" s="365">
        <f t="shared" si="256"/>
        <v>1.64167916041979</v>
      </c>
      <c r="I1516" s="213">
        <f t="shared" si="257"/>
        <v>1489</v>
      </c>
      <c r="J1516" s="213">
        <f t="shared" si="258"/>
        <v>768</v>
      </c>
      <c r="K1516">
        <f>RANK(0.69,AI:AI,0)</f>
        <v>1474</v>
      </c>
      <c r="L1516" s="357">
        <v>1</v>
      </c>
      <c r="M1516" s="357">
        <v>1</v>
      </c>
      <c r="N1516" s="357">
        <v>0</v>
      </c>
      <c r="O1516" s="357">
        <v>0</v>
      </c>
      <c r="P1516" s="357">
        <v>0</v>
      </c>
      <c r="Q1516" s="358">
        <v>0.1778781038374718</v>
      </c>
      <c r="R1516" s="359">
        <v>1.0792405063291139</v>
      </c>
      <c r="S1516" s="196">
        <v>8968788000</v>
      </c>
      <c r="T1516" s="196">
        <v>133400000</v>
      </c>
      <c r="U1516" s="200">
        <f t="shared" si="259"/>
        <v>8284140000</v>
      </c>
      <c r="V1516" s="196">
        <v>179000000</v>
      </c>
      <c r="W1516" s="196">
        <v>1551000000</v>
      </c>
      <c r="X1516" s="196">
        <v>4395000000</v>
      </c>
      <c r="Y1516" s="196">
        <v>5398000000</v>
      </c>
      <c r="Z1516" s="196">
        <v>935000000</v>
      </c>
      <c r="AA1516" s="198">
        <v>0.03</v>
      </c>
      <c r="AB1516" s="198">
        <v>0.03</v>
      </c>
      <c r="AC1516" s="213">
        <f t="shared" si="260"/>
        <v>469</v>
      </c>
      <c r="AD1516" s="213">
        <f t="shared" si="261"/>
        <v>334</v>
      </c>
      <c r="AE1516" s="213">
        <v>1.94</v>
      </c>
      <c r="AF1516" s="196">
        <v>-219000000</v>
      </c>
      <c r="AG1516" s="104">
        <f t="shared" si="262"/>
        <v>-1.64167916041979</v>
      </c>
      <c r="AH1516" s="104">
        <f t="shared" si="263"/>
        <v>0</v>
      </c>
      <c r="AI1516" s="195">
        <v>0.69</v>
      </c>
      <c r="AO1516" s="213"/>
      <c r="AP1516" s="213"/>
      <c r="AQ1516" s="213"/>
      <c r="AR1516" s="213"/>
      <c r="AS1516" s="213"/>
      <c r="AT1516" s="213"/>
      <c r="AU1516" s="213"/>
      <c r="AV1516" s="213"/>
    </row>
    <row r="1517" spans="1:48">
      <c r="A1517">
        <v>9902</v>
      </c>
      <c r="C1517" s="107">
        <f>VLOOKUP(9902,收盤價!$A:$C,3,0)</f>
        <v>9.02</v>
      </c>
      <c r="D1517" s="107">
        <f t="shared" si="253"/>
        <v>0</v>
      </c>
      <c r="E1517" s="167">
        <f t="shared" si="254"/>
        <v>1</v>
      </c>
      <c r="F1517" s="104">
        <f t="shared" si="255"/>
        <v>11.516493824587004</v>
      </c>
      <c r="G1517" s="167">
        <f>RANK(0.84,AE:AE,0)</f>
        <v>946</v>
      </c>
      <c r="H1517" s="365">
        <f t="shared" si="256"/>
        <v>2.0408163265306121E-2</v>
      </c>
      <c r="I1517" s="213">
        <f t="shared" si="257"/>
        <v>1083</v>
      </c>
      <c r="J1517" s="213">
        <f t="shared" si="258"/>
        <v>768</v>
      </c>
      <c r="K1517">
        <f>RANK(0.84,AI:AI,0)</f>
        <v>1076</v>
      </c>
      <c r="L1517" s="357">
        <v>0</v>
      </c>
      <c r="M1517" s="357">
        <v>1</v>
      </c>
      <c r="N1517" s="357">
        <v>0</v>
      </c>
      <c r="O1517" s="357">
        <v>0</v>
      </c>
      <c r="P1517" s="357">
        <v>0</v>
      </c>
      <c r="Q1517" s="358">
        <v>0.11764705882352941</v>
      </c>
      <c r="R1517" s="359">
        <v>0</v>
      </c>
      <c r="S1517" s="196">
        <v>76756000</v>
      </c>
      <c r="T1517" s="196">
        <v>98000000</v>
      </c>
      <c r="U1517" s="200">
        <f t="shared" si="259"/>
        <v>883960000</v>
      </c>
      <c r="V1517" s="196">
        <v>-3000000</v>
      </c>
      <c r="W1517" s="196">
        <v>796000000</v>
      </c>
      <c r="X1517" s="196">
        <v>279000000</v>
      </c>
      <c r="Y1517" s="196">
        <v>1162000000</v>
      </c>
      <c r="Z1517" s="196">
        <v>0</v>
      </c>
      <c r="AA1517" s="198">
        <v>0</v>
      </c>
      <c r="AB1517" s="198">
        <v>0</v>
      </c>
      <c r="AC1517" s="213">
        <f t="shared" si="260"/>
        <v>945</v>
      </c>
      <c r="AD1517" s="213">
        <f t="shared" si="261"/>
        <v>911</v>
      </c>
      <c r="AE1517" s="213">
        <v>0.84</v>
      </c>
      <c r="AF1517" s="196">
        <v>-2000000</v>
      </c>
      <c r="AG1517" s="104">
        <f t="shared" si="262"/>
        <v>-2.0408163265306121E-2</v>
      </c>
      <c r="AH1517" s="104">
        <f t="shared" si="263"/>
        <v>0</v>
      </c>
      <c r="AI1517" s="195">
        <v>0.84</v>
      </c>
    </row>
    <row r="1518" spans="1:48">
      <c r="A1518">
        <v>9904</v>
      </c>
      <c r="C1518" s="107">
        <f>VLOOKUP(9904,收盤價!$A:$C,3,0)</f>
        <v>43.65</v>
      </c>
      <c r="D1518" s="107">
        <f t="shared" si="253"/>
        <v>16.685030957068108</v>
      </c>
      <c r="E1518" s="167">
        <f t="shared" si="254"/>
        <v>0</v>
      </c>
      <c r="F1518" s="104">
        <f t="shared" si="255"/>
        <v>0.464812383502683</v>
      </c>
      <c r="G1518" s="167">
        <f>RANK(2.32,AE:AE,0)</f>
        <v>360</v>
      </c>
      <c r="H1518" s="365">
        <f t="shared" si="256"/>
        <v>4.0382788109135336E-2</v>
      </c>
      <c r="I1518" s="213">
        <f t="shared" si="257"/>
        <v>1097</v>
      </c>
      <c r="J1518" s="213">
        <f t="shared" si="258"/>
        <v>768</v>
      </c>
      <c r="K1518">
        <f>RANK(0.84,AI:AI,0)</f>
        <v>1076</v>
      </c>
      <c r="L1518" s="357">
        <v>0</v>
      </c>
      <c r="M1518" s="357">
        <v>0</v>
      </c>
      <c r="N1518" s="357">
        <v>0</v>
      </c>
      <c r="O1518" s="357">
        <v>0</v>
      </c>
      <c r="P1518" s="357">
        <v>0</v>
      </c>
      <c r="Q1518" s="358">
        <v>0.25485648804976535</v>
      </c>
      <c r="R1518" s="359">
        <v>0.65402935290193454</v>
      </c>
      <c r="S1518" s="196">
        <v>276730622000</v>
      </c>
      <c r="T1518" s="196">
        <v>2946800000</v>
      </c>
      <c r="U1518" s="200">
        <f t="shared" si="259"/>
        <v>128627820000</v>
      </c>
      <c r="V1518" s="196">
        <v>5715000000</v>
      </c>
      <c r="W1518" s="196">
        <v>63448000000</v>
      </c>
      <c r="X1518" s="196">
        <v>69128000000</v>
      </c>
      <c r="Y1518" s="196">
        <v>158225000000</v>
      </c>
      <c r="Z1518" s="196">
        <v>32908000000</v>
      </c>
      <c r="AA1518" s="198">
        <v>0.04</v>
      </c>
      <c r="AB1518" s="198">
        <v>0.03</v>
      </c>
      <c r="AC1518" s="213">
        <f t="shared" si="260"/>
        <v>337</v>
      </c>
      <c r="AD1518" s="213">
        <f t="shared" si="261"/>
        <v>334</v>
      </c>
      <c r="AE1518" s="213">
        <v>2.3199999999999998</v>
      </c>
      <c r="AF1518" s="196">
        <v>-119000000</v>
      </c>
      <c r="AG1518" s="104">
        <f t="shared" si="262"/>
        <v>-4.0382788109135336E-2</v>
      </c>
      <c r="AH1518" s="104">
        <f t="shared" si="263"/>
        <v>0</v>
      </c>
      <c r="AI1518" s="195">
        <v>0.84</v>
      </c>
    </row>
    <row r="1519" spans="1:48">
      <c r="A1519">
        <v>9905</v>
      </c>
      <c r="C1519" s="107">
        <f>VLOOKUP(9905,收盤價!$A:$C,3,0)</f>
        <v>22.65</v>
      </c>
      <c r="D1519" s="107">
        <f t="shared" si="253"/>
        <v>11.556122448979592</v>
      </c>
      <c r="E1519" s="167">
        <f t="shared" si="254"/>
        <v>2</v>
      </c>
      <c r="F1519" s="104">
        <f t="shared" si="255"/>
        <v>0.96203108774233204</v>
      </c>
      <c r="G1519" s="167">
        <f>RANK(0.84,AE:AE,0)</f>
        <v>946</v>
      </c>
      <c r="H1519" s="365">
        <f t="shared" si="256"/>
        <v>-1.6721311475409837</v>
      </c>
      <c r="I1519" s="213">
        <f t="shared" si="257"/>
        <v>292</v>
      </c>
      <c r="J1519" s="213">
        <f t="shared" si="258"/>
        <v>768</v>
      </c>
      <c r="K1519">
        <f>RANK(1.47,AI:AI,0)</f>
        <v>572</v>
      </c>
      <c r="L1519" s="357">
        <v>0</v>
      </c>
      <c r="M1519" s="357">
        <v>1</v>
      </c>
      <c r="N1519" s="357">
        <v>0</v>
      </c>
      <c r="O1519" s="357">
        <v>1</v>
      </c>
      <c r="P1519" s="357">
        <v>0</v>
      </c>
      <c r="Q1519" s="358">
        <v>0.17080909571655209</v>
      </c>
      <c r="R1519" s="359">
        <v>0.49</v>
      </c>
      <c r="S1519" s="196">
        <v>7180901000</v>
      </c>
      <c r="T1519" s="196">
        <v>305000000</v>
      </c>
      <c r="U1519" s="200">
        <f t="shared" si="259"/>
        <v>6908250000</v>
      </c>
      <c r="V1519" s="196">
        <v>0</v>
      </c>
      <c r="W1519" s="196">
        <v>2776000000</v>
      </c>
      <c r="X1519" s="196">
        <v>3901000000</v>
      </c>
      <c r="Y1519" s="196">
        <v>6830000000</v>
      </c>
      <c r="Z1519" s="196">
        <v>208000000</v>
      </c>
      <c r="AA1519" s="198">
        <v>0</v>
      </c>
      <c r="AB1519" s="198">
        <v>0</v>
      </c>
      <c r="AC1519" s="213">
        <f t="shared" si="260"/>
        <v>945</v>
      </c>
      <c r="AD1519" s="213">
        <f t="shared" si="261"/>
        <v>911</v>
      </c>
      <c r="AE1519" s="213">
        <v>0.84</v>
      </c>
      <c r="AF1519" s="196">
        <v>510000000</v>
      </c>
      <c r="AG1519" s="104">
        <f t="shared" si="262"/>
        <v>1.6721311475409837</v>
      </c>
      <c r="AH1519" s="104">
        <f t="shared" si="263"/>
        <v>0</v>
      </c>
      <c r="AI1519" s="195">
        <v>1.47</v>
      </c>
    </row>
    <row r="1520" spans="1:48">
      <c r="A1520">
        <v>9906</v>
      </c>
      <c r="C1520" s="107">
        <f>VLOOKUP(9906,收盤價!$A:$C,3,0)</f>
        <v>18.2</v>
      </c>
      <c r="D1520" s="107">
        <f t="shared" si="253"/>
        <v>8.9397018970189706</v>
      </c>
      <c r="E1520" s="167">
        <f t="shared" si="254"/>
        <v>4</v>
      </c>
      <c r="F1520" s="104">
        <f t="shared" si="255"/>
        <v>1.7752163632031368</v>
      </c>
      <c r="G1520" s="167">
        <f>RANK(2.12,AE:AE,0)</f>
        <v>430</v>
      </c>
      <c r="H1520" s="365">
        <f t="shared" si="256"/>
        <v>1.7850498338870433</v>
      </c>
      <c r="I1520" s="213">
        <f t="shared" si="257"/>
        <v>130</v>
      </c>
      <c r="J1520" s="213">
        <f t="shared" si="258"/>
        <v>89</v>
      </c>
      <c r="K1520">
        <f>RANK(7.11,AI:AI,0)</f>
        <v>31</v>
      </c>
      <c r="L1520" s="357">
        <v>0</v>
      </c>
      <c r="M1520" s="357">
        <v>1</v>
      </c>
      <c r="N1520" s="357">
        <v>2</v>
      </c>
      <c r="O1520" s="357">
        <v>1</v>
      </c>
      <c r="P1520" s="357">
        <v>0</v>
      </c>
      <c r="Q1520" s="358">
        <v>0.2267080745341615</v>
      </c>
      <c r="R1520" s="359">
        <v>0.50896551724137928</v>
      </c>
      <c r="S1520" s="196">
        <v>717659000</v>
      </c>
      <c r="T1520" s="196">
        <v>70000000</v>
      </c>
      <c r="U1520" s="200">
        <f t="shared" si="259"/>
        <v>1274000000</v>
      </c>
      <c r="V1520" s="196">
        <v>43000000</v>
      </c>
      <c r="W1520" s="196">
        <v>911000000</v>
      </c>
      <c r="X1520" s="196">
        <v>6000000</v>
      </c>
      <c r="Y1520" s="196">
        <v>784000000</v>
      </c>
      <c r="Z1520" s="196">
        <v>1943000000</v>
      </c>
      <c r="AA1520" s="198">
        <v>0.05</v>
      </c>
      <c r="AB1520" s="198">
        <v>0.02</v>
      </c>
      <c r="AC1520" s="213">
        <f t="shared" si="260"/>
        <v>247</v>
      </c>
      <c r="AD1520" s="213">
        <f t="shared" si="261"/>
        <v>487</v>
      </c>
      <c r="AE1520" s="213">
        <v>2.12</v>
      </c>
      <c r="AF1520" s="196">
        <v>199000000</v>
      </c>
      <c r="AG1520" s="104">
        <f t="shared" si="262"/>
        <v>2.842857142857143</v>
      </c>
      <c r="AH1520" s="104">
        <f t="shared" si="263"/>
        <v>4.6279069767441863</v>
      </c>
      <c r="AI1520" s="195">
        <v>7.11</v>
      </c>
    </row>
    <row r="1521" spans="1:35">
      <c r="A1521">
        <v>9907</v>
      </c>
      <c r="C1521" s="107">
        <f>VLOOKUP(9907,收盤價!$A:$C,3,0)</f>
        <v>13.85</v>
      </c>
      <c r="D1521" s="107">
        <f t="shared" si="253"/>
        <v>10.749856748450277</v>
      </c>
      <c r="E1521" s="167">
        <f t="shared" si="254"/>
        <v>5</v>
      </c>
      <c r="F1521" s="104">
        <f t="shared" si="255"/>
        <v>0.67275156132528013</v>
      </c>
      <c r="G1521" s="167">
        <f>RANK(1.94,AE:AE,0)</f>
        <v>435</v>
      </c>
      <c r="H1521" s="365">
        <f t="shared" si="256"/>
        <v>0.79739140829189015</v>
      </c>
      <c r="I1521" s="213">
        <f t="shared" si="257"/>
        <v>543</v>
      </c>
      <c r="J1521" s="213">
        <f t="shared" si="258"/>
        <v>317</v>
      </c>
      <c r="K1521">
        <f>RANK(1.81,AI:AI,0)</f>
        <v>410</v>
      </c>
      <c r="L1521" s="357">
        <v>1</v>
      </c>
      <c r="M1521" s="357">
        <v>1</v>
      </c>
      <c r="N1521" s="357">
        <v>2</v>
      </c>
      <c r="O1521" s="357">
        <v>1</v>
      </c>
      <c r="P1521" s="357">
        <v>0</v>
      </c>
      <c r="Q1521" s="358">
        <v>0.15960335261480343</v>
      </c>
      <c r="R1521" s="359">
        <v>0.32209731543624165</v>
      </c>
      <c r="S1521" s="196">
        <v>32509081000</v>
      </c>
      <c r="T1521" s="196">
        <v>1579100000</v>
      </c>
      <c r="U1521" s="200">
        <f t="shared" si="259"/>
        <v>21870535000</v>
      </c>
      <c r="V1521" s="196">
        <v>854000000</v>
      </c>
      <c r="W1521" s="196">
        <v>0</v>
      </c>
      <c r="X1521" s="196">
        <v>30935000000</v>
      </c>
      <c r="Y1521" s="196">
        <v>19452000000</v>
      </c>
      <c r="Z1521" s="196">
        <v>6886000000</v>
      </c>
      <c r="AA1521" s="198">
        <v>0.03</v>
      </c>
      <c r="AB1521" s="198">
        <v>0.03</v>
      </c>
      <c r="AC1521" s="213">
        <f t="shared" si="260"/>
        <v>469</v>
      </c>
      <c r="AD1521" s="213">
        <f t="shared" si="261"/>
        <v>334</v>
      </c>
      <c r="AE1521" s="213">
        <v>1.94</v>
      </c>
      <c r="AF1521" s="196">
        <v>1483000000</v>
      </c>
      <c r="AG1521" s="104">
        <f t="shared" si="262"/>
        <v>0.93914254955354315</v>
      </c>
      <c r="AH1521" s="104">
        <f t="shared" si="263"/>
        <v>1.7365339578454333</v>
      </c>
      <c r="AI1521" s="195">
        <v>1.81</v>
      </c>
    </row>
    <row r="1522" spans="1:35">
      <c r="A1522">
        <v>9908</v>
      </c>
      <c r="C1522" s="107">
        <f>VLOOKUP(9908,收盤價!$A:$C,3,0)</f>
        <v>23.7</v>
      </c>
      <c r="D1522" s="107">
        <f t="shared" si="253"/>
        <v>25.408213755566553</v>
      </c>
      <c r="E1522" s="167">
        <f t="shared" si="254"/>
        <v>2</v>
      </c>
      <c r="F1522" s="104">
        <f t="shared" si="255"/>
        <v>3.2978062372984391</v>
      </c>
      <c r="G1522" s="167">
        <f>RANK(1.2,AE:AE,0)</f>
        <v>710</v>
      </c>
      <c r="H1522" s="365">
        <f t="shared" si="256"/>
        <v>1.7993446171256542</v>
      </c>
      <c r="I1522" s="213">
        <f t="shared" si="257"/>
        <v>660</v>
      </c>
      <c r="J1522" s="213">
        <f t="shared" si="258"/>
        <v>193</v>
      </c>
      <c r="K1522">
        <f>RANK(1.83,AI:AI,0)</f>
        <v>407</v>
      </c>
      <c r="L1522" s="357">
        <v>0</v>
      </c>
      <c r="M1522" s="357">
        <v>1</v>
      </c>
      <c r="N1522" s="357">
        <v>0</v>
      </c>
      <c r="O1522" s="357">
        <v>1</v>
      </c>
      <c r="P1522" s="357">
        <v>0</v>
      </c>
      <c r="Q1522" s="358">
        <v>0.24074074074074073</v>
      </c>
      <c r="R1522" s="359">
        <v>0.23319230769230767</v>
      </c>
      <c r="S1522" s="196">
        <v>3711158000</v>
      </c>
      <c r="T1522" s="196">
        <v>516400000</v>
      </c>
      <c r="U1522" s="200">
        <f t="shared" si="259"/>
        <v>12238680000</v>
      </c>
      <c r="V1522" s="196">
        <v>141000000</v>
      </c>
      <c r="W1522" s="196">
        <v>2982000000</v>
      </c>
      <c r="X1522" s="196">
        <v>4071000000</v>
      </c>
      <c r="Y1522" s="196">
        <v>10542000000</v>
      </c>
      <c r="Z1522" s="196">
        <v>0</v>
      </c>
      <c r="AA1522" s="198">
        <v>0.02</v>
      </c>
      <c r="AB1522" s="198">
        <v>0.01</v>
      </c>
      <c r="AC1522" s="213">
        <f t="shared" si="260"/>
        <v>616</v>
      </c>
      <c r="AD1522" s="213">
        <f t="shared" si="261"/>
        <v>680</v>
      </c>
      <c r="AE1522" s="213">
        <v>1.2</v>
      </c>
      <c r="AF1522" s="196">
        <v>349000000</v>
      </c>
      <c r="AG1522" s="104">
        <f t="shared" si="262"/>
        <v>0.67583268783888462</v>
      </c>
      <c r="AH1522" s="104">
        <f t="shared" si="263"/>
        <v>2.4751773049645389</v>
      </c>
      <c r="AI1522" s="195">
        <v>1.83</v>
      </c>
    </row>
    <row r="1523" spans="1:35">
      <c r="A1523">
        <v>9910</v>
      </c>
      <c r="C1523" s="107">
        <f>VLOOKUP(9910,收盤價!$A:$C,3,0)</f>
        <v>130.5</v>
      </c>
      <c r="D1523" s="107">
        <f t="shared" si="253"/>
        <v>15.610047846889954</v>
      </c>
      <c r="E1523" s="167">
        <f t="shared" si="254"/>
        <v>4</v>
      </c>
      <c r="F1523" s="104">
        <f t="shared" si="255"/>
        <v>1.3063867325832728</v>
      </c>
      <c r="G1523" s="167">
        <f>RANK(0.84,AE:AE,0)</f>
        <v>946</v>
      </c>
      <c r="H1523" s="365">
        <f t="shared" si="256"/>
        <v>-3.9503688799463448</v>
      </c>
      <c r="I1523" s="213">
        <f t="shared" si="257"/>
        <v>69</v>
      </c>
      <c r="J1523" s="213">
        <f t="shared" si="258"/>
        <v>768</v>
      </c>
      <c r="K1523">
        <f>RANK(1.86,AI:AI,0)</f>
        <v>395</v>
      </c>
      <c r="L1523" s="357">
        <v>0</v>
      </c>
      <c r="M1523" s="357">
        <v>1</v>
      </c>
      <c r="N1523" s="357">
        <v>1</v>
      </c>
      <c r="O1523" s="357">
        <v>1</v>
      </c>
      <c r="P1523" s="357">
        <v>1</v>
      </c>
      <c r="Q1523" s="358">
        <v>0.2330316742081448</v>
      </c>
      <c r="R1523" s="359">
        <v>2.09</v>
      </c>
      <c r="S1523" s="196">
        <v>59576692000</v>
      </c>
      <c r="T1523" s="196">
        <v>596400000</v>
      </c>
      <c r="U1523" s="200">
        <f t="shared" si="259"/>
        <v>77830200000</v>
      </c>
      <c r="V1523" s="196">
        <v>0</v>
      </c>
      <c r="W1523" s="196">
        <v>2829000000</v>
      </c>
      <c r="X1523" s="196">
        <v>13661000000</v>
      </c>
      <c r="Y1523" s="196">
        <v>13780000000</v>
      </c>
      <c r="Z1523" s="196">
        <v>1391000000</v>
      </c>
      <c r="AA1523" s="198">
        <v>0</v>
      </c>
      <c r="AB1523" s="198">
        <v>0</v>
      </c>
      <c r="AC1523" s="213">
        <f t="shared" si="260"/>
        <v>945</v>
      </c>
      <c r="AD1523" s="213">
        <f t="shared" si="261"/>
        <v>911</v>
      </c>
      <c r="AE1523" s="213">
        <v>0.84</v>
      </c>
      <c r="AF1523" s="196">
        <v>2356000000</v>
      </c>
      <c r="AG1523" s="104">
        <f t="shared" si="262"/>
        <v>3.9503688799463448</v>
      </c>
      <c r="AH1523" s="104">
        <f t="shared" si="263"/>
        <v>0</v>
      </c>
      <c r="AI1523" s="195">
        <v>1.86</v>
      </c>
    </row>
    <row r="1524" spans="1:35">
      <c r="A1524">
        <v>9911</v>
      </c>
      <c r="C1524" s="107" t="e">
        <f>VLOOKUP(9911,收盤價!$A:$C,3,0)</f>
        <v>#N/A</v>
      </c>
      <c r="D1524" s="107">
        <f t="shared" si="253"/>
        <v>0</v>
      </c>
      <c r="E1524" s="167">
        <f t="shared" si="254"/>
        <v>2</v>
      </c>
      <c r="F1524" s="104">
        <f t="shared" si="255"/>
        <v>0</v>
      </c>
      <c r="G1524" s="167">
        <f>RANK(0.84,AE:AE,0)</f>
        <v>946</v>
      </c>
      <c r="H1524" s="365">
        <f t="shared" si="256"/>
        <v>-1.1830680173661361</v>
      </c>
      <c r="I1524" s="213">
        <f t="shared" si="257"/>
        <v>437</v>
      </c>
      <c r="J1524" s="213">
        <f t="shared" si="258"/>
        <v>768</v>
      </c>
      <c r="K1524">
        <f>RANK(1.29,AI:AI,0)</f>
        <v>682</v>
      </c>
      <c r="L1524" s="357">
        <v>0</v>
      </c>
      <c r="M1524" s="357">
        <v>1</v>
      </c>
      <c r="N1524" s="357">
        <v>0</v>
      </c>
      <c r="O1524" s="357">
        <v>1</v>
      </c>
      <c r="P1524" s="357">
        <v>0</v>
      </c>
      <c r="Q1524" s="358">
        <v>0.30714846818538882</v>
      </c>
      <c r="R1524" s="359">
        <v>0.6</v>
      </c>
      <c r="S1524" s="196">
        <v>5579307000</v>
      </c>
      <c r="T1524" s="196">
        <v>276400000</v>
      </c>
      <c r="U1524" s="200" t="e">
        <f t="shared" si="259"/>
        <v>#N/A</v>
      </c>
      <c r="V1524" s="196">
        <v>0</v>
      </c>
      <c r="W1524" s="196">
        <v>1259000000</v>
      </c>
      <c r="X1524" s="196">
        <v>1380000000</v>
      </c>
      <c r="Y1524" s="196">
        <v>4209000000</v>
      </c>
      <c r="Z1524" s="196">
        <v>71000000</v>
      </c>
      <c r="AA1524" s="198">
        <v>0</v>
      </c>
      <c r="AB1524" s="198">
        <v>0</v>
      </c>
      <c r="AC1524" s="213">
        <f t="shared" si="260"/>
        <v>945</v>
      </c>
      <c r="AD1524" s="213">
        <f t="shared" si="261"/>
        <v>911</v>
      </c>
      <c r="AE1524" s="213">
        <v>0.84</v>
      </c>
      <c r="AF1524" s="196">
        <v>327000000</v>
      </c>
      <c r="AG1524" s="104">
        <f t="shared" si="262"/>
        <v>1.1830680173661361</v>
      </c>
      <c r="AH1524" s="104">
        <f t="shared" si="263"/>
        <v>0</v>
      </c>
      <c r="AI1524" s="195">
        <v>1.29</v>
      </c>
    </row>
    <row r="1525" spans="1:35">
      <c r="A1525">
        <v>9912</v>
      </c>
      <c r="C1525" s="107">
        <f>VLOOKUP(9912,收盤價!$A:$C,3,0)</f>
        <v>7.7</v>
      </c>
      <c r="D1525" s="107">
        <f t="shared" si="253"/>
        <v>0</v>
      </c>
      <c r="E1525" s="167">
        <f t="shared" si="254"/>
        <v>5</v>
      </c>
      <c r="F1525" s="104">
        <f t="shared" si="255"/>
        <v>0.54949745559801788</v>
      </c>
      <c r="G1525" s="167">
        <f>RANK(0.93,AE:AE,0)</f>
        <v>920</v>
      </c>
      <c r="H1525" s="365">
        <f t="shared" si="256"/>
        <v>5.6074766355140186E-2</v>
      </c>
      <c r="I1525" s="213">
        <f t="shared" si="257"/>
        <v>1105</v>
      </c>
      <c r="J1525" s="213">
        <f t="shared" si="258"/>
        <v>768</v>
      </c>
      <c r="K1525">
        <f>RANK(0.83,AI:AI,0)</f>
        <v>1098</v>
      </c>
      <c r="L1525" s="357">
        <v>1</v>
      </c>
      <c r="M1525" s="357">
        <v>1</v>
      </c>
      <c r="N1525" s="357">
        <v>2</v>
      </c>
      <c r="O1525" s="357">
        <v>0</v>
      </c>
      <c r="P1525" s="357">
        <v>1</v>
      </c>
      <c r="Q1525" s="358">
        <v>0.2878787878787879</v>
      </c>
      <c r="R1525" s="359">
        <v>0</v>
      </c>
      <c r="S1525" s="196">
        <v>749685000</v>
      </c>
      <c r="T1525" s="196">
        <v>53500000</v>
      </c>
      <c r="U1525" s="200">
        <f t="shared" si="259"/>
        <v>411950000</v>
      </c>
      <c r="V1525" s="196">
        <v>2000000</v>
      </c>
      <c r="W1525" s="196">
        <v>158000000</v>
      </c>
      <c r="X1525" s="196">
        <v>126000000</v>
      </c>
      <c r="Y1525" s="196">
        <v>562000000</v>
      </c>
      <c r="Z1525" s="196">
        <v>175000000</v>
      </c>
      <c r="AA1525" s="198">
        <v>0.01</v>
      </c>
      <c r="AB1525" s="198">
        <v>0</v>
      </c>
      <c r="AC1525" s="213">
        <f t="shared" si="260"/>
        <v>769</v>
      </c>
      <c r="AD1525" s="213">
        <f t="shared" si="261"/>
        <v>911</v>
      </c>
      <c r="AE1525" s="213">
        <v>0.93</v>
      </c>
      <c r="AF1525" s="196">
        <v>-3000000</v>
      </c>
      <c r="AG1525" s="104">
        <f t="shared" si="262"/>
        <v>-5.6074766355140186E-2</v>
      </c>
      <c r="AH1525" s="104">
        <f t="shared" si="263"/>
        <v>0</v>
      </c>
      <c r="AI1525" s="195">
        <v>0.83</v>
      </c>
    </row>
    <row r="1526" spans="1:35">
      <c r="A1526">
        <v>9914</v>
      </c>
      <c r="C1526" s="107">
        <f>VLOOKUP(9914,收盤價!$A:$C,3,0)</f>
        <v>140</v>
      </c>
      <c r="D1526" s="107">
        <f t="shared" si="253"/>
        <v>35.634661117717002</v>
      </c>
      <c r="E1526" s="167">
        <f t="shared" si="254"/>
        <v>1</v>
      </c>
      <c r="F1526" s="104">
        <f t="shared" si="255"/>
        <v>1.6944292380282058</v>
      </c>
      <c r="G1526" s="167">
        <f>RANK(5.25,AE:AE,0)</f>
        <v>164</v>
      </c>
      <c r="H1526" s="365">
        <f t="shared" si="256"/>
        <v>-1.1895845315950551</v>
      </c>
      <c r="I1526" s="213">
        <f t="shared" si="257"/>
        <v>102</v>
      </c>
      <c r="J1526" s="213">
        <f t="shared" si="258"/>
        <v>252</v>
      </c>
      <c r="K1526">
        <f>RANK(4.4,AI:AI,0)</f>
        <v>89</v>
      </c>
      <c r="L1526" s="357">
        <v>0</v>
      </c>
      <c r="M1526" s="357">
        <v>0</v>
      </c>
      <c r="N1526" s="357">
        <v>0</v>
      </c>
      <c r="O1526" s="357">
        <v>1</v>
      </c>
      <c r="P1526" s="357">
        <v>0</v>
      </c>
      <c r="Q1526" s="358">
        <v>0.15370930439423591</v>
      </c>
      <c r="R1526" s="359">
        <v>0.9821897810218978</v>
      </c>
      <c r="S1526" s="196">
        <v>24704484000</v>
      </c>
      <c r="T1526" s="196">
        <v>299000000</v>
      </c>
      <c r="U1526" s="200">
        <f t="shared" si="259"/>
        <v>41860000000</v>
      </c>
      <c r="V1526" s="196">
        <v>471000000</v>
      </c>
      <c r="W1526" s="196">
        <v>2662000000</v>
      </c>
      <c r="X1526" s="196">
        <v>2715000000</v>
      </c>
      <c r="Y1526" s="196">
        <v>12388000000</v>
      </c>
      <c r="Z1526" s="196">
        <v>992000000</v>
      </c>
      <c r="AA1526" s="198">
        <v>0.09</v>
      </c>
      <c r="AB1526" s="198">
        <v>0.04</v>
      </c>
      <c r="AC1526" s="213">
        <f t="shared" si="260"/>
        <v>69</v>
      </c>
      <c r="AD1526" s="213">
        <f t="shared" si="261"/>
        <v>228</v>
      </c>
      <c r="AE1526" s="213">
        <v>5.25</v>
      </c>
      <c r="AF1526" s="196">
        <v>974000000</v>
      </c>
      <c r="AG1526" s="104">
        <f t="shared" si="262"/>
        <v>3.2575250836120402</v>
      </c>
      <c r="AH1526" s="104">
        <f t="shared" si="263"/>
        <v>2.0679405520169851</v>
      </c>
      <c r="AI1526" s="195">
        <v>4.4000000000000004</v>
      </c>
    </row>
    <row r="1527" spans="1:35">
      <c r="A1527">
        <v>9917</v>
      </c>
      <c r="C1527" s="107">
        <f>VLOOKUP(9917,收盤價!$A:$C,3,0)</f>
        <v>90.4</v>
      </c>
      <c r="D1527" s="107">
        <f t="shared" si="253"/>
        <v>19.252948885976409</v>
      </c>
      <c r="E1527" s="167">
        <f t="shared" si="254"/>
        <v>2</v>
      </c>
      <c r="F1527" s="104">
        <f t="shared" si="255"/>
        <v>3.0518213183686012</v>
      </c>
      <c r="G1527" s="167">
        <f>RANK(7.11,AE:AE,0)</f>
        <v>108</v>
      </c>
      <c r="H1527" s="365">
        <f t="shared" si="256"/>
        <v>-0.38075975310217225</v>
      </c>
      <c r="I1527" s="213">
        <f t="shared" si="257"/>
        <v>440</v>
      </c>
      <c r="J1527" s="213">
        <f t="shared" si="258"/>
        <v>598</v>
      </c>
      <c r="K1527">
        <f>RANK(1.5,AI:AI,0)</f>
        <v>562</v>
      </c>
      <c r="L1527" s="357">
        <v>0</v>
      </c>
      <c r="M1527" s="357">
        <v>0</v>
      </c>
      <c r="N1527" s="357">
        <v>2</v>
      </c>
      <c r="O1527" s="357">
        <v>0</v>
      </c>
      <c r="P1527" s="357">
        <v>0</v>
      </c>
      <c r="Q1527" s="358">
        <v>0.37113402061855671</v>
      </c>
      <c r="R1527" s="359">
        <v>1.173846153846154</v>
      </c>
      <c r="S1527" s="196">
        <v>13365291000</v>
      </c>
      <c r="T1527" s="196">
        <v>451200000</v>
      </c>
      <c r="U1527" s="200">
        <f t="shared" si="259"/>
        <v>40788480000</v>
      </c>
      <c r="V1527" s="196">
        <v>667000000</v>
      </c>
      <c r="W1527" s="196">
        <v>0</v>
      </c>
      <c r="X1527" s="196">
        <v>7384000000</v>
      </c>
      <c r="Y1527" s="196">
        <v>10197000000</v>
      </c>
      <c r="Z1527" s="196">
        <v>3392000000</v>
      </c>
      <c r="AA1527" s="198">
        <v>0.09</v>
      </c>
      <c r="AB1527" s="198">
        <v>0.05</v>
      </c>
      <c r="AC1527" s="213">
        <f t="shared" si="260"/>
        <v>69</v>
      </c>
      <c r="AD1527" s="213">
        <f t="shared" si="261"/>
        <v>150</v>
      </c>
      <c r="AE1527" s="213">
        <v>7.11</v>
      </c>
      <c r="AF1527" s="196">
        <v>531000000</v>
      </c>
      <c r="AG1527" s="104">
        <f t="shared" si="262"/>
        <v>1.1768617021276595</v>
      </c>
      <c r="AH1527" s="104">
        <f t="shared" si="263"/>
        <v>0.79610194902548725</v>
      </c>
      <c r="AI1527" s="195">
        <v>1.5</v>
      </c>
    </row>
    <row r="1528" spans="1:35">
      <c r="A1528">
        <v>9918</v>
      </c>
      <c r="C1528" s="107" t="str">
        <f>VLOOKUP(9918,收盤價!$A:$C,3,0)</f>
        <v>--</v>
      </c>
      <c r="D1528" s="107">
        <f t="shared" si="253"/>
        <v>0</v>
      </c>
      <c r="E1528" s="167">
        <f t="shared" si="254"/>
        <v>2</v>
      </c>
      <c r="F1528" s="104">
        <f t="shared" si="255"/>
        <v>0</v>
      </c>
      <c r="G1528" s="167">
        <f>RANK(1.64,AE:AE,0)</f>
        <v>539</v>
      </c>
      <c r="H1528" s="365">
        <f t="shared" si="256"/>
        <v>0.79010484238577783</v>
      </c>
      <c r="I1528" s="213">
        <f t="shared" si="257"/>
        <v>688</v>
      </c>
      <c r="J1528" s="213">
        <f t="shared" si="258"/>
        <v>405</v>
      </c>
      <c r="K1528">
        <f>RANK(1.43,AI:AI,0)</f>
        <v>601</v>
      </c>
      <c r="L1528" s="357">
        <v>0</v>
      </c>
      <c r="M1528" s="357">
        <v>1</v>
      </c>
      <c r="N1528" s="357">
        <v>0</v>
      </c>
      <c r="O1528" s="357">
        <v>1</v>
      </c>
      <c r="P1528" s="357">
        <v>0</v>
      </c>
      <c r="Q1528" s="358">
        <v>0.31447963800904977</v>
      </c>
      <c r="R1528" s="359">
        <v>0.37073170731707317</v>
      </c>
      <c r="S1528" s="196">
        <v>1821932000</v>
      </c>
      <c r="T1528" s="196">
        <v>180500000</v>
      </c>
      <c r="U1528" s="200" t="e">
        <f t="shared" si="259"/>
        <v>#VALUE!</v>
      </c>
      <c r="V1528" s="196">
        <v>79000000</v>
      </c>
      <c r="W1528" s="196">
        <v>1725000000</v>
      </c>
      <c r="X1528" s="196">
        <v>1445000000</v>
      </c>
      <c r="Y1528" s="196">
        <v>2766000000</v>
      </c>
      <c r="Z1528" s="196">
        <v>0</v>
      </c>
      <c r="AA1528" s="198">
        <v>0.02</v>
      </c>
      <c r="AB1528" s="198">
        <v>0.03</v>
      </c>
      <c r="AC1528" s="213">
        <f t="shared" si="260"/>
        <v>616</v>
      </c>
      <c r="AD1528" s="213">
        <f t="shared" si="261"/>
        <v>334</v>
      </c>
      <c r="AE1528" s="213">
        <v>1.64</v>
      </c>
      <c r="AF1528" s="196">
        <v>111000000</v>
      </c>
      <c r="AG1528" s="104">
        <f t="shared" si="262"/>
        <v>0.61495844875346262</v>
      </c>
      <c r="AH1528" s="104">
        <f t="shared" si="263"/>
        <v>1.4050632911392404</v>
      </c>
      <c r="AI1528" s="195">
        <v>1.43</v>
      </c>
    </row>
    <row r="1529" spans="1:35">
      <c r="A1529">
        <v>9919</v>
      </c>
      <c r="C1529" s="107">
        <f>VLOOKUP(9919,收盤價!$A:$C,3,0)</f>
        <v>10.6</v>
      </c>
      <c r="D1529" s="107">
        <f t="shared" si="253"/>
        <v>22.083333333333332</v>
      </c>
      <c r="E1529" s="167">
        <f t="shared" si="254"/>
        <v>3</v>
      </c>
      <c r="F1529" s="104">
        <f t="shared" si="255"/>
        <v>0.4883606284926354</v>
      </c>
      <c r="G1529" s="167">
        <f>RANK(0.84,AE:AE,0)</f>
        <v>946</v>
      </c>
      <c r="H1529" s="365">
        <f t="shared" si="256"/>
        <v>-0.59868087265347536</v>
      </c>
      <c r="I1529" s="213">
        <f t="shared" si="257"/>
        <v>695</v>
      </c>
      <c r="J1529" s="213">
        <f t="shared" si="258"/>
        <v>768</v>
      </c>
      <c r="K1529">
        <f>RANK(1.06,AI:AI,0)</f>
        <v>836</v>
      </c>
      <c r="L1529" s="357">
        <v>1</v>
      </c>
      <c r="M1529" s="357">
        <v>1</v>
      </c>
      <c r="N1529" s="357">
        <v>0</v>
      </c>
      <c r="O1529" s="357">
        <v>1</v>
      </c>
      <c r="P1529" s="357">
        <v>0</v>
      </c>
      <c r="Q1529" s="358">
        <v>0.15694164989939638</v>
      </c>
      <c r="R1529" s="359">
        <v>0.12</v>
      </c>
      <c r="S1529" s="196">
        <v>4278109000</v>
      </c>
      <c r="T1529" s="196">
        <v>197100000</v>
      </c>
      <c r="U1529" s="200">
        <f t="shared" si="259"/>
        <v>2089260000</v>
      </c>
      <c r="V1529" s="196">
        <v>0</v>
      </c>
      <c r="W1529" s="196">
        <v>1384000000</v>
      </c>
      <c r="X1529" s="196">
        <v>3184000000</v>
      </c>
      <c r="Y1529" s="196">
        <v>3184000000</v>
      </c>
      <c r="Z1529" s="196">
        <v>504000000</v>
      </c>
      <c r="AA1529" s="198">
        <v>0</v>
      </c>
      <c r="AB1529" s="198">
        <v>0</v>
      </c>
      <c r="AC1529" s="213">
        <f t="shared" si="260"/>
        <v>945</v>
      </c>
      <c r="AD1529" s="213">
        <f t="shared" si="261"/>
        <v>911</v>
      </c>
      <c r="AE1529" s="213">
        <v>0.84</v>
      </c>
      <c r="AF1529" s="196">
        <v>118000000</v>
      </c>
      <c r="AG1529" s="104">
        <f t="shared" si="262"/>
        <v>0.59868087265347536</v>
      </c>
      <c r="AH1529" s="104">
        <f t="shared" si="263"/>
        <v>0</v>
      </c>
      <c r="AI1529" s="195">
        <v>1.06</v>
      </c>
    </row>
    <row r="1530" spans="1:35">
      <c r="A1530">
        <v>9921</v>
      </c>
      <c r="C1530" s="107">
        <f>VLOOKUP(9921,收盤價!$A:$C,3,0)</f>
        <v>222</v>
      </c>
      <c r="D1530" s="107">
        <f t="shared" si="253"/>
        <v>27.623309639389735</v>
      </c>
      <c r="E1530" s="167">
        <f t="shared" si="254"/>
        <v>2</v>
      </c>
      <c r="F1530" s="104">
        <f t="shared" si="255"/>
        <v>1.4168285107026342</v>
      </c>
      <c r="G1530" s="167">
        <f>RANK(4.3,AE:AE,0)</f>
        <v>200</v>
      </c>
      <c r="H1530" s="365">
        <f t="shared" si="256"/>
        <v>-3.8222392727792913</v>
      </c>
      <c r="I1530" s="213">
        <f t="shared" si="257"/>
        <v>32</v>
      </c>
      <c r="J1530" s="213">
        <f t="shared" si="258"/>
        <v>343</v>
      </c>
      <c r="K1530">
        <f>RANK(4.15,AI:AI,0)</f>
        <v>95</v>
      </c>
      <c r="L1530" s="357">
        <v>0</v>
      </c>
      <c r="M1530" s="357">
        <v>1</v>
      </c>
      <c r="N1530" s="357">
        <v>0</v>
      </c>
      <c r="O1530" s="357">
        <v>1</v>
      </c>
      <c r="P1530" s="357">
        <v>0</v>
      </c>
      <c r="Q1530" s="358">
        <v>0.22528517110266161</v>
      </c>
      <c r="R1530" s="359">
        <v>2.0091727140783746</v>
      </c>
      <c r="S1530" s="196">
        <v>58773662000</v>
      </c>
      <c r="T1530" s="196">
        <v>375100000</v>
      </c>
      <c r="U1530" s="200">
        <f t="shared" si="259"/>
        <v>83272200000</v>
      </c>
      <c r="V1530" s="196">
        <v>1271000000</v>
      </c>
      <c r="W1530" s="196">
        <v>10745000000</v>
      </c>
      <c r="X1530" s="196">
        <v>7401000000</v>
      </c>
      <c r="Y1530" s="196">
        <v>19474000000</v>
      </c>
      <c r="Z1530" s="196">
        <v>10299000000</v>
      </c>
      <c r="AA1530" s="198">
        <v>7.0000000000000007E-2</v>
      </c>
      <c r="AB1530" s="198">
        <v>0.04</v>
      </c>
      <c r="AC1530" s="213">
        <f t="shared" si="260"/>
        <v>134</v>
      </c>
      <c r="AD1530" s="213">
        <f t="shared" si="261"/>
        <v>228</v>
      </c>
      <c r="AE1530" s="213">
        <v>4.3</v>
      </c>
      <c r="AF1530" s="196">
        <v>2034000000</v>
      </c>
      <c r="AG1530" s="104">
        <f t="shared" si="262"/>
        <v>5.4225539856038392</v>
      </c>
      <c r="AH1530" s="104">
        <f t="shared" si="263"/>
        <v>1.6003147128245476</v>
      </c>
      <c r="AI1530" s="195">
        <v>4.1500000000000004</v>
      </c>
    </row>
    <row r="1531" spans="1:35">
      <c r="A1531">
        <v>9924</v>
      </c>
      <c r="C1531" s="107">
        <f>VLOOKUP(9924,收盤價!$A:$C,3,0)</f>
        <v>41.1</v>
      </c>
      <c r="D1531" s="107">
        <f t="shared" si="253"/>
        <v>9.458793159965035</v>
      </c>
      <c r="E1531" s="167">
        <f t="shared" si="254"/>
        <v>4</v>
      </c>
      <c r="F1531" s="104">
        <f t="shared" si="255"/>
        <v>0.93314246551913116</v>
      </c>
      <c r="G1531" s="167">
        <f>RANK(5.79,AE:AE,0)</f>
        <v>129</v>
      </c>
      <c r="H1531" s="365">
        <f t="shared" si="256"/>
        <v>-0.57534727677704955</v>
      </c>
      <c r="I1531" s="213">
        <f t="shared" si="257"/>
        <v>291</v>
      </c>
      <c r="J1531" s="213">
        <f t="shared" si="258"/>
        <v>504</v>
      </c>
      <c r="K1531">
        <f>RANK(1.96,AI:AI,0)</f>
        <v>355</v>
      </c>
      <c r="L1531" s="357">
        <v>0</v>
      </c>
      <c r="M1531" s="357">
        <v>1</v>
      </c>
      <c r="N1531" s="357">
        <v>2</v>
      </c>
      <c r="O1531" s="357">
        <v>1</v>
      </c>
      <c r="P1531" s="357">
        <v>0</v>
      </c>
      <c r="Q1531" s="358">
        <v>0.24819168173598552</v>
      </c>
      <c r="R1531" s="359">
        <v>1.0862908011869437</v>
      </c>
      <c r="S1531" s="196">
        <v>8302430000</v>
      </c>
      <c r="T1531" s="196">
        <v>188500000</v>
      </c>
      <c r="U1531" s="200">
        <f t="shared" si="259"/>
        <v>7747350000</v>
      </c>
      <c r="V1531" s="196">
        <v>287000000</v>
      </c>
      <c r="W1531" s="196">
        <v>2665000000</v>
      </c>
      <c r="X1531" s="196">
        <v>1782000000</v>
      </c>
      <c r="Y1531" s="196">
        <v>4962000000</v>
      </c>
      <c r="Z1531" s="196">
        <v>16000000</v>
      </c>
      <c r="AA1531" s="198">
        <v>0.06</v>
      </c>
      <c r="AB1531" s="198">
        <v>0.06</v>
      </c>
      <c r="AC1531" s="213">
        <f t="shared" si="260"/>
        <v>174</v>
      </c>
      <c r="AD1531" s="213">
        <f t="shared" si="261"/>
        <v>95</v>
      </c>
      <c r="AE1531" s="213">
        <v>5.79</v>
      </c>
      <c r="AF1531" s="196">
        <v>316000000</v>
      </c>
      <c r="AG1531" s="104">
        <f t="shared" si="262"/>
        <v>1.676392572944297</v>
      </c>
      <c r="AH1531" s="104">
        <f t="shared" si="263"/>
        <v>1.1010452961672474</v>
      </c>
      <c r="AI1531" s="195">
        <v>1.96</v>
      </c>
    </row>
    <row r="1532" spans="1:35">
      <c r="A1532">
        <v>9925</v>
      </c>
      <c r="C1532" s="107">
        <f>VLOOKUP(9925,收盤價!$A:$C,3,0)</f>
        <v>40</v>
      </c>
      <c r="D1532" s="107">
        <f t="shared" si="253"/>
        <v>22.19447124936141</v>
      </c>
      <c r="E1532" s="167">
        <f t="shared" si="254"/>
        <v>2</v>
      </c>
      <c r="F1532" s="104">
        <f t="shared" si="255"/>
        <v>2.1494013172295352</v>
      </c>
      <c r="G1532" s="167">
        <f>RANK(1.89,AE:AE,0)</f>
        <v>498</v>
      </c>
      <c r="H1532" s="365">
        <f t="shared" si="256"/>
        <v>0.41902505255083511</v>
      </c>
      <c r="I1532" s="213">
        <f t="shared" si="257"/>
        <v>685</v>
      </c>
      <c r="J1532" s="213">
        <f t="shared" si="258"/>
        <v>522</v>
      </c>
      <c r="K1532">
        <f>RANK(1.29,AI:AI,0)</f>
        <v>682</v>
      </c>
      <c r="L1532" s="357">
        <v>0</v>
      </c>
      <c r="M1532" s="357">
        <v>1</v>
      </c>
      <c r="N1532" s="357">
        <v>0</v>
      </c>
      <c r="O1532" s="357">
        <v>1</v>
      </c>
      <c r="P1532" s="357">
        <v>0</v>
      </c>
      <c r="Q1532" s="358">
        <v>0.3510044642857143</v>
      </c>
      <c r="R1532" s="359">
        <v>0.45056265984654736</v>
      </c>
      <c r="S1532" s="196">
        <v>7140593000</v>
      </c>
      <c r="T1532" s="196">
        <v>383700000</v>
      </c>
      <c r="U1532" s="200">
        <f t="shared" si="259"/>
        <v>15348000000</v>
      </c>
      <c r="V1532" s="196">
        <v>229000000</v>
      </c>
      <c r="W1532" s="196">
        <v>2858000000</v>
      </c>
      <c r="X1532" s="196">
        <v>3548000000</v>
      </c>
      <c r="Y1532" s="196">
        <v>9136000000</v>
      </c>
      <c r="Z1532" s="196">
        <v>1978000000</v>
      </c>
      <c r="AA1532" s="198">
        <v>0.04</v>
      </c>
      <c r="AB1532" s="198">
        <v>0.02</v>
      </c>
      <c r="AC1532" s="213">
        <f t="shared" si="260"/>
        <v>337</v>
      </c>
      <c r="AD1532" s="213">
        <f t="shared" si="261"/>
        <v>487</v>
      </c>
      <c r="AE1532" s="213">
        <v>1.89</v>
      </c>
      <c r="AF1532" s="196">
        <v>238000000</v>
      </c>
      <c r="AG1532" s="104">
        <f t="shared" si="262"/>
        <v>0.62027625749283299</v>
      </c>
      <c r="AH1532" s="104">
        <f t="shared" si="263"/>
        <v>1.0393013100436681</v>
      </c>
      <c r="AI1532" s="195">
        <v>1.29</v>
      </c>
    </row>
    <row r="1533" spans="1:35">
      <c r="A1533">
        <v>9926</v>
      </c>
      <c r="C1533" s="107">
        <f>VLOOKUP(9926,收盤價!$A:$C,3,0)</f>
        <v>41.4</v>
      </c>
      <c r="D1533" s="107">
        <f t="shared" si="253"/>
        <v>24.881107917428796</v>
      </c>
      <c r="E1533" s="167">
        <f t="shared" si="254"/>
        <v>2</v>
      </c>
      <c r="F1533" s="104">
        <f t="shared" si="255"/>
        <v>3.4997581922137893</v>
      </c>
      <c r="G1533" s="167">
        <f>RANK(1.94,AE:AE,0)</f>
        <v>435</v>
      </c>
      <c r="H1533" s="365">
        <f t="shared" si="256"/>
        <v>1.6062309950718254</v>
      </c>
      <c r="I1533" s="213">
        <f t="shared" si="257"/>
        <v>299</v>
      </c>
      <c r="J1533" s="213">
        <f t="shared" si="258"/>
        <v>143</v>
      </c>
      <c r="K1533">
        <f>RANK(3.52,AI:AI,0)</f>
        <v>125</v>
      </c>
      <c r="L1533" s="357">
        <v>0</v>
      </c>
      <c r="M1533" s="357">
        <v>1</v>
      </c>
      <c r="N1533" s="357">
        <v>0</v>
      </c>
      <c r="O1533" s="357">
        <v>1</v>
      </c>
      <c r="P1533" s="357">
        <v>0</v>
      </c>
      <c r="Q1533" s="358">
        <v>0.27450980392156865</v>
      </c>
      <c r="R1533" s="359">
        <v>0.41597826086956519</v>
      </c>
      <c r="S1533" s="196">
        <v>2051216000</v>
      </c>
      <c r="T1533" s="196">
        <v>173400000</v>
      </c>
      <c r="U1533" s="200">
        <f t="shared" si="259"/>
        <v>7178760000</v>
      </c>
      <c r="V1533" s="196">
        <v>88000000</v>
      </c>
      <c r="W1533" s="196">
        <v>990000000</v>
      </c>
      <c r="X1533" s="196">
        <v>2446000000</v>
      </c>
      <c r="Y1533" s="196">
        <v>2633000000</v>
      </c>
      <c r="Z1533" s="196">
        <v>0</v>
      </c>
      <c r="AA1533" s="198">
        <v>0.03</v>
      </c>
      <c r="AB1533" s="198">
        <v>0.03</v>
      </c>
      <c r="AC1533" s="213">
        <f t="shared" si="260"/>
        <v>469</v>
      </c>
      <c r="AD1533" s="213">
        <f t="shared" si="261"/>
        <v>334</v>
      </c>
      <c r="AE1533" s="213">
        <v>1.94</v>
      </c>
      <c r="AF1533" s="196">
        <v>287000000</v>
      </c>
      <c r="AG1533" s="104">
        <f t="shared" si="262"/>
        <v>1.6551326412918108</v>
      </c>
      <c r="AH1533" s="104">
        <f t="shared" si="263"/>
        <v>3.2613636363636362</v>
      </c>
      <c r="AI1533" s="195">
        <v>3.52</v>
      </c>
    </row>
    <row r="1534" spans="1:35">
      <c r="A1534">
        <v>9927</v>
      </c>
      <c r="C1534" s="107">
        <f>VLOOKUP(9927,收盤價!$A:$C,3,0)</f>
        <v>30.7</v>
      </c>
      <c r="D1534" s="107">
        <f t="shared" si="253"/>
        <v>9.7151898734177209</v>
      </c>
      <c r="E1534" s="167">
        <f t="shared" si="254"/>
        <v>3</v>
      </c>
      <c r="F1534" s="104">
        <f t="shared" si="255"/>
        <v>0.6886088414467354</v>
      </c>
      <c r="G1534" s="167">
        <f>RANK(0.84,AE:AE,0)</f>
        <v>946</v>
      </c>
      <c r="H1534" s="365">
        <f t="shared" si="256"/>
        <v>-0.71736011477761841</v>
      </c>
      <c r="I1534" s="213">
        <f t="shared" si="257"/>
        <v>642</v>
      </c>
      <c r="J1534" s="213">
        <f t="shared" si="258"/>
        <v>768</v>
      </c>
      <c r="K1534">
        <f>RANK(1.1,AI:AI,0)</f>
        <v>795</v>
      </c>
      <c r="L1534" s="357">
        <v>0</v>
      </c>
      <c r="M1534" s="357">
        <v>1</v>
      </c>
      <c r="N1534" s="357">
        <v>1</v>
      </c>
      <c r="O1534" s="357">
        <v>1</v>
      </c>
      <c r="P1534" s="357">
        <v>0</v>
      </c>
      <c r="Q1534" s="358">
        <v>9.0185676392572939E-2</v>
      </c>
      <c r="R1534" s="359">
        <v>0.79</v>
      </c>
      <c r="S1534" s="196">
        <v>9322230000</v>
      </c>
      <c r="T1534" s="196">
        <v>209100000</v>
      </c>
      <c r="U1534" s="200">
        <f t="shared" si="259"/>
        <v>6419370000</v>
      </c>
      <c r="V1534" s="196">
        <v>0</v>
      </c>
      <c r="W1534" s="196">
        <v>3523000000</v>
      </c>
      <c r="X1534" s="196">
        <v>626000000</v>
      </c>
      <c r="Y1534" s="196">
        <v>4473000000</v>
      </c>
      <c r="Z1534" s="196">
        <v>1472000000</v>
      </c>
      <c r="AA1534" s="198">
        <v>0</v>
      </c>
      <c r="AB1534" s="198">
        <v>0</v>
      </c>
      <c r="AC1534" s="213">
        <f t="shared" si="260"/>
        <v>945</v>
      </c>
      <c r="AD1534" s="213">
        <f t="shared" si="261"/>
        <v>911</v>
      </c>
      <c r="AE1534" s="213">
        <v>0.84</v>
      </c>
      <c r="AF1534" s="196">
        <v>150000000</v>
      </c>
      <c r="AG1534" s="104">
        <f t="shared" si="262"/>
        <v>0.71736011477761841</v>
      </c>
      <c r="AH1534" s="104">
        <f t="shared" si="263"/>
        <v>0</v>
      </c>
      <c r="AI1534" s="195">
        <v>1.1000000000000001</v>
      </c>
    </row>
    <row r="1535" spans="1:35">
      <c r="A1535">
        <v>9928</v>
      </c>
      <c r="C1535" s="107">
        <f>VLOOKUP(9928,收盤價!$A:$C,3,0)</f>
        <v>5.0199999999999996</v>
      </c>
      <c r="D1535" s="107">
        <f t="shared" si="253"/>
        <v>0</v>
      </c>
      <c r="E1535" s="167">
        <f t="shared" si="254"/>
        <v>1</v>
      </c>
      <c r="F1535" s="104">
        <f t="shared" si="255"/>
        <v>0.72211502605950761</v>
      </c>
      <c r="G1535" s="167">
        <f>RANK(0.84,AE:AE,0)</f>
        <v>946</v>
      </c>
      <c r="H1535" s="365">
        <f t="shared" si="256"/>
        <v>0.13564431047475509</v>
      </c>
      <c r="I1535" s="213">
        <f t="shared" si="257"/>
        <v>1165</v>
      </c>
      <c r="J1535" s="213">
        <f t="shared" si="258"/>
        <v>768</v>
      </c>
      <c r="K1535">
        <f>RANK(0.81,AI:AI,0)</f>
        <v>1144</v>
      </c>
      <c r="L1535" s="357">
        <v>0</v>
      </c>
      <c r="M1535" s="357">
        <v>1</v>
      </c>
      <c r="N1535" s="357">
        <v>0</v>
      </c>
      <c r="O1535" s="357">
        <v>0</v>
      </c>
      <c r="P1535" s="357">
        <v>0</v>
      </c>
      <c r="Q1535" s="358">
        <v>-0.17435897435897435</v>
      </c>
      <c r="R1535" s="359">
        <v>-0.45</v>
      </c>
      <c r="S1535" s="196">
        <v>922504000</v>
      </c>
      <c r="T1535" s="196">
        <v>132700000</v>
      </c>
      <c r="U1535" s="200">
        <f t="shared" si="259"/>
        <v>666154000</v>
      </c>
      <c r="V1535" s="196">
        <v>0</v>
      </c>
      <c r="W1535" s="196">
        <v>0</v>
      </c>
      <c r="X1535" s="196">
        <v>3153000000</v>
      </c>
      <c r="Y1535" s="196">
        <v>595000000</v>
      </c>
      <c r="Z1535" s="196">
        <v>2675000000</v>
      </c>
      <c r="AA1535" s="198">
        <v>0</v>
      </c>
      <c r="AB1535" s="198">
        <v>0</v>
      </c>
      <c r="AC1535" s="213">
        <f t="shared" si="260"/>
        <v>945</v>
      </c>
      <c r="AD1535" s="213">
        <f t="shared" si="261"/>
        <v>911</v>
      </c>
      <c r="AE1535" s="213">
        <v>0.84</v>
      </c>
      <c r="AF1535" s="196">
        <v>-18000000</v>
      </c>
      <c r="AG1535" s="104">
        <f t="shared" si="262"/>
        <v>-0.13564431047475509</v>
      </c>
      <c r="AH1535" s="104">
        <f t="shared" si="263"/>
        <v>0</v>
      </c>
      <c r="AI1535" s="195">
        <v>0.81</v>
      </c>
    </row>
    <row r="1536" spans="1:35">
      <c r="A1536">
        <v>9929</v>
      </c>
      <c r="C1536" s="107">
        <f>VLOOKUP(9929,收盤價!$A:$C,3,0)</f>
        <v>11.5</v>
      </c>
      <c r="D1536" s="107">
        <f t="shared" si="253"/>
        <v>0</v>
      </c>
      <c r="E1536" s="167">
        <f t="shared" si="254"/>
        <v>3</v>
      </c>
      <c r="F1536" s="104">
        <f t="shared" si="255"/>
        <v>2.1088676297727091</v>
      </c>
      <c r="G1536" s="167">
        <f>RANK(0.61,AE:AE,0)</f>
        <v>1295</v>
      </c>
      <c r="H1536" s="365">
        <f t="shared" si="256"/>
        <v>1.0841232227488151</v>
      </c>
      <c r="I1536" s="213">
        <f t="shared" si="257"/>
        <v>1446</v>
      </c>
      <c r="J1536" s="213">
        <f t="shared" si="258"/>
        <v>768</v>
      </c>
      <c r="K1536">
        <f>RANK(0.7,AI:AI,0)</f>
        <v>1442</v>
      </c>
      <c r="L1536" s="357">
        <v>0</v>
      </c>
      <c r="M1536" s="357">
        <v>1</v>
      </c>
      <c r="N1536" s="357">
        <v>2</v>
      </c>
      <c r="O1536" s="357">
        <v>0</v>
      </c>
      <c r="P1536" s="357">
        <v>0</v>
      </c>
      <c r="Q1536" s="358">
        <v>7.2847682119205295E-2</v>
      </c>
      <c r="R1536" s="359">
        <v>0</v>
      </c>
      <c r="S1536" s="196">
        <v>920494000</v>
      </c>
      <c r="T1536" s="196">
        <v>168800000</v>
      </c>
      <c r="U1536" s="200">
        <f t="shared" si="259"/>
        <v>1941200000</v>
      </c>
      <c r="V1536" s="196">
        <v>-7000000</v>
      </c>
      <c r="W1536" s="196">
        <v>457000000</v>
      </c>
      <c r="X1536" s="196">
        <v>717000000</v>
      </c>
      <c r="Y1536" s="196">
        <v>1124000000</v>
      </c>
      <c r="Z1536" s="196">
        <v>0</v>
      </c>
      <c r="AA1536" s="198">
        <v>-0.01</v>
      </c>
      <c r="AB1536" s="198">
        <v>-0.01</v>
      </c>
      <c r="AC1536" s="213">
        <f t="shared" si="260"/>
        <v>1277</v>
      </c>
      <c r="AD1536" s="213">
        <f t="shared" si="261"/>
        <v>1294</v>
      </c>
      <c r="AE1536" s="213">
        <v>0.61</v>
      </c>
      <c r="AF1536" s="196">
        <v>-183000000</v>
      </c>
      <c r="AG1536" s="104">
        <f t="shared" si="262"/>
        <v>-1.0841232227488151</v>
      </c>
      <c r="AH1536" s="104">
        <f t="shared" si="263"/>
        <v>0</v>
      </c>
      <c r="AI1536" s="195">
        <v>0.7</v>
      </c>
    </row>
    <row r="1537" spans="1:48">
      <c r="A1537">
        <v>9930</v>
      </c>
      <c r="C1537" s="107">
        <f>VLOOKUP(9930,收盤價!$A:$C,3,0)</f>
        <v>53.8</v>
      </c>
      <c r="D1537" s="107">
        <f t="shared" si="253"/>
        <v>16.530476665005811</v>
      </c>
      <c r="E1537" s="167">
        <f t="shared" si="254"/>
        <v>2</v>
      </c>
      <c r="F1537" s="104">
        <f t="shared" si="255"/>
        <v>1.6858367969958103</v>
      </c>
      <c r="G1537" s="167">
        <f>RANK(3.92,AE:AE,0)</f>
        <v>209</v>
      </c>
      <c r="H1537" s="365">
        <f t="shared" si="256"/>
        <v>-6.9339162523940345E-4</v>
      </c>
      <c r="I1537" s="213">
        <f t="shared" si="257"/>
        <v>325</v>
      </c>
      <c r="J1537" s="213">
        <f t="shared" si="258"/>
        <v>356</v>
      </c>
      <c r="K1537">
        <f>RANK(2.29,AI:AI,0)</f>
        <v>280</v>
      </c>
      <c r="L1537" s="357">
        <v>0</v>
      </c>
      <c r="M1537" s="357">
        <v>1</v>
      </c>
      <c r="N1537" s="357">
        <v>0</v>
      </c>
      <c r="O1537" s="357">
        <v>1</v>
      </c>
      <c r="P1537" s="357">
        <v>0</v>
      </c>
      <c r="Q1537" s="358">
        <v>0.17348608837970539</v>
      </c>
      <c r="R1537" s="359">
        <v>0.81364864864864872</v>
      </c>
      <c r="S1537" s="196">
        <v>7209132000</v>
      </c>
      <c r="T1537" s="196">
        <v>225900000</v>
      </c>
      <c r="U1537" s="200">
        <f t="shared" si="259"/>
        <v>12153420000</v>
      </c>
      <c r="V1537" s="196">
        <v>226000000</v>
      </c>
      <c r="W1537" s="196">
        <v>0</v>
      </c>
      <c r="X1537" s="196">
        <v>4242000000</v>
      </c>
      <c r="Y1537" s="196">
        <v>4028000000</v>
      </c>
      <c r="Z1537" s="196">
        <v>714000000</v>
      </c>
      <c r="AA1537" s="198">
        <v>0.05</v>
      </c>
      <c r="AB1537" s="198">
        <v>0.05</v>
      </c>
      <c r="AC1537" s="213">
        <f t="shared" si="260"/>
        <v>247</v>
      </c>
      <c r="AD1537" s="213">
        <f t="shared" si="261"/>
        <v>150</v>
      </c>
      <c r="AE1537" s="213">
        <v>3.92</v>
      </c>
      <c r="AF1537" s="196">
        <v>354000000</v>
      </c>
      <c r="AG1537" s="104">
        <f t="shared" si="262"/>
        <v>1.5670650730411686</v>
      </c>
      <c r="AH1537" s="104">
        <f t="shared" si="263"/>
        <v>1.5663716814159292</v>
      </c>
      <c r="AI1537" s="195">
        <v>2.29</v>
      </c>
    </row>
    <row r="1538" spans="1:48">
      <c r="A1538">
        <v>9931</v>
      </c>
      <c r="C1538" s="107" t="str">
        <f>VLOOKUP(9931,收盤價!$A:$C,3,0)</f>
        <v>--</v>
      </c>
      <c r="D1538" s="107">
        <f t="shared" ref="D1538:D1558" si="264">IF(AND(ISNUMBER(C1538),R1538&gt;0),C1538/(R1538*4),0)</f>
        <v>0</v>
      </c>
      <c r="E1538" s="167">
        <f t="shared" ref="E1538:E1558" si="265">SUM(L1538:P1538)</f>
        <v>1</v>
      </c>
      <c r="F1538" s="104">
        <f t="shared" ref="F1538:F1558" si="266">IF(AND(ISNUMBER(U1538),ISNUMBER(S1538)),U1538/S1538,0)</f>
        <v>0</v>
      </c>
      <c r="G1538" s="167">
        <f>RANK(1.64,AE:AE,0)</f>
        <v>539</v>
      </c>
      <c r="H1538" s="365">
        <f t="shared" ref="H1538:H1558" si="267">AH1538-AG1538</f>
        <v>1.2304496578690127</v>
      </c>
      <c r="I1538" s="213">
        <f t="shared" ref="I1538:I1558" si="268">RANK(AG1538,AG:AG)</f>
        <v>546</v>
      </c>
      <c r="J1538" s="213">
        <f t="shared" ref="J1538:J1558" si="269">RANK(AH1538,AH:AH)</f>
        <v>239</v>
      </c>
      <c r="K1538">
        <f>RANK(1.98,AI:AI,0)</f>
        <v>348</v>
      </c>
      <c r="L1538" s="357">
        <v>0</v>
      </c>
      <c r="M1538" s="357">
        <v>0</v>
      </c>
      <c r="N1538" s="357">
        <v>0</v>
      </c>
      <c r="O1538" s="357">
        <v>1</v>
      </c>
      <c r="P1538" s="357">
        <v>0</v>
      </c>
      <c r="Q1538" s="358">
        <v>0.25187969924812031</v>
      </c>
      <c r="R1538" s="359">
        <v>0.39</v>
      </c>
      <c r="S1538" s="196">
        <v>1113340000</v>
      </c>
      <c r="T1538" s="196">
        <v>102300000</v>
      </c>
      <c r="U1538" s="200" t="e">
        <f t="shared" ref="U1538:U1558" si="270">C1538*T1538</f>
        <v>#VALUE!</v>
      </c>
      <c r="V1538" s="196">
        <v>44000000</v>
      </c>
      <c r="W1538" s="196">
        <v>0</v>
      </c>
      <c r="X1538" s="196">
        <v>2254000000</v>
      </c>
      <c r="Y1538" s="196">
        <v>1645000000</v>
      </c>
      <c r="Z1538" s="196">
        <v>70000000</v>
      </c>
      <c r="AA1538" s="198">
        <v>0.02</v>
      </c>
      <c r="AB1538" s="198">
        <v>0.03</v>
      </c>
      <c r="AC1538" s="213">
        <f t="shared" ref="AC1538:AC1558" si="271">RANK(AA1538,AA:AA)</f>
        <v>616</v>
      </c>
      <c r="AD1538" s="213">
        <f t="shared" ref="AD1538:AD1558" si="272">RANK(AB1538,AB:AB)</f>
        <v>334</v>
      </c>
      <c r="AE1538" s="213">
        <v>1.64</v>
      </c>
      <c r="AF1538" s="196">
        <v>95000000</v>
      </c>
      <c r="AG1538" s="104">
        <f t="shared" ref="AG1538:AG1558" si="273">AF1538/T1538</f>
        <v>0.92864125122189634</v>
      </c>
      <c r="AH1538" s="104">
        <f t="shared" ref="AH1538:AH1558" si="274">IF(AND(AF1538&gt;0,V1538&gt;0),AF1538/V1538,0)</f>
        <v>2.1590909090909092</v>
      </c>
      <c r="AI1538" s="195">
        <v>1.98</v>
      </c>
    </row>
    <row r="1539" spans="1:48">
      <c r="A1539">
        <v>9933</v>
      </c>
      <c r="C1539" s="107">
        <f>VLOOKUP(9933,收盤價!$A:$C,3,0)</f>
        <v>47.55</v>
      </c>
      <c r="D1539" s="107">
        <f t="shared" si="264"/>
        <v>14.024292149292149</v>
      </c>
      <c r="E1539" s="167">
        <f t="shared" si="265"/>
        <v>1</v>
      </c>
      <c r="F1539" s="104">
        <f t="shared" si="266"/>
        <v>0.52178293971514678</v>
      </c>
      <c r="G1539" s="167">
        <f>RANK(6.31,AE:AE,0)</f>
        <v>125</v>
      </c>
      <c r="H1539" s="365">
        <f t="shared" si="267"/>
        <v>9.8257565832569102E-2</v>
      </c>
      <c r="I1539" s="213">
        <f t="shared" si="268"/>
        <v>1136</v>
      </c>
      <c r="J1539" s="213">
        <f t="shared" si="269"/>
        <v>768</v>
      </c>
      <c r="K1539">
        <f>RANK(0.82,AI:AI,0)</f>
        <v>1121</v>
      </c>
      <c r="L1539" s="357">
        <v>0</v>
      </c>
      <c r="M1539" s="357">
        <v>0</v>
      </c>
      <c r="N1539" s="357">
        <v>1</v>
      </c>
      <c r="O1539" s="357">
        <v>0</v>
      </c>
      <c r="P1539" s="357">
        <v>0</v>
      </c>
      <c r="Q1539" s="358">
        <v>8.1520242357477277E-2</v>
      </c>
      <c r="R1539" s="359">
        <v>0.84763636363636363</v>
      </c>
      <c r="S1539" s="196">
        <v>69559413000</v>
      </c>
      <c r="T1539" s="196">
        <v>763300000</v>
      </c>
      <c r="U1539" s="200">
        <f t="shared" si="270"/>
        <v>36294915000</v>
      </c>
      <c r="V1539" s="196">
        <v>1027000000</v>
      </c>
      <c r="W1539" s="196">
        <v>5739000000</v>
      </c>
      <c r="X1539" s="196">
        <v>6873000000</v>
      </c>
      <c r="Y1539" s="196">
        <v>18913000000</v>
      </c>
      <c r="Z1539" s="196">
        <v>1677000000</v>
      </c>
      <c r="AA1539" s="198">
        <v>0.08</v>
      </c>
      <c r="AB1539" s="198">
        <v>0.05</v>
      </c>
      <c r="AC1539" s="213">
        <f t="shared" si="271"/>
        <v>97</v>
      </c>
      <c r="AD1539" s="213">
        <f t="shared" si="272"/>
        <v>150</v>
      </c>
      <c r="AE1539" s="213">
        <v>6.31</v>
      </c>
      <c r="AF1539" s="196">
        <v>-75000000</v>
      </c>
      <c r="AG1539" s="104">
        <f t="shared" si="273"/>
        <v>-9.8257565832569102E-2</v>
      </c>
      <c r="AH1539" s="104">
        <f t="shared" si="274"/>
        <v>0</v>
      </c>
      <c r="AI1539" s="195">
        <v>0.82</v>
      </c>
    </row>
    <row r="1540" spans="1:48">
      <c r="A1540">
        <v>9934</v>
      </c>
      <c r="C1540" s="107">
        <f>VLOOKUP(9934,收盤價!$A:$C,3,0)</f>
        <v>15.5</v>
      </c>
      <c r="D1540" s="107">
        <f t="shared" si="264"/>
        <v>8.0399343106625025</v>
      </c>
      <c r="E1540" s="167">
        <f t="shared" si="265"/>
        <v>5</v>
      </c>
      <c r="F1540" s="104">
        <f t="shared" si="266"/>
        <v>0.27012641364262713</v>
      </c>
      <c r="G1540" s="167">
        <f>RANK(2.32,AE:AE,0)</f>
        <v>360</v>
      </c>
      <c r="H1540" s="365">
        <f t="shared" si="267"/>
        <v>0.86728545664164725</v>
      </c>
      <c r="I1540" s="213">
        <f t="shared" si="268"/>
        <v>277</v>
      </c>
      <c r="J1540" s="213">
        <f t="shared" si="269"/>
        <v>185</v>
      </c>
      <c r="K1540">
        <f>RANK(3.37,AI:AI,0)</f>
        <v>137</v>
      </c>
      <c r="L1540" s="357">
        <v>1</v>
      </c>
      <c r="M1540" s="357">
        <v>1</v>
      </c>
      <c r="N1540" s="357">
        <v>2</v>
      </c>
      <c r="O1540" s="357">
        <v>1</v>
      </c>
      <c r="P1540" s="357">
        <v>0</v>
      </c>
      <c r="Q1540" s="358">
        <v>0.28212813787935559</v>
      </c>
      <c r="R1540" s="359">
        <v>0.48196911196911191</v>
      </c>
      <c r="S1540" s="196">
        <v>20329926000</v>
      </c>
      <c r="T1540" s="196">
        <v>354300000</v>
      </c>
      <c r="U1540" s="200">
        <f t="shared" si="270"/>
        <v>5491650000</v>
      </c>
      <c r="V1540" s="196">
        <v>236000000</v>
      </c>
      <c r="W1540" s="196">
        <v>4326000000</v>
      </c>
      <c r="X1540" s="196">
        <v>1911000000</v>
      </c>
      <c r="Y1540" s="196">
        <v>6815000000</v>
      </c>
      <c r="Z1540" s="196">
        <v>1416000000</v>
      </c>
      <c r="AA1540" s="198">
        <v>0.04</v>
      </c>
      <c r="AB1540" s="198">
        <v>0.03</v>
      </c>
      <c r="AC1540" s="213">
        <f t="shared" si="271"/>
        <v>337</v>
      </c>
      <c r="AD1540" s="213">
        <f t="shared" si="272"/>
        <v>334</v>
      </c>
      <c r="AE1540" s="213">
        <v>2.3199999999999998</v>
      </c>
      <c r="AF1540" s="196">
        <v>613000000</v>
      </c>
      <c r="AG1540" s="104">
        <f t="shared" si="273"/>
        <v>1.7301721704769968</v>
      </c>
      <c r="AH1540" s="104">
        <f t="shared" si="274"/>
        <v>2.597457627118644</v>
      </c>
      <c r="AI1540" s="195">
        <v>3.37</v>
      </c>
      <c r="AO1540" s="213"/>
      <c r="AP1540" s="213"/>
      <c r="AQ1540" s="213"/>
      <c r="AR1540" s="213"/>
      <c r="AS1540" s="213"/>
      <c r="AT1540" s="213"/>
      <c r="AU1540" s="213"/>
      <c r="AV1540" s="213"/>
    </row>
    <row r="1541" spans="1:48">
      <c r="A1541">
        <v>9935</v>
      </c>
      <c r="C1541" s="107">
        <f>VLOOKUP(9935,收盤價!$A:$C,3,0)</f>
        <v>10.15</v>
      </c>
      <c r="D1541" s="107">
        <f t="shared" si="264"/>
        <v>22.33</v>
      </c>
      <c r="E1541" s="167">
        <f t="shared" si="265"/>
        <v>1</v>
      </c>
      <c r="F1541" s="104">
        <f t="shared" si="266"/>
        <v>0.46489464546952558</v>
      </c>
      <c r="G1541" s="167">
        <f>RANK(1.68,AE:AE,0)</f>
        <v>535</v>
      </c>
      <c r="H1541" s="365">
        <f t="shared" si="267"/>
        <v>4.5752041103603602</v>
      </c>
      <c r="I1541" s="213">
        <f t="shared" si="268"/>
        <v>360</v>
      </c>
      <c r="J1541" s="213">
        <f t="shared" si="269"/>
        <v>66</v>
      </c>
      <c r="K1541">
        <f>RANK(3.66,AI:AI,0)</f>
        <v>117</v>
      </c>
      <c r="L1541" s="357">
        <v>0</v>
      </c>
      <c r="M1541" s="357">
        <v>0</v>
      </c>
      <c r="N1541" s="357">
        <v>0</v>
      </c>
      <c r="O1541" s="357">
        <v>1</v>
      </c>
      <c r="P1541" s="357">
        <v>0</v>
      </c>
      <c r="Q1541" s="358">
        <v>0.16063829787234044</v>
      </c>
      <c r="R1541" s="359">
        <v>0.11363636363636365</v>
      </c>
      <c r="S1541" s="196">
        <v>3353534000</v>
      </c>
      <c r="T1541" s="196">
        <v>153600000</v>
      </c>
      <c r="U1541" s="200">
        <f t="shared" si="270"/>
        <v>1559040000</v>
      </c>
      <c r="V1541" s="196">
        <v>37000000</v>
      </c>
      <c r="W1541" s="196">
        <v>0</v>
      </c>
      <c r="X1541" s="196">
        <v>822000000</v>
      </c>
      <c r="Y1541" s="196">
        <v>1108000000</v>
      </c>
      <c r="Z1541" s="196">
        <v>1397000000</v>
      </c>
      <c r="AA1541" s="198">
        <v>0.05</v>
      </c>
      <c r="AB1541" s="198">
        <v>0.01</v>
      </c>
      <c r="AC1541" s="213">
        <f t="shared" si="271"/>
        <v>247</v>
      </c>
      <c r="AD1541" s="213">
        <f t="shared" si="272"/>
        <v>680</v>
      </c>
      <c r="AE1541" s="213">
        <v>1.68</v>
      </c>
      <c r="AF1541" s="196">
        <v>223000000</v>
      </c>
      <c r="AG1541" s="104">
        <f t="shared" si="273"/>
        <v>1.4518229166666667</v>
      </c>
      <c r="AH1541" s="104">
        <f t="shared" si="274"/>
        <v>6.0270270270270272</v>
      </c>
      <c r="AI1541" s="195">
        <v>3.66</v>
      </c>
    </row>
    <row r="1542" spans="1:48" s="213" customFormat="1">
      <c r="A1542" s="213">
        <v>9937</v>
      </c>
      <c r="B1542" s="106"/>
      <c r="C1542" s="107">
        <f>VLOOKUP(9937,收盤價!$A:$C,3,0)</f>
        <v>36.6</v>
      </c>
      <c r="D1542" s="107">
        <f t="shared" si="264"/>
        <v>16.807213826500796</v>
      </c>
      <c r="E1542" s="167">
        <f t="shared" si="265"/>
        <v>2</v>
      </c>
      <c r="F1542" s="104">
        <f t="shared" si="266"/>
        <v>0.61240482854029388</v>
      </c>
      <c r="G1542" s="167">
        <f>RANK(3.28,AE:AE,0)</f>
        <v>256</v>
      </c>
      <c r="H1542" s="365">
        <f t="shared" si="267"/>
        <v>0.65372168284789645</v>
      </c>
      <c r="I1542" s="213">
        <f t="shared" si="268"/>
        <v>402</v>
      </c>
      <c r="J1542" s="213">
        <f t="shared" si="269"/>
        <v>275</v>
      </c>
      <c r="K1542" s="213">
        <f>RANK(2.3,AI:AI,0)</f>
        <v>278</v>
      </c>
      <c r="L1542" s="357">
        <v>0</v>
      </c>
      <c r="M1542" s="357">
        <v>1</v>
      </c>
      <c r="N1542" s="357">
        <v>0</v>
      </c>
      <c r="O1542" s="357">
        <v>1</v>
      </c>
      <c r="P1542" s="357">
        <v>0</v>
      </c>
      <c r="Q1542" s="358">
        <v>0.11618521665250638</v>
      </c>
      <c r="R1542" s="359">
        <v>0.54440909090909084</v>
      </c>
      <c r="S1542" s="196">
        <v>18467196000</v>
      </c>
      <c r="T1542" s="196">
        <v>309000000</v>
      </c>
      <c r="U1542" s="200">
        <f t="shared" si="270"/>
        <v>11309400000</v>
      </c>
      <c r="V1542" s="196">
        <v>206000000</v>
      </c>
      <c r="W1542" s="196">
        <v>0</v>
      </c>
      <c r="X1542" s="196">
        <v>3777000000</v>
      </c>
      <c r="Y1542" s="196">
        <v>4317000000</v>
      </c>
      <c r="Z1542" s="196">
        <v>960000000</v>
      </c>
      <c r="AA1542" s="198">
        <v>0.05</v>
      </c>
      <c r="AB1542" s="198">
        <v>0.04</v>
      </c>
      <c r="AC1542" s="213">
        <f t="shared" si="271"/>
        <v>247</v>
      </c>
      <c r="AD1542" s="213">
        <f t="shared" si="272"/>
        <v>228</v>
      </c>
      <c r="AE1542" s="213">
        <v>3.28</v>
      </c>
      <c r="AF1542" s="196">
        <v>404000000</v>
      </c>
      <c r="AG1542" s="104">
        <f t="shared" si="273"/>
        <v>1.3074433656957929</v>
      </c>
      <c r="AH1542" s="104">
        <f t="shared" si="274"/>
        <v>1.9611650485436893</v>
      </c>
      <c r="AI1542" s="195">
        <v>2.2999999999999998</v>
      </c>
    </row>
    <row r="1543" spans="1:48" s="213" customFormat="1">
      <c r="A1543" s="213">
        <v>9938</v>
      </c>
      <c r="B1543" s="106"/>
      <c r="C1543" s="107">
        <f>VLOOKUP(9938,收盤價!$A:$C,3,0)</f>
        <v>114.5</v>
      </c>
      <c r="D1543" s="107">
        <f t="shared" si="264"/>
        <v>23.33481012658228</v>
      </c>
      <c r="E1543" s="167">
        <f t="shared" si="265"/>
        <v>3</v>
      </c>
      <c r="F1543" s="104">
        <f t="shared" si="266"/>
        <v>3.3559489336322521</v>
      </c>
      <c r="G1543" s="167">
        <f>RANK(5.49,AE:AE,0)</f>
        <v>154</v>
      </c>
      <c r="H1543" s="365">
        <f t="shared" si="267"/>
        <v>-1.1659775178174412</v>
      </c>
      <c r="I1543" s="213">
        <f t="shared" si="268"/>
        <v>202</v>
      </c>
      <c r="J1543" s="213">
        <f t="shared" si="269"/>
        <v>530</v>
      </c>
      <c r="K1543" s="213">
        <f>RANK(2.13,AI:AI,0)</f>
        <v>305</v>
      </c>
      <c r="L1543" s="357">
        <v>0</v>
      </c>
      <c r="M1543" s="357">
        <v>1</v>
      </c>
      <c r="N1543" s="357">
        <v>0</v>
      </c>
      <c r="O1543" s="357">
        <v>1</v>
      </c>
      <c r="P1543" s="357">
        <v>1</v>
      </c>
      <c r="Q1543" s="358">
        <v>0.40044659471529587</v>
      </c>
      <c r="R1543" s="359">
        <v>1.2267080745341614</v>
      </c>
      <c r="S1543" s="196">
        <v>10167318000</v>
      </c>
      <c r="T1543" s="196">
        <v>298000000</v>
      </c>
      <c r="U1543" s="200">
        <f t="shared" si="270"/>
        <v>34121000000</v>
      </c>
      <c r="V1543" s="196">
        <v>646000000</v>
      </c>
      <c r="W1543" s="196">
        <v>3446000000</v>
      </c>
      <c r="X1543" s="196">
        <v>5703000000</v>
      </c>
      <c r="Y1543" s="196">
        <v>9388000000</v>
      </c>
      <c r="Z1543" s="196">
        <v>2900000000</v>
      </c>
      <c r="AA1543" s="198">
        <v>7.0000000000000007E-2</v>
      </c>
      <c r="AB1543" s="198">
        <v>0.05</v>
      </c>
      <c r="AC1543" s="213">
        <f t="shared" si="271"/>
        <v>134</v>
      </c>
      <c r="AD1543" s="213">
        <f t="shared" si="272"/>
        <v>150</v>
      </c>
      <c r="AE1543" s="213">
        <v>5.49</v>
      </c>
      <c r="AF1543" s="196">
        <v>645000000</v>
      </c>
      <c r="AG1543" s="104">
        <f t="shared" si="273"/>
        <v>2.1644295302013421</v>
      </c>
      <c r="AH1543" s="104">
        <f t="shared" si="274"/>
        <v>0.99845201238390091</v>
      </c>
      <c r="AI1543" s="195">
        <v>2.13</v>
      </c>
    </row>
    <row r="1544" spans="1:48" s="213" customFormat="1">
      <c r="A1544" s="213">
        <v>9939</v>
      </c>
      <c r="B1544" s="106"/>
      <c r="C1544" s="107">
        <f>VLOOKUP(9939,收盤價!$A:$C,3,0)</f>
        <v>51.8</v>
      </c>
      <c r="D1544" s="107">
        <f t="shared" si="264"/>
        <v>8.0937499999999982</v>
      </c>
      <c r="E1544" s="167">
        <f t="shared" si="265"/>
        <v>5</v>
      </c>
      <c r="F1544" s="104">
        <f t="shared" si="266"/>
        <v>0.9519304671682236</v>
      </c>
      <c r="G1544" s="167">
        <f>RANK(0.84,AE:AE,0)</f>
        <v>946</v>
      </c>
      <c r="H1544" s="365">
        <f t="shared" si="267"/>
        <v>-3.185387504267668</v>
      </c>
      <c r="I1544" s="213">
        <f t="shared" si="268"/>
        <v>106</v>
      </c>
      <c r="J1544" s="213">
        <f t="shared" si="269"/>
        <v>768</v>
      </c>
      <c r="K1544" s="213">
        <f>RANK(1.78,AI:AI,0)</f>
        <v>423</v>
      </c>
      <c r="L1544" s="357">
        <v>1</v>
      </c>
      <c r="M1544" s="357">
        <v>1</v>
      </c>
      <c r="N1544" s="357">
        <v>2</v>
      </c>
      <c r="O1544" s="357">
        <v>1</v>
      </c>
      <c r="P1544" s="357">
        <v>0</v>
      </c>
      <c r="Q1544" s="358">
        <v>0.23081800887761572</v>
      </c>
      <c r="R1544" s="359">
        <v>1.6</v>
      </c>
      <c r="S1544" s="196">
        <v>15938370000</v>
      </c>
      <c r="T1544" s="196">
        <v>292900000</v>
      </c>
      <c r="U1544" s="200">
        <f t="shared" si="270"/>
        <v>15172220000</v>
      </c>
      <c r="V1544" s="196">
        <v>0</v>
      </c>
      <c r="W1544" s="196">
        <v>0</v>
      </c>
      <c r="X1544" s="196">
        <v>18041000000</v>
      </c>
      <c r="Y1544" s="196">
        <v>12849000000</v>
      </c>
      <c r="Z1544" s="196">
        <v>8003000000</v>
      </c>
      <c r="AA1544" s="198">
        <v>0</v>
      </c>
      <c r="AB1544" s="198">
        <v>0</v>
      </c>
      <c r="AC1544" s="213">
        <f t="shared" si="271"/>
        <v>945</v>
      </c>
      <c r="AD1544" s="213">
        <f t="shared" si="272"/>
        <v>911</v>
      </c>
      <c r="AE1544" s="213">
        <v>0.84</v>
      </c>
      <c r="AF1544" s="196">
        <v>933000000</v>
      </c>
      <c r="AG1544" s="104">
        <f t="shared" si="273"/>
        <v>3.185387504267668</v>
      </c>
      <c r="AH1544" s="104">
        <f t="shared" si="274"/>
        <v>0</v>
      </c>
      <c r="AI1544" s="195">
        <v>1.78</v>
      </c>
    </row>
    <row r="1545" spans="1:48" s="213" customFormat="1">
      <c r="A1545" s="213">
        <v>9940</v>
      </c>
      <c r="B1545" s="106"/>
      <c r="C1545" s="107">
        <f>VLOOKUP(9940,收盤價!$A:$C,3,0)</f>
        <v>29.05</v>
      </c>
      <c r="D1545" s="107">
        <f t="shared" si="264"/>
        <v>26.032858455882355</v>
      </c>
      <c r="E1545" s="167">
        <f t="shared" si="265"/>
        <v>2</v>
      </c>
      <c r="F1545" s="104">
        <f t="shared" si="266"/>
        <v>2.52464736858829</v>
      </c>
      <c r="G1545" s="167">
        <f>RANK(1.41,AE:AE,0)</f>
        <v>618</v>
      </c>
      <c r="H1545" s="365">
        <f t="shared" si="267"/>
        <v>2.7446085746739346</v>
      </c>
      <c r="I1545" s="213">
        <f t="shared" si="268"/>
        <v>298</v>
      </c>
      <c r="J1545" s="213">
        <f t="shared" si="269"/>
        <v>96</v>
      </c>
      <c r="K1545" s="213">
        <f>RANK(3.95,AI:AI,0)</f>
        <v>102</v>
      </c>
      <c r="L1545" s="357">
        <v>0</v>
      </c>
      <c r="M1545" s="357">
        <v>1</v>
      </c>
      <c r="N1545" s="357">
        <v>0</v>
      </c>
      <c r="O1545" s="357">
        <v>1</v>
      </c>
      <c r="P1545" s="357">
        <v>0</v>
      </c>
      <c r="Q1545" s="358">
        <v>0.25360230547550433</v>
      </c>
      <c r="R1545" s="359">
        <v>0.27897435897435896</v>
      </c>
      <c r="S1545" s="196">
        <v>7269843000</v>
      </c>
      <c r="T1545" s="196">
        <v>631800000</v>
      </c>
      <c r="U1545" s="200">
        <f t="shared" si="270"/>
        <v>18353790000</v>
      </c>
      <c r="V1545" s="196">
        <v>238000000</v>
      </c>
      <c r="W1545" s="196">
        <v>6082000000</v>
      </c>
      <c r="X1545" s="196">
        <v>3511000000</v>
      </c>
      <c r="Y1545" s="196">
        <v>8813000000</v>
      </c>
      <c r="Z1545" s="196">
        <v>719000000</v>
      </c>
      <c r="AA1545" s="198">
        <v>0.02</v>
      </c>
      <c r="AB1545" s="198">
        <v>0.02</v>
      </c>
      <c r="AC1545" s="213">
        <f t="shared" si="271"/>
        <v>616</v>
      </c>
      <c r="AD1545" s="213">
        <f t="shared" si="272"/>
        <v>487</v>
      </c>
      <c r="AE1545" s="213">
        <v>1.41</v>
      </c>
      <c r="AF1545" s="196">
        <v>1048000000</v>
      </c>
      <c r="AG1545" s="104">
        <f t="shared" si="273"/>
        <v>1.6587527698638809</v>
      </c>
      <c r="AH1545" s="104">
        <f t="shared" si="274"/>
        <v>4.4033613445378155</v>
      </c>
      <c r="AI1545" s="195">
        <v>3.95</v>
      </c>
    </row>
    <row r="1546" spans="1:48" s="213" customFormat="1">
      <c r="A1546" s="213">
        <v>9941</v>
      </c>
      <c r="B1546" s="106"/>
      <c r="C1546" s="107">
        <f>VLOOKUP(9941,收盤價!$A:$C,3,0)</f>
        <v>72.400000000000006</v>
      </c>
      <c r="D1546" s="107">
        <f t="shared" si="264"/>
        <v>12.569444444444446</v>
      </c>
      <c r="E1546" s="167">
        <f t="shared" si="265"/>
        <v>1</v>
      </c>
      <c r="F1546" s="104">
        <f t="shared" si="266"/>
        <v>1.1257896162637024</v>
      </c>
      <c r="G1546" s="167">
        <f>RANK(0.84,AE:AE,0)</f>
        <v>946</v>
      </c>
      <c r="H1546" s="365">
        <f t="shared" si="267"/>
        <v>3.4388971684053651</v>
      </c>
      <c r="I1546" s="213">
        <f t="shared" si="268"/>
        <v>1540</v>
      </c>
      <c r="J1546" s="213">
        <f t="shared" si="269"/>
        <v>768</v>
      </c>
      <c r="K1546" s="213">
        <f>RANK(0.68,AI:AI,0)</f>
        <v>1507</v>
      </c>
      <c r="L1546" s="357">
        <v>0</v>
      </c>
      <c r="M1546" s="357">
        <v>0</v>
      </c>
      <c r="N1546" s="357">
        <v>0</v>
      </c>
      <c r="O1546" s="357">
        <v>0</v>
      </c>
      <c r="P1546" s="357">
        <v>1</v>
      </c>
      <c r="Q1546" s="358">
        <v>0.41246020918599363</v>
      </c>
      <c r="R1546" s="359">
        <v>1.44</v>
      </c>
      <c r="S1546" s="196">
        <v>17260916000</v>
      </c>
      <c r="T1546" s="196">
        <v>268400000</v>
      </c>
      <c r="U1546" s="200">
        <f t="shared" si="270"/>
        <v>19432160000</v>
      </c>
      <c r="V1546" s="196">
        <v>0</v>
      </c>
      <c r="W1546" s="196">
        <v>0</v>
      </c>
      <c r="X1546" s="196">
        <v>15827000000</v>
      </c>
      <c r="Y1546" s="196">
        <v>10896000000</v>
      </c>
      <c r="Z1546" s="196">
        <v>78969000000</v>
      </c>
      <c r="AA1546" s="198">
        <v>0</v>
      </c>
      <c r="AB1546" s="198">
        <v>0</v>
      </c>
      <c r="AC1546" s="213">
        <f t="shared" si="271"/>
        <v>945</v>
      </c>
      <c r="AD1546" s="213">
        <f t="shared" si="272"/>
        <v>911</v>
      </c>
      <c r="AE1546" s="213">
        <v>0.84</v>
      </c>
      <c r="AF1546" s="196">
        <v>-923000000</v>
      </c>
      <c r="AG1546" s="104">
        <f t="shared" si="273"/>
        <v>-3.4388971684053651</v>
      </c>
      <c r="AH1546" s="104">
        <f t="shared" si="274"/>
        <v>0</v>
      </c>
      <c r="AI1546" s="195">
        <v>0.68</v>
      </c>
    </row>
    <row r="1547" spans="1:48" s="213" customFormat="1">
      <c r="A1547" s="213">
        <v>9942</v>
      </c>
      <c r="B1547" s="106"/>
      <c r="C1547" s="107">
        <f>VLOOKUP(9942,收盤價!$A:$C,3,0)</f>
        <v>83.3</v>
      </c>
      <c r="D1547" s="107">
        <f t="shared" si="264"/>
        <v>13.356804238706079</v>
      </c>
      <c r="E1547" s="167">
        <f t="shared" si="265"/>
        <v>5</v>
      </c>
      <c r="F1547" s="104">
        <f t="shared" si="266"/>
        <v>2.4337557472202822</v>
      </c>
      <c r="G1547" s="167">
        <f>RANK(6.55,AE:AE,0)</f>
        <v>122</v>
      </c>
      <c r="H1547" s="365">
        <f t="shared" si="267"/>
        <v>-0.88090034965034958</v>
      </c>
      <c r="I1547" s="213">
        <f t="shared" si="268"/>
        <v>293</v>
      </c>
      <c r="J1547" s="213">
        <f t="shared" si="269"/>
        <v>600</v>
      </c>
      <c r="K1547" s="213">
        <f>RANK(1.74,AI:AI,0)</f>
        <v>441</v>
      </c>
      <c r="L1547" s="357">
        <v>1</v>
      </c>
      <c r="M1547" s="357">
        <v>1</v>
      </c>
      <c r="N1547" s="357">
        <v>2</v>
      </c>
      <c r="O1547" s="357">
        <v>1</v>
      </c>
      <c r="P1547" s="357">
        <v>0</v>
      </c>
      <c r="Q1547" s="358">
        <v>0.37645536869340235</v>
      </c>
      <c r="R1547" s="359">
        <v>1.5591304347826087</v>
      </c>
      <c r="S1547" s="196">
        <v>2847681000</v>
      </c>
      <c r="T1547" s="196">
        <v>83200000</v>
      </c>
      <c r="U1547" s="200">
        <f t="shared" si="270"/>
        <v>6930560000</v>
      </c>
      <c r="V1547" s="196">
        <v>176000000</v>
      </c>
      <c r="W1547" s="196">
        <v>1608000000</v>
      </c>
      <c r="X1547" s="196">
        <v>1186000000</v>
      </c>
      <c r="Y1547" s="196">
        <v>2582000000</v>
      </c>
      <c r="Z1547" s="196">
        <v>63000000</v>
      </c>
      <c r="AA1547" s="198">
        <v>0.06</v>
      </c>
      <c r="AB1547" s="198">
        <v>7.0000000000000007E-2</v>
      </c>
      <c r="AC1547" s="213">
        <f t="shared" si="271"/>
        <v>174</v>
      </c>
      <c r="AD1547" s="213">
        <f t="shared" si="272"/>
        <v>64</v>
      </c>
      <c r="AE1547" s="213">
        <v>6.55</v>
      </c>
      <c r="AF1547" s="196">
        <v>139000000</v>
      </c>
      <c r="AG1547" s="104">
        <f t="shared" si="273"/>
        <v>1.6706730769230769</v>
      </c>
      <c r="AH1547" s="104">
        <f t="shared" si="274"/>
        <v>0.78977272727272729</v>
      </c>
      <c r="AI1547" s="195">
        <v>1.74</v>
      </c>
    </row>
    <row r="1548" spans="1:48" s="213" customFormat="1">
      <c r="A1548" s="213">
        <v>9943</v>
      </c>
      <c r="B1548" s="106"/>
      <c r="C1548" s="107">
        <f>VLOOKUP(9943,收盤價!$A:$C,3,0)</f>
        <v>49</v>
      </c>
      <c r="D1548" s="107">
        <f t="shared" si="264"/>
        <v>16.610397452788753</v>
      </c>
      <c r="E1548" s="167">
        <f t="shared" si="265"/>
        <v>1</v>
      </c>
      <c r="F1548" s="104">
        <f t="shared" si="266"/>
        <v>2.4384335808355075</v>
      </c>
      <c r="G1548" s="167">
        <f>RANK(5.25,AE:AE,0)</f>
        <v>164</v>
      </c>
      <c r="H1548" s="365">
        <f t="shared" si="267"/>
        <v>0.11147904487001026</v>
      </c>
      <c r="I1548" s="213">
        <f t="shared" si="268"/>
        <v>252</v>
      </c>
      <c r="J1548" s="213">
        <f t="shared" si="269"/>
        <v>269</v>
      </c>
      <c r="K1548" s="213">
        <f>RANK(2.99,AI:AI,0)</f>
        <v>168</v>
      </c>
      <c r="L1548" s="357">
        <v>0</v>
      </c>
      <c r="M1548" s="357">
        <v>0</v>
      </c>
      <c r="N1548" s="357">
        <v>0</v>
      </c>
      <c r="O1548" s="357">
        <v>1</v>
      </c>
      <c r="P1548" s="357">
        <v>0</v>
      </c>
      <c r="Q1548" s="358">
        <v>0.57103064066852371</v>
      </c>
      <c r="R1548" s="359">
        <v>0.73748987854251025</v>
      </c>
      <c r="S1548" s="196">
        <v>2959974000</v>
      </c>
      <c r="T1548" s="196">
        <v>147300000</v>
      </c>
      <c r="U1548" s="200">
        <f t="shared" si="270"/>
        <v>7217700000</v>
      </c>
      <c r="V1548" s="196">
        <v>139000000</v>
      </c>
      <c r="W1548" s="196">
        <v>753000000</v>
      </c>
      <c r="X1548" s="196">
        <v>761000000</v>
      </c>
      <c r="Y1548" s="196">
        <v>3501000000</v>
      </c>
      <c r="Z1548" s="196">
        <v>65000000</v>
      </c>
      <c r="AA1548" s="198">
        <v>0.09</v>
      </c>
      <c r="AB1548" s="198">
        <v>0.04</v>
      </c>
      <c r="AC1548" s="213">
        <f t="shared" si="271"/>
        <v>69</v>
      </c>
      <c r="AD1548" s="213">
        <f t="shared" si="272"/>
        <v>228</v>
      </c>
      <c r="AE1548" s="213">
        <v>5.25</v>
      </c>
      <c r="AF1548" s="196">
        <v>275000000</v>
      </c>
      <c r="AG1548" s="104">
        <f t="shared" si="273"/>
        <v>1.86693822131704</v>
      </c>
      <c r="AH1548" s="104">
        <f t="shared" si="274"/>
        <v>1.9784172661870503</v>
      </c>
      <c r="AI1548" s="195">
        <v>2.99</v>
      </c>
    </row>
    <row r="1549" spans="1:48" s="213" customFormat="1">
      <c r="A1549" s="213">
        <v>9944</v>
      </c>
      <c r="B1549" s="106"/>
      <c r="C1549" s="107">
        <f>VLOOKUP(9944,收盤價!$A:$C,3,0)</f>
        <v>22.95</v>
      </c>
      <c r="D1549" s="107">
        <f t="shared" si="264"/>
        <v>13.99390243902439</v>
      </c>
      <c r="E1549" s="167">
        <f t="shared" si="265"/>
        <v>3</v>
      </c>
      <c r="F1549" s="104">
        <f t="shared" si="266"/>
        <v>0.67160449917036691</v>
      </c>
      <c r="G1549" s="167">
        <f>RANK(0.84,AE:AE,0)</f>
        <v>946</v>
      </c>
      <c r="H1549" s="365">
        <f t="shared" si="267"/>
        <v>-0.99908340971585696</v>
      </c>
      <c r="I1549" s="213">
        <f t="shared" si="268"/>
        <v>513</v>
      </c>
      <c r="J1549" s="213">
        <f t="shared" si="269"/>
        <v>768</v>
      </c>
      <c r="K1549" s="213">
        <f>RANK(1.22,AI:AI,0)</f>
        <v>726</v>
      </c>
      <c r="L1549" s="357">
        <v>1</v>
      </c>
      <c r="M1549" s="357">
        <v>1</v>
      </c>
      <c r="N1549" s="357">
        <v>1</v>
      </c>
      <c r="O1549" s="357">
        <v>0</v>
      </c>
      <c r="P1549" s="357">
        <v>0</v>
      </c>
      <c r="Q1549" s="358">
        <v>0.2696629213483146</v>
      </c>
      <c r="R1549" s="359">
        <v>0.41</v>
      </c>
      <c r="S1549" s="196">
        <v>3728154000</v>
      </c>
      <c r="T1549" s="196">
        <v>109100000</v>
      </c>
      <c r="U1549" s="200">
        <f t="shared" si="270"/>
        <v>2503845000</v>
      </c>
      <c r="V1549" s="196">
        <v>0</v>
      </c>
      <c r="W1549" s="196">
        <v>446000000</v>
      </c>
      <c r="X1549" s="196">
        <v>2338000000</v>
      </c>
      <c r="Y1549" s="196">
        <v>3120000000</v>
      </c>
      <c r="Z1549" s="196">
        <v>1364000000</v>
      </c>
      <c r="AA1549" s="198">
        <v>0</v>
      </c>
      <c r="AB1549" s="198">
        <v>0</v>
      </c>
      <c r="AC1549" s="213">
        <f t="shared" si="271"/>
        <v>945</v>
      </c>
      <c r="AD1549" s="213">
        <f t="shared" si="272"/>
        <v>911</v>
      </c>
      <c r="AE1549" s="213">
        <v>0.84</v>
      </c>
      <c r="AF1549" s="196">
        <v>109000000</v>
      </c>
      <c r="AG1549" s="104">
        <f t="shared" si="273"/>
        <v>0.99908340971585696</v>
      </c>
      <c r="AH1549" s="104">
        <f t="shared" si="274"/>
        <v>0</v>
      </c>
      <c r="AI1549" s="195">
        <v>1.22</v>
      </c>
    </row>
    <row r="1550" spans="1:48" s="213" customFormat="1">
      <c r="A1550" s="213">
        <v>9945</v>
      </c>
      <c r="B1550" s="106"/>
      <c r="C1550" s="107">
        <f>VLOOKUP(9945,收盤價!$A:$C,3,0)</f>
        <v>36.6</v>
      </c>
      <c r="D1550" s="107">
        <f t="shared" si="264"/>
        <v>63.814377682403432</v>
      </c>
      <c r="E1550" s="167">
        <f t="shared" si="265"/>
        <v>2</v>
      </c>
      <c r="F1550" s="104">
        <f t="shared" si="266"/>
        <v>3.3667421192058575</v>
      </c>
      <c r="G1550" s="167">
        <f>RANK(1.2,AE:AE,0)</f>
        <v>710</v>
      </c>
      <c r="H1550" s="365">
        <f t="shared" si="267"/>
        <v>0.2612315200229654</v>
      </c>
      <c r="I1550" s="213">
        <f t="shared" si="268"/>
        <v>1252</v>
      </c>
      <c r="J1550" s="213">
        <f t="shared" si="269"/>
        <v>768</v>
      </c>
      <c r="K1550" s="213">
        <f>RANK(0.77,AI:AI,0)</f>
        <v>1243</v>
      </c>
      <c r="L1550" s="357">
        <v>0</v>
      </c>
      <c r="M1550" s="357">
        <v>0</v>
      </c>
      <c r="N1550" s="357">
        <v>2</v>
      </c>
      <c r="O1550" s="357">
        <v>0</v>
      </c>
      <c r="P1550" s="357">
        <v>0</v>
      </c>
      <c r="Q1550" s="358">
        <v>0.18237971391417426</v>
      </c>
      <c r="R1550" s="359">
        <v>0.14338461538461539</v>
      </c>
      <c r="S1550" s="196">
        <v>15147712000</v>
      </c>
      <c r="T1550" s="196">
        <v>1393400000</v>
      </c>
      <c r="U1550" s="200">
        <f t="shared" si="270"/>
        <v>50998440000</v>
      </c>
      <c r="V1550" s="196">
        <v>300000000</v>
      </c>
      <c r="W1550" s="196">
        <v>10471000000</v>
      </c>
      <c r="X1550" s="196">
        <v>4164000000</v>
      </c>
      <c r="Y1550" s="196">
        <v>36625000000</v>
      </c>
      <c r="Z1550" s="196">
        <v>11923000000</v>
      </c>
      <c r="AA1550" s="198">
        <v>0.02</v>
      </c>
      <c r="AB1550" s="198">
        <v>0.01</v>
      </c>
      <c r="AC1550" s="213">
        <f t="shared" si="271"/>
        <v>616</v>
      </c>
      <c r="AD1550" s="213">
        <f t="shared" si="272"/>
        <v>680</v>
      </c>
      <c r="AE1550" s="213">
        <v>1.2</v>
      </c>
      <c r="AF1550" s="196">
        <v>-364000000</v>
      </c>
      <c r="AG1550" s="104">
        <f t="shared" si="273"/>
        <v>-0.2612315200229654</v>
      </c>
      <c r="AH1550" s="104">
        <f t="shared" si="274"/>
        <v>0</v>
      </c>
      <c r="AI1550" s="195">
        <v>0.77</v>
      </c>
    </row>
    <row r="1551" spans="1:48" s="213" customFormat="1">
      <c r="A1551" s="213">
        <v>9946</v>
      </c>
      <c r="B1551" s="106"/>
      <c r="C1551" s="107">
        <f>VLOOKUP(9946,收盤價!$A:$C,3,0)</f>
        <v>11.75</v>
      </c>
      <c r="D1551" s="107">
        <f t="shared" si="264"/>
        <v>8.2130537400145247</v>
      </c>
      <c r="E1551" s="167">
        <f t="shared" si="265"/>
        <v>1</v>
      </c>
      <c r="F1551" s="104">
        <f t="shared" si="266"/>
        <v>0.55702538609035934</v>
      </c>
      <c r="G1551" s="167">
        <f>RANK(1.63,AE:AE,0)</f>
        <v>551</v>
      </c>
      <c r="H1551" s="365">
        <f t="shared" si="267"/>
        <v>1.5669464378833404</v>
      </c>
      <c r="I1551" s="213">
        <f t="shared" si="268"/>
        <v>194</v>
      </c>
      <c r="J1551" s="213">
        <f t="shared" si="269"/>
        <v>117</v>
      </c>
      <c r="K1551" s="213">
        <f>RANK(5.01,AI:AI,0)</f>
        <v>65</v>
      </c>
      <c r="L1551" s="357">
        <v>0</v>
      </c>
      <c r="M1551" s="357">
        <v>0</v>
      </c>
      <c r="N1551" s="357">
        <v>1</v>
      </c>
      <c r="O1551" s="357">
        <v>0</v>
      </c>
      <c r="P1551" s="357">
        <v>0</v>
      </c>
      <c r="Q1551" s="358">
        <v>0.24676850763807284</v>
      </c>
      <c r="R1551" s="359">
        <v>0.35766233766233768</v>
      </c>
      <c r="S1551" s="196">
        <v>5516131000</v>
      </c>
      <c r="T1551" s="196">
        <v>261500000</v>
      </c>
      <c r="U1551" s="200">
        <f t="shared" si="270"/>
        <v>3072625000</v>
      </c>
      <c r="V1551" s="196">
        <v>154000000</v>
      </c>
      <c r="W1551" s="196">
        <v>5648000000</v>
      </c>
      <c r="X1551" s="196">
        <v>133000000</v>
      </c>
      <c r="Y1551" s="196">
        <v>4605000000</v>
      </c>
      <c r="Z1551" s="196">
        <v>3156000000</v>
      </c>
      <c r="AA1551" s="198">
        <v>0.03</v>
      </c>
      <c r="AB1551" s="198">
        <v>0.02</v>
      </c>
      <c r="AC1551" s="213">
        <f t="shared" si="271"/>
        <v>469</v>
      </c>
      <c r="AD1551" s="213">
        <f t="shared" si="272"/>
        <v>487</v>
      </c>
      <c r="AE1551" s="213">
        <v>1.63</v>
      </c>
      <c r="AF1551" s="196">
        <v>587000000</v>
      </c>
      <c r="AG1551" s="104">
        <f t="shared" si="273"/>
        <v>2.2447418738049714</v>
      </c>
      <c r="AH1551" s="104">
        <f t="shared" si="274"/>
        <v>3.8116883116883118</v>
      </c>
      <c r="AI1551" s="195">
        <v>5.01</v>
      </c>
    </row>
    <row r="1552" spans="1:48" s="213" customFormat="1">
      <c r="A1552" s="213">
        <v>9949</v>
      </c>
      <c r="B1552" s="106"/>
      <c r="C1552" s="107">
        <f>VLOOKUP(9949,收盤價!$A:$C,3,0)</f>
        <v>12.25</v>
      </c>
      <c r="D1552" s="107">
        <f t="shared" si="264"/>
        <v>0</v>
      </c>
      <c r="E1552" s="167">
        <f t="shared" si="265"/>
        <v>2</v>
      </c>
      <c r="F1552" s="104">
        <f t="shared" si="266"/>
        <v>1.647094162578135</v>
      </c>
      <c r="G1552" s="167">
        <f>RANK(0.61,AE:AE,0)</f>
        <v>1295</v>
      </c>
      <c r="H1552" s="365">
        <f t="shared" si="267"/>
        <v>2.1276595744680851E-2</v>
      </c>
      <c r="I1552" s="213">
        <f t="shared" si="268"/>
        <v>1084</v>
      </c>
      <c r="J1552" s="213">
        <f t="shared" si="269"/>
        <v>768</v>
      </c>
      <c r="K1552" s="213">
        <f>RANK(0.84,AI:AI,0)</f>
        <v>1076</v>
      </c>
      <c r="L1552" s="357">
        <v>1</v>
      </c>
      <c r="M1552" s="357">
        <v>1</v>
      </c>
      <c r="N1552" s="357">
        <v>0</v>
      </c>
      <c r="O1552" s="357">
        <v>0</v>
      </c>
      <c r="P1552" s="357">
        <v>0</v>
      </c>
      <c r="Q1552" s="358">
        <v>0.7567567567567568</v>
      </c>
      <c r="R1552" s="359">
        <v>0</v>
      </c>
      <c r="S1552" s="196">
        <v>349555000</v>
      </c>
      <c r="T1552" s="196">
        <v>47000000</v>
      </c>
      <c r="U1552" s="200">
        <f t="shared" si="270"/>
        <v>575750000</v>
      </c>
      <c r="V1552" s="196">
        <v>-9000000</v>
      </c>
      <c r="W1552" s="196">
        <v>424000000</v>
      </c>
      <c r="X1552" s="196">
        <v>197000000</v>
      </c>
      <c r="Y1552" s="196">
        <v>635000000</v>
      </c>
      <c r="Z1552" s="196">
        <v>30000000</v>
      </c>
      <c r="AA1552" s="198">
        <v>-0.01</v>
      </c>
      <c r="AB1552" s="198">
        <v>-0.01</v>
      </c>
      <c r="AC1552" s="213">
        <f t="shared" si="271"/>
        <v>1277</v>
      </c>
      <c r="AD1552" s="213">
        <f t="shared" si="272"/>
        <v>1294</v>
      </c>
      <c r="AE1552" s="213">
        <v>0.61</v>
      </c>
      <c r="AF1552" s="196">
        <v>-1000000</v>
      </c>
      <c r="AG1552" s="104">
        <f t="shared" si="273"/>
        <v>-2.1276595744680851E-2</v>
      </c>
      <c r="AH1552" s="104">
        <f t="shared" si="274"/>
        <v>0</v>
      </c>
      <c r="AI1552" s="195">
        <v>0.84</v>
      </c>
    </row>
    <row r="1553" spans="1:35" s="213" customFormat="1">
      <c r="A1553" s="213">
        <v>9950</v>
      </c>
      <c r="B1553" s="106"/>
      <c r="C1553" s="107">
        <f>VLOOKUP(9950,收盤價!$A:$C,3,0)</f>
        <v>16.7</v>
      </c>
      <c r="D1553" s="107">
        <f t="shared" si="264"/>
        <v>27.46710526315789</v>
      </c>
      <c r="E1553" s="167">
        <f t="shared" si="265"/>
        <v>3</v>
      </c>
      <c r="F1553" s="104">
        <f t="shared" si="266"/>
        <v>0.32448709507388018</v>
      </c>
      <c r="G1553" s="167">
        <f>RANK(1.08,AE:AE,0)</f>
        <v>769</v>
      </c>
      <c r="H1553" s="365">
        <f t="shared" si="267"/>
        <v>1.8489503328213004</v>
      </c>
      <c r="I1553" s="213">
        <f t="shared" si="268"/>
        <v>648</v>
      </c>
      <c r="J1553" s="213">
        <f t="shared" si="269"/>
        <v>186</v>
      </c>
      <c r="K1553" s="213">
        <f>RANK(1.87,AI:AI,0)</f>
        <v>393</v>
      </c>
      <c r="L1553" s="357">
        <v>0</v>
      </c>
      <c r="M1553" s="357">
        <v>1</v>
      </c>
      <c r="N1553" s="357">
        <v>1</v>
      </c>
      <c r="O1553" s="357">
        <v>1</v>
      </c>
      <c r="P1553" s="357">
        <v>0</v>
      </c>
      <c r="Q1553" s="358">
        <v>0.17808219178082191</v>
      </c>
      <c r="R1553" s="359">
        <v>0.15200000000000002</v>
      </c>
      <c r="S1553" s="196">
        <v>3350426000</v>
      </c>
      <c r="T1553" s="196">
        <v>65100000</v>
      </c>
      <c r="U1553" s="200">
        <f t="shared" si="270"/>
        <v>1087170000</v>
      </c>
      <c r="V1553" s="196">
        <v>18000000</v>
      </c>
      <c r="W1553" s="196">
        <v>59000000</v>
      </c>
      <c r="X1553" s="196">
        <v>2093000000</v>
      </c>
      <c r="Y1553" s="196">
        <v>1111000000</v>
      </c>
      <c r="Z1553" s="196">
        <v>552000000</v>
      </c>
      <c r="AA1553" s="198">
        <v>0.01</v>
      </c>
      <c r="AB1553" s="198">
        <v>0.01</v>
      </c>
      <c r="AC1553" s="213">
        <f t="shared" si="271"/>
        <v>769</v>
      </c>
      <c r="AD1553" s="213">
        <f t="shared" si="272"/>
        <v>680</v>
      </c>
      <c r="AE1553" s="213">
        <v>1.08</v>
      </c>
      <c r="AF1553" s="196">
        <v>46000000</v>
      </c>
      <c r="AG1553" s="104">
        <f t="shared" si="273"/>
        <v>0.70660522273425497</v>
      </c>
      <c r="AH1553" s="104">
        <f t="shared" si="274"/>
        <v>2.5555555555555554</v>
      </c>
      <c r="AI1553" s="195">
        <v>1.87</v>
      </c>
    </row>
    <row r="1554" spans="1:35" s="213" customFormat="1">
      <c r="A1554" s="213">
        <v>9951</v>
      </c>
      <c r="B1554" s="106"/>
      <c r="C1554" s="107">
        <f>VLOOKUP(9951,收盤價!$A:$C,3,0)</f>
        <v>189</v>
      </c>
      <c r="D1554" s="107">
        <f t="shared" si="264"/>
        <v>19.601638123603873</v>
      </c>
      <c r="E1554" s="167">
        <f t="shared" si="265"/>
        <v>1</v>
      </c>
      <c r="F1554" s="104">
        <f t="shared" si="266"/>
        <v>3.4039527508918601</v>
      </c>
      <c r="G1554" s="167">
        <f>RANK(20.77,AE:AE,0)</f>
        <v>38</v>
      </c>
      <c r="H1554" s="365">
        <f t="shared" si="267"/>
        <v>-2.3880075394643838</v>
      </c>
      <c r="I1554" s="213">
        <f t="shared" si="268"/>
        <v>91</v>
      </c>
      <c r="J1554" s="213">
        <f t="shared" si="269"/>
        <v>505</v>
      </c>
      <c r="K1554" s="213">
        <f>RANK(2.61,AI:AI,0)</f>
        <v>213</v>
      </c>
      <c r="L1554" s="357">
        <v>0</v>
      </c>
      <c r="M1554" s="357">
        <v>0</v>
      </c>
      <c r="N1554" s="357">
        <v>0</v>
      </c>
      <c r="O1554" s="357">
        <v>1</v>
      </c>
      <c r="P1554" s="357">
        <v>0</v>
      </c>
      <c r="Q1554" s="358">
        <v>0.41458910433979684</v>
      </c>
      <c r="R1554" s="359">
        <v>2.4105128205128206</v>
      </c>
      <c r="S1554" s="196">
        <v>4158724000</v>
      </c>
      <c r="T1554" s="196">
        <v>74900000</v>
      </c>
      <c r="U1554" s="200">
        <f t="shared" si="270"/>
        <v>14156100000</v>
      </c>
      <c r="V1554" s="196">
        <v>238000000</v>
      </c>
      <c r="W1554" s="196">
        <v>1178000000</v>
      </c>
      <c r="X1554" s="196">
        <v>1379000000</v>
      </c>
      <c r="Y1554" s="196">
        <v>1976000000</v>
      </c>
      <c r="Z1554" s="196">
        <v>37000000</v>
      </c>
      <c r="AA1554" s="198">
        <v>0.09</v>
      </c>
      <c r="AB1554" s="198">
        <v>0.12</v>
      </c>
      <c r="AC1554" s="213">
        <f t="shared" si="271"/>
        <v>69</v>
      </c>
      <c r="AD1554" s="213">
        <f t="shared" si="272"/>
        <v>6</v>
      </c>
      <c r="AE1554" s="213">
        <v>20.77</v>
      </c>
      <c r="AF1554" s="196">
        <v>261000000</v>
      </c>
      <c r="AG1554" s="104">
        <f t="shared" si="273"/>
        <v>3.4846461949265688</v>
      </c>
      <c r="AH1554" s="104">
        <f t="shared" si="274"/>
        <v>1.096638655462185</v>
      </c>
      <c r="AI1554" s="195">
        <v>2.61</v>
      </c>
    </row>
    <row r="1555" spans="1:35" s="213" customFormat="1">
      <c r="A1555" s="213">
        <v>9955</v>
      </c>
      <c r="B1555" s="106"/>
      <c r="C1555" s="107">
        <f>VLOOKUP(9955,收盤價!$A:$C,3,0)</f>
        <v>15.45</v>
      </c>
      <c r="D1555" s="107">
        <f t="shared" si="264"/>
        <v>16.09375</v>
      </c>
      <c r="E1555" s="167">
        <f t="shared" si="265"/>
        <v>3</v>
      </c>
      <c r="F1555" s="104">
        <f t="shared" si="266"/>
        <v>0.64953386196936957</v>
      </c>
      <c r="G1555" s="167">
        <f>RANK(1.08,AE:AE,0)</f>
        <v>769</v>
      </c>
      <c r="H1555" s="365">
        <f t="shared" si="267"/>
        <v>0.63297555158020269</v>
      </c>
      <c r="I1555" s="213">
        <f t="shared" si="268"/>
        <v>924</v>
      </c>
      <c r="J1555" s="213">
        <f t="shared" si="269"/>
        <v>579</v>
      </c>
      <c r="K1555" s="213">
        <f>RANK(1.04,AI:AI,0)</f>
        <v>843</v>
      </c>
      <c r="L1555" s="357">
        <v>0</v>
      </c>
      <c r="M1555" s="357">
        <v>1</v>
      </c>
      <c r="N1555" s="357">
        <v>1</v>
      </c>
      <c r="O1555" s="357">
        <v>1</v>
      </c>
      <c r="P1555" s="357">
        <v>0</v>
      </c>
      <c r="Q1555" s="358">
        <v>7.2902338376891335E-2</v>
      </c>
      <c r="R1555" s="359">
        <v>0.24</v>
      </c>
      <c r="S1555" s="196">
        <v>2454745000</v>
      </c>
      <c r="T1555" s="196">
        <v>103200000</v>
      </c>
      <c r="U1555" s="200">
        <f t="shared" si="270"/>
        <v>1594440000</v>
      </c>
      <c r="V1555" s="196">
        <v>26000000</v>
      </c>
      <c r="W1555" s="196">
        <v>837000000</v>
      </c>
      <c r="X1555" s="196">
        <v>2054000000</v>
      </c>
      <c r="Y1555" s="196">
        <v>2224000000</v>
      </c>
      <c r="Z1555" s="196">
        <v>624000000</v>
      </c>
      <c r="AA1555" s="198">
        <v>0.01</v>
      </c>
      <c r="AB1555" s="198">
        <v>0.01</v>
      </c>
      <c r="AC1555" s="213">
        <f t="shared" si="271"/>
        <v>769</v>
      </c>
      <c r="AD1555" s="213">
        <f t="shared" si="272"/>
        <v>680</v>
      </c>
      <c r="AE1555" s="213">
        <v>1.08</v>
      </c>
      <c r="AF1555" s="196">
        <v>22000000</v>
      </c>
      <c r="AG1555" s="104">
        <f t="shared" si="273"/>
        <v>0.2131782945736434</v>
      </c>
      <c r="AH1555" s="104">
        <f t="shared" si="274"/>
        <v>0.84615384615384615</v>
      </c>
      <c r="AI1555" s="195">
        <v>1.04</v>
      </c>
    </row>
    <row r="1556" spans="1:35" s="213" customFormat="1">
      <c r="A1556" s="213">
        <v>9958</v>
      </c>
      <c r="B1556" s="106"/>
      <c r="C1556" s="107">
        <f>VLOOKUP(9958,收盤價!$A:$C,3,0)</f>
        <v>9.99</v>
      </c>
      <c r="D1556" s="107">
        <f t="shared" si="264"/>
        <v>6.9096832397754619</v>
      </c>
      <c r="E1556" s="167">
        <f t="shared" si="265"/>
        <v>1</v>
      </c>
      <c r="F1556" s="104">
        <f t="shared" si="266"/>
        <v>0.64787961696306429</v>
      </c>
      <c r="G1556" s="167">
        <f>RANK(1.64,AE:AE,0)</f>
        <v>539</v>
      </c>
      <c r="H1556" s="365">
        <f t="shared" si="267"/>
        <v>0.25323275862068967</v>
      </c>
      <c r="I1556" s="213">
        <f t="shared" si="268"/>
        <v>1247</v>
      </c>
      <c r="J1556" s="213">
        <f t="shared" si="269"/>
        <v>768</v>
      </c>
      <c r="K1556" s="213">
        <f>RANK(0.77,AI:AI,0)</f>
        <v>1243</v>
      </c>
      <c r="L1556" s="357">
        <v>0</v>
      </c>
      <c r="M1556" s="357">
        <v>1</v>
      </c>
      <c r="N1556" s="357">
        <v>0</v>
      </c>
      <c r="O1556" s="357">
        <v>0</v>
      </c>
      <c r="P1556" s="357">
        <v>0</v>
      </c>
      <c r="Q1556" s="358">
        <v>0.15519765739385066</v>
      </c>
      <c r="R1556" s="359">
        <v>0.3614492753623188</v>
      </c>
      <c r="S1556" s="196">
        <v>2861865000</v>
      </c>
      <c r="T1556" s="196">
        <v>185600000</v>
      </c>
      <c r="U1556" s="200">
        <f t="shared" si="270"/>
        <v>1854144000</v>
      </c>
      <c r="V1556" s="196">
        <v>102000000</v>
      </c>
      <c r="W1556" s="196">
        <v>2168000000</v>
      </c>
      <c r="X1556" s="196">
        <v>2153000000</v>
      </c>
      <c r="Y1556" s="196">
        <v>2528000000</v>
      </c>
      <c r="Z1556" s="196">
        <v>594000000</v>
      </c>
      <c r="AA1556" s="198">
        <v>0.02</v>
      </c>
      <c r="AB1556" s="198">
        <v>0.03</v>
      </c>
      <c r="AC1556" s="213">
        <f t="shared" si="271"/>
        <v>616</v>
      </c>
      <c r="AD1556" s="213">
        <f t="shared" si="272"/>
        <v>334</v>
      </c>
      <c r="AE1556" s="213">
        <v>1.64</v>
      </c>
      <c r="AF1556" s="196">
        <v>-47000000</v>
      </c>
      <c r="AG1556" s="104">
        <f t="shared" si="273"/>
        <v>-0.25323275862068967</v>
      </c>
      <c r="AH1556" s="104">
        <f t="shared" si="274"/>
        <v>0</v>
      </c>
      <c r="AI1556" s="195">
        <v>0.77</v>
      </c>
    </row>
    <row r="1557" spans="1:35" s="213" customFormat="1">
      <c r="A1557" s="213">
        <v>9960</v>
      </c>
      <c r="B1557" s="106"/>
      <c r="C1557" s="107">
        <f>VLOOKUP(9960,收盤價!$A:$C,3,0)</f>
        <v>35.1</v>
      </c>
      <c r="D1557" s="107">
        <f t="shared" si="264"/>
        <v>54.84375</v>
      </c>
      <c r="E1557" s="167">
        <f t="shared" si="265"/>
        <v>4</v>
      </c>
      <c r="F1557" s="104">
        <f t="shared" si="266"/>
        <v>2.6300460730835962</v>
      </c>
      <c r="G1557" s="167">
        <f>RANK(1.41,AE:AE,0)</f>
        <v>618</v>
      </c>
      <c r="H1557" s="365">
        <f t="shared" si="267"/>
        <v>1.3015873015873014</v>
      </c>
      <c r="I1557" s="213">
        <f t="shared" si="268"/>
        <v>755</v>
      </c>
      <c r="J1557" s="213">
        <f t="shared" si="269"/>
        <v>311</v>
      </c>
      <c r="K1557" s="213">
        <f>RANK(1.46,AI:AI,0)</f>
        <v>578</v>
      </c>
      <c r="L1557" s="357">
        <v>0</v>
      </c>
      <c r="M1557" s="357">
        <v>1</v>
      </c>
      <c r="N1557" s="357">
        <v>2</v>
      </c>
      <c r="O1557" s="357">
        <v>1</v>
      </c>
      <c r="P1557" s="357">
        <v>0</v>
      </c>
      <c r="Q1557" s="358">
        <v>0.2975206611570248</v>
      </c>
      <c r="R1557" s="359">
        <v>0.16</v>
      </c>
      <c r="S1557" s="196">
        <v>448418000</v>
      </c>
      <c r="T1557" s="196">
        <v>33600000</v>
      </c>
      <c r="U1557" s="200">
        <f t="shared" si="270"/>
        <v>1179360000</v>
      </c>
      <c r="V1557" s="196">
        <v>9000000</v>
      </c>
      <c r="W1557" s="196">
        <v>448000000</v>
      </c>
      <c r="X1557" s="196">
        <v>5000000</v>
      </c>
      <c r="Y1557" s="196">
        <v>432000000</v>
      </c>
      <c r="Z1557" s="196">
        <v>155000000</v>
      </c>
      <c r="AA1557" s="198">
        <v>0.02</v>
      </c>
      <c r="AB1557" s="198">
        <v>0.02</v>
      </c>
      <c r="AC1557" s="213">
        <f t="shared" si="271"/>
        <v>616</v>
      </c>
      <c r="AD1557" s="213">
        <f t="shared" si="272"/>
        <v>487</v>
      </c>
      <c r="AE1557" s="213">
        <v>1.41</v>
      </c>
      <c r="AF1557" s="196">
        <v>16000000</v>
      </c>
      <c r="AG1557" s="104">
        <f t="shared" si="273"/>
        <v>0.47619047619047616</v>
      </c>
      <c r="AH1557" s="104">
        <f t="shared" si="274"/>
        <v>1.7777777777777777</v>
      </c>
      <c r="AI1557" s="195">
        <v>1.46</v>
      </c>
    </row>
    <row r="1558" spans="1:35" s="213" customFormat="1" ht="16.149999999999999" customHeight="1">
      <c r="A1558" s="213">
        <v>9962</v>
      </c>
      <c r="B1558" s="106"/>
      <c r="C1558" s="107">
        <f>VLOOKUP(9962,收盤價!$A:$C,3,0)</f>
        <v>9.68</v>
      </c>
      <c r="D1558" s="107">
        <f t="shared" si="264"/>
        <v>11.523809523809524</v>
      </c>
      <c r="E1558" s="167">
        <f t="shared" si="265"/>
        <v>3</v>
      </c>
      <c r="F1558" s="104">
        <f t="shared" si="266"/>
        <v>0.50267938771327447</v>
      </c>
      <c r="G1558" s="167">
        <f>RANK(1.41,AE:AE,0)</f>
        <v>618</v>
      </c>
      <c r="H1558" s="365">
        <f t="shared" si="267"/>
        <v>0.50997782705099781</v>
      </c>
      <c r="I1558" s="213">
        <f t="shared" si="268"/>
        <v>1347</v>
      </c>
      <c r="J1558" s="213">
        <f t="shared" si="269"/>
        <v>768</v>
      </c>
      <c r="K1558" s="213">
        <f>RANK(0.74,AI:AI,0)</f>
        <v>1324</v>
      </c>
      <c r="L1558" s="357">
        <v>0</v>
      </c>
      <c r="M1558" s="357">
        <v>1</v>
      </c>
      <c r="N1558" s="357">
        <v>2</v>
      </c>
      <c r="O1558" s="357">
        <v>0</v>
      </c>
      <c r="P1558" s="357">
        <v>0</v>
      </c>
      <c r="Q1558" s="358">
        <v>6.7137809187279157E-2</v>
      </c>
      <c r="R1558" s="359">
        <v>0.21</v>
      </c>
      <c r="S1558" s="196">
        <v>1736964000</v>
      </c>
      <c r="T1558" s="196">
        <v>90200000</v>
      </c>
      <c r="U1558" s="200">
        <f t="shared" si="270"/>
        <v>873136000</v>
      </c>
      <c r="V1558" s="196">
        <v>22000000</v>
      </c>
      <c r="W1558" s="196">
        <v>643000000</v>
      </c>
      <c r="X1558" s="196">
        <v>273000000</v>
      </c>
      <c r="Y1558" s="196">
        <v>943000000</v>
      </c>
      <c r="Z1558" s="196">
        <v>166000000</v>
      </c>
      <c r="AA1558" s="198">
        <v>0.02</v>
      </c>
      <c r="AB1558" s="198">
        <v>0.02</v>
      </c>
      <c r="AC1558" s="213">
        <f t="shared" si="271"/>
        <v>616</v>
      </c>
      <c r="AD1558" s="213">
        <f t="shared" si="272"/>
        <v>487</v>
      </c>
      <c r="AE1558" s="213">
        <v>1.41</v>
      </c>
      <c r="AF1558" s="196">
        <v>-46000000</v>
      </c>
      <c r="AG1558" s="104">
        <f t="shared" si="273"/>
        <v>-0.50997782705099781</v>
      </c>
      <c r="AH1558" s="104">
        <f t="shared" si="274"/>
        <v>0</v>
      </c>
      <c r="AI1558" s="195">
        <v>0.74</v>
      </c>
    </row>
    <row r="1559" spans="1:35">
      <c r="U1559" s="200"/>
    </row>
    <row r="1560" spans="1:35">
      <c r="U1560" s="200"/>
    </row>
    <row r="1561" spans="1:35">
      <c r="U1561" s="200"/>
    </row>
    <row r="1562" spans="1:35">
      <c r="U1562" s="200"/>
    </row>
    <row r="1563" spans="1:35">
      <c r="U1563" s="200"/>
    </row>
    <row r="1564" spans="1:35">
      <c r="U1564" s="200"/>
    </row>
  </sheetData>
  <autoFilter ref="A1:AV1564"/>
  <sortState ref="A29:AV1564">
    <sortCondition descending="1" ref="E2:E2000"/>
  </sortState>
  <phoneticPr fontId="2" type="noConversion"/>
  <pageMargins left="0.7" right="0.7" top="0.75" bottom="0.75" header="0.3" footer="0.3"/>
  <pageSetup paperSize="9" orientation="portrait" r:id="rId1"/>
  <legacyDrawing r:id="rId2"/>
  <controls>
    <control shapeId="60428" r:id="rId3" name="CommandButton2"/>
    <control shapeId="60426" r:id="rId4" name="CommandButton5"/>
    <control shapeId="60417" r:id="rId5" name="CommandButton1"/>
    <control shapeId="60421" r:id="rId6" name="CommandButton3"/>
    <control shapeId="60423" r:id="rId7" name="CommandButton4"/>
    <control shapeId="60427" r:id="rId8" name="CommandButton7"/>
  </controls>
</worksheet>
</file>

<file path=xl/worksheets/sheet3.xml><?xml version="1.0" encoding="utf-8"?>
<worksheet xmlns="http://schemas.openxmlformats.org/spreadsheetml/2006/main" xmlns:r="http://schemas.openxmlformats.org/officeDocument/2006/relationships">
  <sheetPr codeName="B紅綠燈">
    <pageSetUpPr fitToPage="1"/>
  </sheetPr>
  <dimension ref="A1:AIJ266"/>
  <sheetViews>
    <sheetView tabSelected="1" zoomScale="70" zoomScaleNormal="70" workbookViewId="0">
      <pane xSplit="11" ySplit="1" topLeftCell="L2" activePane="bottomRight" state="frozen"/>
      <selection activeCell="G32" sqref="G32"/>
      <selection pane="topRight" activeCell="G32" sqref="G32"/>
      <selection pane="bottomLeft" activeCell="G32" sqref="G32"/>
      <selection pane="bottomRight" activeCell="B1" sqref="B1"/>
    </sheetView>
  </sheetViews>
  <sheetFormatPr defaultRowHeight="16.5"/>
  <cols>
    <col min="1" max="1" width="10.625" style="1" customWidth="1"/>
    <col min="2" max="2" width="58.125" style="1" customWidth="1"/>
    <col min="3" max="3" width="8.625" style="1" customWidth="1"/>
    <col min="4" max="4" width="0.25" style="1" hidden="1" customWidth="1"/>
    <col min="5" max="5" width="8.625" style="1" customWidth="1"/>
    <col min="6" max="9" width="14.625" style="1" customWidth="1"/>
    <col min="10" max="10" width="8.625" style="1" customWidth="1"/>
    <col min="11" max="13" width="0.375" style="1" customWidth="1"/>
    <col min="14" max="14" width="24.625" hidden="1" customWidth="1"/>
    <col min="15" max="22" width="7.625" customWidth="1"/>
    <col min="23" max="26" width="0.125" customWidth="1"/>
    <col min="27" max="27" width="0.125" style="36" customWidth="1"/>
    <col min="28" max="28" width="22.875" customWidth="1"/>
    <col min="29" max="30" width="20.875" customWidth="1"/>
    <col min="31" max="31" width="10.875" customWidth="1"/>
    <col min="32" max="32" width="18" customWidth="1"/>
    <col min="33" max="33" width="12.375" bestFit="1" customWidth="1"/>
    <col min="34" max="34" width="9" customWidth="1"/>
    <col min="35" max="35" width="11.625" bestFit="1" customWidth="1"/>
    <col min="36" max="37" width="11.875" bestFit="1" customWidth="1"/>
    <col min="38" max="38" width="10.75" bestFit="1" customWidth="1"/>
    <col min="39" max="39" width="48.5" bestFit="1" customWidth="1"/>
    <col min="40" max="40" width="15.375" bestFit="1" customWidth="1"/>
  </cols>
  <sheetData>
    <row r="1" spans="1:39" s="103" customFormat="1" ht="27.95" customHeight="1" thickBot="1">
      <c r="A1" s="344" t="s">
        <v>3234</v>
      </c>
      <c r="B1" s="131" t="s">
        <v>3250</v>
      </c>
      <c r="C1" s="138">
        <v>11</v>
      </c>
      <c r="D1" s="6"/>
      <c r="E1" s="124"/>
      <c r="F1" s="125"/>
      <c r="G1" s="125"/>
      <c r="H1" s="125"/>
      <c r="I1" s="125"/>
      <c r="J1" s="126"/>
      <c r="K1" s="6"/>
      <c r="L1" s="6"/>
      <c r="M1" s="6"/>
      <c r="N1" s="112" t="s">
        <v>1826</v>
      </c>
      <c r="O1" s="278">
        <v>0</v>
      </c>
      <c r="P1" s="279">
        <v>1</v>
      </c>
      <c r="Q1" s="279">
        <v>2</v>
      </c>
      <c r="R1" s="279">
        <v>0</v>
      </c>
      <c r="S1" s="279">
        <v>0</v>
      </c>
      <c r="T1" s="280" t="str">
        <f>"    合計     " &amp; SUM(O1:S1) &amp; " 分    "</f>
        <v xml:space="preserve">    合計     3 分    </v>
      </c>
      <c r="U1" s="280"/>
      <c r="V1" s="280"/>
      <c r="W1" s="129"/>
      <c r="X1" s="130"/>
      <c r="Y1" s="90">
        <f>SUM(Y6:Y20)</f>
        <v>0</v>
      </c>
      <c r="Z1" s="6"/>
      <c r="AA1" s="6"/>
      <c r="AB1" s="369"/>
      <c r="AC1" s="370" t="s">
        <v>1829</v>
      </c>
      <c r="AD1" s="371">
        <f ca="1">TODAY()</f>
        <v>42668</v>
      </c>
      <c r="AF1" s="459" t="s">
        <v>3253</v>
      </c>
      <c r="AG1" s="456" t="s">
        <v>3028</v>
      </c>
      <c r="AH1" s="457"/>
      <c r="AI1" s="457"/>
      <c r="AJ1" s="458"/>
      <c r="AK1" s="334">
        <f>ROUND(AD2/1000,0)</f>
        <v>2575</v>
      </c>
      <c r="AL1" s="335">
        <f>((P71+P72+P73)-(P83+P84+P85))/(P83+P84+P85)</f>
        <v>-1.7682772143520646E-2</v>
      </c>
      <c r="AM1" s="455"/>
    </row>
    <row r="2" spans="1:39" ht="24" customHeight="1" thickBot="1">
      <c r="A2" s="27"/>
      <c r="B2" s="83" t="s">
        <v>1832</v>
      </c>
      <c r="C2" s="28"/>
      <c r="D2" s="6"/>
      <c r="E2" s="28"/>
      <c r="F2" s="532" t="s">
        <v>3187</v>
      </c>
      <c r="G2" s="532"/>
      <c r="H2" s="532"/>
      <c r="I2" s="532"/>
      <c r="J2" s="29"/>
      <c r="K2" s="3"/>
      <c r="L2" s="3"/>
      <c r="M2" s="3"/>
      <c r="N2" s="111" t="s">
        <v>0</v>
      </c>
      <c r="O2" s="277" t="s">
        <v>1</v>
      </c>
      <c r="P2" s="277" t="s">
        <v>2</v>
      </c>
      <c r="Q2" s="277" t="s">
        <v>3</v>
      </c>
      <c r="R2" s="277">
        <f>VLOOKUP(,U:AC,9,0)</f>
        <v>1855</v>
      </c>
      <c r="S2" s="277" t="s">
        <v>4</v>
      </c>
      <c r="T2" s="277" t="s">
        <v>5</v>
      </c>
      <c r="U2" s="277" t="s">
        <v>6</v>
      </c>
      <c r="V2" s="277" t="s">
        <v>7</v>
      </c>
      <c r="W2" s="555" t="s">
        <v>1825</v>
      </c>
      <c r="X2" s="556"/>
      <c r="Y2" s="281"/>
      <c r="Z2" s="94"/>
      <c r="AA2" s="195"/>
      <c r="AB2" s="229" t="s">
        <v>1828</v>
      </c>
      <c r="AC2" s="377">
        <v>2312000</v>
      </c>
      <c r="AD2" s="378">
        <v>2575012</v>
      </c>
      <c r="AE2" s="1"/>
      <c r="AF2" s="330" t="s">
        <v>2344</v>
      </c>
      <c r="AG2" s="331" t="s">
        <v>2358</v>
      </c>
      <c r="AH2" s="328" t="s">
        <v>2350</v>
      </c>
      <c r="AI2" s="332" t="s">
        <v>2347</v>
      </c>
      <c r="AJ2" s="332" t="s">
        <v>2346</v>
      </c>
      <c r="AK2" s="329" t="s">
        <v>2345</v>
      </c>
      <c r="AL2" s="333" t="s">
        <v>2357</v>
      </c>
      <c r="AM2" s="213"/>
    </row>
    <row r="3" spans="1:39" ht="17.25">
      <c r="A3" s="2"/>
      <c r="B3" s="3"/>
      <c r="C3" s="3"/>
      <c r="D3" s="6"/>
      <c r="E3" s="3"/>
      <c r="F3" s="3"/>
      <c r="G3" s="3"/>
      <c r="H3" s="3"/>
      <c r="I3" s="3"/>
      <c r="J3" s="4"/>
      <c r="K3" s="3"/>
      <c r="L3" s="3"/>
      <c r="M3" s="3"/>
      <c r="N3" s="133" t="s">
        <v>211</v>
      </c>
      <c r="O3" s="216">
        <f>VLOOKUP("營業收入淨額",$B$40:$L$500,9,0)</f>
        <v>2765</v>
      </c>
      <c r="P3" s="216">
        <f>VLOOKUP("營業收入淨額",$B$40:$L$500,8,0)</f>
        <v>2658</v>
      </c>
      <c r="Q3" s="216">
        <f>VLOOKUP("營業收入淨額",$B$40:$L$500,7,0)</f>
        <v>2161</v>
      </c>
      <c r="R3" s="216">
        <f>VLOOKUP("營業收入淨額",$B$40:$L$500,6,0)</f>
        <v>2352</v>
      </c>
      <c r="S3" s="216">
        <f>VLOOKUP("營業收入淨額",$B$40:$L$500,5,0)</f>
        <v>2633</v>
      </c>
      <c r="T3" s="216">
        <f>VLOOKUP("營業收入淨額",$B$40:$L$500,4,0)</f>
        <v>2321</v>
      </c>
      <c r="U3" s="216">
        <f>VLOOKUP("營業收入淨額",$B$40:$L$500,3,0)</f>
        <v>2047</v>
      </c>
      <c r="V3" s="216">
        <f>VLOOKUP("營業收入淨額",$B$40:$L$500,2,0)</f>
        <v>2312</v>
      </c>
      <c r="W3" s="283">
        <f>MAX(O3:V3)</f>
        <v>2765</v>
      </c>
      <c r="X3" s="284"/>
      <c r="Y3" s="281"/>
      <c r="Z3" s="94"/>
      <c r="AA3" s="195"/>
      <c r="AB3" s="230" t="s">
        <v>1815</v>
      </c>
      <c r="AC3" s="374">
        <v>263012</v>
      </c>
      <c r="AD3" s="460">
        <v>0.11</v>
      </c>
      <c r="AE3" s="1"/>
      <c r="AF3" s="339" t="s">
        <v>2348</v>
      </c>
      <c r="AG3" s="340">
        <f>AVERAGE(O3:Q3)</f>
        <v>2528</v>
      </c>
      <c r="AH3" s="340">
        <f>R3</f>
        <v>2352</v>
      </c>
      <c r="AI3" s="340">
        <f>S3</f>
        <v>2633</v>
      </c>
      <c r="AJ3" s="340">
        <f>T3</f>
        <v>2321</v>
      </c>
      <c r="AK3" s="340">
        <f>U3</f>
        <v>2047</v>
      </c>
      <c r="AL3" s="341">
        <f>V3</f>
        <v>2312</v>
      </c>
      <c r="AM3" s="213"/>
    </row>
    <row r="4" spans="1:39" ht="17.25">
      <c r="A4" s="2"/>
      <c r="B4" s="94"/>
      <c r="C4" s="3"/>
      <c r="D4" s="6"/>
      <c r="E4" s="3"/>
      <c r="F4" s="533"/>
      <c r="G4" s="533"/>
      <c r="H4" s="533"/>
      <c r="I4" s="533"/>
      <c r="J4" s="4"/>
      <c r="K4" s="3"/>
      <c r="L4" s="3"/>
      <c r="M4" s="3"/>
      <c r="N4" s="91" t="s">
        <v>9</v>
      </c>
      <c r="O4" s="216">
        <f>VLOOKUP("營業成本",$B$40:$L$500,9,0)</f>
        <v>2134</v>
      </c>
      <c r="P4" s="216">
        <f>VLOOKUP("營業成本",$B$40:$L$500,8,0)</f>
        <v>2011</v>
      </c>
      <c r="Q4" s="216">
        <f>VLOOKUP("營業成本",$B$40:$L$500,7,0)</f>
        <v>1673</v>
      </c>
      <c r="R4" s="216">
        <f>VLOOKUP("營業成本",$B$40:$L$500,6,0)</f>
        <v>1850</v>
      </c>
      <c r="S4" s="216">
        <f>VLOOKUP("營業成本",$B$40:$L$500,5,0)</f>
        <v>2032</v>
      </c>
      <c r="T4" s="216">
        <f>VLOOKUP("營業成本",$B$40:$L$500,4,0)</f>
        <v>1787</v>
      </c>
      <c r="U4" s="216">
        <f>VLOOKUP("營業成本",$B$40:$L$500,3,0)</f>
        <v>1543</v>
      </c>
      <c r="V4" s="216">
        <f>VLOOKUP("營業成本",$B$40:$L$500,2,0)</f>
        <v>1824</v>
      </c>
      <c r="W4" s="283"/>
      <c r="X4" s="284"/>
      <c r="Y4" s="281"/>
      <c r="Z4" s="94"/>
      <c r="AA4" s="195"/>
      <c r="AB4" s="230" t="s">
        <v>1816</v>
      </c>
      <c r="AC4" s="375">
        <v>8.8235294117647106E-2</v>
      </c>
      <c r="AD4" s="227">
        <v>0.79099678456591604</v>
      </c>
      <c r="AE4" s="108"/>
      <c r="AF4" s="254" t="s">
        <v>2349</v>
      </c>
      <c r="AG4" s="214">
        <f>AVERAGE(O28:Q28)</f>
        <v>189.97839067278076</v>
      </c>
      <c r="AH4" s="214">
        <f>R28</f>
        <v>180.85411524407061</v>
      </c>
      <c r="AI4" s="214">
        <f>S28</f>
        <v>169.30092679210117</v>
      </c>
      <c r="AJ4" s="214">
        <f>T28</f>
        <v>197.51566000872307</v>
      </c>
      <c r="AK4" s="214">
        <f>U28</f>
        <v>199.98473870365274</v>
      </c>
      <c r="AL4" s="261">
        <f>V28</f>
        <v>164.1943812886997</v>
      </c>
      <c r="AM4" s="213"/>
    </row>
    <row r="5" spans="1:39" ht="17.25">
      <c r="A5" s="2"/>
      <c r="B5" s="3"/>
      <c r="C5" s="3"/>
      <c r="D5" s="6"/>
      <c r="E5" s="3"/>
      <c r="F5" s="3"/>
      <c r="G5" s="3"/>
      <c r="H5" s="3"/>
      <c r="I5" s="3"/>
      <c r="J5" s="4"/>
      <c r="K5" s="3"/>
      <c r="L5" s="3"/>
      <c r="M5" s="3"/>
      <c r="N5" s="91" t="s">
        <v>213</v>
      </c>
      <c r="O5" s="216">
        <f>VLOOKUP("營業利益",$B$40:$L$500,9,0)</f>
        <v>343</v>
      </c>
      <c r="P5" s="216">
        <f>VLOOKUP("營業利益",$B$40:$L$500,8,0)</f>
        <v>348</v>
      </c>
      <c r="Q5" s="216">
        <f>VLOOKUP("營業利益",$B$40:$L$500,7,0)</f>
        <v>215</v>
      </c>
      <c r="R5" s="216">
        <f>VLOOKUP("營業利益",$B$40:$L$500,6,0)</f>
        <v>245</v>
      </c>
      <c r="S5" s="216">
        <f>VLOOKUP("營業利益",$B$40:$L$500,5,0)</f>
        <v>354</v>
      </c>
      <c r="T5" s="216">
        <f>VLOOKUP("營業利益",$B$40:$L$500,4,0)</f>
        <v>257</v>
      </c>
      <c r="U5" s="216">
        <f>VLOOKUP("營業利益",$B$40:$L$500,3,0)</f>
        <v>232</v>
      </c>
      <c r="V5" s="216">
        <f>VLOOKUP("營業利益",$B$40:$L$500,2,0)</f>
        <v>246</v>
      </c>
      <c r="W5" s="283"/>
      <c r="X5" s="284"/>
      <c r="Y5" s="281"/>
      <c r="Z5" s="94"/>
      <c r="AA5" s="195"/>
      <c r="AB5" s="230" t="s">
        <v>1817</v>
      </c>
      <c r="AC5" s="376">
        <v>1.08</v>
      </c>
      <c r="AD5" s="228">
        <v>0.28000000000000003</v>
      </c>
      <c r="AE5" s="1"/>
      <c r="AF5" s="254" t="s">
        <v>2351</v>
      </c>
      <c r="AG5" s="215">
        <f>(AG3-AG3)</f>
        <v>0</v>
      </c>
      <c r="AH5" s="215">
        <f>(AH3/$AG$3)-1</f>
        <v>-6.9620253164557E-2</v>
      </c>
      <c r="AI5" s="215">
        <f>(AI3/$AG$3)-1</f>
        <v>4.1534810126582222E-2</v>
      </c>
      <c r="AJ5" s="215">
        <f>(AJ3/$AG$3)-1</f>
        <v>-8.1882911392405111E-2</v>
      </c>
      <c r="AK5" s="215">
        <f>(AK3/$AG$3)-1</f>
        <v>-0.19026898734177211</v>
      </c>
      <c r="AL5" s="262">
        <f>(AL3/$AG$3)-1</f>
        <v>-8.5443037974683556E-2</v>
      </c>
      <c r="AM5" s="213"/>
    </row>
    <row r="6" spans="1:39" ht="17.25">
      <c r="A6" s="2"/>
      <c r="B6" s="94"/>
      <c r="C6" s="3"/>
      <c r="D6" s="6"/>
      <c r="E6" s="3"/>
      <c r="F6" s="533"/>
      <c r="G6" s="533"/>
      <c r="H6" s="533"/>
      <c r="I6" s="533"/>
      <c r="J6" s="4"/>
      <c r="K6" s="3"/>
      <c r="L6" s="3"/>
      <c r="M6" s="3"/>
      <c r="N6" s="91" t="s">
        <v>10</v>
      </c>
      <c r="O6" s="216">
        <f>VLOOKUP("營業外收入合計",$B$40:$L$500,9,0)</f>
        <v>76</v>
      </c>
      <c r="P6" s="216">
        <f>VLOOKUP("營業外收入合計",$B$40:$L$500,8,0)</f>
        <v>62</v>
      </c>
      <c r="Q6" s="216">
        <f>VLOOKUP("營業外收入合計",$B$40:$L$500,7,0)</f>
        <v>33</v>
      </c>
      <c r="R6" s="216">
        <f>VLOOKUP("營業外收入合計",$B$40:$L$500,6,0)</f>
        <v>36</v>
      </c>
      <c r="S6" s="216">
        <f>VLOOKUP("營業外收入合計",$B$40:$L$500,5,0)</f>
        <v>64</v>
      </c>
      <c r="T6" s="216">
        <f>VLOOKUP("營業外收入合計",$B$40:$L$500,4,0)</f>
        <v>154</v>
      </c>
      <c r="U6" s="216">
        <f>VLOOKUP("營業外收入合計",$B$40:$L$500,3,0)</f>
        <v>17</v>
      </c>
      <c r="V6" s="216">
        <f>VLOOKUP("營業外收入合計",$B$40:$L$500,2,0)</f>
        <v>76</v>
      </c>
      <c r="W6" s="283"/>
      <c r="X6" s="284"/>
      <c r="Y6" s="281"/>
      <c r="Z6" s="94"/>
      <c r="AA6" s="195"/>
      <c r="AB6" s="379" t="s">
        <v>1818</v>
      </c>
      <c r="AC6" s="374">
        <v>149900000</v>
      </c>
      <c r="AD6" s="228">
        <v>1.23</v>
      </c>
      <c r="AE6" s="1"/>
      <c r="AF6" s="254" t="s">
        <v>2352</v>
      </c>
      <c r="AG6" s="215">
        <f>(AG4-AG4)</f>
        <v>0</v>
      </c>
      <c r="AH6" s="215">
        <f>($AG$4/AH4)-1</f>
        <v>5.0451024663699551E-2</v>
      </c>
      <c r="AI6" s="215">
        <f>($AG$4/AI4)-1</f>
        <v>0.12213438090667506</v>
      </c>
      <c r="AJ6" s="215">
        <f>($AG$4/AJ4)-1</f>
        <v>-3.8160363262383479E-2</v>
      </c>
      <c r="AK6" s="215">
        <f>($AG$4/AK4)-1</f>
        <v>-5.0035558191767193E-2</v>
      </c>
      <c r="AL6" s="262">
        <f>($AG$4/AL4)-1</f>
        <v>0.15703344524771246</v>
      </c>
      <c r="AM6" s="213"/>
    </row>
    <row r="7" spans="1:39" ht="18" thickBot="1">
      <c r="A7" s="2"/>
      <c r="B7" s="3"/>
      <c r="C7" s="3"/>
      <c r="D7" s="6"/>
      <c r="E7" s="3"/>
      <c r="F7" s="3"/>
      <c r="G7" s="3"/>
      <c r="H7" s="3"/>
      <c r="I7" s="3"/>
      <c r="J7" s="4"/>
      <c r="K7" s="3"/>
      <c r="L7" s="3"/>
      <c r="M7" s="3"/>
      <c r="N7" s="91" t="s">
        <v>195</v>
      </c>
      <c r="O7" s="216">
        <f>VLOOKUP("稅前淨利",$B$40:$L$500,9,0)</f>
        <v>347</v>
      </c>
      <c r="P7" s="216">
        <f>VLOOKUP("稅前淨利",$B$40:$L$500,8,0)</f>
        <v>354</v>
      </c>
      <c r="Q7" s="216">
        <f>VLOOKUP("稅前淨利",$B$40:$L$500,7,0)</f>
        <v>245</v>
      </c>
      <c r="R7" s="216">
        <f>VLOOKUP("稅前淨利",$B$40:$L$500,6,0)</f>
        <v>266</v>
      </c>
      <c r="S7" s="216">
        <f>VLOOKUP("稅前淨利",$B$40:$L$500,5,0)</f>
        <v>419</v>
      </c>
      <c r="T7" s="216">
        <f>VLOOKUP("稅前淨利",$B$40:$L$500,4,0)</f>
        <v>305</v>
      </c>
      <c r="U7" s="216">
        <f>VLOOKUP("稅前淨利",$B$40:$L$500,3,0)</f>
        <v>223</v>
      </c>
      <c r="V7" s="216">
        <f>VLOOKUP("稅前淨利",$B$40:$L$500,2,0)</f>
        <v>311</v>
      </c>
      <c r="W7" s="283"/>
      <c r="X7" s="284"/>
      <c r="Y7" s="281"/>
      <c r="Z7" s="94"/>
      <c r="AA7" s="195"/>
      <c r="AB7" s="234" t="s">
        <v>1848</v>
      </c>
      <c r="AC7" s="380">
        <v>4.6900000000000004</v>
      </c>
      <c r="AD7" s="381">
        <v>-0.20877855563743558</v>
      </c>
      <c r="AE7" s="1"/>
      <c r="AF7" s="256" t="s">
        <v>2353</v>
      </c>
      <c r="AG7" s="342">
        <f t="shared" ref="AG7:AL7" si="0">AG5+AG6</f>
        <v>0</v>
      </c>
      <c r="AH7" s="342">
        <f t="shared" si="0"/>
        <v>-1.9169228500857449E-2</v>
      </c>
      <c r="AI7" s="342">
        <f t="shared" si="0"/>
        <v>0.16366919103325728</v>
      </c>
      <c r="AJ7" s="342">
        <f t="shared" si="0"/>
        <v>-0.12004327465478859</v>
      </c>
      <c r="AK7" s="342">
        <f t="shared" si="0"/>
        <v>-0.2403045455335393</v>
      </c>
      <c r="AL7" s="343">
        <f t="shared" si="0"/>
        <v>7.15904072730289E-2</v>
      </c>
      <c r="AM7" s="213"/>
    </row>
    <row r="8" spans="1:39" ht="17.25">
      <c r="A8" s="2"/>
      <c r="B8" s="94"/>
      <c r="C8" s="3"/>
      <c r="D8" s="6"/>
      <c r="E8" s="3"/>
      <c r="F8" s="533"/>
      <c r="G8" s="533"/>
      <c r="H8" s="533"/>
      <c r="I8" s="533"/>
      <c r="J8" s="4"/>
      <c r="K8" s="3"/>
      <c r="L8" s="3"/>
      <c r="M8" s="3"/>
      <c r="N8" s="91" t="s">
        <v>11</v>
      </c>
      <c r="O8" s="216">
        <f>VLOOKUP("本期稅後淨利",$B$40:$L$500,9,0)</f>
        <v>240</v>
      </c>
      <c r="P8" s="216">
        <f>VLOOKUP("本期稅後淨利",$B$40:$L$500,8,0)</f>
        <v>253</v>
      </c>
      <c r="Q8" s="216">
        <f>VLOOKUP("本期稅後淨利",$B$40:$L$500,7,0)</f>
        <v>159</v>
      </c>
      <c r="R8" s="216">
        <f>VLOOKUP("本期稅後淨利",$B$40:$L$500,6,0)</f>
        <v>174</v>
      </c>
      <c r="S8" s="216">
        <f>VLOOKUP("本期稅後淨利",$B$40:$L$500,5,0)</f>
        <v>276</v>
      </c>
      <c r="T8" s="216">
        <f>VLOOKUP("本期稅後淨利",$B$40:$L$500,4,0)</f>
        <v>182</v>
      </c>
      <c r="U8" s="216">
        <f>VLOOKUP("本期稅後淨利",$B$40:$L$500,3,0)</f>
        <v>153</v>
      </c>
      <c r="V8" s="216">
        <f>VLOOKUP("本期稅後淨利",$B$40:$L$500,2,0)</f>
        <v>204</v>
      </c>
      <c r="W8" s="283"/>
      <c r="X8" s="284"/>
      <c r="Y8" s="281"/>
      <c r="Z8" s="94"/>
      <c r="AA8" s="195"/>
      <c r="AB8" s="454" t="s">
        <v>3251</v>
      </c>
      <c r="AC8" s="372" t="s">
        <v>3241</v>
      </c>
      <c r="AD8" s="373" t="s">
        <v>3233</v>
      </c>
      <c r="AE8" s="1"/>
      <c r="AF8" s="336" t="s">
        <v>3029</v>
      </c>
      <c r="AG8" s="337">
        <f>(S3-O3)/O3</f>
        <v>-4.7739602169981916E-2</v>
      </c>
      <c r="AH8" s="337">
        <f>(T3-P3)/P3</f>
        <v>-0.12678705793829947</v>
      </c>
      <c r="AI8" s="337">
        <f>(U3-Q3)/Q3</f>
        <v>-5.2753354928273946E-2</v>
      </c>
      <c r="AJ8" s="337">
        <f>(V3-R3)/R3</f>
        <v>-1.7006802721088437E-2</v>
      </c>
      <c r="AK8" s="337"/>
      <c r="AL8" s="338"/>
      <c r="AM8" s="213"/>
    </row>
    <row r="9" spans="1:39" ht="17.25">
      <c r="A9" s="2"/>
      <c r="B9" s="3"/>
      <c r="C9" s="3"/>
      <c r="D9" s="6"/>
      <c r="E9" s="3"/>
      <c r="F9" s="3"/>
      <c r="G9" s="3"/>
      <c r="H9" s="3"/>
      <c r="I9" s="3"/>
      <c r="J9" s="4"/>
      <c r="K9" s="3"/>
      <c r="L9" s="3"/>
      <c r="M9" s="3"/>
      <c r="N9" s="91" t="s">
        <v>12</v>
      </c>
      <c r="O9" s="216">
        <f>VLOOKUP("每股盈餘 (元)",$B$40:$L$500,9,0)</f>
        <v>1.6</v>
      </c>
      <c r="P9" s="216">
        <f>VLOOKUP("每股盈餘 (元)",$B$40:$L$500,8,0)</f>
        <v>1.69</v>
      </c>
      <c r="Q9" s="216">
        <f>VLOOKUP("每股盈餘 (元)",$B$40:$L$500,7,0)</f>
        <v>1.06</v>
      </c>
      <c r="R9" s="216">
        <f>VLOOKUP("每股盈餘 (元)",$B$40:$L$500,6,0)</f>
        <v>1.1599999999999999</v>
      </c>
      <c r="S9" s="216">
        <f>VLOOKUP("每股盈餘 (元)",$B$40:$L$500,5,0)</f>
        <v>1.84</v>
      </c>
      <c r="T9" s="216">
        <f>VLOOKUP("每股盈餘 (元)",$B$40:$L$500,4,0)</f>
        <v>1.22</v>
      </c>
      <c r="U9" s="216">
        <f>VLOOKUP("每股盈餘 (元)",$B$40:$L$500,3,0)</f>
        <v>1.02</v>
      </c>
      <c r="V9" s="216">
        <f>VLOOKUP("每股盈餘 (元)",$B$40:$L$500,2,0)</f>
        <v>1.36</v>
      </c>
      <c r="W9" s="283">
        <f>MAX(R9:V9)</f>
        <v>1.84</v>
      </c>
      <c r="X9" s="284"/>
      <c r="Y9" s="281"/>
      <c r="Z9" s="94"/>
      <c r="AA9" s="282"/>
      <c r="AB9" s="230" t="s">
        <v>3232</v>
      </c>
      <c r="AC9" s="368" t="s">
        <v>3242</v>
      </c>
      <c r="AD9" s="231" t="s">
        <v>3244</v>
      </c>
      <c r="AE9" s="1"/>
      <c r="AF9" s="254"/>
      <c r="AG9" s="135"/>
      <c r="AH9" s="135"/>
      <c r="AI9" s="135"/>
      <c r="AJ9" s="135"/>
      <c r="AK9" s="136"/>
      <c r="AL9" s="255"/>
      <c r="AM9" s="213"/>
    </row>
    <row r="10" spans="1:39" ht="17.25">
      <c r="A10" s="2"/>
      <c r="B10" s="94"/>
      <c r="C10" s="3"/>
      <c r="D10" s="6"/>
      <c r="E10" s="3"/>
      <c r="F10" s="533"/>
      <c r="G10" s="533"/>
      <c r="H10" s="533"/>
      <c r="I10" s="533"/>
      <c r="J10" s="4"/>
      <c r="K10" s="3"/>
      <c r="L10" s="3"/>
      <c r="M10" s="3"/>
      <c r="N10" s="91" t="s">
        <v>212</v>
      </c>
      <c r="O10" s="216">
        <f>VLOOKUP(" 應收帳款及票據",$B$40:$L$500,9,0)</f>
        <v>4334</v>
      </c>
      <c r="P10" s="216">
        <f>VLOOKUP(" 應收帳款及票據",$B$40:$L$500,8,0)</f>
        <v>4420</v>
      </c>
      <c r="Q10" s="216">
        <f>VLOOKUP(" 應收帳款及票據",$B$40:$L$500,7,0)</f>
        <v>3932</v>
      </c>
      <c r="R10" s="216">
        <f>VLOOKUP(" 應收帳款及票據",$B$40:$L$500,6,0)</f>
        <v>3685</v>
      </c>
      <c r="S10" s="216">
        <f>VLOOKUP(" 應收帳款及票據",$B$40:$L$500,5,0)</f>
        <v>4428</v>
      </c>
      <c r="T10" s="216">
        <f>VLOOKUP(" 應收帳款及票據",$B$40:$L$500,4,0)</f>
        <v>4034</v>
      </c>
      <c r="U10" s="216">
        <f>VLOOKUP(" 應收帳款及票據",$B$40:$L$500,3,0)</f>
        <v>3446</v>
      </c>
      <c r="V10" s="216">
        <f>VLOOKUP(" 應收帳款及票據",$B$40:$L$500,2,0)</f>
        <v>3456</v>
      </c>
      <c r="W10" s="283"/>
      <c r="X10" s="284"/>
      <c r="Y10" s="281"/>
      <c r="Z10" s="94"/>
      <c r="AA10" s="282"/>
      <c r="AB10" s="230" t="s">
        <v>3230</v>
      </c>
      <c r="AC10" s="368" t="s">
        <v>3231</v>
      </c>
      <c r="AD10" s="231" t="s">
        <v>3243</v>
      </c>
      <c r="AE10" s="1"/>
      <c r="AF10" s="254"/>
      <c r="AG10" s="135"/>
      <c r="AH10" s="135"/>
      <c r="AI10" s="135"/>
      <c r="AJ10" s="135"/>
      <c r="AK10" s="136"/>
      <c r="AL10" s="255"/>
      <c r="AM10" s="213"/>
    </row>
    <row r="11" spans="1:39" ht="18" thickBot="1">
      <c r="A11" s="2"/>
      <c r="B11" s="3"/>
      <c r="C11" s="3"/>
      <c r="D11" s="6"/>
      <c r="E11" s="3"/>
      <c r="F11" s="3"/>
      <c r="G11" s="3"/>
      <c r="H11" s="3"/>
      <c r="I11" s="3"/>
      <c r="J11" s="4"/>
      <c r="K11" s="3"/>
      <c r="L11" s="3"/>
      <c r="M11" s="3"/>
      <c r="N11" s="91" t="s">
        <v>13</v>
      </c>
      <c r="O11" s="216">
        <f>VLOOKUP(" 存貨",$B$40:$L$500,9,0)</f>
        <v>613</v>
      </c>
      <c r="P11" s="216">
        <f>VLOOKUP(" 存貨",$B$40:$L$500,8,0)</f>
        <v>631</v>
      </c>
      <c r="Q11" s="216">
        <f>VLOOKUP(" 存貨",$B$40:$L$500,7,0)</f>
        <v>712</v>
      </c>
      <c r="R11" s="216">
        <f>VLOOKUP(" 存貨",$B$40:$L$500,6,0)</f>
        <v>630</v>
      </c>
      <c r="S11" s="216">
        <f>VLOOKUP(" 存貨",$B$40:$L$500,5,0)</f>
        <v>649</v>
      </c>
      <c r="T11" s="216">
        <f>VLOOKUP(" 存貨",$B$40:$L$500,4,0)</f>
        <v>572</v>
      </c>
      <c r="U11" s="216">
        <f>VLOOKUP(" 存貨",$B$40:$L$500,3,0)</f>
        <v>553</v>
      </c>
      <c r="V11" s="216">
        <f>VLOOKUP(" 存貨",$B$40:$L$500,2,0)</f>
        <v>566</v>
      </c>
      <c r="W11" s="283"/>
      <c r="X11" s="284"/>
      <c r="Y11" s="281"/>
      <c r="Z11" s="94"/>
      <c r="AA11" s="282"/>
      <c r="AB11" s="230"/>
      <c r="AC11" s="232"/>
      <c r="AD11" s="233"/>
      <c r="AE11" s="1"/>
      <c r="AF11" s="256"/>
      <c r="AG11" s="257"/>
      <c r="AH11" s="257"/>
      <c r="AI11" s="257"/>
      <c r="AJ11" s="257"/>
      <c r="AK11" s="258"/>
      <c r="AL11" s="259"/>
      <c r="AM11" s="213"/>
    </row>
    <row r="12" spans="1:39" ht="18" thickBot="1">
      <c r="A12" s="2"/>
      <c r="B12" s="3"/>
      <c r="C12" s="3"/>
      <c r="D12" s="6"/>
      <c r="E12" s="3"/>
      <c r="F12" s="3"/>
      <c r="G12" s="3"/>
      <c r="H12" s="3"/>
      <c r="I12" s="3"/>
      <c r="J12" s="4"/>
      <c r="K12" s="3"/>
      <c r="L12" s="3"/>
      <c r="M12" s="3"/>
      <c r="N12" s="91" t="s">
        <v>14</v>
      </c>
      <c r="O12" s="216">
        <f>VLOOKUP(" 應付帳款及票據",$B$40:$L$500,9,0)</f>
        <v>2272</v>
      </c>
      <c r="P12" s="216">
        <f>VLOOKUP(" 應付帳款及票據",$B$40:$L$500,8,0)</f>
        <v>2248</v>
      </c>
      <c r="Q12" s="216">
        <f>VLOOKUP(" 應付帳款及票據",$B$40:$L$500,7,0)</f>
        <v>1925</v>
      </c>
      <c r="R12" s="216">
        <f>VLOOKUP(" 應付帳款及票據",$B$40:$L$500,6,0)</f>
        <v>1911</v>
      </c>
      <c r="S12" s="216">
        <f>VLOOKUP(" 應付帳款及票據",$B$40:$L$500,5,0)</f>
        <v>2182</v>
      </c>
      <c r="T12" s="216">
        <f>VLOOKUP(" 應付帳款及票據",$B$40:$L$500,4,0)</f>
        <v>1870</v>
      </c>
      <c r="U12" s="216">
        <f>VLOOKUP(" 應付帳款及票據",$B$40:$L$500,3,0)</f>
        <v>1710</v>
      </c>
      <c r="V12" s="216">
        <f>VLOOKUP(" 應付帳款及票據",$B$40:$L$500,2,0)</f>
        <v>1816</v>
      </c>
      <c r="W12" s="283"/>
      <c r="X12" s="284"/>
      <c r="Y12" s="281"/>
      <c r="Z12" s="94"/>
      <c r="AA12" s="282"/>
      <c r="AB12" s="234"/>
      <c r="AC12" s="235"/>
      <c r="AD12" s="236"/>
      <c r="AE12" s="1"/>
      <c r="AF12" s="213"/>
      <c r="AG12" s="213"/>
      <c r="AH12" s="213"/>
      <c r="AI12" s="213"/>
      <c r="AJ12" s="213"/>
      <c r="AK12" s="213"/>
      <c r="AL12" s="213"/>
      <c r="AM12" s="213"/>
    </row>
    <row r="13" spans="1:39" ht="5.0999999999999996" customHeight="1" thickBot="1">
      <c r="A13" s="5"/>
      <c r="B13" s="6"/>
      <c r="C13" s="6"/>
      <c r="D13" s="6"/>
      <c r="E13" s="6"/>
      <c r="F13" s="6"/>
      <c r="G13" s="6"/>
      <c r="H13" s="6"/>
      <c r="I13" s="6"/>
      <c r="J13" s="7"/>
      <c r="K13" s="3"/>
      <c r="L13" s="3"/>
      <c r="M13" s="3"/>
      <c r="N13" s="91" t="s">
        <v>15</v>
      </c>
      <c r="O13" s="216">
        <f>VLOOKUP("負債總額",$B$40:$L$500,9,0)</f>
        <v>4179</v>
      </c>
      <c r="P13" s="216">
        <f>VLOOKUP("負債總額",$B$40:$L$500,8,0)</f>
        <v>4308</v>
      </c>
      <c r="Q13" s="216">
        <f>VLOOKUP("負債總額",$B$40:$L$500,7,0)</f>
        <v>3917</v>
      </c>
      <c r="R13" s="216">
        <f>VLOOKUP("負債總額",$B$40:$L$500,6,0)</f>
        <v>4554</v>
      </c>
      <c r="S13" s="216">
        <f>VLOOKUP("負債總額",$B$40:$L$500,5,0)</f>
        <v>4021</v>
      </c>
      <c r="T13" s="216">
        <f>VLOOKUP("負債總額",$B$40:$L$500,4,0)</f>
        <v>3742</v>
      </c>
      <c r="U13" s="216">
        <f>VLOOKUP("負債總額",$B$40:$L$500,3,0)</f>
        <v>3600</v>
      </c>
      <c r="V13" s="216">
        <f>VLOOKUP("負債總額",$B$40:$L$500,2,0)</f>
        <v>4288</v>
      </c>
      <c r="W13" s="283"/>
      <c r="X13" s="284"/>
      <c r="Y13" s="281"/>
      <c r="Z13" s="94"/>
      <c r="AA13" s="282"/>
      <c r="AB13" s="127"/>
      <c r="AC13" s="128"/>
      <c r="AD13" s="127"/>
      <c r="AE13" s="1"/>
    </row>
    <row r="14" spans="1:39" ht="24" customHeight="1" thickBot="1">
      <c r="A14" s="27"/>
      <c r="B14" s="83" t="s">
        <v>3185</v>
      </c>
      <c r="C14" s="28"/>
      <c r="D14" s="6"/>
      <c r="E14" s="28"/>
      <c r="F14" s="532" t="s">
        <v>1886</v>
      </c>
      <c r="G14" s="532"/>
      <c r="H14" s="532"/>
      <c r="I14" s="532"/>
      <c r="J14" s="29"/>
      <c r="K14" s="3"/>
      <c r="L14" s="3"/>
      <c r="M14" s="3"/>
      <c r="N14" s="91" t="s">
        <v>16</v>
      </c>
      <c r="O14" s="216">
        <f>VLOOKUP("資產總額",$B$40:$L$500,9,0)</f>
        <v>9241</v>
      </c>
      <c r="P14" s="216">
        <f>VLOOKUP("資產總額",$B$40:$L$500,8,0)</f>
        <v>9872</v>
      </c>
      <c r="Q14" s="216">
        <f>VLOOKUP("資產總額",$B$40:$L$500,7,0)</f>
        <v>9579</v>
      </c>
      <c r="R14" s="216">
        <f>VLOOKUP("資產總額",$B$40:$L$500,6,0)</f>
        <v>9656</v>
      </c>
      <c r="S14" s="216">
        <f>VLOOKUP("資產總額",$B$40:$L$500,5,0)</f>
        <v>9557</v>
      </c>
      <c r="T14" s="216">
        <f>VLOOKUP("資產總額",$B$40:$L$500,4,0)</f>
        <v>9348</v>
      </c>
      <c r="U14" s="216">
        <f>VLOOKUP("資產總額",$B$40:$L$500,3,0)</f>
        <v>9273</v>
      </c>
      <c r="V14" s="216">
        <f>VLOOKUP("資產總額",$B$40:$L$500,2,0)</f>
        <v>9378</v>
      </c>
      <c r="W14" s="283"/>
      <c r="X14" s="284"/>
      <c r="Y14" s="281"/>
      <c r="Z14" s="94"/>
      <c r="AA14" s="282"/>
      <c r="AB14" s="237" t="s">
        <v>3252</v>
      </c>
      <c r="AC14" s="547" t="s">
        <v>3101</v>
      </c>
      <c r="AD14" s="548"/>
      <c r="AE14" s="1"/>
    </row>
    <row r="15" spans="1:39" ht="17.25">
      <c r="A15" s="2"/>
      <c r="B15" s="3"/>
      <c r="C15" s="3"/>
      <c r="D15" s="6"/>
      <c r="E15" s="3"/>
      <c r="F15" s="3"/>
      <c r="G15" s="3"/>
      <c r="H15" s="3"/>
      <c r="I15" s="3"/>
      <c r="J15" s="4"/>
      <c r="K15" s="3"/>
      <c r="L15" s="3"/>
      <c r="M15" s="3"/>
      <c r="N15" s="91" t="s">
        <v>17</v>
      </c>
      <c r="O15" s="216">
        <f>VLOOKUP("來自營運之現金流量",$B$40:$L$500,9,0)</f>
        <v>119</v>
      </c>
      <c r="P15" s="216">
        <f>VLOOKUP("來自營運之現金流量",$B$40:$L$500,8,0)</f>
        <v>228</v>
      </c>
      <c r="Q15" s="216">
        <f>VLOOKUP("來自營運之現金流量",$B$40:$L$500,7,0)</f>
        <v>3</v>
      </c>
      <c r="R15" s="216">
        <f>VLOOKUP("來自營運之現金流量",$B$40:$L$500,6,0)</f>
        <v>566</v>
      </c>
      <c r="S15" s="216">
        <f>VLOOKUP("來自營運之現金流量",$B$40:$L$500,5,0)</f>
        <v>53</v>
      </c>
      <c r="T15" s="216">
        <f>VLOOKUP("來自營運之現金流量",$B$40:$L$500,4,0)</f>
        <v>492</v>
      </c>
      <c r="U15" s="216">
        <f>VLOOKUP("來自營運之現金流量",$B$40:$L$500,3,0)</f>
        <v>518</v>
      </c>
      <c r="V15" s="216">
        <f>VLOOKUP("來自營運之現金流量",$B$40:$L$500,2,0)</f>
        <v>-98</v>
      </c>
      <c r="W15" s="285">
        <f>AVERAGE(R15:V15)</f>
        <v>306.2</v>
      </c>
      <c r="X15" s="286">
        <f>AVERAGE(U15:V15)</f>
        <v>210</v>
      </c>
      <c r="Y15" s="281"/>
      <c r="Z15" s="94"/>
      <c r="AA15" s="282"/>
      <c r="AB15" s="238" t="s">
        <v>1795</v>
      </c>
      <c r="AC15" s="239">
        <v>15822</v>
      </c>
      <c r="AD15" s="240"/>
      <c r="AE15" s="109"/>
    </row>
    <row r="16" spans="1:39" ht="17.25">
      <c r="A16" s="2"/>
      <c r="B16" s="94"/>
      <c r="C16" s="3"/>
      <c r="D16" s="6"/>
      <c r="E16" s="3"/>
      <c r="F16" s="533"/>
      <c r="G16" s="533"/>
      <c r="H16" s="533"/>
      <c r="I16" s="533"/>
      <c r="J16" s="4"/>
      <c r="K16" s="3"/>
      <c r="L16" s="3"/>
      <c r="M16" s="3"/>
      <c r="N16" s="91" t="s">
        <v>18</v>
      </c>
      <c r="O16" s="216">
        <v>12</v>
      </c>
      <c r="P16" s="216">
        <v>24</v>
      </c>
      <c r="Q16" s="216">
        <v>28</v>
      </c>
      <c r="R16" s="216">
        <v>18</v>
      </c>
      <c r="S16" s="216">
        <v>29</v>
      </c>
      <c r="T16" s="216">
        <v>23</v>
      </c>
      <c r="U16" s="216">
        <v>13</v>
      </c>
      <c r="V16" s="216">
        <v>51</v>
      </c>
      <c r="W16" s="285">
        <f>MAX(O16:V16)</f>
        <v>51</v>
      </c>
      <c r="X16" s="286">
        <f>AVERAGE(U16:V16)</f>
        <v>32</v>
      </c>
      <c r="Y16" s="281"/>
      <c r="Z16" s="94"/>
      <c r="AA16" s="282"/>
      <c r="AB16" s="241" t="s">
        <v>1808</v>
      </c>
      <c r="AC16" s="242">
        <v>1</v>
      </c>
      <c r="AD16" s="243"/>
      <c r="AE16" s="109"/>
    </row>
    <row r="17" spans="1:920" ht="17.25">
      <c r="A17" s="2"/>
      <c r="B17" s="3"/>
      <c r="C17" s="3"/>
      <c r="D17" s="6"/>
      <c r="E17" s="3"/>
      <c r="F17" s="3"/>
      <c r="G17" s="3"/>
      <c r="H17" s="3"/>
      <c r="I17" s="3"/>
      <c r="J17" s="4"/>
      <c r="K17" s="3"/>
      <c r="L17" s="3"/>
      <c r="M17" s="3"/>
      <c r="N17" s="91" t="s">
        <v>19</v>
      </c>
      <c r="O17" s="216">
        <v>0</v>
      </c>
      <c r="P17" s="216">
        <v>67</v>
      </c>
      <c r="Q17" s="216">
        <v>19</v>
      </c>
      <c r="R17" s="216">
        <v>-19</v>
      </c>
      <c r="S17" s="216">
        <v>0</v>
      </c>
      <c r="T17" s="216">
        <v>33</v>
      </c>
      <c r="U17" s="216">
        <v>0</v>
      </c>
      <c r="V17" s="216">
        <v>0</v>
      </c>
      <c r="W17" s="283"/>
      <c r="X17" s="284"/>
      <c r="Y17" s="281"/>
      <c r="Z17" s="94"/>
      <c r="AA17" s="282"/>
      <c r="AB17" s="241" t="s">
        <v>1794</v>
      </c>
      <c r="AC17" s="244">
        <v>1855</v>
      </c>
      <c r="AD17" s="245"/>
      <c r="AE17" s="110"/>
    </row>
    <row r="18" spans="1:920" ht="17.25">
      <c r="A18" s="2"/>
      <c r="B18" s="94"/>
      <c r="C18" s="3"/>
      <c r="D18" s="6"/>
      <c r="E18" s="3"/>
      <c r="F18" s="533"/>
      <c r="G18" s="533"/>
      <c r="H18" s="533"/>
      <c r="I18" s="533"/>
      <c r="J18" s="4"/>
      <c r="K18" s="3"/>
      <c r="L18" s="3"/>
      <c r="M18" s="3"/>
      <c r="N18" s="91" t="s">
        <v>20</v>
      </c>
      <c r="O18" s="216">
        <f>VLOOKUP(" 折舊",$B$40:$L$500,9,0)</f>
        <v>31</v>
      </c>
      <c r="P18" s="216">
        <f>VLOOKUP(" 折舊",$B$40:$L$500,8,0)</f>
        <v>33</v>
      </c>
      <c r="Q18" s="216">
        <f>VLOOKUP(" 折舊",$B$40:$L$500,7,0)</f>
        <v>33</v>
      </c>
      <c r="R18" s="216">
        <f>VLOOKUP(" 折舊",$B$40:$L$500,6,0)</f>
        <v>31</v>
      </c>
      <c r="S18" s="216">
        <f>VLOOKUP(" 折舊",$B$40:$L$500,5,0)</f>
        <v>29</v>
      </c>
      <c r="T18" s="216">
        <f>VLOOKUP(" 折舊",$B$40:$L$500,4,0)</f>
        <v>29</v>
      </c>
      <c r="U18" s="216">
        <f>VLOOKUP(" 折舊",$B$40:$L$500,3,0)</f>
        <v>28</v>
      </c>
      <c r="V18" s="216">
        <f>VLOOKUP(" 折舊",$B$40:$L$500,2,0)</f>
        <v>28</v>
      </c>
      <c r="W18" s="283"/>
      <c r="X18" s="284"/>
      <c r="Y18" s="281"/>
      <c r="Z18" s="94"/>
      <c r="AA18" s="282"/>
      <c r="AB18" s="241" t="s">
        <v>1807</v>
      </c>
      <c r="AC18" s="246">
        <v>106.2</v>
      </c>
      <c r="AD18" s="247"/>
      <c r="AE18" s="110"/>
    </row>
    <row r="19" spans="1:920" ht="18" thickBot="1">
      <c r="A19" s="2"/>
      <c r="B19" s="3"/>
      <c r="C19" s="3"/>
      <c r="D19" s="6"/>
      <c r="E19" s="3"/>
      <c r="F19" s="3"/>
      <c r="G19" s="3"/>
      <c r="H19" s="3"/>
      <c r="I19" s="3"/>
      <c r="J19" s="4"/>
      <c r="K19" s="3"/>
      <c r="L19" s="3"/>
      <c r="M19" s="3"/>
      <c r="N19" s="91" t="s">
        <v>21</v>
      </c>
      <c r="O19" s="216">
        <f>VLOOKUP(" 攤提",$B$40:$L$500,9,0)</f>
        <v>2</v>
      </c>
      <c r="P19" s="216">
        <f>VLOOKUP(" 攤提",$B$40:$L$500,8,0)</f>
        <v>2</v>
      </c>
      <c r="Q19" s="216">
        <f>VLOOKUP(" 攤提",$B$40:$L$500,7,0)</f>
        <v>2</v>
      </c>
      <c r="R19" s="216">
        <f>VLOOKUP(" 攤提",$B$40:$L$500,6,0)</f>
        <v>2</v>
      </c>
      <c r="S19" s="216">
        <f>VLOOKUP(" 攤提",$B$40:$L$500,5,0)</f>
        <v>3</v>
      </c>
      <c r="T19" s="216">
        <f>VLOOKUP(" 攤提",$B$40:$L$500,4,0)</f>
        <v>3</v>
      </c>
      <c r="U19" s="216">
        <f>VLOOKUP(" 攤提",$B$40:$L$500,3,0)</f>
        <v>2</v>
      </c>
      <c r="V19" s="216">
        <f>VLOOKUP(" 攤提",$B$40:$L$500,2,0)</f>
        <v>2</v>
      </c>
      <c r="W19" s="287"/>
      <c r="X19" s="288"/>
      <c r="Y19" s="281"/>
      <c r="Z19" s="94"/>
      <c r="AA19" s="282"/>
      <c r="AB19" s="248" t="s">
        <v>1809</v>
      </c>
      <c r="AC19" s="249">
        <v>57.250673854447442</v>
      </c>
      <c r="AD19" s="250"/>
      <c r="AE19" s="110"/>
    </row>
    <row r="20" spans="1:920" ht="17.25">
      <c r="A20" s="2"/>
      <c r="B20" s="94"/>
      <c r="C20" s="3"/>
      <c r="D20" s="6"/>
      <c r="E20" s="3"/>
      <c r="F20" s="533"/>
      <c r="G20" s="533"/>
      <c r="H20" s="533"/>
      <c r="I20" s="533"/>
      <c r="J20" s="4"/>
      <c r="K20" s="3"/>
      <c r="L20" s="3"/>
      <c r="M20" s="3"/>
      <c r="N20" s="91" t="s">
        <v>22</v>
      </c>
      <c r="O20" s="216">
        <f>VLOOKUP("股東權益總額",$B$40:$L$500,9,0)</f>
        <v>5062</v>
      </c>
      <c r="P20" s="216">
        <f>VLOOKUP("股東權益總額",$B$40:$L$500,8,0)</f>
        <v>5564</v>
      </c>
      <c r="Q20" s="216">
        <f>VLOOKUP("股東權益總額",$B$40:$L$500,7,0)</f>
        <v>5661</v>
      </c>
      <c r="R20" s="216">
        <f>VLOOKUP("股東權益總額",$B$40:$L$500,6,0)</f>
        <v>5101</v>
      </c>
      <c r="S20" s="216">
        <f>VLOOKUP("股東權益總額",$B$40:$L$500,5,0)</f>
        <v>5536</v>
      </c>
      <c r="T20" s="216">
        <f>VLOOKUP("股東權益總額",$B$40:$L$500,4,0)</f>
        <v>5606</v>
      </c>
      <c r="U20" s="216">
        <f>VLOOKUP("股東權益總額",$B$40:$L$500,3,0)</f>
        <v>5673</v>
      </c>
      <c r="V20" s="216">
        <f>VLOOKUP("股東權益總額",$B$40:$L$500,2,0)</f>
        <v>5090</v>
      </c>
      <c r="W20" s="283"/>
      <c r="X20" s="284"/>
      <c r="Y20" s="281"/>
      <c r="Z20" s="94"/>
      <c r="AA20" s="282"/>
      <c r="AB20" s="226" t="s">
        <v>1811</v>
      </c>
      <c r="AC20" s="251">
        <v>53.9</v>
      </c>
      <c r="AD20" s="252"/>
      <c r="AE20" s="1"/>
    </row>
    <row r="21" spans="1:920" ht="17.25">
      <c r="A21" s="2"/>
      <c r="B21" s="3"/>
      <c r="C21" s="3"/>
      <c r="D21" s="6"/>
      <c r="E21" s="3"/>
      <c r="F21" s="3"/>
      <c r="G21" s="3"/>
      <c r="H21" s="3"/>
      <c r="I21" s="3"/>
      <c r="J21" s="4"/>
      <c r="K21" s="3"/>
      <c r="L21" s="3"/>
      <c r="M21" s="3"/>
      <c r="N21" s="92" t="s">
        <v>188</v>
      </c>
      <c r="O21" s="217">
        <f>VLOOKUP(" 普通股股本",$B$40:$L$500,9,0)</f>
        <v>1499</v>
      </c>
      <c r="P21" s="217">
        <f>VLOOKUP(" 普通股股本",$B$40:$L$500,8,0)</f>
        <v>1499</v>
      </c>
      <c r="Q21" s="217">
        <f>VLOOKUP(" 普通股股本",$B$40:$L$500,7,0)</f>
        <v>1499</v>
      </c>
      <c r="R21" s="217">
        <f>VLOOKUP(" 普通股股本",$B$40:$L$500,6,0)</f>
        <v>1499</v>
      </c>
      <c r="S21" s="217">
        <f>VLOOKUP(" 普通股股本",$B$40:$L$500,5,0)</f>
        <v>1499</v>
      </c>
      <c r="T21" s="217">
        <f>VLOOKUP(" 普通股股本",$B$40:$L$500,4,0)</f>
        <v>1499</v>
      </c>
      <c r="U21" s="217">
        <f>VLOOKUP(" 普通股股本",$B$40:$L$500,3,0)</f>
        <v>1499</v>
      </c>
      <c r="V21" s="217">
        <f>VLOOKUP(" 普通股股本",$B$40:$L$500,2,0)</f>
        <v>1499</v>
      </c>
      <c r="W21" s="289"/>
      <c r="X21" s="290"/>
      <c r="Y21" s="281"/>
      <c r="Z21" s="94"/>
      <c r="AA21" s="282"/>
      <c r="AB21" s="226" t="s">
        <v>1806</v>
      </c>
      <c r="AC21" s="253">
        <v>-2.0799999999999999E-2</v>
      </c>
      <c r="AD21" s="243"/>
      <c r="AE21" s="1"/>
    </row>
    <row r="22" spans="1:920" ht="18" thickBot="1">
      <c r="A22" s="2"/>
      <c r="B22" s="94"/>
      <c r="C22" s="3"/>
      <c r="D22" s="6"/>
      <c r="E22" s="3"/>
      <c r="F22" s="533"/>
      <c r="G22" s="533"/>
      <c r="H22" s="533"/>
      <c r="I22" s="533"/>
      <c r="J22" s="4"/>
      <c r="K22" s="3"/>
      <c r="L22" s="3"/>
      <c r="M22" s="3"/>
      <c r="N22" s="91" t="s">
        <v>23</v>
      </c>
      <c r="O22" s="218">
        <f t="shared" ref="O22:V22" si="1">IF(ISNUMBER((O3-O4)/O3),(O3-O4)/O3,0)</f>
        <v>0.22820976491862568</v>
      </c>
      <c r="P22" s="218">
        <f t="shared" si="1"/>
        <v>0.24341610233258087</v>
      </c>
      <c r="Q22" s="218">
        <f t="shared" si="1"/>
        <v>0.22582137899120777</v>
      </c>
      <c r="R22" s="218">
        <f>IF(ISNUMBER((R3-R4)/R3),(R3-R4)/R3,0)</f>
        <v>0.21343537414965985</v>
      </c>
      <c r="S22" s="218">
        <f t="shared" si="1"/>
        <v>0.22825674135966578</v>
      </c>
      <c r="T22" s="218">
        <f t="shared" si="1"/>
        <v>0.23007324429125378</v>
      </c>
      <c r="U22" s="218">
        <f t="shared" si="1"/>
        <v>0.24621397166585246</v>
      </c>
      <c r="V22" s="218">
        <f t="shared" si="1"/>
        <v>0.21107266435986158</v>
      </c>
      <c r="W22" s="551">
        <f>MIN(O22:V23)</f>
        <v>7.3577047663118927E-2</v>
      </c>
      <c r="X22" s="552">
        <f>MAX(O22:V23)</f>
        <v>0.24621397166585246</v>
      </c>
      <c r="Y22" s="281"/>
      <c r="Z22" s="94"/>
      <c r="AA22" s="282"/>
      <c r="AB22" s="264" t="s">
        <v>1810</v>
      </c>
      <c r="AC22" s="265" t="s">
        <v>3245</v>
      </c>
      <c r="AD22" s="266"/>
      <c r="AE22" s="10"/>
    </row>
    <row r="23" spans="1:920">
      <c r="A23" s="2"/>
      <c r="B23" s="3"/>
      <c r="C23" s="3"/>
      <c r="D23" s="6"/>
      <c r="E23" s="3"/>
      <c r="F23" s="3"/>
      <c r="G23" s="3"/>
      <c r="H23" s="3"/>
      <c r="I23" s="3"/>
      <c r="J23" s="4"/>
      <c r="K23" s="3"/>
      <c r="L23" s="3"/>
      <c r="M23" s="3"/>
      <c r="N23" s="91" t="s">
        <v>1753</v>
      </c>
      <c r="O23" s="218">
        <f t="shared" ref="O23:V23" si="2">IF(O3&gt;0,O8/O3,0)</f>
        <v>8.6799276672694395E-2</v>
      </c>
      <c r="P23" s="218">
        <f t="shared" si="2"/>
        <v>9.5184349134687735E-2</v>
      </c>
      <c r="Q23" s="218">
        <f t="shared" si="2"/>
        <v>7.3577047663118927E-2</v>
      </c>
      <c r="R23" s="218">
        <f t="shared" si="2"/>
        <v>7.3979591836734693E-2</v>
      </c>
      <c r="S23" s="218">
        <f t="shared" si="2"/>
        <v>0.10482339536650209</v>
      </c>
      <c r="T23" s="218">
        <f t="shared" si="2"/>
        <v>7.8414476518741921E-2</v>
      </c>
      <c r="U23" s="218">
        <f t="shared" si="2"/>
        <v>7.4743527112848068E-2</v>
      </c>
      <c r="V23" s="218">
        <f t="shared" si="2"/>
        <v>8.8235294117647065E-2</v>
      </c>
      <c r="W23" s="551"/>
      <c r="X23" s="552"/>
      <c r="Y23" s="281"/>
      <c r="Z23" s="94"/>
      <c r="AA23" s="282"/>
      <c r="AB23" s="5"/>
      <c r="AC23" s="6"/>
      <c r="AD23" s="7"/>
      <c r="AE23" s="1"/>
      <c r="AF23" s="213"/>
      <c r="AG23" s="213"/>
      <c r="AH23" s="213"/>
      <c r="AI23" s="213"/>
      <c r="AJ23" s="213"/>
      <c r="AK23" s="213"/>
      <c r="AL23" s="213"/>
      <c r="AM23" s="213"/>
    </row>
    <row r="24" spans="1:920">
      <c r="A24" s="2"/>
      <c r="B24" s="3"/>
      <c r="C24" s="3"/>
      <c r="D24" s="6"/>
      <c r="E24" s="3"/>
      <c r="F24" s="3"/>
      <c r="G24" s="3"/>
      <c r="H24" s="3"/>
      <c r="I24" s="3"/>
      <c r="J24" s="4"/>
      <c r="K24" s="3"/>
      <c r="L24" s="3"/>
      <c r="M24" s="3"/>
      <c r="N24" s="91" t="s">
        <v>24</v>
      </c>
      <c r="O24" s="218">
        <f t="shared" ref="O24:V24" si="3">O13/O14</f>
        <v>0.45222378530462071</v>
      </c>
      <c r="P24" s="218">
        <f t="shared" si="3"/>
        <v>0.43638573743922204</v>
      </c>
      <c r="Q24" s="218">
        <f t="shared" si="3"/>
        <v>0.40891533563002402</v>
      </c>
      <c r="R24" s="218">
        <f>R13/R14</f>
        <v>0.47162386081193042</v>
      </c>
      <c r="S24" s="218">
        <f t="shared" si="3"/>
        <v>0.42073872554148789</v>
      </c>
      <c r="T24" s="218">
        <f t="shared" si="3"/>
        <v>0.40029952931108259</v>
      </c>
      <c r="U24" s="218">
        <f t="shared" si="3"/>
        <v>0.38822387576835976</v>
      </c>
      <c r="V24" s="218">
        <f t="shared" si="3"/>
        <v>0.45724034975474515</v>
      </c>
      <c r="W24" s="291">
        <f>MIN(O24:V24)</f>
        <v>0.38822387576835976</v>
      </c>
      <c r="X24" s="292">
        <f>MAX(O24:V24)</f>
        <v>0.47162386081193042</v>
      </c>
      <c r="Y24" s="281"/>
      <c r="Z24" s="94"/>
      <c r="AA24" s="282"/>
      <c r="AB24" s="5"/>
      <c r="AC24" s="6"/>
      <c r="AD24" s="7"/>
      <c r="AE24" s="1"/>
      <c r="AF24" s="213"/>
      <c r="AG24" s="213"/>
      <c r="AH24" s="213"/>
      <c r="AI24" s="213"/>
      <c r="AJ24" s="213"/>
      <c r="AK24" s="213"/>
      <c r="AL24" s="213"/>
      <c r="AM24" s="213"/>
    </row>
    <row r="25" spans="1:920" ht="5.0999999999999996" customHeight="1" thickBot="1">
      <c r="A25" s="534"/>
      <c r="B25" s="535"/>
      <c r="C25" s="535"/>
      <c r="D25" s="535"/>
      <c r="E25" s="535"/>
      <c r="F25" s="535"/>
      <c r="G25" s="535"/>
      <c r="H25" s="535"/>
      <c r="I25" s="535"/>
      <c r="J25" s="536"/>
      <c r="K25" s="3"/>
      <c r="L25" s="3"/>
      <c r="M25" s="3"/>
      <c r="N25" s="91" t="s">
        <v>25</v>
      </c>
      <c r="O25" s="219">
        <f>P25</f>
        <v>102.54848334162108</v>
      </c>
      <c r="P25" s="219">
        <f t="shared" ref="P25:V25" si="4">IF(ISNUMBER(365/(P4*4/((O12+P12)/2))),365/(P4*4/((O12+P12)/2)),0)</f>
        <v>102.54848334162108</v>
      </c>
      <c r="Q25" s="219">
        <f t="shared" si="4"/>
        <v>113.80342199641363</v>
      </c>
      <c r="R25" s="219">
        <f t="shared" si="4"/>
        <v>94.604054054054046</v>
      </c>
      <c r="S25" s="219">
        <f t="shared" si="4"/>
        <v>91.901144192913378</v>
      </c>
      <c r="T25" s="219">
        <f t="shared" si="4"/>
        <v>103.45411303861221</v>
      </c>
      <c r="U25" s="219">
        <f t="shared" si="4"/>
        <v>105.85709656513286</v>
      </c>
      <c r="V25" s="219">
        <f t="shared" si="4"/>
        <v>88.198327850877192</v>
      </c>
      <c r="W25" s="293">
        <f>MIN(O25:V27)</f>
        <v>27.990337171052634</v>
      </c>
      <c r="X25" s="294">
        <f>MAX(O25:V27)</f>
        <v>176.3350300786673</v>
      </c>
      <c r="Y25" s="281"/>
      <c r="Z25" s="94"/>
      <c r="AA25" s="282"/>
      <c r="AB25" s="5"/>
      <c r="AC25" s="6"/>
      <c r="AD25" s="7"/>
      <c r="AE25" s="1"/>
      <c r="AF25" s="213"/>
      <c r="AG25" s="213"/>
      <c r="AH25" s="213"/>
      <c r="AI25" s="213"/>
      <c r="AJ25" s="213"/>
      <c r="AK25" s="213"/>
      <c r="AL25" s="213"/>
      <c r="AM25" s="213"/>
    </row>
    <row r="26" spans="1:920" ht="24" customHeight="1" thickBot="1">
      <c r="A26" s="79"/>
      <c r="B26" s="83" t="s">
        <v>3184</v>
      </c>
      <c r="C26" s="80"/>
      <c r="D26" s="96"/>
      <c r="E26" s="80"/>
      <c r="F26" s="532" t="s">
        <v>3186</v>
      </c>
      <c r="G26" s="532"/>
      <c r="H26" s="532"/>
      <c r="I26" s="532"/>
      <c r="J26" s="81"/>
      <c r="K26" s="3"/>
      <c r="L26" s="3"/>
      <c r="M26" s="3"/>
      <c r="N26" s="91" t="s">
        <v>26</v>
      </c>
      <c r="O26" s="220">
        <f>P26</f>
        <v>150.26382618510158</v>
      </c>
      <c r="P26" s="220">
        <f t="shared" ref="P26:V27" si="5">IF(ISNUMBER(365/(P3*4/((O10+P10)/2))),365/(P3*4/((O10+P10)/2)),0)</f>
        <v>150.26382618510158</v>
      </c>
      <c r="Q26" s="220">
        <f t="shared" si="5"/>
        <v>176.3350300786673</v>
      </c>
      <c r="R26" s="220">
        <f t="shared" si="5"/>
        <v>147.75749362244898</v>
      </c>
      <c r="S26" s="220">
        <f t="shared" si="5"/>
        <v>140.5832225598177</v>
      </c>
      <c r="T26" s="220">
        <f t="shared" si="5"/>
        <v>166.34155536406723</v>
      </c>
      <c r="U26" s="220">
        <f t="shared" si="5"/>
        <v>166.71958964338054</v>
      </c>
      <c r="V26" s="220">
        <f t="shared" si="5"/>
        <v>136.20404411764707</v>
      </c>
      <c r="W26" s="293"/>
      <c r="X26" s="294"/>
      <c r="Y26" s="281"/>
      <c r="Z26" s="94"/>
      <c r="AA26" s="282"/>
      <c r="AB26" s="5"/>
      <c r="AC26" s="6"/>
      <c r="AD26" s="7"/>
      <c r="AE26" s="1"/>
      <c r="AF26" s="272" t="s">
        <v>2899</v>
      </c>
      <c r="AG26" s="553" t="s">
        <v>2900</v>
      </c>
      <c r="AH26" s="554"/>
      <c r="AI26" s="273" t="s">
        <v>2901</v>
      </c>
      <c r="AJ26" s="273" t="s">
        <v>2902</v>
      </c>
      <c r="AK26" s="273" t="s">
        <v>2903</v>
      </c>
      <c r="AL26" s="302" t="s">
        <v>2904</v>
      </c>
      <c r="AM26" s="320" t="s">
        <v>2905</v>
      </c>
    </row>
    <row r="27" spans="1:920">
      <c r="A27" s="2"/>
      <c r="B27" s="3"/>
      <c r="C27" s="3"/>
      <c r="D27" s="6"/>
      <c r="E27" s="3"/>
      <c r="F27" s="3"/>
      <c r="G27" s="3"/>
      <c r="H27" s="3"/>
      <c r="I27" s="3"/>
      <c r="J27" s="4"/>
      <c r="K27" s="3"/>
      <c r="L27" s="3"/>
      <c r="M27" s="3"/>
      <c r="N27" s="91" t="s">
        <v>27</v>
      </c>
      <c r="O27" s="219">
        <f>P27</f>
        <v>28.223520636499256</v>
      </c>
      <c r="P27" s="219">
        <f t="shared" si="5"/>
        <v>28.223520636499256</v>
      </c>
      <c r="Q27" s="219">
        <f t="shared" si="5"/>
        <v>36.625448296473401</v>
      </c>
      <c r="R27" s="219">
        <f t="shared" si="5"/>
        <v>33.096621621621622</v>
      </c>
      <c r="S27" s="219">
        <f t="shared" si="5"/>
        <v>28.717704232283463</v>
      </c>
      <c r="T27" s="219">
        <f t="shared" si="5"/>
        <v>31.174104644655849</v>
      </c>
      <c r="U27" s="219">
        <f t="shared" si="5"/>
        <v>33.265149060272194</v>
      </c>
      <c r="V27" s="219">
        <f t="shared" si="5"/>
        <v>27.990337171052634</v>
      </c>
      <c r="W27" s="293"/>
      <c r="X27" s="294"/>
      <c r="Y27" s="281"/>
      <c r="Z27" s="94"/>
      <c r="AA27" s="282"/>
      <c r="AB27" s="5"/>
      <c r="AC27" s="6"/>
      <c r="AD27" s="7"/>
      <c r="AE27" s="1"/>
      <c r="AF27" s="321" t="s">
        <v>3014</v>
      </c>
      <c r="AG27" s="260"/>
      <c r="AH27" s="260"/>
      <c r="AI27" s="260">
        <f>SUM(O1:S1)</f>
        <v>3</v>
      </c>
      <c r="AJ27" s="260"/>
      <c r="AK27" s="260"/>
      <c r="AL27" s="322" t="str">
        <f>IF(AI27&lt;3,"False","True")</f>
        <v>True</v>
      </c>
      <c r="AM27" s="323" t="s">
        <v>3161</v>
      </c>
    </row>
    <row r="28" spans="1:920">
      <c r="A28" s="2"/>
      <c r="B28" s="94"/>
      <c r="C28" s="3"/>
      <c r="D28" s="6"/>
      <c r="E28" s="3"/>
      <c r="F28" s="533"/>
      <c r="G28" s="533"/>
      <c r="H28" s="533"/>
      <c r="I28" s="533"/>
      <c r="J28" s="4"/>
      <c r="K28" s="3"/>
      <c r="L28" s="3"/>
      <c r="M28" s="3"/>
      <c r="N28" s="133" t="s">
        <v>28</v>
      </c>
      <c r="O28" s="221">
        <f>O26+O27</f>
        <v>178.48734682160082</v>
      </c>
      <c r="P28" s="221">
        <f t="shared" ref="P28:V28" si="6">P26+P27</f>
        <v>178.48734682160082</v>
      </c>
      <c r="Q28" s="221">
        <f t="shared" si="6"/>
        <v>212.9604783751407</v>
      </c>
      <c r="R28" s="221">
        <f>R26+R27</f>
        <v>180.85411524407061</v>
      </c>
      <c r="S28" s="221">
        <f t="shared" si="6"/>
        <v>169.30092679210117</v>
      </c>
      <c r="T28" s="221">
        <f t="shared" si="6"/>
        <v>197.51566000872307</v>
      </c>
      <c r="U28" s="221">
        <f t="shared" si="6"/>
        <v>199.98473870365274</v>
      </c>
      <c r="V28" s="221">
        <f t="shared" si="6"/>
        <v>164.1943812886997</v>
      </c>
      <c r="W28" s="295">
        <f>MIN(O28:V28)</f>
        <v>164.1943812886997</v>
      </c>
      <c r="X28" s="292"/>
      <c r="Y28" s="281"/>
      <c r="Z28" s="94"/>
      <c r="AA28" s="282"/>
      <c r="AB28" s="5"/>
      <c r="AC28" s="6"/>
      <c r="AD28" s="7"/>
      <c r="AE28" s="1"/>
      <c r="AF28" s="263" t="s">
        <v>2885</v>
      </c>
      <c r="AG28" s="136" t="s">
        <v>2898</v>
      </c>
      <c r="AH28" s="136"/>
      <c r="AI28" s="136">
        <f>V21/100</f>
        <v>14.99</v>
      </c>
      <c r="AJ28" s="136">
        <v>100</v>
      </c>
      <c r="AK28" s="136"/>
      <c r="AL28" s="275" t="str">
        <f>IF(AI28&lt;AJ28,"True","False")</f>
        <v>True</v>
      </c>
      <c r="AM28" s="324" t="str">
        <f>"股本  " &amp; AI28 &amp; "  億過大"</f>
        <v>股本  14.99  億過大</v>
      </c>
      <c r="AIH28">
        <f>V9</f>
        <v>1.36</v>
      </c>
    </row>
    <row r="29" spans="1:920">
      <c r="A29" s="2"/>
      <c r="B29" s="3"/>
      <c r="C29" s="3"/>
      <c r="D29" s="6"/>
      <c r="E29" s="3"/>
      <c r="F29" s="3"/>
      <c r="G29" s="3"/>
      <c r="H29" s="3"/>
      <c r="I29" s="3"/>
      <c r="J29" s="4"/>
      <c r="K29" s="3"/>
      <c r="L29" s="3"/>
      <c r="M29" s="3"/>
      <c r="N29" s="91" t="s">
        <v>29</v>
      </c>
      <c r="O29" s="216">
        <f>O18+O19</f>
        <v>33</v>
      </c>
      <c r="P29" s="216">
        <f t="shared" ref="P29:V29" si="7">P18+P19</f>
        <v>35</v>
      </c>
      <c r="Q29" s="216">
        <f t="shared" si="7"/>
        <v>35</v>
      </c>
      <c r="R29" s="216">
        <f>R18+R19</f>
        <v>33</v>
      </c>
      <c r="S29" s="216">
        <f t="shared" si="7"/>
        <v>32</v>
      </c>
      <c r="T29" s="216">
        <f t="shared" si="7"/>
        <v>32</v>
      </c>
      <c r="U29" s="216">
        <f t="shared" si="7"/>
        <v>30</v>
      </c>
      <c r="V29" s="216">
        <f t="shared" si="7"/>
        <v>30</v>
      </c>
      <c r="W29" s="283"/>
      <c r="X29" s="284"/>
      <c r="Y29" s="281"/>
      <c r="Z29" s="94"/>
      <c r="AA29" s="282"/>
      <c r="AB29" s="5"/>
      <c r="AC29" s="6"/>
      <c r="AD29" s="7"/>
      <c r="AE29" s="1"/>
      <c r="AF29" s="263" t="s">
        <v>2886</v>
      </c>
      <c r="AG29" s="136" t="s">
        <v>2893</v>
      </c>
      <c r="AH29" s="136"/>
      <c r="AI29" s="136">
        <f>V9</f>
        <v>1.36</v>
      </c>
      <c r="AJ29" s="136">
        <f>U9</f>
        <v>1.02</v>
      </c>
      <c r="AK29" s="136">
        <f>R9</f>
        <v>1.1599999999999999</v>
      </c>
      <c r="AL29" s="275" t="str">
        <f>IF(AI29&lt;0,"False",IF(AI29&gt;AJ29,"True",IF(AI29&gt;AK29,"True","False")))</f>
        <v>True</v>
      </c>
      <c r="AM29" s="324" t="s">
        <v>3011</v>
      </c>
      <c r="AIH29">
        <f>V9</f>
        <v>1.36</v>
      </c>
      <c r="AIJ29">
        <f>V9</f>
        <v>1.36</v>
      </c>
    </row>
    <row r="30" spans="1:920">
      <c r="A30" s="2"/>
      <c r="B30" s="94"/>
      <c r="C30" s="3"/>
      <c r="D30" s="6"/>
      <c r="E30" s="3"/>
      <c r="F30" s="533"/>
      <c r="G30" s="533"/>
      <c r="H30" s="533"/>
      <c r="I30" s="533"/>
      <c r="J30" s="4"/>
      <c r="K30" s="3"/>
      <c r="L30" s="3"/>
      <c r="M30" s="3"/>
      <c r="N30" s="91" t="s">
        <v>30</v>
      </c>
      <c r="O30" s="218">
        <f>P30</f>
        <v>1.6587677725118485E-2</v>
      </c>
      <c r="P30" s="218">
        <f t="shared" ref="P30:V30" si="8">P29/(IF(P3-O3&gt;0,P3,O4)-P16)</f>
        <v>1.6587677725118485E-2</v>
      </c>
      <c r="Q30" s="218">
        <f t="shared" si="8"/>
        <v>1.7650025214321734E-2</v>
      </c>
      <c r="R30" s="218">
        <f t="shared" si="8"/>
        <v>1.4138817480719794E-2</v>
      </c>
      <c r="S30" s="218">
        <f t="shared" si="8"/>
        <v>1.2288786482334869E-2</v>
      </c>
      <c r="T30" s="218">
        <f t="shared" si="8"/>
        <v>1.5928322548531607E-2</v>
      </c>
      <c r="U30" s="218">
        <f t="shared" si="8"/>
        <v>1.6910935738444193E-2</v>
      </c>
      <c r="V30" s="218">
        <f t="shared" si="8"/>
        <v>1.3268465280849183E-2</v>
      </c>
      <c r="W30" s="283"/>
      <c r="X30" s="284"/>
      <c r="Y30" s="281"/>
      <c r="Z30" s="94"/>
      <c r="AA30" s="282"/>
      <c r="AB30" s="5"/>
      <c r="AC30" s="6"/>
      <c r="AD30" s="7"/>
      <c r="AE30" s="1"/>
      <c r="AF30" s="263" t="s">
        <v>2891</v>
      </c>
      <c r="AG30" s="136" t="s">
        <v>2892</v>
      </c>
      <c r="AH30" s="136"/>
      <c r="AI30" s="274">
        <f>(AD2/AC2)-1</f>
        <v>0.11375951557093433</v>
      </c>
      <c r="AJ30" s="274">
        <f>(AD2/AC2)-1</f>
        <v>0.11375951557093433</v>
      </c>
      <c r="AK30" s="136"/>
      <c r="AL30" s="275" t="str">
        <f>IF(AJ30&gt;-0.03,"True","False")</f>
        <v>True</v>
      </c>
      <c r="AM30" s="324" t="s">
        <v>3010</v>
      </c>
    </row>
    <row r="31" spans="1:920">
      <c r="A31" s="2"/>
      <c r="B31" s="3"/>
      <c r="C31" s="3"/>
      <c r="D31" s="6"/>
      <c r="E31" s="3"/>
      <c r="F31" s="3"/>
      <c r="G31" s="3"/>
      <c r="H31" s="3"/>
      <c r="I31" s="3"/>
      <c r="J31" s="4"/>
      <c r="K31" s="3"/>
      <c r="L31" s="3"/>
      <c r="M31" s="3"/>
      <c r="N31" s="92" t="s">
        <v>214</v>
      </c>
      <c r="O31" s="222">
        <f t="shared" ref="O31:V31" si="9">O29/O4</f>
        <v>1.5463917525773196E-2</v>
      </c>
      <c r="P31" s="222">
        <f t="shared" si="9"/>
        <v>1.74042764793635E-2</v>
      </c>
      <c r="Q31" s="222">
        <f t="shared" si="9"/>
        <v>2.0920502092050208E-2</v>
      </c>
      <c r="R31" s="222">
        <f>R29/R4</f>
        <v>1.783783783783784E-2</v>
      </c>
      <c r="S31" s="222">
        <f>S29/S4</f>
        <v>1.5748031496062992E-2</v>
      </c>
      <c r="T31" s="222">
        <f t="shared" si="9"/>
        <v>1.790710688304421E-2</v>
      </c>
      <c r="U31" s="222">
        <f t="shared" si="9"/>
        <v>1.9442644199611146E-2</v>
      </c>
      <c r="V31" s="222">
        <f t="shared" si="9"/>
        <v>1.6447368421052631E-2</v>
      </c>
      <c r="W31" s="549">
        <f>AVERAGE(O32:V32)</f>
        <v>1.1677238976934718</v>
      </c>
      <c r="X31" s="550"/>
      <c r="Y31" s="281"/>
      <c r="Z31" s="94"/>
      <c r="AA31" s="282"/>
      <c r="AB31" s="5"/>
      <c r="AC31" s="6"/>
      <c r="AD31" s="7"/>
      <c r="AE31" s="1"/>
      <c r="AF31" s="263" t="s">
        <v>3042</v>
      </c>
      <c r="AG31" s="136"/>
      <c r="AH31" s="136"/>
      <c r="AI31" s="346">
        <f>MIN('W55'!B1:H1)</f>
        <v>-4.9916805324459234E-3</v>
      </c>
      <c r="AJ31" s="271">
        <v>-6.0000000000000001E-3</v>
      </c>
      <c r="AK31" s="136"/>
      <c r="AL31" s="51" t="b">
        <v>1</v>
      </c>
      <c r="AM31" s="324" t="s">
        <v>3041</v>
      </c>
    </row>
    <row r="32" spans="1:920">
      <c r="A32" s="2"/>
      <c r="B32" s="94"/>
      <c r="C32" s="3"/>
      <c r="D32" s="6"/>
      <c r="E32" s="3"/>
      <c r="F32" s="533"/>
      <c r="G32" s="533"/>
      <c r="H32" s="533"/>
      <c r="I32" s="533"/>
      <c r="J32" s="4"/>
      <c r="K32" s="3"/>
      <c r="L32" s="3"/>
      <c r="M32" s="3"/>
      <c r="N32" s="540" t="s">
        <v>31</v>
      </c>
      <c r="O32" s="223">
        <f t="shared" ref="O32:V32" si="10">IF(O8&gt;0,IF(O15&gt;O8,IF(ISNUMBER(O15/O8),O15/O8,0),0),0)</f>
        <v>0</v>
      </c>
      <c r="P32" s="223">
        <f t="shared" si="10"/>
        <v>0</v>
      </c>
      <c r="Q32" s="223">
        <f t="shared" si="10"/>
        <v>0</v>
      </c>
      <c r="R32" s="223">
        <f>IF(R8&gt;0,IF(R15&gt;R8,IF(ISNUMBER(R15/R8),R15/R8,0),0),0)</f>
        <v>3.2528735632183907</v>
      </c>
      <c r="S32" s="223">
        <f t="shared" si="10"/>
        <v>0</v>
      </c>
      <c r="T32" s="223">
        <f t="shared" si="10"/>
        <v>2.7032967032967035</v>
      </c>
      <c r="U32" s="223">
        <f t="shared" si="10"/>
        <v>3.3856209150326797</v>
      </c>
      <c r="V32" s="223">
        <f t="shared" si="10"/>
        <v>0</v>
      </c>
      <c r="W32" s="549"/>
      <c r="X32" s="550"/>
      <c r="Y32" s="281"/>
      <c r="Z32" s="94"/>
      <c r="AA32" s="282"/>
      <c r="AB32" s="5"/>
      <c r="AC32" s="6"/>
      <c r="AD32" s="7"/>
      <c r="AE32" s="1"/>
      <c r="AF32" s="263" t="s">
        <v>2887</v>
      </c>
      <c r="AG32" s="136" t="s">
        <v>2894</v>
      </c>
      <c r="AH32" s="136"/>
      <c r="AI32" s="136">
        <f>AI53</f>
        <v>0</v>
      </c>
      <c r="AJ32" s="136">
        <f>P54</f>
        <v>53.3</v>
      </c>
      <c r="AK32" s="136">
        <f>AI55</f>
        <v>0</v>
      </c>
      <c r="AL32" s="136" t="str">
        <f>IF(AI32&gt;AJ32,"True",IF(AK32&gt;0,"True","False"))</f>
        <v>False</v>
      </c>
      <c r="AM32" s="324" t="s">
        <v>3012</v>
      </c>
    </row>
    <row r="33" spans="1:91">
      <c r="A33" s="2"/>
      <c r="B33" s="3"/>
      <c r="C33" s="3"/>
      <c r="D33" s="6"/>
      <c r="E33" s="3"/>
      <c r="F33" s="3"/>
      <c r="G33" s="3"/>
      <c r="H33" s="3"/>
      <c r="I33" s="3"/>
      <c r="J33" s="4"/>
      <c r="K33" s="3"/>
      <c r="L33" s="3"/>
      <c r="M33" s="3"/>
      <c r="N33" s="540"/>
      <c r="O33" s="223">
        <f>$W$31</f>
        <v>1.1677238976934718</v>
      </c>
      <c r="P33" s="223">
        <f t="shared" ref="P33:V33" si="11">$W$31</f>
        <v>1.1677238976934718</v>
      </c>
      <c r="Q33" s="223">
        <f t="shared" si="11"/>
        <v>1.1677238976934718</v>
      </c>
      <c r="R33" s="223">
        <f t="shared" si="11"/>
        <v>1.1677238976934718</v>
      </c>
      <c r="S33" s="223">
        <f t="shared" si="11"/>
        <v>1.1677238976934718</v>
      </c>
      <c r="T33" s="223">
        <f t="shared" si="11"/>
        <v>1.1677238976934718</v>
      </c>
      <c r="U33" s="223">
        <f t="shared" si="11"/>
        <v>1.1677238976934718</v>
      </c>
      <c r="V33" s="223">
        <f t="shared" si="11"/>
        <v>1.1677238976934718</v>
      </c>
      <c r="W33" s="291"/>
      <c r="X33" s="292"/>
      <c r="Y33" s="281"/>
      <c r="Z33" s="94"/>
      <c r="AA33" s="282"/>
      <c r="AB33" s="5"/>
      <c r="AC33" s="6"/>
      <c r="AD33" s="7"/>
      <c r="AE33" s="1"/>
      <c r="AF33" s="263" t="s">
        <v>2888</v>
      </c>
      <c r="AG33" s="136" t="s">
        <v>2895</v>
      </c>
      <c r="AH33" s="136"/>
      <c r="AI33" s="271">
        <f>AD56</f>
        <v>0</v>
      </c>
      <c r="AJ33" s="270">
        <v>0.15</v>
      </c>
      <c r="AK33" s="136"/>
      <c r="AL33" s="136" t="str">
        <f>IF(AI33&lt;AJ33,"True","False")</f>
        <v>True</v>
      </c>
      <c r="AM33" s="324" t="s">
        <v>3006</v>
      </c>
    </row>
    <row r="34" spans="1:91">
      <c r="A34" s="2"/>
      <c r="B34" s="94"/>
      <c r="C34" s="3"/>
      <c r="D34" s="6"/>
      <c r="E34" s="3"/>
      <c r="F34" s="533"/>
      <c r="G34" s="533"/>
      <c r="H34" s="533"/>
      <c r="I34" s="533"/>
      <c r="J34" s="4"/>
      <c r="K34" s="3"/>
      <c r="L34" s="3"/>
      <c r="M34" s="3"/>
      <c r="N34" s="92" t="s">
        <v>32</v>
      </c>
      <c r="O34" s="224">
        <f t="shared" ref="O34:U34" si="12">IF(O6&gt;0,IF((O7-O6)&gt;0,O5,0),MAX(O5,O7))</f>
        <v>343</v>
      </c>
      <c r="P34" s="224">
        <f t="shared" si="12"/>
        <v>348</v>
      </c>
      <c r="Q34" s="224">
        <f t="shared" si="12"/>
        <v>215</v>
      </c>
      <c r="R34" s="224">
        <f>IF(R6&gt;0,IF((R7-R6)&gt;0,R5,0),MAX(R5,R7))</f>
        <v>245</v>
      </c>
      <c r="S34" s="224">
        <f t="shared" si="12"/>
        <v>354</v>
      </c>
      <c r="T34" s="224">
        <f t="shared" si="12"/>
        <v>257</v>
      </c>
      <c r="U34" s="224">
        <f t="shared" si="12"/>
        <v>232</v>
      </c>
      <c r="V34" s="224">
        <f>IF(V6&gt;0,IF((V7-V6)&gt;0,V5,0),MAX(V5,V7))</f>
        <v>246</v>
      </c>
      <c r="W34" s="291"/>
      <c r="X34" s="292"/>
      <c r="Y34" s="281"/>
      <c r="Z34" s="94"/>
      <c r="AA34" s="282"/>
      <c r="AB34" s="5"/>
      <c r="AC34" s="6"/>
      <c r="AD34" s="7"/>
      <c r="AE34" s="1"/>
      <c r="AF34" s="263" t="s">
        <v>2890</v>
      </c>
      <c r="AG34" s="136" t="s">
        <v>2897</v>
      </c>
      <c r="AH34" s="136"/>
      <c r="AI34" s="271">
        <f>AD61</f>
        <v>0</v>
      </c>
      <c r="AJ34" s="270">
        <v>2</v>
      </c>
      <c r="AK34" s="136"/>
      <c r="AL34" s="136" t="str">
        <f>IF(AI34&lt;AJ34,"True","False")</f>
        <v>True</v>
      </c>
      <c r="AM34" s="324" t="s">
        <v>3007</v>
      </c>
    </row>
    <row r="35" spans="1:91">
      <c r="A35" s="2"/>
      <c r="B35" s="3"/>
      <c r="C35" s="3"/>
      <c r="D35" s="6"/>
      <c r="E35" s="3"/>
      <c r="F35" s="303"/>
      <c r="G35" s="303"/>
      <c r="H35" s="303"/>
      <c r="I35" s="303"/>
      <c r="J35" s="304"/>
      <c r="K35" s="303"/>
      <c r="L35" s="303"/>
      <c r="M35" s="303"/>
      <c r="N35" s="305" t="s">
        <v>33</v>
      </c>
      <c r="O35" s="218">
        <f t="shared" ref="O35:T35" si="13">O34/O7</f>
        <v>0.98847262247838619</v>
      </c>
      <c r="P35" s="218">
        <f t="shared" si="13"/>
        <v>0.98305084745762716</v>
      </c>
      <c r="Q35" s="218">
        <f t="shared" si="13"/>
        <v>0.87755102040816324</v>
      </c>
      <c r="R35" s="218">
        <f>R34/R7</f>
        <v>0.92105263157894735</v>
      </c>
      <c r="S35" s="218">
        <f t="shared" si="13"/>
        <v>0.84486873508353222</v>
      </c>
      <c r="T35" s="218">
        <f t="shared" si="13"/>
        <v>0.84262295081967209</v>
      </c>
      <c r="U35" s="218">
        <f>U34/U7</f>
        <v>1.0403587443946187</v>
      </c>
      <c r="V35" s="218">
        <f>IF(V7&gt;0,V34/V7,0)</f>
        <v>0.79099678456591638</v>
      </c>
      <c r="W35" s="283"/>
      <c r="X35" s="284"/>
      <c r="Y35" s="289"/>
      <c r="Z35" s="283"/>
      <c r="AA35" s="306"/>
      <c r="AB35" s="307"/>
      <c r="AC35" s="6"/>
      <c r="AD35" s="7"/>
      <c r="AE35" s="1"/>
      <c r="AF35" s="263" t="s">
        <v>2889</v>
      </c>
      <c r="AG35" s="136" t="s">
        <v>2896</v>
      </c>
      <c r="AH35" s="136"/>
      <c r="AI35" s="271">
        <f>AE73</f>
        <v>0</v>
      </c>
      <c r="AJ35" s="271">
        <v>1.5</v>
      </c>
      <c r="AK35" s="136"/>
      <c r="AL35" s="136" t="str">
        <f>IF(AI35&lt;AJ35,"True","False")</f>
        <v>True</v>
      </c>
      <c r="AM35" s="324" t="s">
        <v>3008</v>
      </c>
    </row>
    <row r="36" spans="1:91" ht="21" customHeight="1" thickBot="1">
      <c r="A36" s="8"/>
      <c r="B36" s="9"/>
      <c r="C36" s="9"/>
      <c r="D36" s="77"/>
      <c r="E36" s="9"/>
      <c r="F36" s="308"/>
      <c r="G36" s="308"/>
      <c r="H36" s="308"/>
      <c r="I36" s="308"/>
      <c r="J36" s="309"/>
      <c r="K36" s="308"/>
      <c r="L36" s="308"/>
      <c r="M36" s="308"/>
      <c r="N36" s="310" t="s">
        <v>34</v>
      </c>
      <c r="O36" s="225"/>
      <c r="P36" s="225">
        <f>Q36</f>
        <v>7.6844166744381243E-2</v>
      </c>
      <c r="Q36" s="225">
        <f>(Q8+P8)*2/(O20+Q20)</f>
        <v>7.6844166744381243E-2</v>
      </c>
      <c r="R36" s="225">
        <f>(R8+Q8)*2/(P20+R20)</f>
        <v>6.2447257383966247E-2</v>
      </c>
      <c r="S36" s="225">
        <f>(S8+R8+Q8+P8)/(O20+S20)</f>
        <v>8.1336101151160592E-2</v>
      </c>
      <c r="T36" s="225">
        <f>(T8+S8+R8+Q8)/(P20+T20)</f>
        <v>7.0814682184422564E-2</v>
      </c>
      <c r="U36" s="225">
        <f>(U8+T8+S8+R8)/(Q20+U20)</f>
        <v>6.9260631727545444E-2</v>
      </c>
      <c r="V36" s="225">
        <f>(V8+U8+T8+S8)/(R20+V20)</f>
        <v>7.9972524776763809E-2</v>
      </c>
      <c r="W36" s="296"/>
      <c r="X36" s="297"/>
      <c r="Y36" s="296"/>
      <c r="Z36" s="287"/>
      <c r="AA36" s="311"/>
      <c r="AB36" s="312"/>
      <c r="AC36" s="77"/>
      <c r="AD36" s="78"/>
      <c r="AE36" s="1"/>
      <c r="AF36" s="263" t="s">
        <v>2906</v>
      </c>
      <c r="AG36" s="136" t="s">
        <v>2907</v>
      </c>
      <c r="AH36" s="136"/>
      <c r="AI36" s="136">
        <f>C1</f>
        <v>11</v>
      </c>
      <c r="AJ36" s="136">
        <v>0</v>
      </c>
      <c r="AK36" s="136">
        <v>20</v>
      </c>
      <c r="AL36" s="136" t="str">
        <f>IF(AI36&lt;AK36,"True","False")</f>
        <v>True</v>
      </c>
      <c r="AM36" s="324" t="s">
        <v>3009</v>
      </c>
      <c r="AN36" s="213"/>
      <c r="AO36" s="213"/>
      <c r="AP36" s="213"/>
      <c r="AQ36" s="213"/>
      <c r="AR36" s="213"/>
      <c r="AS36" s="213"/>
      <c r="AT36" s="213"/>
      <c r="AU36" s="213"/>
      <c r="AV36" s="213"/>
      <c r="AW36" s="213"/>
      <c r="AX36" s="213"/>
      <c r="AY36" s="213"/>
      <c r="AZ36" s="213"/>
      <c r="BA36" s="213"/>
      <c r="BB36" s="213"/>
      <c r="BC36" s="213"/>
      <c r="BD36" s="213"/>
      <c r="BE36" s="213"/>
      <c r="BF36" s="213"/>
      <c r="BG36" s="213"/>
      <c r="BH36" s="213"/>
      <c r="BI36" s="213"/>
      <c r="BJ36" s="213"/>
      <c r="BK36" s="213"/>
      <c r="BL36" s="213"/>
      <c r="BM36" s="213"/>
      <c r="BN36" s="213"/>
      <c r="BO36" s="213"/>
      <c r="BP36" s="213"/>
      <c r="BQ36" s="213"/>
      <c r="BR36" s="213"/>
      <c r="BS36" s="213"/>
      <c r="BT36" s="213"/>
      <c r="BU36" s="213"/>
      <c r="BV36" s="213"/>
      <c r="BW36" s="213"/>
      <c r="BX36" s="213"/>
      <c r="BY36" s="213"/>
      <c r="BZ36" s="213"/>
      <c r="CA36" s="213"/>
      <c r="CB36" s="213"/>
      <c r="CC36" s="213"/>
      <c r="CD36" s="213"/>
      <c r="CE36" s="213"/>
      <c r="CF36" s="213"/>
      <c r="CG36" s="213"/>
      <c r="CH36" s="213"/>
      <c r="CI36" s="213"/>
      <c r="CJ36" s="213"/>
      <c r="CK36" s="213"/>
      <c r="CL36" s="213"/>
    </row>
    <row r="37" spans="1:91" s="120" customFormat="1">
      <c r="A37" s="118"/>
      <c r="B37" s="118"/>
      <c r="C37" s="118"/>
      <c r="D37" s="118"/>
      <c r="E37" s="118"/>
      <c r="F37" s="313"/>
      <c r="G37" s="313"/>
      <c r="H37" s="313"/>
      <c r="I37" s="114"/>
      <c r="J37" s="114"/>
      <c r="K37" s="114"/>
      <c r="L37" s="114"/>
      <c r="M37" s="114"/>
      <c r="N37" s="314" t="s">
        <v>42</v>
      </c>
      <c r="O37" s="315">
        <f>O15-O16</f>
        <v>107</v>
      </c>
      <c r="P37" s="315">
        <f>P15-P16</f>
        <v>204</v>
      </c>
      <c r="Q37" s="315">
        <f t="shared" ref="Q37:V37" si="14">Q15-Q16</f>
        <v>-25</v>
      </c>
      <c r="R37" s="315">
        <f>R15-R16</f>
        <v>548</v>
      </c>
      <c r="S37" s="315">
        <f t="shared" si="14"/>
        <v>24</v>
      </c>
      <c r="T37" s="315">
        <f t="shared" si="14"/>
        <v>469</v>
      </c>
      <c r="U37" s="315">
        <f t="shared" si="14"/>
        <v>505</v>
      </c>
      <c r="V37" s="315">
        <f t="shared" si="14"/>
        <v>-149</v>
      </c>
      <c r="W37" s="90"/>
      <c r="X37" s="90"/>
      <c r="Y37" s="90"/>
      <c r="Z37" s="114"/>
      <c r="AA37" s="316"/>
      <c r="AB37" s="114"/>
      <c r="AC37" s="114"/>
      <c r="AD37" s="118"/>
      <c r="AE37" s="118"/>
      <c r="AF37" s="263" t="s">
        <v>3005</v>
      </c>
      <c r="AG37" s="136"/>
      <c r="AH37" s="136"/>
      <c r="AI37" s="300">
        <f>AJ37-AK37</f>
        <v>-3.6093418259023338</v>
      </c>
      <c r="AJ37" s="300">
        <f>'W55'!K4</f>
        <v>-100</v>
      </c>
      <c r="AK37" s="300">
        <f>'W55'!K5</f>
        <v>-96.390658174097666</v>
      </c>
      <c r="AL37" s="136" t="str">
        <f>IF(AJ37&gt;-50,"True","False")</f>
        <v>False</v>
      </c>
      <c r="AM37" s="324" t="s">
        <v>3043</v>
      </c>
      <c r="AN37" s="213"/>
      <c r="AO37" s="213"/>
      <c r="AP37" s="213"/>
      <c r="AQ37" s="213"/>
      <c r="AR37" s="213"/>
      <c r="AS37" s="213"/>
      <c r="AT37" s="213"/>
      <c r="AU37" s="213"/>
      <c r="AV37" s="213"/>
      <c r="AW37" s="213"/>
      <c r="AX37" s="213"/>
      <c r="AY37" s="213"/>
      <c r="AZ37" s="213"/>
      <c r="BA37" s="213"/>
      <c r="BB37" s="213"/>
      <c r="BC37" s="213"/>
      <c r="BD37" s="213"/>
      <c r="BE37" s="213"/>
      <c r="BF37" s="213"/>
      <c r="BG37" s="213"/>
      <c r="BH37" s="213"/>
      <c r="BI37" s="213"/>
      <c r="BJ37" s="213"/>
      <c r="BK37" s="213"/>
      <c r="BL37" s="213"/>
      <c r="BM37" s="213"/>
      <c r="BN37" s="213"/>
      <c r="BO37" s="213"/>
      <c r="BP37" s="213"/>
      <c r="BQ37" s="213"/>
      <c r="BR37" s="213"/>
      <c r="BS37" s="213"/>
      <c r="BT37" s="213"/>
      <c r="BU37" s="213"/>
      <c r="BV37" s="213"/>
      <c r="BW37" s="213"/>
      <c r="BX37" s="213"/>
      <c r="BY37" s="213"/>
      <c r="BZ37" s="213"/>
      <c r="CA37" s="213"/>
      <c r="CB37" s="213"/>
      <c r="CC37" s="213"/>
      <c r="CD37" s="213"/>
      <c r="CE37" s="213"/>
      <c r="CF37" s="213"/>
      <c r="CG37" s="213"/>
      <c r="CH37" s="213"/>
      <c r="CI37" s="213"/>
      <c r="CJ37" s="213"/>
      <c r="CK37" s="213"/>
      <c r="CL37" s="213"/>
      <c r="CM37" s="213"/>
    </row>
    <row r="38" spans="1:91" s="120" customFormat="1">
      <c r="I38" s="116"/>
      <c r="J38" s="116"/>
      <c r="K38" s="116"/>
      <c r="L38" s="116"/>
      <c r="M38" s="116"/>
      <c r="N38" s="317" t="s">
        <v>1827</v>
      </c>
      <c r="O38" s="113">
        <f>O9*O35</f>
        <v>1.5815561959654181</v>
      </c>
      <c r="P38" s="113">
        <f t="shared" ref="P38:U38" si="15">P9*P35</f>
        <v>1.66135593220339</v>
      </c>
      <c r="Q38" s="113">
        <f t="shared" si="15"/>
        <v>0.93020408163265311</v>
      </c>
      <c r="R38" s="113">
        <f>R9*R35</f>
        <v>1.0684210526315789</v>
      </c>
      <c r="S38" s="113">
        <f t="shared" si="15"/>
        <v>1.5545584725536994</v>
      </c>
      <c r="T38" s="113">
        <f t="shared" si="15"/>
        <v>1.028</v>
      </c>
      <c r="U38" s="113">
        <f t="shared" si="15"/>
        <v>1.0611659192825111</v>
      </c>
      <c r="V38" s="113">
        <f>IF(ISNUMBER(V6),V9*V35,V9)</f>
        <v>1.0757556270096464</v>
      </c>
      <c r="W38" s="114">
        <f>AD6</f>
        <v>1.23</v>
      </c>
      <c r="X38" s="114"/>
      <c r="Y38" s="116"/>
      <c r="Z38" s="116"/>
      <c r="AA38" s="316"/>
      <c r="AB38" s="116"/>
      <c r="AC38" s="116"/>
      <c r="AF38" s="325" t="s">
        <v>3013</v>
      </c>
      <c r="AG38" s="136"/>
      <c r="AH38" s="136"/>
      <c r="AI38" s="300"/>
      <c r="AJ38" s="300">
        <f>AO92-AL92</f>
        <v>0</v>
      </c>
      <c r="AK38" s="301">
        <f>AE93-AJ93</f>
        <v>0</v>
      </c>
      <c r="AL38" s="136" t="str">
        <f>IF(AJ38&lt;0,IF(AK38&gt;0,"False","True"),"True")</f>
        <v>True</v>
      </c>
      <c r="AM38" s="324" t="s">
        <v>3015</v>
      </c>
      <c r="AN38" s="213"/>
      <c r="AO38" s="213"/>
      <c r="AP38" s="213"/>
      <c r="AQ38" s="213"/>
      <c r="AR38" s="213"/>
      <c r="AS38" s="213"/>
      <c r="AT38" s="213"/>
      <c r="AU38" s="213"/>
      <c r="AV38" s="213"/>
      <c r="AW38" s="213"/>
      <c r="AX38" s="213"/>
      <c r="AY38" s="213"/>
      <c r="AZ38" s="213"/>
      <c r="BA38" s="213"/>
      <c r="BB38" s="213"/>
      <c r="BC38" s="213"/>
      <c r="BD38" s="213"/>
      <c r="BE38" s="213"/>
      <c r="BF38" s="213"/>
      <c r="BG38" s="213"/>
      <c r="BH38" s="213"/>
      <c r="BI38" s="213"/>
      <c r="BJ38" s="213"/>
      <c r="BK38" s="213"/>
      <c r="BL38" s="213"/>
      <c r="BM38" s="213"/>
      <c r="BN38" s="213"/>
      <c r="BO38" s="213"/>
      <c r="BP38" s="213"/>
      <c r="BQ38" s="213"/>
      <c r="BR38" s="213"/>
      <c r="BS38" s="213"/>
      <c r="BT38" s="213"/>
      <c r="BU38" s="213"/>
      <c r="BV38" s="213"/>
      <c r="BW38" s="213"/>
      <c r="BX38" s="213"/>
      <c r="BY38" s="213"/>
      <c r="BZ38" s="213"/>
      <c r="CA38" s="213"/>
      <c r="CB38" s="213"/>
      <c r="CC38" s="213"/>
      <c r="CD38" s="213"/>
      <c r="CE38" s="213"/>
      <c r="CF38" s="213"/>
      <c r="CG38" s="213"/>
      <c r="CH38" s="213"/>
      <c r="CI38" s="213"/>
      <c r="CJ38" s="213"/>
      <c r="CK38" s="213"/>
      <c r="CL38" s="213"/>
      <c r="CM38" s="213"/>
    </row>
    <row r="39" spans="1:91" s="120" customFormat="1">
      <c r="I39" s="116"/>
      <c r="J39" s="116"/>
      <c r="K39" s="116"/>
      <c r="L39" s="116"/>
      <c r="M39" s="116"/>
      <c r="N39" s="117" t="s">
        <v>1824</v>
      </c>
      <c r="O39" s="113">
        <f>O9*(1-O35)</f>
        <v>1.8443804034582102E-2</v>
      </c>
      <c r="P39" s="113">
        <f t="shared" ref="P39:U39" si="16">P9*(1-P35)</f>
        <v>2.8644067796610093E-2</v>
      </c>
      <c r="Q39" s="113">
        <f t="shared" si="16"/>
        <v>0.12979591836734697</v>
      </c>
      <c r="R39" s="113">
        <f>R9*(1-R35)</f>
        <v>9.1578947368421079E-2</v>
      </c>
      <c r="S39" s="113">
        <f t="shared" si="16"/>
        <v>0.28544152744630075</v>
      </c>
      <c r="T39" s="113">
        <f t="shared" si="16"/>
        <v>0.19200000000000006</v>
      </c>
      <c r="U39" s="113">
        <f t="shared" si="16"/>
        <v>-4.1165919282511107E-2</v>
      </c>
      <c r="V39" s="113">
        <f>IF(ISNUMBER(V6),V9*(1-V35),0)</f>
        <v>0.28424437299035377</v>
      </c>
      <c r="W39" s="318">
        <f>AVERAGE(R39:V39)</f>
        <v>0.1624197857045129</v>
      </c>
      <c r="X39" s="114"/>
      <c r="Y39" s="116"/>
      <c r="Z39" s="116"/>
      <c r="AA39" s="316"/>
      <c r="AB39" s="116"/>
      <c r="AC39" s="116"/>
      <c r="AF39" s="135" t="s">
        <v>3016</v>
      </c>
      <c r="AG39" s="136"/>
      <c r="AH39" s="136"/>
      <c r="AI39" s="136">
        <f>IF(V3=MAX(S3:V3),1,2)</f>
        <v>2</v>
      </c>
      <c r="AJ39" s="136">
        <f>IF(S3&lt;V3,1,2)</f>
        <v>2</v>
      </c>
      <c r="AK39" s="136">
        <f>IF(T3&lt;S3,1,IF(S3=MIN(S3:V3),1,2))</f>
        <v>1</v>
      </c>
      <c r="AL39" s="136" t="str">
        <f>IF(SUM(AI39:AK39)=3,"False","True")</f>
        <v>True</v>
      </c>
      <c r="AM39" s="275" t="s">
        <v>3030</v>
      </c>
      <c r="AN39" s="213"/>
      <c r="AO39" s="213"/>
      <c r="AP39" s="213"/>
      <c r="AQ39" s="213"/>
      <c r="AR39" s="213"/>
      <c r="AS39" s="213"/>
      <c r="AT39" s="213"/>
      <c r="AU39" s="213"/>
      <c r="AV39" s="213"/>
      <c r="AW39" s="213"/>
      <c r="AX39" s="213"/>
      <c r="AY39" s="213"/>
      <c r="AZ39" s="213"/>
      <c r="BA39" s="213"/>
      <c r="BB39" s="213"/>
      <c r="BC39" s="213"/>
      <c r="BD39" s="213"/>
      <c r="BE39" s="213"/>
      <c r="BF39" s="213"/>
      <c r="BG39" s="213"/>
      <c r="BH39" s="213"/>
      <c r="BI39" s="213"/>
      <c r="BJ39" s="213"/>
      <c r="BK39" s="213"/>
      <c r="BL39" s="213"/>
      <c r="BM39" s="213"/>
      <c r="BN39" s="213"/>
      <c r="BO39" s="213"/>
      <c r="BP39" s="213"/>
      <c r="BQ39" s="213"/>
      <c r="BR39" s="213"/>
      <c r="BS39" s="213"/>
      <c r="BT39" s="213"/>
      <c r="BU39" s="213"/>
      <c r="BV39" s="213"/>
      <c r="BW39" s="213"/>
      <c r="BX39" s="213"/>
      <c r="BY39" s="213"/>
      <c r="BZ39" s="213"/>
      <c r="CA39" s="213"/>
      <c r="CB39" s="213"/>
      <c r="CC39" s="213"/>
      <c r="CD39" s="213"/>
      <c r="CE39" s="213"/>
      <c r="CF39" s="213"/>
      <c r="CG39" s="213"/>
      <c r="CH39" s="213"/>
      <c r="CI39" s="213"/>
      <c r="CJ39" s="213"/>
      <c r="CK39" s="213"/>
      <c r="CL39" s="213"/>
      <c r="CM39" s="213"/>
    </row>
    <row r="40" spans="1:91" s="1" customFormat="1" ht="25.5">
      <c r="C40" s="85"/>
      <c r="D40" s="10"/>
      <c r="E40" s="10"/>
      <c r="F40" s="122"/>
      <c r="G40" s="122"/>
      <c r="H40" s="122"/>
      <c r="I40" s="319"/>
      <c r="J40" s="319"/>
      <c r="K40" s="116"/>
      <c r="L40" s="116"/>
      <c r="M40" s="116"/>
      <c r="N40" s="117"/>
      <c r="O40" s="114"/>
      <c r="P40" s="114"/>
      <c r="Q40" s="114"/>
      <c r="R40" s="114"/>
      <c r="S40" s="114"/>
      <c r="T40" s="114"/>
      <c r="U40" s="114"/>
      <c r="V40" s="114"/>
      <c r="W40" s="114"/>
      <c r="X40" s="116"/>
      <c r="Y40" s="116"/>
      <c r="Z40" s="116"/>
      <c r="AA40" s="316"/>
      <c r="AB40" s="116"/>
      <c r="AC40" s="116"/>
      <c r="AF40" s="135"/>
      <c r="AG40" s="136"/>
      <c r="AH40" s="136"/>
      <c r="AI40" s="136"/>
      <c r="AJ40" s="136"/>
      <c r="AK40" s="136"/>
      <c r="AL40" s="136"/>
      <c r="AM40" s="136"/>
      <c r="AN40" s="213"/>
      <c r="AO40" s="213"/>
      <c r="AP40" s="213"/>
      <c r="AQ40" s="213"/>
      <c r="AR40" s="213"/>
      <c r="AS40" s="213"/>
      <c r="AT40" s="213"/>
      <c r="AU40" s="213"/>
      <c r="AV40" s="213"/>
      <c r="AW40" s="213"/>
      <c r="AX40" s="213"/>
      <c r="AY40" s="213"/>
      <c r="AZ40" s="213"/>
      <c r="BA40" s="213"/>
      <c r="BB40" s="213"/>
      <c r="BC40" s="213"/>
      <c r="BD40" s="213"/>
      <c r="BE40" s="213"/>
      <c r="BF40" s="213"/>
      <c r="BG40" s="213"/>
      <c r="BH40" s="213"/>
      <c r="BI40" s="213"/>
      <c r="BJ40" s="213"/>
      <c r="BK40" s="213"/>
      <c r="BL40" s="213"/>
      <c r="BM40" s="213"/>
      <c r="BN40" s="213"/>
      <c r="BO40" s="213"/>
      <c r="BP40" s="213"/>
      <c r="BQ40" s="213"/>
      <c r="BR40" s="213"/>
      <c r="BS40" s="213"/>
      <c r="BT40" s="213"/>
      <c r="BU40" s="213"/>
      <c r="BV40" s="213"/>
      <c r="BW40" s="213"/>
      <c r="BX40" s="213"/>
      <c r="BY40" s="213"/>
      <c r="BZ40" s="213"/>
      <c r="CA40" s="213"/>
      <c r="CB40" s="213"/>
      <c r="CC40" s="213"/>
      <c r="CD40" s="213"/>
      <c r="CE40" s="213"/>
      <c r="CF40" s="213"/>
      <c r="CG40" s="213"/>
      <c r="CH40" s="213"/>
      <c r="CI40" s="213"/>
      <c r="CJ40" s="213"/>
      <c r="CK40" s="213"/>
      <c r="CL40" s="213"/>
      <c r="CM40" s="213"/>
    </row>
    <row r="41" spans="1:91" s="1" customFormat="1">
      <c r="C41" s="10"/>
      <c r="D41" s="10"/>
      <c r="E41" s="10"/>
      <c r="F41" s="122"/>
      <c r="G41" s="122"/>
      <c r="H41" s="122"/>
      <c r="I41" s="319"/>
      <c r="J41" s="319"/>
      <c r="K41" s="116"/>
      <c r="L41" s="116"/>
      <c r="M41" s="116"/>
      <c r="N41" s="117"/>
      <c r="O41" s="114"/>
      <c r="P41" s="114"/>
      <c r="Q41" s="114"/>
      <c r="R41" s="114"/>
      <c r="S41" s="114"/>
      <c r="T41" s="114"/>
      <c r="U41" s="114"/>
      <c r="V41" s="114"/>
      <c r="W41" s="116"/>
      <c r="X41" s="116"/>
      <c r="Y41" s="116"/>
      <c r="Z41" s="116"/>
      <c r="AA41" s="316"/>
      <c r="AB41" s="116"/>
      <c r="AC41" s="116"/>
      <c r="AF41" s="213"/>
      <c r="AG41" s="213"/>
      <c r="AH41" s="213"/>
      <c r="AI41" s="213"/>
      <c r="AJ41" s="213"/>
      <c r="AK41" s="213"/>
      <c r="AL41" s="213"/>
      <c r="AM41" s="213"/>
      <c r="AN41" s="213"/>
      <c r="AO41" s="213"/>
      <c r="AP41" s="213"/>
      <c r="AQ41" s="213"/>
      <c r="AR41" s="213"/>
      <c r="AS41" s="213"/>
      <c r="AT41" s="213"/>
      <c r="AU41" s="213"/>
      <c r="AV41" s="213"/>
      <c r="AW41" s="213"/>
      <c r="AX41" s="213"/>
      <c r="AY41" s="213"/>
      <c r="AZ41" s="213"/>
      <c r="BA41" s="213"/>
      <c r="BB41" s="213"/>
      <c r="BC41" s="213"/>
      <c r="BD41" s="213"/>
      <c r="BE41" s="213"/>
      <c r="BF41" s="213"/>
      <c r="BG41" s="213"/>
      <c r="BH41" s="213"/>
      <c r="BI41" s="213"/>
      <c r="BJ41" s="213"/>
      <c r="BK41" s="213"/>
      <c r="BL41" s="213"/>
      <c r="BM41" s="213"/>
      <c r="BN41" s="213"/>
      <c r="BO41" s="213"/>
      <c r="BP41" s="213"/>
      <c r="BQ41" s="213"/>
      <c r="BR41" s="213"/>
      <c r="BS41" s="213"/>
      <c r="BT41" s="213"/>
      <c r="BU41" s="213"/>
      <c r="BV41" s="213"/>
      <c r="BW41" s="213"/>
      <c r="BX41" s="213"/>
      <c r="BY41" s="213"/>
      <c r="BZ41" s="213"/>
      <c r="CA41" s="213"/>
      <c r="CB41" s="213"/>
      <c r="CC41" s="213"/>
      <c r="CD41" s="213"/>
      <c r="CE41" s="213"/>
      <c r="CF41" s="213"/>
      <c r="CG41" s="213"/>
      <c r="CH41" s="213"/>
      <c r="CI41" s="213"/>
      <c r="CJ41" s="213"/>
      <c r="CK41" s="213"/>
      <c r="CL41" s="213"/>
      <c r="CM41" s="213"/>
    </row>
    <row r="42" spans="1:91" s="1" customFormat="1">
      <c r="C42" s="10"/>
      <c r="D42" s="10"/>
      <c r="E42" s="10"/>
      <c r="F42" s="122"/>
      <c r="G42" s="122"/>
      <c r="H42" s="122"/>
      <c r="I42" s="122"/>
      <c r="J42" s="122"/>
      <c r="K42" s="120"/>
      <c r="L42" s="120"/>
      <c r="M42" s="120"/>
      <c r="N42" s="121"/>
      <c r="O42" s="442"/>
      <c r="P42" s="442"/>
      <c r="Q42" s="442"/>
      <c r="R42" s="442"/>
      <c r="S42" s="442"/>
      <c r="T42" s="442"/>
      <c r="U42" s="442"/>
      <c r="V42" s="442"/>
      <c r="W42" s="120"/>
      <c r="X42" s="120"/>
      <c r="Y42" s="120"/>
      <c r="Z42" s="120"/>
      <c r="AA42" s="119"/>
      <c r="AB42" s="120"/>
      <c r="AF42" s="213"/>
      <c r="AG42" s="213"/>
      <c r="AH42" s="213"/>
      <c r="AI42" s="213"/>
      <c r="AJ42" s="213"/>
      <c r="AK42" s="213"/>
      <c r="AL42" s="213"/>
      <c r="AM42" s="213"/>
      <c r="AN42" s="213"/>
      <c r="AO42" s="213"/>
      <c r="AP42" s="213"/>
      <c r="AQ42" s="213"/>
      <c r="AR42" s="213"/>
      <c r="AS42" s="213"/>
      <c r="AT42" s="213"/>
      <c r="AU42" s="213"/>
      <c r="AV42" s="213"/>
      <c r="AW42" s="213"/>
      <c r="AX42" s="213"/>
      <c r="AY42" s="213"/>
      <c r="AZ42" s="213"/>
      <c r="BA42" s="213"/>
      <c r="BB42" s="213"/>
      <c r="BC42" s="213"/>
      <c r="BD42" s="213"/>
      <c r="BE42" s="213"/>
      <c r="BF42" s="213"/>
      <c r="BG42" s="213"/>
      <c r="BH42" s="213"/>
      <c r="BI42" s="213"/>
      <c r="BJ42" s="213"/>
      <c r="BK42" s="213"/>
      <c r="BL42" s="213"/>
      <c r="BM42" s="213"/>
      <c r="BN42" s="213"/>
      <c r="BO42" s="213"/>
      <c r="BP42" s="213"/>
      <c r="BQ42" s="213"/>
      <c r="BR42" s="213"/>
      <c r="BS42" s="213"/>
      <c r="BT42" s="213"/>
      <c r="BU42" s="213"/>
      <c r="BV42" s="213"/>
      <c r="BW42" s="213"/>
      <c r="BX42" s="213"/>
      <c r="BY42" s="213"/>
      <c r="BZ42" s="213"/>
      <c r="CA42" s="213"/>
      <c r="CB42" s="213"/>
      <c r="CC42" s="213"/>
      <c r="CD42" s="213"/>
      <c r="CE42" s="213"/>
      <c r="CF42" s="213"/>
      <c r="CG42" s="213"/>
      <c r="CH42" s="213"/>
      <c r="CI42" s="213"/>
      <c r="CJ42" s="213"/>
      <c r="CK42" s="213"/>
      <c r="CL42" s="213"/>
      <c r="CM42" s="213"/>
    </row>
    <row r="43" spans="1:91">
      <c r="F43" s="120"/>
      <c r="G43" s="120"/>
      <c r="H43" s="120"/>
      <c r="I43" s="120"/>
      <c r="J43" s="120"/>
      <c r="K43" s="120"/>
      <c r="L43" s="120"/>
      <c r="M43" s="120"/>
      <c r="N43" s="121"/>
      <c r="O43" s="115"/>
      <c r="P43" s="115"/>
      <c r="Q43" s="115"/>
      <c r="R43" s="115"/>
      <c r="S43" s="115"/>
      <c r="T43" s="115"/>
      <c r="U43" s="115"/>
      <c r="V43" s="115"/>
      <c r="W43" s="120"/>
      <c r="X43" s="120"/>
      <c r="Y43" s="120"/>
      <c r="Z43" s="120"/>
      <c r="AA43" s="119"/>
      <c r="AB43" s="120"/>
      <c r="AC43" s="1"/>
      <c r="AD43" s="1"/>
      <c r="AE43" s="1"/>
      <c r="AF43" s="213"/>
      <c r="AG43" s="213"/>
      <c r="AH43" s="213"/>
      <c r="AI43" s="213"/>
      <c r="AJ43" s="213"/>
      <c r="AK43" s="213"/>
      <c r="AL43" s="213"/>
      <c r="AM43" s="213"/>
      <c r="AN43" s="213"/>
      <c r="AO43" s="213"/>
      <c r="AP43" s="213"/>
      <c r="AQ43" s="213"/>
      <c r="AR43" s="213"/>
      <c r="AS43" s="213"/>
      <c r="AT43" s="213"/>
      <c r="AU43" s="213"/>
      <c r="AV43" s="213"/>
      <c r="AW43" s="213"/>
      <c r="AX43" s="213"/>
      <c r="AY43" s="213"/>
      <c r="AZ43" s="213"/>
      <c r="BA43" s="213"/>
      <c r="BB43" s="213"/>
      <c r="BC43" s="213"/>
      <c r="BD43" s="213"/>
      <c r="BE43" s="213"/>
      <c r="BF43" s="213"/>
      <c r="BG43" s="213"/>
      <c r="BH43" s="213"/>
      <c r="BI43" s="213"/>
      <c r="BJ43" s="213"/>
      <c r="BK43" s="213"/>
      <c r="BL43" s="213"/>
      <c r="BM43" s="213"/>
      <c r="BN43" s="213"/>
      <c r="BO43" s="213"/>
      <c r="BP43" s="213"/>
      <c r="BQ43" s="213"/>
      <c r="BR43" s="213"/>
      <c r="BS43" s="213"/>
      <c r="BT43" s="213"/>
      <c r="BU43" s="213"/>
      <c r="BV43" s="213"/>
      <c r="BW43" s="213"/>
      <c r="BX43" s="213"/>
      <c r="BY43" s="213"/>
      <c r="BZ43" s="213"/>
      <c r="CA43" s="213"/>
      <c r="CB43" s="213"/>
      <c r="CC43" s="213"/>
      <c r="CD43" s="213"/>
      <c r="CE43" s="213"/>
      <c r="CF43" s="213"/>
      <c r="CG43" s="213"/>
      <c r="CH43" s="213"/>
      <c r="CI43" s="213"/>
      <c r="CJ43" s="213"/>
      <c r="CK43" s="213"/>
      <c r="CL43" s="213"/>
      <c r="CM43" s="213"/>
    </row>
    <row r="44" spans="1:91">
      <c r="F44" s="120"/>
      <c r="G44" s="120"/>
      <c r="H44" s="120"/>
      <c r="I44" s="120"/>
      <c r="J44" s="120"/>
      <c r="K44" s="120"/>
      <c r="L44" s="120"/>
      <c r="M44" s="120"/>
      <c r="N44" s="121"/>
      <c r="O44" s="114"/>
      <c r="P44" s="114"/>
      <c r="Q44" s="114"/>
      <c r="R44" s="114"/>
      <c r="S44" s="114"/>
      <c r="T44" s="114"/>
      <c r="U44" s="114"/>
      <c r="V44" s="114"/>
      <c r="W44" s="120"/>
      <c r="X44" s="120"/>
      <c r="Y44" s="120"/>
      <c r="Z44" s="120"/>
      <c r="AA44" s="119"/>
      <c r="AB44" s="120"/>
      <c r="AC44" s="1"/>
      <c r="AD44" s="1"/>
      <c r="AE44" s="1"/>
      <c r="AF44" s="213"/>
      <c r="AG44" s="213"/>
      <c r="AH44" s="213"/>
      <c r="AI44" s="213"/>
      <c r="AJ44" s="213"/>
      <c r="AK44" s="213"/>
      <c r="AL44" s="213"/>
      <c r="AM44" s="213"/>
      <c r="AN44" s="213"/>
      <c r="AO44" s="213"/>
      <c r="AP44" s="213"/>
      <c r="AQ44" s="213"/>
      <c r="AR44" s="213"/>
      <c r="AS44" s="213"/>
      <c r="AT44" s="213"/>
      <c r="AU44" s="213"/>
      <c r="AV44" s="213"/>
      <c r="AW44" s="213"/>
      <c r="AX44" s="213"/>
      <c r="AY44" s="213"/>
      <c r="AZ44" s="213"/>
      <c r="BA44" s="213"/>
      <c r="BB44" s="213"/>
      <c r="BC44" s="213"/>
      <c r="BD44" s="213"/>
      <c r="BE44" s="213"/>
      <c r="BF44" s="213"/>
      <c r="BG44" s="213"/>
      <c r="BH44" s="213"/>
      <c r="BI44" s="213"/>
      <c r="BJ44" s="213"/>
      <c r="BK44" s="213"/>
      <c r="BL44" s="213"/>
      <c r="BM44" s="213"/>
      <c r="BN44" s="213"/>
      <c r="BO44" s="213"/>
      <c r="BP44" s="213"/>
      <c r="BQ44" s="213"/>
      <c r="BR44" s="213"/>
      <c r="BS44" s="213"/>
      <c r="BT44" s="213"/>
      <c r="BU44" s="213"/>
      <c r="BV44" s="213"/>
      <c r="BW44" s="213"/>
      <c r="BX44" s="213"/>
      <c r="BY44" s="213"/>
      <c r="BZ44" s="213"/>
      <c r="CA44" s="213"/>
      <c r="CB44" s="213"/>
      <c r="CC44" s="213"/>
      <c r="CD44" s="213"/>
      <c r="CE44" s="213"/>
      <c r="CF44" s="213"/>
      <c r="CG44" s="213"/>
      <c r="CH44" s="213"/>
      <c r="CI44" s="213"/>
      <c r="CJ44" s="213"/>
      <c r="CK44" s="213"/>
      <c r="CL44" s="213"/>
      <c r="CM44" s="213"/>
    </row>
    <row r="45" spans="1:91">
      <c r="J45" s="120"/>
      <c r="K45" s="120"/>
      <c r="L45" s="120"/>
      <c r="M45" s="120"/>
      <c r="N45" s="121"/>
      <c r="O45" s="114"/>
      <c r="P45" s="114"/>
      <c r="Q45" s="114"/>
      <c r="R45" s="114"/>
      <c r="S45" s="114"/>
      <c r="T45" s="114"/>
      <c r="U45" s="114"/>
      <c r="V45" s="114"/>
      <c r="W45" s="120"/>
      <c r="X45" s="120"/>
      <c r="Y45" s="120"/>
      <c r="Z45" s="120"/>
      <c r="AA45" s="119"/>
      <c r="AB45" s="120"/>
      <c r="AC45" s="1"/>
      <c r="AD45" s="1"/>
      <c r="AE45" s="1"/>
      <c r="AF45" s="213"/>
      <c r="AG45" s="213"/>
      <c r="AH45" s="213"/>
      <c r="AI45" s="213"/>
      <c r="AJ45" s="213"/>
      <c r="AK45" s="213"/>
      <c r="AL45" s="213"/>
      <c r="AM45" s="213"/>
      <c r="AN45" s="213"/>
      <c r="AO45" s="213"/>
      <c r="AP45" s="213"/>
      <c r="AQ45" s="213"/>
      <c r="AR45" s="213"/>
      <c r="AS45" s="213"/>
      <c r="AT45" s="213"/>
      <c r="AU45" s="213"/>
      <c r="AV45" s="213"/>
      <c r="AW45" s="213"/>
      <c r="AX45" s="213"/>
      <c r="AY45" s="213"/>
      <c r="AZ45" s="213"/>
      <c r="BA45" s="213"/>
      <c r="BB45" s="213"/>
      <c r="BC45" s="213"/>
      <c r="BD45" s="213"/>
      <c r="BE45" s="213"/>
      <c r="BF45" s="213"/>
      <c r="BG45" s="213"/>
      <c r="BH45" s="213"/>
      <c r="BI45" s="213"/>
      <c r="BJ45" s="213"/>
      <c r="BK45" s="213"/>
      <c r="BL45" s="213"/>
      <c r="BM45" s="213"/>
      <c r="BN45" s="213"/>
      <c r="BO45" s="213"/>
      <c r="BP45" s="213"/>
      <c r="BQ45" s="213"/>
      <c r="BR45" s="213"/>
      <c r="BS45" s="213"/>
      <c r="BT45" s="213"/>
      <c r="BU45" s="213"/>
      <c r="BV45" s="213"/>
      <c r="BW45" s="213"/>
      <c r="BX45" s="213"/>
      <c r="BY45" s="213"/>
      <c r="BZ45" s="213"/>
      <c r="CA45" s="213"/>
      <c r="CB45" s="213"/>
      <c r="CC45" s="213"/>
      <c r="CD45" s="213"/>
      <c r="CE45" s="213"/>
      <c r="CF45" s="213"/>
      <c r="CG45" s="213"/>
      <c r="CH45" s="213"/>
      <c r="CI45" s="213"/>
      <c r="CJ45" s="213"/>
      <c r="CK45" s="213"/>
      <c r="CL45" s="213"/>
      <c r="CM45" s="213"/>
    </row>
    <row r="46" spans="1:91">
      <c r="C46" s="10"/>
      <c r="D46" s="10"/>
      <c r="E46" s="10"/>
      <c r="F46" s="10"/>
      <c r="G46" s="10"/>
      <c r="H46" s="10"/>
      <c r="I46" s="10"/>
      <c r="J46" s="122"/>
      <c r="K46" s="120"/>
      <c r="L46" s="120"/>
      <c r="M46" s="120"/>
      <c r="N46" s="121"/>
      <c r="O46" s="115"/>
      <c r="P46" s="115"/>
      <c r="Q46" s="115"/>
      <c r="R46" s="115"/>
      <c r="S46" s="115"/>
      <c r="T46" s="115"/>
      <c r="U46" s="115"/>
      <c r="V46" s="115"/>
      <c r="W46" s="120"/>
      <c r="X46" s="120"/>
      <c r="Y46" s="120"/>
      <c r="Z46" s="120"/>
      <c r="AA46" s="119"/>
      <c r="AB46" s="120"/>
      <c r="AC46" s="1"/>
      <c r="AD46" s="1"/>
      <c r="AE46" s="1"/>
      <c r="AF46" s="213"/>
      <c r="AG46" s="213"/>
      <c r="AH46" s="213"/>
      <c r="AI46" s="213"/>
      <c r="AJ46" s="213"/>
      <c r="AK46" s="213"/>
      <c r="AL46" s="213"/>
      <c r="AM46" s="213"/>
      <c r="AN46" s="213"/>
      <c r="AO46" s="213"/>
      <c r="AP46" s="213"/>
      <c r="AQ46" s="213"/>
      <c r="AR46" s="213"/>
      <c r="AS46" s="213"/>
      <c r="AT46" s="213"/>
      <c r="AU46" s="213"/>
      <c r="AV46" s="213"/>
      <c r="AW46" s="213"/>
      <c r="AX46" s="213"/>
      <c r="AY46" s="213"/>
      <c r="AZ46" s="213"/>
      <c r="BA46" s="213"/>
      <c r="BB46" s="213"/>
      <c r="BC46" s="213"/>
      <c r="BD46" s="213"/>
      <c r="BE46" s="213"/>
      <c r="BF46" s="213"/>
      <c r="BG46" s="213"/>
      <c r="BH46" s="213"/>
      <c r="BI46" s="213"/>
      <c r="BJ46" s="213"/>
      <c r="BK46" s="213"/>
      <c r="BL46" s="213"/>
      <c r="BM46" s="213"/>
      <c r="BN46" s="213"/>
      <c r="BO46" s="213"/>
      <c r="BP46" s="213"/>
      <c r="BQ46" s="213"/>
      <c r="BR46" s="213"/>
      <c r="BS46" s="213"/>
      <c r="BT46" s="213"/>
      <c r="BU46" s="213"/>
      <c r="BV46" s="213"/>
      <c r="BW46" s="213"/>
      <c r="BX46" s="213"/>
      <c r="BY46" s="213"/>
      <c r="BZ46" s="213"/>
      <c r="CA46" s="213"/>
      <c r="CB46" s="213"/>
      <c r="CC46" s="213"/>
      <c r="CD46" s="213"/>
      <c r="CE46" s="213"/>
      <c r="CF46" s="213"/>
      <c r="CG46" s="213"/>
      <c r="CH46" s="213"/>
      <c r="CI46" s="213"/>
      <c r="CJ46" s="213"/>
      <c r="CK46" s="213"/>
      <c r="CL46" s="213"/>
      <c r="CM46" s="213"/>
    </row>
    <row r="47" spans="1:91">
      <c r="C47" s="10"/>
      <c r="D47" s="10"/>
      <c r="E47" s="10"/>
      <c r="F47" s="10"/>
      <c r="G47" s="10"/>
      <c r="H47" s="10"/>
      <c r="I47" s="10"/>
      <c r="J47" s="10"/>
      <c r="N47" s="121"/>
      <c r="O47" s="114"/>
      <c r="P47" s="114"/>
      <c r="Q47" s="114"/>
      <c r="R47" s="114"/>
      <c r="S47" s="114"/>
      <c r="T47" s="114"/>
      <c r="U47" s="114"/>
      <c r="V47" s="114"/>
      <c r="W47" s="1"/>
      <c r="X47" s="1"/>
      <c r="Y47" s="1"/>
      <c r="Z47" s="1"/>
      <c r="AA47" s="82"/>
      <c r="AB47" s="1"/>
      <c r="AC47" s="1"/>
      <c r="AD47" s="1"/>
      <c r="AE47" s="1"/>
      <c r="AF47" s="213"/>
      <c r="AG47" s="213"/>
      <c r="AH47" s="213"/>
      <c r="AI47" s="213"/>
      <c r="AJ47" s="213"/>
      <c r="AK47" s="213"/>
      <c r="AL47" s="213"/>
      <c r="AM47" s="213"/>
    </row>
    <row r="48" spans="1:91">
      <c r="C48" s="10"/>
      <c r="D48" s="10"/>
      <c r="E48" s="10"/>
      <c r="F48" s="10"/>
      <c r="G48" s="10"/>
      <c r="H48" s="10"/>
      <c r="I48" s="10"/>
      <c r="J48" s="10"/>
      <c r="N48" s="117"/>
      <c r="O48" s="113"/>
      <c r="P48" s="113"/>
      <c r="Q48" s="113"/>
      <c r="R48" s="113"/>
      <c r="S48" s="443"/>
      <c r="T48" s="443"/>
      <c r="U48" s="443"/>
      <c r="V48" s="443"/>
      <c r="W48" s="1"/>
      <c r="X48" s="1"/>
      <c r="Y48" s="1"/>
      <c r="Z48" s="1"/>
      <c r="AA48" s="82"/>
      <c r="AB48" s="1"/>
      <c r="AC48" s="1"/>
      <c r="AD48" s="1"/>
      <c r="AE48" s="1"/>
      <c r="AF48" s="213"/>
      <c r="AG48" s="213"/>
      <c r="AH48" s="213"/>
      <c r="AI48" s="213"/>
      <c r="AJ48" s="213"/>
      <c r="AK48" s="213"/>
      <c r="AL48" s="213"/>
      <c r="AM48" s="213"/>
    </row>
    <row r="49" spans="1:47">
      <c r="N49" s="117"/>
      <c r="O49" s="115"/>
      <c r="P49" s="115"/>
      <c r="Q49" s="115"/>
      <c r="R49" s="115"/>
      <c r="S49" s="115"/>
      <c r="T49" s="115"/>
      <c r="U49" s="115"/>
      <c r="V49" s="115"/>
      <c r="W49" s="1"/>
      <c r="X49" s="1"/>
      <c r="Y49" s="1"/>
      <c r="Z49" s="1"/>
      <c r="AA49" s="82"/>
      <c r="AF49" s="213"/>
      <c r="AG49" s="213"/>
      <c r="AH49" s="213"/>
      <c r="AI49" s="213"/>
      <c r="AJ49" s="213"/>
      <c r="AK49" s="213"/>
      <c r="AL49" s="213"/>
      <c r="AM49" s="213"/>
    </row>
    <row r="50" spans="1:47" ht="17.25" customHeight="1">
      <c r="C50" s="10"/>
      <c r="D50" s="10"/>
      <c r="E50" s="10"/>
      <c r="F50" s="10"/>
      <c r="G50" s="10"/>
      <c r="H50" s="10"/>
      <c r="I50" s="10"/>
      <c r="J50" s="10"/>
      <c r="N50" s="1"/>
      <c r="O50" s="116"/>
      <c r="P50" s="116"/>
      <c r="Q50" s="116"/>
      <c r="R50" s="116"/>
      <c r="S50" s="116"/>
      <c r="T50" s="116"/>
      <c r="U50" s="116"/>
      <c r="V50" s="116"/>
      <c r="W50" s="1"/>
      <c r="X50" s="1"/>
      <c r="Y50" s="1"/>
      <c r="Z50" s="1"/>
      <c r="AA50" s="82"/>
    </row>
    <row r="51" spans="1:47" ht="17.25" customHeight="1" thickBot="1">
      <c r="A51" s="213"/>
      <c r="B51" s="213"/>
      <c r="C51" s="213"/>
      <c r="D51" s="213"/>
      <c r="E51" s="213"/>
      <c r="F51" s="213"/>
      <c r="G51" s="213"/>
      <c r="H51" s="213"/>
      <c r="I51" s="213"/>
      <c r="J51" s="213"/>
      <c r="K51" s="213"/>
      <c r="L51" s="213"/>
      <c r="M51" s="213"/>
      <c r="N51" s="213"/>
      <c r="O51" s="213"/>
      <c r="P51" s="213"/>
      <c r="Q51" s="213"/>
      <c r="R51" s="213"/>
      <c r="S51" s="213"/>
      <c r="T51" s="213"/>
      <c r="U51" s="213"/>
      <c r="V51" s="213"/>
      <c r="W51" s="213"/>
      <c r="X51" s="213"/>
      <c r="Y51" s="213"/>
      <c r="Z51" s="1"/>
      <c r="AA51" s="82"/>
    </row>
    <row r="52" spans="1:47" ht="17.25" customHeight="1">
      <c r="A52" s="213"/>
      <c r="B52" s="213"/>
      <c r="C52" s="213"/>
      <c r="D52" s="213"/>
      <c r="E52" s="213"/>
      <c r="F52" s="213"/>
      <c r="G52" s="213"/>
      <c r="H52" s="213"/>
      <c r="I52" s="213"/>
      <c r="J52" s="213"/>
      <c r="K52" s="213"/>
      <c r="L52" s="213"/>
      <c r="M52" s="213"/>
      <c r="N52" s="462" t="s">
        <v>3210</v>
      </c>
      <c r="O52" s="537" t="s">
        <v>3212</v>
      </c>
      <c r="P52" s="537" t="s">
        <v>3213</v>
      </c>
      <c r="Q52" s="537" t="s">
        <v>3214</v>
      </c>
      <c r="R52" s="537" t="s">
        <v>3215</v>
      </c>
      <c r="S52" s="537" t="s">
        <v>3216</v>
      </c>
      <c r="T52" s="537" t="s">
        <v>3217</v>
      </c>
      <c r="U52" s="537" t="s">
        <v>3218</v>
      </c>
      <c r="V52" s="537" t="s">
        <v>3219</v>
      </c>
      <c r="W52" s="537" t="s">
        <v>3220</v>
      </c>
      <c r="X52" s="537" t="s">
        <v>3221</v>
      </c>
      <c r="Y52" s="537" t="s">
        <v>3222</v>
      </c>
      <c r="Z52" s="1"/>
      <c r="AA52" s="82"/>
      <c r="AC52" s="19"/>
      <c r="AD52" s="19"/>
      <c r="AE52" s="19"/>
      <c r="AF52" s="19"/>
      <c r="AG52" s="19"/>
      <c r="AH52" s="19"/>
      <c r="AI52" s="19"/>
      <c r="AJ52" s="19"/>
      <c r="AK52" s="19"/>
    </row>
    <row r="53" spans="1:47" ht="17.25" customHeight="1" thickBot="1">
      <c r="A53" s="213"/>
      <c r="B53" s="213" t="s">
        <v>3235</v>
      </c>
      <c r="C53" s="213"/>
      <c r="D53" s="213"/>
      <c r="E53" s="213"/>
      <c r="F53" s="213"/>
      <c r="G53" s="213"/>
      <c r="H53" s="213"/>
      <c r="I53" s="213"/>
      <c r="J53" s="213"/>
      <c r="K53" s="213"/>
      <c r="L53" s="213"/>
      <c r="M53" s="213"/>
      <c r="N53" s="463" t="s">
        <v>3211</v>
      </c>
      <c r="O53" s="538"/>
      <c r="P53" s="538"/>
      <c r="Q53" s="538"/>
      <c r="R53" s="538"/>
      <c r="S53" s="538"/>
      <c r="T53" s="538"/>
      <c r="U53" s="538"/>
      <c r="V53" s="538"/>
      <c r="W53" s="538"/>
      <c r="X53" s="538"/>
      <c r="Y53" s="538"/>
      <c r="Z53" s="1"/>
      <c r="AA53" s="82"/>
      <c r="AC53" s="19"/>
      <c r="AD53" s="19"/>
      <c r="AE53" s="19"/>
      <c r="AF53" s="19"/>
      <c r="AG53" s="19"/>
      <c r="AH53" s="19"/>
      <c r="AI53" s="19"/>
      <c r="AJ53" s="19"/>
      <c r="AK53" s="19"/>
    </row>
    <row r="54" spans="1:47" ht="17.25" customHeight="1">
      <c r="A54" s="213"/>
      <c r="B54" s="213" t="s">
        <v>43</v>
      </c>
      <c r="C54" s="213"/>
      <c r="D54" s="213"/>
      <c r="E54" s="213"/>
      <c r="F54" s="213"/>
      <c r="G54" s="213"/>
      <c r="H54" s="213"/>
      <c r="I54" s="213"/>
      <c r="J54" s="213"/>
      <c r="K54" s="213"/>
      <c r="L54" s="213"/>
      <c r="M54" s="213"/>
      <c r="N54" s="449" t="s">
        <v>3237</v>
      </c>
      <c r="O54" s="558">
        <v>0.60416666666666663</v>
      </c>
      <c r="P54" s="561">
        <v>53.3</v>
      </c>
      <c r="Q54" s="564">
        <v>53.3</v>
      </c>
      <c r="R54" s="564">
        <v>53.4</v>
      </c>
      <c r="S54" s="567" t="s">
        <v>3238</v>
      </c>
      <c r="T54" s="570">
        <v>270</v>
      </c>
      <c r="U54" s="573">
        <v>53.2</v>
      </c>
      <c r="V54" s="573">
        <v>53.1</v>
      </c>
      <c r="W54" s="573">
        <v>53.3</v>
      </c>
      <c r="X54" s="573">
        <v>53</v>
      </c>
      <c r="Y54" s="268" t="s">
        <v>3224</v>
      </c>
      <c r="Z54" s="1"/>
      <c r="AA54" s="82"/>
      <c r="AC54" s="19"/>
      <c r="AD54" s="19"/>
      <c r="AE54" s="19"/>
      <c r="AF54" s="19"/>
      <c r="AG54" s="19"/>
      <c r="AH54" s="19"/>
      <c r="AI54" s="19"/>
      <c r="AJ54" s="19"/>
      <c r="AK54" s="19"/>
    </row>
    <row r="55" spans="1:47" ht="17.25" customHeight="1">
      <c r="A55" s="213"/>
      <c r="B55" s="213" t="s">
        <v>44</v>
      </c>
      <c r="C55" s="213" t="s">
        <v>2909</v>
      </c>
      <c r="D55" s="213" t="s">
        <v>1907</v>
      </c>
      <c r="E55" s="213" t="s">
        <v>1840</v>
      </c>
      <c r="F55" s="213" t="s">
        <v>1751</v>
      </c>
      <c r="G55" s="213" t="s">
        <v>215</v>
      </c>
      <c r="H55" s="213" t="s">
        <v>45</v>
      </c>
      <c r="I55" s="213" t="s">
        <v>46</v>
      </c>
      <c r="J55" s="213" t="s">
        <v>47</v>
      </c>
      <c r="K55" s="213"/>
      <c r="L55" s="213"/>
      <c r="M55" s="213"/>
      <c r="N55" s="450" t="s">
        <v>3223</v>
      </c>
      <c r="O55" s="559"/>
      <c r="P55" s="562"/>
      <c r="Q55" s="565"/>
      <c r="R55" s="565"/>
      <c r="S55" s="568"/>
      <c r="T55" s="571"/>
      <c r="U55" s="574"/>
      <c r="V55" s="574"/>
      <c r="W55" s="574"/>
      <c r="X55" s="574"/>
      <c r="Y55" s="267" t="s">
        <v>3225</v>
      </c>
      <c r="Z55" s="1"/>
      <c r="AA55" s="82"/>
      <c r="AC55" s="19"/>
      <c r="AD55" s="19"/>
      <c r="AE55" s="19"/>
      <c r="AF55" s="19"/>
      <c r="AG55" s="19"/>
      <c r="AH55" s="19"/>
      <c r="AI55" s="19"/>
      <c r="AJ55" s="19"/>
      <c r="AK55" s="19"/>
    </row>
    <row r="56" spans="1:47" ht="17.25" customHeight="1">
      <c r="A56" s="213"/>
      <c r="B56" s="213" t="s">
        <v>8</v>
      </c>
      <c r="C56" s="33">
        <v>2312</v>
      </c>
      <c r="D56" s="33">
        <v>2047</v>
      </c>
      <c r="E56" s="33">
        <v>2321</v>
      </c>
      <c r="F56" s="33">
        <v>2633</v>
      </c>
      <c r="G56" s="33">
        <v>2352</v>
      </c>
      <c r="H56" s="33">
        <v>2161</v>
      </c>
      <c r="I56" s="33">
        <v>2658</v>
      </c>
      <c r="J56" s="33">
        <v>2765</v>
      </c>
      <c r="K56" s="213"/>
      <c r="L56" s="213"/>
      <c r="M56" s="213"/>
      <c r="N56" s="451"/>
      <c r="O56" s="559"/>
      <c r="P56" s="562"/>
      <c r="Q56" s="565"/>
      <c r="R56" s="565"/>
      <c r="S56" s="568"/>
      <c r="T56" s="571"/>
      <c r="U56" s="574"/>
      <c r="V56" s="574"/>
      <c r="W56" s="574"/>
      <c r="X56" s="574"/>
      <c r="Y56" s="267" t="s">
        <v>3226</v>
      </c>
      <c r="Z56" s="1"/>
      <c r="AA56" s="82"/>
      <c r="AC56" s="19"/>
      <c r="AD56" s="19"/>
      <c r="AE56" s="19"/>
      <c r="AF56" s="19"/>
      <c r="AG56" s="19"/>
      <c r="AH56" s="19"/>
      <c r="AI56" s="19"/>
      <c r="AJ56" s="19"/>
      <c r="AK56" s="19"/>
    </row>
    <row r="57" spans="1:47" ht="17.25" customHeight="1" thickBot="1">
      <c r="A57" s="213"/>
      <c r="B57" s="213" t="s">
        <v>9</v>
      </c>
      <c r="C57" s="33">
        <v>1824</v>
      </c>
      <c r="D57" s="33">
        <v>1543</v>
      </c>
      <c r="E57" s="33">
        <v>1787</v>
      </c>
      <c r="F57" s="33">
        <v>2032</v>
      </c>
      <c r="G57" s="33">
        <v>1850</v>
      </c>
      <c r="H57" s="33">
        <v>1673</v>
      </c>
      <c r="I57" s="33">
        <v>2011</v>
      </c>
      <c r="J57" s="33">
        <v>2134</v>
      </c>
      <c r="K57" s="213"/>
      <c r="L57" s="213"/>
      <c r="M57" s="213"/>
      <c r="N57" s="452"/>
      <c r="O57" s="560"/>
      <c r="P57" s="563"/>
      <c r="Q57" s="566"/>
      <c r="R57" s="566"/>
      <c r="S57" s="569"/>
      <c r="T57" s="572"/>
      <c r="U57" s="575"/>
      <c r="V57" s="575"/>
      <c r="W57" s="575"/>
      <c r="X57" s="575"/>
      <c r="Y57" s="269" t="s">
        <v>3227</v>
      </c>
      <c r="Z57" s="1"/>
      <c r="AA57" s="82"/>
      <c r="AC57" s="19"/>
      <c r="AD57" s="19"/>
      <c r="AE57" s="19"/>
      <c r="AF57" s="19"/>
      <c r="AG57" s="19"/>
      <c r="AH57" s="19"/>
      <c r="AI57" s="19"/>
      <c r="AJ57" s="19"/>
      <c r="AK57" s="19"/>
    </row>
    <row r="58" spans="1:47" ht="17.25" customHeight="1" thickBot="1">
      <c r="A58" s="213"/>
      <c r="B58" s="213" t="s">
        <v>49</v>
      </c>
      <c r="C58" s="33">
        <v>488</v>
      </c>
      <c r="D58" s="33">
        <v>504</v>
      </c>
      <c r="E58" s="33">
        <v>534</v>
      </c>
      <c r="F58" s="33">
        <v>601</v>
      </c>
      <c r="G58" s="33">
        <v>502</v>
      </c>
      <c r="H58" s="33">
        <v>488</v>
      </c>
      <c r="I58" s="33">
        <v>647</v>
      </c>
      <c r="J58" s="33">
        <v>631</v>
      </c>
      <c r="K58" s="213"/>
      <c r="L58" s="213"/>
      <c r="M58" s="213"/>
      <c r="N58" s="453" t="s">
        <v>3228</v>
      </c>
      <c r="O58" s="543" t="s">
        <v>3229</v>
      </c>
      <c r="P58" s="544"/>
      <c r="Q58" s="544"/>
      <c r="R58" s="544"/>
      <c r="S58" s="544"/>
      <c r="T58" s="544"/>
      <c r="U58" s="544"/>
      <c r="V58" s="544"/>
      <c r="W58" s="544"/>
      <c r="X58" s="544"/>
      <c r="Y58" s="545"/>
      <c r="AC58" s="19"/>
      <c r="AD58" s="19"/>
      <c r="AE58" s="19"/>
      <c r="AF58" s="19"/>
      <c r="AG58" s="19"/>
      <c r="AH58" s="19"/>
      <c r="AI58" s="19"/>
      <c r="AJ58" s="19"/>
      <c r="AK58" s="19"/>
    </row>
    <row r="59" spans="1:47" ht="17.25" customHeight="1">
      <c r="A59" s="213"/>
      <c r="B59" s="213" t="s">
        <v>50</v>
      </c>
      <c r="C59" s="213">
        <v>0</v>
      </c>
      <c r="D59" s="213">
        <v>0</v>
      </c>
      <c r="E59" s="213">
        <v>0</v>
      </c>
      <c r="F59" s="213">
        <v>0</v>
      </c>
      <c r="G59" s="213">
        <v>0</v>
      </c>
      <c r="H59" s="213">
        <v>0</v>
      </c>
      <c r="I59" s="213">
        <v>0</v>
      </c>
      <c r="J59" s="213">
        <v>0</v>
      </c>
      <c r="K59" s="213"/>
      <c r="L59" s="213"/>
      <c r="M59" s="213"/>
      <c r="N59" s="447"/>
      <c r="O59" s="557"/>
      <c r="P59" s="557"/>
      <c r="Q59" s="447"/>
      <c r="R59" s="447"/>
      <c r="S59" s="213"/>
      <c r="T59" s="213"/>
      <c r="U59" s="213"/>
      <c r="V59" s="213"/>
      <c r="W59" s="213"/>
      <c r="X59" s="213"/>
      <c r="Y59" s="213"/>
      <c r="AC59" s="19"/>
      <c r="AD59" s="19"/>
      <c r="AE59" s="19"/>
      <c r="AF59" s="19"/>
      <c r="AG59" s="19"/>
      <c r="AH59" s="19"/>
      <c r="AI59" s="19"/>
      <c r="AJ59" s="19"/>
      <c r="AK59" s="19"/>
    </row>
    <row r="60" spans="1:47" ht="17.25" customHeight="1">
      <c r="A60" s="213"/>
      <c r="B60" s="213" t="s">
        <v>51</v>
      </c>
      <c r="C60" s="33">
        <v>488</v>
      </c>
      <c r="D60" s="33">
        <v>504</v>
      </c>
      <c r="E60" s="33">
        <v>534</v>
      </c>
      <c r="F60" s="33">
        <v>601</v>
      </c>
      <c r="G60" s="33">
        <v>502</v>
      </c>
      <c r="H60" s="33">
        <v>488</v>
      </c>
      <c r="I60" s="33">
        <v>647</v>
      </c>
      <c r="J60" s="33">
        <v>631</v>
      </c>
      <c r="K60" s="213"/>
      <c r="L60" s="213"/>
      <c r="M60" s="213"/>
      <c r="N60" s="447"/>
      <c r="O60" s="528"/>
      <c r="P60" s="528"/>
      <c r="Q60" s="447"/>
      <c r="R60" s="447"/>
      <c r="S60" s="213"/>
      <c r="T60" s="213"/>
      <c r="U60" s="213"/>
      <c r="V60" s="213"/>
      <c r="W60" s="213"/>
      <c r="X60" s="213"/>
      <c r="Y60" s="213"/>
      <c r="AC60" s="19"/>
      <c r="AD60" s="19"/>
      <c r="AE60" s="19"/>
      <c r="AF60" s="19"/>
      <c r="AG60" s="19"/>
      <c r="AH60" s="19"/>
      <c r="AI60" s="19"/>
      <c r="AJ60" s="19"/>
      <c r="AK60" s="19"/>
    </row>
    <row r="61" spans="1:47" ht="17.25" customHeight="1">
      <c r="A61" s="213"/>
      <c r="B61" s="213" t="s">
        <v>52</v>
      </c>
      <c r="C61" s="33">
        <v>242</v>
      </c>
      <c r="D61" s="33">
        <v>272</v>
      </c>
      <c r="E61" s="33">
        <v>277</v>
      </c>
      <c r="F61" s="33">
        <v>247</v>
      </c>
      <c r="G61" s="33">
        <v>257</v>
      </c>
      <c r="H61" s="33">
        <v>273</v>
      </c>
      <c r="I61" s="33">
        <v>299</v>
      </c>
      <c r="J61" s="33">
        <v>288</v>
      </c>
      <c r="K61" s="213"/>
      <c r="L61" s="213"/>
      <c r="M61" s="213"/>
      <c r="N61" s="447"/>
      <c r="O61" s="528"/>
      <c r="P61" s="528"/>
      <c r="Q61" s="447"/>
      <c r="R61" s="447"/>
      <c r="S61" s="213"/>
      <c r="T61" s="213"/>
      <c r="U61" s="213"/>
      <c r="V61" s="213"/>
      <c r="W61" s="213"/>
      <c r="X61" s="213"/>
      <c r="Y61" s="213"/>
      <c r="AC61" s="19"/>
      <c r="AD61" s="19"/>
      <c r="AF61" s="19"/>
      <c r="AG61" s="19"/>
      <c r="AH61" s="19"/>
      <c r="AI61" s="19"/>
      <c r="AJ61" s="19"/>
      <c r="AK61" s="19"/>
    </row>
    <row r="62" spans="1:47" ht="17.25" customHeight="1">
      <c r="A62" s="213"/>
      <c r="B62" s="213" t="s">
        <v>53</v>
      </c>
      <c r="C62" s="33">
        <v>61</v>
      </c>
      <c r="D62" s="33">
        <v>85</v>
      </c>
      <c r="E62" s="33">
        <v>98</v>
      </c>
      <c r="F62" s="33">
        <v>65</v>
      </c>
      <c r="G62" s="33">
        <v>73</v>
      </c>
      <c r="H62" s="33">
        <v>66</v>
      </c>
      <c r="I62" s="33">
        <v>81</v>
      </c>
      <c r="J62" s="33">
        <v>63</v>
      </c>
      <c r="K62" s="213"/>
      <c r="L62" s="213"/>
      <c r="M62" s="213"/>
      <c r="N62" s="447"/>
      <c r="O62" s="528"/>
      <c r="P62" s="528"/>
      <c r="Q62" s="213"/>
      <c r="R62" s="213"/>
      <c r="S62" s="213"/>
      <c r="T62" s="213"/>
      <c r="U62" s="213"/>
      <c r="V62" s="213"/>
      <c r="W62" s="213"/>
      <c r="X62" s="213"/>
      <c r="Y62" s="213"/>
      <c r="AC62" s="19"/>
      <c r="AD62" s="19"/>
      <c r="AE62" s="19"/>
      <c r="AF62" s="19"/>
      <c r="AG62" s="19"/>
      <c r="AH62" s="19"/>
      <c r="AI62" s="19"/>
      <c r="AJ62" s="19"/>
      <c r="AK62" s="19"/>
      <c r="AL62" s="19"/>
      <c r="AM62" s="19"/>
      <c r="AN62" s="19"/>
      <c r="AO62" s="19"/>
      <c r="AP62" s="19"/>
      <c r="AQ62" s="19"/>
      <c r="AR62" s="19"/>
      <c r="AS62" s="19"/>
      <c r="AT62" s="19"/>
      <c r="AU62" s="19"/>
    </row>
    <row r="63" spans="1:47" ht="17.25" customHeight="1">
      <c r="A63" s="213"/>
      <c r="B63" s="213" t="s">
        <v>54</v>
      </c>
      <c r="C63" s="33">
        <v>152</v>
      </c>
      <c r="D63" s="33">
        <v>159</v>
      </c>
      <c r="E63" s="33">
        <v>145</v>
      </c>
      <c r="F63" s="33">
        <v>150</v>
      </c>
      <c r="G63" s="33">
        <v>156</v>
      </c>
      <c r="H63" s="33">
        <v>179</v>
      </c>
      <c r="I63" s="33">
        <v>187</v>
      </c>
      <c r="J63" s="33">
        <v>196</v>
      </c>
      <c r="K63" s="213"/>
      <c r="L63" s="213"/>
      <c r="M63" s="213"/>
      <c r="N63" s="539"/>
      <c r="O63" s="546"/>
      <c r="P63" s="546"/>
      <c r="Q63" s="213"/>
      <c r="R63" s="213"/>
      <c r="S63" s="213"/>
      <c r="T63" s="213"/>
      <c r="U63" s="213"/>
      <c r="V63" s="213"/>
      <c r="W63" s="213"/>
      <c r="X63" s="213"/>
      <c r="Y63" s="213"/>
      <c r="AC63" s="134"/>
      <c r="AD63" s="19"/>
      <c r="AE63" s="19"/>
      <c r="AF63" s="19"/>
      <c r="AG63" s="19"/>
      <c r="AH63" s="19"/>
      <c r="AI63" s="212"/>
      <c r="AJ63" s="19"/>
      <c r="AK63" s="19"/>
      <c r="AL63" s="19"/>
      <c r="AM63" s="19"/>
      <c r="AN63" s="19"/>
      <c r="AO63" s="19"/>
      <c r="AP63" s="19"/>
      <c r="AQ63" s="19"/>
      <c r="AR63" s="19"/>
      <c r="AS63" s="19"/>
      <c r="AT63" s="19"/>
      <c r="AU63" s="19"/>
    </row>
    <row r="64" spans="1:47" ht="17.25" customHeight="1">
      <c r="A64" s="213"/>
      <c r="B64" s="213" t="s">
        <v>55</v>
      </c>
      <c r="C64" s="33">
        <v>29</v>
      </c>
      <c r="D64" s="33">
        <v>28</v>
      </c>
      <c r="E64" s="33">
        <v>34</v>
      </c>
      <c r="F64" s="33">
        <v>32</v>
      </c>
      <c r="G64" s="33">
        <v>27</v>
      </c>
      <c r="H64" s="33">
        <v>29</v>
      </c>
      <c r="I64" s="33">
        <v>31</v>
      </c>
      <c r="J64" s="33">
        <v>29</v>
      </c>
      <c r="K64" s="213"/>
      <c r="L64" s="213"/>
      <c r="M64" s="213"/>
      <c r="N64" s="539"/>
      <c r="O64" s="396"/>
      <c r="P64" s="395"/>
      <c r="Q64" s="213"/>
      <c r="R64" s="213"/>
      <c r="S64" s="213"/>
      <c r="T64" s="213"/>
      <c r="U64" s="213"/>
      <c r="V64" s="213"/>
      <c r="W64" s="213"/>
      <c r="X64" s="213"/>
      <c r="Y64" s="213"/>
      <c r="AC64" s="134"/>
      <c r="AD64" s="19"/>
      <c r="AE64" s="19"/>
      <c r="AF64" s="19"/>
      <c r="AG64" s="19"/>
      <c r="AH64" s="19"/>
      <c r="AI64" s="212"/>
      <c r="AJ64" s="19"/>
      <c r="AK64" s="19"/>
      <c r="AL64" s="19"/>
      <c r="AM64" s="19"/>
      <c r="AN64" s="19"/>
      <c r="AO64" s="19"/>
      <c r="AP64" s="19"/>
      <c r="AQ64" s="19"/>
      <c r="AR64" s="19"/>
      <c r="AS64" s="19"/>
      <c r="AT64" s="19"/>
      <c r="AU64" s="19"/>
    </row>
    <row r="65" spans="1:47" ht="17.25" customHeight="1">
      <c r="A65" s="213"/>
      <c r="B65" s="213" t="s">
        <v>56</v>
      </c>
      <c r="C65" s="33">
        <v>246</v>
      </c>
      <c r="D65" s="33">
        <v>232</v>
      </c>
      <c r="E65" s="33">
        <v>257</v>
      </c>
      <c r="F65" s="33">
        <v>354</v>
      </c>
      <c r="G65" s="33">
        <v>245</v>
      </c>
      <c r="H65" s="33">
        <v>215</v>
      </c>
      <c r="I65" s="33">
        <v>348</v>
      </c>
      <c r="J65" s="33">
        <v>343</v>
      </c>
      <c r="K65" s="213"/>
      <c r="L65" s="213"/>
      <c r="M65" s="213"/>
      <c r="N65" s="461"/>
      <c r="O65" s="461"/>
      <c r="P65" s="461"/>
      <c r="Q65" s="461"/>
      <c r="R65" s="461"/>
      <c r="S65" s="213"/>
      <c r="T65" s="213"/>
      <c r="U65" s="213"/>
      <c r="V65" s="213"/>
      <c r="W65" s="213"/>
      <c r="X65" s="213"/>
      <c r="Y65" s="213"/>
      <c r="Z65" s="213"/>
      <c r="AB65" s="213"/>
      <c r="AC65" s="134"/>
      <c r="AD65" s="19"/>
      <c r="AE65" s="19"/>
      <c r="AF65" s="19"/>
      <c r="AG65" s="19"/>
      <c r="AH65" s="19"/>
      <c r="AI65" s="212"/>
      <c r="AJ65" s="19"/>
      <c r="AK65" s="19"/>
      <c r="AL65" s="19"/>
      <c r="AM65" s="19"/>
      <c r="AN65" s="19"/>
      <c r="AO65" s="19"/>
      <c r="AP65" s="19"/>
      <c r="AQ65" s="19"/>
      <c r="AR65" s="19"/>
      <c r="AS65" s="19"/>
      <c r="AT65" s="19"/>
      <c r="AU65" s="19"/>
    </row>
    <row r="66" spans="1:47" ht="17.25" customHeight="1">
      <c r="A66" s="213"/>
      <c r="B66" s="213" t="s">
        <v>57</v>
      </c>
      <c r="C66" s="33">
        <v>6</v>
      </c>
      <c r="D66" s="33">
        <v>12</v>
      </c>
      <c r="E66" s="33">
        <v>12</v>
      </c>
      <c r="F66" s="33">
        <v>15</v>
      </c>
      <c r="G66" s="33">
        <v>21</v>
      </c>
      <c r="H66" s="33">
        <v>15</v>
      </c>
      <c r="I66" s="33">
        <v>17</v>
      </c>
      <c r="J66" s="33">
        <v>17</v>
      </c>
      <c r="K66" s="213"/>
      <c r="L66" s="213"/>
      <c r="M66" s="213"/>
      <c r="N66" s="461"/>
      <c r="O66" s="461" t="s">
        <v>3239</v>
      </c>
      <c r="P66" s="461"/>
      <c r="Q66" s="461"/>
      <c r="R66" s="461"/>
      <c r="S66" s="213"/>
      <c r="T66" s="213"/>
      <c r="U66" s="213"/>
      <c r="V66" s="213"/>
      <c r="W66" s="213"/>
      <c r="X66" s="213"/>
      <c r="Y66" s="213"/>
      <c r="Z66" s="213"/>
      <c r="AB66" s="213"/>
      <c r="AC66" s="134"/>
      <c r="AD66" s="19"/>
      <c r="AE66" s="19"/>
      <c r="AF66" s="19"/>
      <c r="AG66" s="19"/>
      <c r="AH66" s="19"/>
      <c r="AI66" s="212"/>
      <c r="AJ66" s="19"/>
      <c r="AK66" s="19"/>
      <c r="AL66" s="19"/>
      <c r="AM66" s="19"/>
      <c r="AN66" s="19"/>
      <c r="AO66" s="19"/>
      <c r="AP66" s="19"/>
      <c r="AQ66" s="19"/>
      <c r="AR66" s="19"/>
      <c r="AS66" s="19"/>
      <c r="AT66" s="19"/>
      <c r="AU66" s="19"/>
    </row>
    <row r="67" spans="1:47" ht="17.25" customHeight="1">
      <c r="A67" s="213"/>
      <c r="B67" s="213" t="s">
        <v>58</v>
      </c>
      <c r="C67" s="33">
        <v>6</v>
      </c>
      <c r="D67" s="33">
        <v>4</v>
      </c>
      <c r="E67" s="33">
        <v>2</v>
      </c>
      <c r="F67" s="33">
        <v>5</v>
      </c>
      <c r="G67" s="33">
        <v>2</v>
      </c>
      <c r="H67" s="33">
        <v>2</v>
      </c>
      <c r="I67" s="33">
        <v>7</v>
      </c>
      <c r="J67" s="33">
        <v>4</v>
      </c>
      <c r="K67" s="213"/>
      <c r="L67" s="213"/>
      <c r="M67" s="213"/>
      <c r="N67" s="461"/>
      <c r="O67" s="461"/>
      <c r="P67" s="461"/>
      <c r="Q67" s="461"/>
      <c r="R67" s="461"/>
      <c r="S67" s="213"/>
      <c r="T67" s="213"/>
      <c r="U67" s="213"/>
      <c r="V67" s="213"/>
      <c r="W67" s="213"/>
      <c r="X67" s="213"/>
      <c r="Y67" s="213"/>
      <c r="Z67" s="213"/>
      <c r="AB67" s="213"/>
      <c r="AC67" s="134"/>
      <c r="AD67" s="19"/>
      <c r="AE67" s="19"/>
      <c r="AF67" s="19"/>
      <c r="AG67" s="19"/>
      <c r="AH67" s="19"/>
      <c r="AI67" s="212"/>
      <c r="AJ67" s="19"/>
      <c r="AK67" s="19"/>
      <c r="AL67" s="19"/>
      <c r="AM67" s="19"/>
      <c r="AN67" s="19"/>
      <c r="AO67" s="19"/>
      <c r="AP67" s="19"/>
      <c r="AQ67" s="19"/>
      <c r="AR67" s="19"/>
      <c r="AS67" s="19"/>
      <c r="AT67" s="19"/>
      <c r="AU67" s="19"/>
    </row>
    <row r="68" spans="1:47" ht="17.25" customHeight="1">
      <c r="A68" s="213"/>
      <c r="B68" s="213" t="s">
        <v>59</v>
      </c>
      <c r="C68" s="33">
        <v>0</v>
      </c>
      <c r="D68" s="33">
        <v>0</v>
      </c>
      <c r="E68" s="33">
        <v>0</v>
      </c>
      <c r="F68" s="33">
        <v>0</v>
      </c>
      <c r="G68" s="33">
        <v>0</v>
      </c>
      <c r="H68" s="33">
        <v>0</v>
      </c>
      <c r="I68" s="33">
        <v>0</v>
      </c>
      <c r="J68" s="33">
        <v>0</v>
      </c>
      <c r="K68" s="213"/>
      <c r="L68" s="213"/>
      <c r="M68" s="213"/>
      <c r="N68" s="461"/>
      <c r="O68" s="461" t="s">
        <v>3240</v>
      </c>
      <c r="P68" s="461"/>
      <c r="Q68" s="461"/>
      <c r="R68" s="461"/>
      <c r="S68" s="213"/>
      <c r="T68" s="213"/>
      <c r="U68" s="213"/>
      <c r="V68" s="213"/>
      <c r="W68" s="213"/>
      <c r="X68" s="213"/>
      <c r="Y68" s="213"/>
      <c r="Z68" s="213"/>
      <c r="AB68" s="213"/>
      <c r="AC68" s="134"/>
      <c r="AD68" s="19"/>
      <c r="AE68" s="19"/>
      <c r="AF68" s="19"/>
      <c r="AG68" s="19"/>
      <c r="AH68" s="19"/>
      <c r="AI68" s="212"/>
      <c r="AJ68" s="19"/>
      <c r="AK68" s="19"/>
      <c r="AL68" s="19"/>
      <c r="AM68" s="19"/>
      <c r="AN68" s="19"/>
      <c r="AO68" s="19"/>
      <c r="AP68" s="19"/>
      <c r="AQ68" s="19"/>
      <c r="AR68" s="19"/>
      <c r="AS68" s="19"/>
      <c r="AT68" s="19"/>
      <c r="AU68" s="19"/>
    </row>
    <row r="69" spans="1:47" ht="17.25" customHeight="1">
      <c r="A69" s="213"/>
      <c r="B69" s="213" t="s">
        <v>60</v>
      </c>
      <c r="C69" s="33">
        <v>0</v>
      </c>
      <c r="D69" s="33">
        <v>0</v>
      </c>
      <c r="E69" s="33">
        <v>0</v>
      </c>
      <c r="F69" s="33">
        <v>0</v>
      </c>
      <c r="G69" s="33">
        <v>0</v>
      </c>
      <c r="H69" s="33">
        <v>0</v>
      </c>
      <c r="I69" s="33">
        <v>0</v>
      </c>
      <c r="J69" s="33">
        <v>0</v>
      </c>
      <c r="K69" s="213"/>
      <c r="L69" s="213"/>
      <c r="M69" s="213"/>
      <c r="N69" s="461"/>
      <c r="O69" s="461" t="s">
        <v>3047</v>
      </c>
      <c r="P69" s="461"/>
      <c r="Q69" s="461"/>
      <c r="R69" s="461"/>
      <c r="S69" s="213"/>
      <c r="T69" s="213"/>
      <c r="U69" s="213"/>
      <c r="V69" s="213"/>
      <c r="W69" s="213"/>
      <c r="X69" s="213"/>
      <c r="Y69" s="213"/>
      <c r="Z69" s="213"/>
      <c r="AB69" s="213"/>
      <c r="AC69" s="134"/>
      <c r="AD69" s="19"/>
      <c r="AE69" s="19"/>
      <c r="AF69" s="19"/>
      <c r="AG69" s="19"/>
      <c r="AH69" s="19"/>
      <c r="AI69" s="212"/>
      <c r="AJ69" s="19"/>
      <c r="AK69" s="19"/>
      <c r="AL69" s="19"/>
      <c r="AM69" s="19"/>
      <c r="AN69" s="19"/>
      <c r="AO69" s="19"/>
      <c r="AP69" s="19"/>
      <c r="AQ69" s="19"/>
      <c r="AR69" s="19"/>
      <c r="AS69" s="19"/>
      <c r="AT69" s="19"/>
      <c r="AU69" s="19"/>
    </row>
    <row r="70" spans="1:47" ht="17.25" customHeight="1">
      <c r="A70" s="213"/>
      <c r="B70" s="213" t="s">
        <v>61</v>
      </c>
      <c r="C70" s="33">
        <v>-1</v>
      </c>
      <c r="D70" s="33">
        <v>1</v>
      </c>
      <c r="E70" s="33">
        <v>0</v>
      </c>
      <c r="F70" s="33">
        <v>-1</v>
      </c>
      <c r="G70" s="33">
        <v>0</v>
      </c>
      <c r="H70" s="33">
        <v>0</v>
      </c>
      <c r="I70" s="33">
        <v>-1</v>
      </c>
      <c r="J70" s="33">
        <v>1</v>
      </c>
      <c r="K70" s="213"/>
      <c r="L70" s="213"/>
      <c r="M70" s="213"/>
      <c r="N70" s="461"/>
      <c r="O70" s="461" t="s">
        <v>3048</v>
      </c>
      <c r="P70" s="461" t="s">
        <v>3049</v>
      </c>
      <c r="Q70" s="461" t="s">
        <v>3050</v>
      </c>
      <c r="R70" s="461" t="s">
        <v>3051</v>
      </c>
      <c r="S70" s="213" t="s">
        <v>3052</v>
      </c>
      <c r="T70" s="213" t="s">
        <v>3053</v>
      </c>
      <c r="U70" s="213" t="s">
        <v>3052</v>
      </c>
      <c r="V70" s="213"/>
      <c r="W70" s="213"/>
      <c r="X70" s="213"/>
      <c r="Y70" s="213"/>
      <c r="Z70" s="213"/>
      <c r="AB70" s="213"/>
      <c r="AC70" s="134"/>
      <c r="AD70" s="19"/>
      <c r="AE70" s="19"/>
      <c r="AF70" s="19"/>
      <c r="AG70" s="19"/>
      <c r="AH70" s="19"/>
      <c r="AI70" s="212"/>
      <c r="AJ70" s="19"/>
      <c r="AK70" s="19"/>
      <c r="AL70" s="19"/>
      <c r="AM70" s="19"/>
      <c r="AN70" s="19"/>
      <c r="AO70" s="19"/>
      <c r="AP70" s="19"/>
      <c r="AQ70" s="19"/>
      <c r="AR70" s="19"/>
      <c r="AS70" s="19"/>
      <c r="AT70" s="19"/>
      <c r="AU70" s="19"/>
    </row>
    <row r="71" spans="1:47" ht="17.25">
      <c r="A71" s="213"/>
      <c r="B71" s="213" t="s">
        <v>62</v>
      </c>
      <c r="C71" s="213">
        <v>0</v>
      </c>
      <c r="D71" s="213">
        <v>0</v>
      </c>
      <c r="E71" s="213">
        <v>0</v>
      </c>
      <c r="F71" s="213">
        <v>0</v>
      </c>
      <c r="G71" s="213">
        <v>0</v>
      </c>
      <c r="H71" s="213">
        <v>0</v>
      </c>
      <c r="I71" s="213">
        <v>0</v>
      </c>
      <c r="J71" s="213">
        <v>0</v>
      </c>
      <c r="K71" s="213"/>
      <c r="L71" s="213"/>
      <c r="M71" s="213"/>
      <c r="N71" s="461"/>
      <c r="O71" s="461" t="s">
        <v>3195</v>
      </c>
      <c r="P71" s="178">
        <v>876461</v>
      </c>
      <c r="Q71" s="177">
        <v>4.4999999999999997E-3</v>
      </c>
      <c r="R71" s="178">
        <v>948441</v>
      </c>
      <c r="S71" s="87">
        <v>-7.5899999999999995E-2</v>
      </c>
      <c r="T71" s="33">
        <v>6928355</v>
      </c>
      <c r="U71" s="87">
        <v>-2.9100000000000001E-2</v>
      </c>
      <c r="V71" s="213"/>
      <c r="W71" s="213"/>
      <c r="X71" s="213"/>
      <c r="Y71" s="213"/>
      <c r="Z71" s="213"/>
      <c r="AB71" s="213"/>
      <c r="AC71" s="134"/>
      <c r="AD71" s="19"/>
      <c r="AE71" s="19"/>
      <c r="AF71" s="19"/>
      <c r="AG71" s="19"/>
      <c r="AH71" s="19"/>
      <c r="AI71" s="212"/>
      <c r="AJ71" s="19"/>
      <c r="AK71" s="19"/>
      <c r="AL71" s="19"/>
      <c r="AM71" s="19"/>
      <c r="AN71" s="19"/>
      <c r="AO71" s="19"/>
      <c r="AP71" s="19"/>
      <c r="AQ71" s="19"/>
      <c r="AR71" s="19"/>
      <c r="AS71" s="19"/>
      <c r="AT71" s="19"/>
      <c r="AU71" s="19"/>
    </row>
    <row r="72" spans="1:47" ht="17.25">
      <c r="B72" s="1" t="s">
        <v>63</v>
      </c>
      <c r="C72" s="10">
        <v>0</v>
      </c>
      <c r="D72" s="10">
        <v>0</v>
      </c>
      <c r="E72" s="10">
        <v>0</v>
      </c>
      <c r="F72" s="10">
        <v>0</v>
      </c>
      <c r="G72" s="10">
        <v>0</v>
      </c>
      <c r="H72" s="10">
        <v>0</v>
      </c>
      <c r="I72" s="10">
        <v>0</v>
      </c>
      <c r="J72" s="10">
        <v>0</v>
      </c>
      <c r="N72" s="461"/>
      <c r="O72" s="461" t="s">
        <v>3153</v>
      </c>
      <c r="P72" s="178">
        <v>872559</v>
      </c>
      <c r="Q72" s="298">
        <v>5.6399999999999999E-2</v>
      </c>
      <c r="R72" s="33">
        <v>882147</v>
      </c>
      <c r="S72" s="87">
        <v>-1.09E-2</v>
      </c>
      <c r="T72" s="33">
        <v>6051894</v>
      </c>
      <c r="U72" s="87">
        <v>-2.1899999999999999E-2</v>
      </c>
      <c r="V72" s="213"/>
      <c r="W72" s="213"/>
      <c r="X72" s="213"/>
      <c r="Y72" s="213"/>
      <c r="Z72" s="213"/>
      <c r="AB72" s="213"/>
      <c r="AC72" s="134"/>
      <c r="AD72" s="19"/>
      <c r="AE72" s="19"/>
      <c r="AF72" s="19"/>
      <c r="AG72" s="19"/>
      <c r="AH72" s="19"/>
      <c r="AI72" s="212"/>
      <c r="AJ72" s="19"/>
      <c r="AK72" s="19"/>
      <c r="AL72" s="19"/>
      <c r="AM72" s="19"/>
      <c r="AN72" s="19"/>
      <c r="AO72" s="19"/>
      <c r="AP72" s="19"/>
      <c r="AQ72" s="19"/>
      <c r="AR72" s="19"/>
      <c r="AS72" s="19"/>
      <c r="AT72" s="19"/>
      <c r="AU72" s="19"/>
    </row>
    <row r="73" spans="1:47">
      <c r="B73" s="1" t="s">
        <v>64</v>
      </c>
      <c r="C73" s="1">
        <v>0</v>
      </c>
      <c r="D73" s="1">
        <v>0</v>
      </c>
      <c r="E73" s="1">
        <v>0</v>
      </c>
      <c r="F73" s="1">
        <v>0</v>
      </c>
      <c r="G73" s="1">
        <v>0</v>
      </c>
      <c r="H73" s="1">
        <v>0</v>
      </c>
      <c r="I73" s="1">
        <v>0</v>
      </c>
      <c r="J73" s="10">
        <v>0</v>
      </c>
      <c r="N73" s="464"/>
      <c r="O73" s="465" t="s">
        <v>3054</v>
      </c>
      <c r="P73" s="149">
        <v>825992</v>
      </c>
      <c r="Q73" s="87">
        <v>8.5300000000000001E-2</v>
      </c>
      <c r="R73" s="33">
        <v>790777</v>
      </c>
      <c r="S73" s="87">
        <v>4.4499999999999998E-2</v>
      </c>
      <c r="T73" s="33">
        <v>5179335</v>
      </c>
      <c r="U73" s="87">
        <v>-2.3800000000000002E-2</v>
      </c>
      <c r="V73" s="213"/>
      <c r="W73" s="213"/>
      <c r="X73" s="213"/>
      <c r="Y73" s="213"/>
      <c r="Z73" s="213"/>
      <c r="AB73" s="213"/>
      <c r="AC73" s="213"/>
      <c r="AD73" s="211"/>
      <c r="AE73" s="211"/>
      <c r="AF73" s="19"/>
      <c r="AG73" s="19"/>
      <c r="AH73" s="19"/>
      <c r="AI73" s="212"/>
      <c r="AJ73" s="19"/>
      <c r="AK73" s="19"/>
      <c r="AL73" s="19"/>
      <c r="AM73" s="19"/>
    </row>
    <row r="74" spans="1:47" ht="17.25">
      <c r="B74" s="1" t="s">
        <v>65</v>
      </c>
      <c r="C74" s="10">
        <v>0</v>
      </c>
      <c r="D74" s="10">
        <v>0</v>
      </c>
      <c r="E74" s="10">
        <v>0</v>
      </c>
      <c r="F74" s="10">
        <v>0</v>
      </c>
      <c r="G74" s="10">
        <v>0</v>
      </c>
      <c r="H74" s="1">
        <v>0</v>
      </c>
      <c r="I74" s="10">
        <v>0</v>
      </c>
      <c r="J74" s="1">
        <v>0</v>
      </c>
      <c r="N74" s="464"/>
      <c r="O74" s="148" t="s">
        <v>3055</v>
      </c>
      <c r="P74" s="176">
        <v>761039</v>
      </c>
      <c r="Q74" s="87">
        <v>-2.7799999999999998E-2</v>
      </c>
      <c r="R74" s="33">
        <v>736477</v>
      </c>
      <c r="S74" s="87">
        <v>3.3399999999999999E-2</v>
      </c>
      <c r="T74" s="33">
        <v>4353343</v>
      </c>
      <c r="U74" s="87">
        <v>-3.5700000000000003E-2</v>
      </c>
      <c r="V74" s="213"/>
      <c r="W74" s="213"/>
      <c r="X74" s="213"/>
      <c r="Y74" s="213"/>
      <c r="Z74" s="213"/>
      <c r="AB74" s="213"/>
      <c r="AC74" s="213"/>
      <c r="AD74" s="213"/>
    </row>
    <row r="75" spans="1:47" ht="17.25">
      <c r="B75" s="1" t="s">
        <v>66</v>
      </c>
      <c r="C75" s="1">
        <v>0</v>
      </c>
      <c r="D75" s="1">
        <v>0</v>
      </c>
      <c r="E75" s="1">
        <v>0</v>
      </c>
      <c r="F75" s="1">
        <v>0</v>
      </c>
      <c r="G75" s="1">
        <v>0</v>
      </c>
      <c r="H75" s="1">
        <v>0</v>
      </c>
      <c r="I75" s="1">
        <v>0</v>
      </c>
      <c r="J75" s="1">
        <v>0</v>
      </c>
      <c r="N75" s="461"/>
      <c r="O75" s="461" t="s">
        <v>3056</v>
      </c>
      <c r="P75" s="178">
        <v>782794</v>
      </c>
      <c r="Q75" s="177">
        <v>2.6599999999999999E-2</v>
      </c>
      <c r="R75" s="178">
        <v>783745</v>
      </c>
      <c r="S75" s="87">
        <v>-1.1999999999999999E-3</v>
      </c>
      <c r="T75" s="33">
        <v>3592305</v>
      </c>
      <c r="U75" s="87">
        <v>-4.9200000000000001E-2</v>
      </c>
      <c r="V75" s="213"/>
      <c r="W75" s="213"/>
      <c r="X75" s="213"/>
      <c r="Y75" s="213"/>
      <c r="Z75" s="213"/>
      <c r="AB75" s="213"/>
      <c r="AC75" s="213"/>
      <c r="AD75" s="213"/>
    </row>
    <row r="76" spans="1:47" ht="17.25">
      <c r="B76" s="1" t="s">
        <v>67</v>
      </c>
      <c r="C76" s="10">
        <v>57</v>
      </c>
      <c r="D76" s="10">
        <v>0</v>
      </c>
      <c r="E76" s="10">
        <v>129</v>
      </c>
      <c r="F76" s="10">
        <v>56</v>
      </c>
      <c r="G76" s="10">
        <v>4</v>
      </c>
      <c r="H76" s="10">
        <v>12</v>
      </c>
      <c r="I76" s="10">
        <v>23</v>
      </c>
      <c r="J76" s="10">
        <v>58</v>
      </c>
      <c r="N76" s="461"/>
      <c r="O76" s="461" t="s">
        <v>3057</v>
      </c>
      <c r="P76" s="178">
        <v>762528</v>
      </c>
      <c r="Q76" s="177">
        <v>-5.7700000000000001E-2</v>
      </c>
      <c r="R76" s="178">
        <v>834752</v>
      </c>
      <c r="S76" s="87">
        <v>-8.6499999999999994E-2</v>
      </c>
      <c r="T76" s="33">
        <v>2809511</v>
      </c>
      <c r="U76" s="87">
        <v>-6.1699999999999998E-2</v>
      </c>
      <c r="V76" s="213"/>
      <c r="W76" s="213"/>
      <c r="X76" s="213"/>
      <c r="Y76" s="213"/>
      <c r="Z76" s="213"/>
      <c r="AB76" s="213"/>
      <c r="AC76" s="213"/>
      <c r="AD76" s="213"/>
    </row>
    <row r="77" spans="1:47" ht="17.25">
      <c r="B77" s="1" t="s">
        <v>68</v>
      </c>
      <c r="C77" s="10">
        <v>7</v>
      </c>
      <c r="D77" s="10">
        <v>0</v>
      </c>
      <c r="E77" s="10">
        <v>11</v>
      </c>
      <c r="F77" s="10">
        <v>-12</v>
      </c>
      <c r="G77" s="10">
        <v>9</v>
      </c>
      <c r="H77" s="10">
        <v>4</v>
      </c>
      <c r="I77" s="10">
        <v>14</v>
      </c>
      <c r="J77" s="10">
        <v>-4</v>
      </c>
      <c r="N77" s="461"/>
      <c r="O77" s="461" t="s">
        <v>3058</v>
      </c>
      <c r="P77" s="178">
        <v>809257</v>
      </c>
      <c r="Q77" s="177">
        <v>0.66120000000000001</v>
      </c>
      <c r="R77" s="178">
        <v>701177</v>
      </c>
      <c r="S77" s="87">
        <v>0.15409999999999999</v>
      </c>
      <c r="T77" s="33">
        <v>2046983</v>
      </c>
      <c r="U77" s="87">
        <v>-5.2200000000000003E-2</v>
      </c>
      <c r="V77" s="213"/>
      <c r="W77" s="213"/>
      <c r="X77" s="213"/>
      <c r="Y77" s="213"/>
      <c r="Z77" s="213"/>
      <c r="AB77" s="213"/>
      <c r="AC77" s="19"/>
      <c r="AD77" s="19"/>
      <c r="AE77" s="19"/>
      <c r="AF77" s="19"/>
      <c r="AG77" s="19"/>
      <c r="AH77" s="19"/>
      <c r="AI77" s="19"/>
      <c r="AJ77" s="19"/>
      <c r="AK77" s="19"/>
      <c r="AL77" s="19"/>
      <c r="AM77" s="19"/>
      <c r="AN77" s="19"/>
      <c r="AO77" s="19"/>
      <c r="AP77" s="19"/>
      <c r="AQ77" s="19"/>
    </row>
    <row r="78" spans="1:47" ht="17.25">
      <c r="B78" s="1" t="s">
        <v>69</v>
      </c>
      <c r="C78" s="10">
        <v>76</v>
      </c>
      <c r="D78" s="10">
        <v>17</v>
      </c>
      <c r="E78" s="10">
        <v>154</v>
      </c>
      <c r="F78" s="10">
        <v>64</v>
      </c>
      <c r="G78" s="10">
        <v>36</v>
      </c>
      <c r="H78" s="10">
        <v>33</v>
      </c>
      <c r="I78" s="10">
        <v>62</v>
      </c>
      <c r="J78" s="10">
        <v>76</v>
      </c>
      <c r="N78" s="461"/>
      <c r="O78" s="461" t="s">
        <v>3059</v>
      </c>
      <c r="P78" s="178">
        <v>487150</v>
      </c>
      <c r="Q78" s="177">
        <v>-0.35099999999999998</v>
      </c>
      <c r="R78" s="178">
        <v>644815</v>
      </c>
      <c r="S78" s="87">
        <v>-0.2445</v>
      </c>
      <c r="T78" s="33">
        <v>1237726</v>
      </c>
      <c r="U78" s="87">
        <v>-0.15129999999999999</v>
      </c>
      <c r="V78" s="213"/>
      <c r="W78" s="213"/>
      <c r="X78" s="213"/>
      <c r="Y78" s="213"/>
      <c r="Z78" s="213"/>
      <c r="AB78" s="213"/>
      <c r="AC78" s="19"/>
      <c r="AD78" s="19"/>
      <c r="AE78" s="210"/>
      <c r="AF78" s="210"/>
      <c r="AG78" s="19"/>
      <c r="AH78" s="19"/>
      <c r="AI78" s="19"/>
      <c r="AJ78" s="210"/>
      <c r="AK78" s="210"/>
      <c r="AL78" s="19"/>
      <c r="AM78" s="19"/>
      <c r="AN78" s="19"/>
      <c r="AO78" s="210"/>
      <c r="AP78" s="210"/>
      <c r="AQ78" s="19"/>
    </row>
    <row r="79" spans="1:47" ht="17.25">
      <c r="B79" s="1" t="s">
        <v>70</v>
      </c>
      <c r="C79" s="10">
        <v>3</v>
      </c>
      <c r="D79" s="10">
        <v>3</v>
      </c>
      <c r="E79" s="10">
        <v>4</v>
      </c>
      <c r="F79" s="10">
        <v>4</v>
      </c>
      <c r="G79" s="10">
        <v>6</v>
      </c>
      <c r="H79" s="10">
        <v>4</v>
      </c>
      <c r="I79" s="10">
        <v>5</v>
      </c>
      <c r="J79" s="10">
        <v>7</v>
      </c>
      <c r="N79" s="461"/>
      <c r="O79" s="461" t="s">
        <v>3060</v>
      </c>
      <c r="P79" s="178">
        <v>750576</v>
      </c>
      <c r="Q79" s="177">
        <v>6.6E-3</v>
      </c>
      <c r="R79" s="178">
        <v>813627</v>
      </c>
      <c r="S79" s="87">
        <v>-7.7499999999999999E-2</v>
      </c>
      <c r="T79" s="33">
        <v>750576</v>
      </c>
      <c r="U79" s="87">
        <v>-7.7499999999999999E-2</v>
      </c>
      <c r="V79" s="213"/>
      <c r="W79" s="213"/>
      <c r="X79" s="213"/>
      <c r="Y79" s="213"/>
      <c r="Z79" s="213"/>
      <c r="AB79" s="213"/>
      <c r="AC79" s="19"/>
      <c r="AD79" s="19"/>
      <c r="AE79" s="210"/>
      <c r="AF79" s="210"/>
      <c r="AG79" s="19"/>
      <c r="AH79" s="19"/>
      <c r="AI79" s="19"/>
      <c r="AJ79" s="210"/>
      <c r="AK79" s="210"/>
      <c r="AL79" s="19"/>
      <c r="AM79" s="19"/>
      <c r="AN79" s="19"/>
      <c r="AO79" s="210"/>
      <c r="AP79" s="210"/>
      <c r="AQ79" s="19"/>
    </row>
    <row r="80" spans="1:47" ht="17.25">
      <c r="B80" s="1" t="s">
        <v>71</v>
      </c>
      <c r="C80" s="10">
        <v>0</v>
      </c>
      <c r="D80" s="10">
        <v>0</v>
      </c>
      <c r="E80" s="10">
        <v>0</v>
      </c>
      <c r="F80" s="10">
        <v>0</v>
      </c>
      <c r="G80" s="10">
        <v>0</v>
      </c>
      <c r="H80" s="10">
        <v>0</v>
      </c>
      <c r="I80" s="10">
        <v>0</v>
      </c>
      <c r="J80" s="10">
        <v>0</v>
      </c>
      <c r="N80" s="461"/>
      <c r="O80" s="461" t="s">
        <v>3061</v>
      </c>
      <c r="P80" s="178">
        <v>745640</v>
      </c>
      <c r="Q80" s="177">
        <v>-4.1399999999999999E-2</v>
      </c>
      <c r="R80" s="178">
        <v>876503</v>
      </c>
      <c r="S80" s="87">
        <v>-0.14929999999999999</v>
      </c>
      <c r="T80" s="33">
        <v>9463814</v>
      </c>
      <c r="U80" s="87">
        <v>-6.0600000000000001E-2</v>
      </c>
      <c r="V80" s="213"/>
      <c r="W80" s="213"/>
      <c r="X80" s="213"/>
      <c r="Y80" s="213"/>
      <c r="Z80" s="213"/>
      <c r="AB80" s="213"/>
      <c r="AC80" s="19"/>
      <c r="AD80" s="19"/>
      <c r="AE80" s="19"/>
      <c r="AF80" s="210"/>
      <c r="AG80" s="19"/>
      <c r="AH80" s="19"/>
      <c r="AI80" s="19"/>
      <c r="AJ80" s="19"/>
      <c r="AK80" s="210"/>
      <c r="AL80" s="19"/>
      <c r="AM80" s="19"/>
      <c r="AN80" s="19"/>
      <c r="AO80" s="19"/>
      <c r="AP80" s="210"/>
      <c r="AQ80" s="19"/>
    </row>
    <row r="81" spans="2:43" ht="17.25">
      <c r="B81" s="1" t="s">
        <v>72</v>
      </c>
      <c r="C81" s="1">
        <v>0</v>
      </c>
      <c r="D81" s="1">
        <v>0</v>
      </c>
      <c r="E81" s="10">
        <v>0</v>
      </c>
      <c r="F81" s="10">
        <v>0</v>
      </c>
      <c r="G81" s="10">
        <v>0</v>
      </c>
      <c r="H81" s="10">
        <v>0</v>
      </c>
      <c r="I81" s="1">
        <v>0</v>
      </c>
      <c r="J81" s="10">
        <v>0</v>
      </c>
      <c r="N81" s="461"/>
      <c r="O81" s="461" t="s">
        <v>3062</v>
      </c>
      <c r="P81" s="178">
        <v>777809</v>
      </c>
      <c r="Q81" s="177">
        <v>-3.3099999999999997E-2</v>
      </c>
      <c r="R81" s="178">
        <v>890981</v>
      </c>
      <c r="S81" s="87">
        <v>-0.127</v>
      </c>
      <c r="T81" s="33">
        <v>8718174</v>
      </c>
      <c r="U81" s="87">
        <v>-5.21E-2</v>
      </c>
      <c r="V81" s="213"/>
      <c r="W81" s="213"/>
      <c r="X81" s="213"/>
      <c r="Y81" s="213"/>
      <c r="Z81" s="213"/>
      <c r="AB81" s="213"/>
      <c r="AC81" s="19"/>
      <c r="AD81" s="19"/>
      <c r="AE81" s="19"/>
      <c r="AF81" s="210"/>
      <c r="AG81" s="19"/>
      <c r="AH81" s="19"/>
      <c r="AI81" s="19"/>
      <c r="AJ81" s="19"/>
      <c r="AK81" s="210"/>
      <c r="AL81" s="19"/>
      <c r="AM81" s="19"/>
      <c r="AN81" s="19"/>
      <c r="AO81" s="19"/>
      <c r="AP81" s="210"/>
      <c r="AQ81" s="19"/>
    </row>
    <row r="82" spans="2:43" ht="17.25">
      <c r="B82" s="1" t="s">
        <v>73</v>
      </c>
      <c r="C82" s="10">
        <v>0</v>
      </c>
      <c r="D82" s="10">
        <v>0</v>
      </c>
      <c r="E82" s="10">
        <v>0</v>
      </c>
      <c r="F82" s="10">
        <v>0</v>
      </c>
      <c r="G82" s="10">
        <v>0</v>
      </c>
      <c r="H82" s="10">
        <v>0</v>
      </c>
      <c r="I82" s="10">
        <v>0</v>
      </c>
      <c r="J82" s="10">
        <v>0</v>
      </c>
      <c r="N82" s="461"/>
      <c r="O82" s="461" t="s">
        <v>3063</v>
      </c>
      <c r="P82" s="178">
        <v>804406</v>
      </c>
      <c r="Q82" s="177">
        <v>-0.15190000000000001</v>
      </c>
      <c r="R82" s="178">
        <v>907797</v>
      </c>
      <c r="S82" s="87">
        <v>-0.1139</v>
      </c>
      <c r="T82" s="33">
        <v>7940365</v>
      </c>
      <c r="U82" s="87">
        <v>-4.41E-2</v>
      </c>
      <c r="V82" s="213"/>
      <c r="W82" s="213"/>
      <c r="X82" s="213"/>
      <c r="Y82" s="213"/>
      <c r="Z82" s="213"/>
      <c r="AB82" s="213"/>
      <c r="AC82" s="19"/>
      <c r="AD82" s="19"/>
      <c r="AE82" s="19"/>
      <c r="AF82" s="210"/>
      <c r="AG82" s="19"/>
      <c r="AH82" s="19"/>
      <c r="AI82" s="19"/>
      <c r="AJ82" s="19"/>
      <c r="AK82" s="210"/>
      <c r="AL82" s="19"/>
      <c r="AM82" s="19"/>
      <c r="AN82" s="19"/>
      <c r="AO82" s="19"/>
      <c r="AP82" s="210"/>
      <c r="AQ82" s="19"/>
    </row>
    <row r="83" spans="2:43" ht="17.25">
      <c r="B83" s="1" t="s">
        <v>74</v>
      </c>
      <c r="C83" s="10">
        <v>28</v>
      </c>
      <c r="D83" s="10">
        <v>0</v>
      </c>
      <c r="E83" s="10">
        <v>0</v>
      </c>
      <c r="F83" s="10">
        <v>-6</v>
      </c>
      <c r="G83" s="10">
        <v>6</v>
      </c>
      <c r="H83" s="10">
        <v>0</v>
      </c>
      <c r="I83" s="10">
        <v>0</v>
      </c>
      <c r="J83" s="10">
        <v>0</v>
      </c>
      <c r="N83" s="461"/>
      <c r="O83" s="461" t="s">
        <v>3064</v>
      </c>
      <c r="P83" s="178">
        <v>948441</v>
      </c>
      <c r="Q83" s="177">
        <v>7.5200000000000003E-2</v>
      </c>
      <c r="R83" s="178">
        <v>993254</v>
      </c>
      <c r="S83" s="87">
        <v>-4.5100000000000001E-2</v>
      </c>
      <c r="T83" s="33">
        <v>7135959</v>
      </c>
      <c r="U83" s="87">
        <v>-3.5499999999999997E-2</v>
      </c>
      <c r="V83" s="213"/>
      <c r="W83" s="213"/>
      <c r="X83" s="213"/>
      <c r="Y83" s="213"/>
      <c r="Z83" s="213"/>
      <c r="AB83" s="213"/>
      <c r="AC83" s="19"/>
      <c r="AD83" s="19"/>
      <c r="AE83" s="19"/>
      <c r="AF83" s="210"/>
      <c r="AG83" s="19"/>
      <c r="AH83" s="19"/>
      <c r="AI83" s="19"/>
      <c r="AJ83" s="19"/>
      <c r="AK83" s="210"/>
      <c r="AL83" s="19"/>
      <c r="AM83" s="19"/>
      <c r="AN83" s="19"/>
      <c r="AO83" s="19"/>
      <c r="AP83" s="210"/>
      <c r="AQ83" s="19"/>
    </row>
    <row r="84" spans="2:43" ht="17.25">
      <c r="B84" s="1" t="s">
        <v>75</v>
      </c>
      <c r="C84" s="10">
        <v>2</v>
      </c>
      <c r="D84" s="10">
        <v>0</v>
      </c>
      <c r="E84" s="10">
        <v>1</v>
      </c>
      <c r="F84" s="10">
        <v>0</v>
      </c>
      <c r="G84" s="10">
        <v>0</v>
      </c>
      <c r="H84" s="10">
        <v>0</v>
      </c>
      <c r="I84" s="10">
        <v>0</v>
      </c>
      <c r="J84" s="10">
        <v>0</v>
      </c>
      <c r="N84" s="461"/>
      <c r="O84" s="461" t="s">
        <v>3065</v>
      </c>
      <c r="P84" s="178">
        <v>882147</v>
      </c>
      <c r="Q84" s="177">
        <v>0.11550000000000001</v>
      </c>
      <c r="R84" s="178">
        <v>926971</v>
      </c>
      <c r="S84" s="87">
        <v>-4.8399999999999999E-2</v>
      </c>
      <c r="T84" s="33">
        <v>6187518</v>
      </c>
      <c r="U84" s="87">
        <v>-3.4000000000000002E-2</v>
      </c>
      <c r="V84" s="213"/>
      <c r="W84" s="213"/>
      <c r="X84" s="213"/>
      <c r="Y84" s="213"/>
      <c r="Z84" s="213"/>
      <c r="AB84" s="213"/>
      <c r="AC84" s="19"/>
      <c r="AD84" s="19"/>
      <c r="AE84" s="19"/>
      <c r="AF84" s="210"/>
      <c r="AG84" s="19"/>
      <c r="AH84" s="19"/>
      <c r="AI84" s="19"/>
      <c r="AJ84" s="19"/>
      <c r="AK84" s="210"/>
      <c r="AL84" s="19"/>
      <c r="AM84" s="19"/>
      <c r="AN84" s="19"/>
      <c r="AO84" s="19"/>
      <c r="AP84" s="210"/>
      <c r="AQ84" s="19"/>
    </row>
    <row r="85" spans="2:43">
      <c r="B85" s="1" t="s">
        <v>76</v>
      </c>
      <c r="C85" s="10">
        <v>0</v>
      </c>
      <c r="D85" s="10">
        <v>0</v>
      </c>
      <c r="E85" s="10">
        <v>0</v>
      </c>
      <c r="F85" s="10">
        <v>0</v>
      </c>
      <c r="G85" s="10">
        <v>0</v>
      </c>
      <c r="H85" s="10">
        <v>0</v>
      </c>
      <c r="I85" s="10">
        <v>0</v>
      </c>
      <c r="J85" s="10">
        <v>0</v>
      </c>
      <c r="N85" s="464"/>
      <c r="O85" s="465" t="s">
        <v>3066</v>
      </c>
      <c r="P85" s="149">
        <v>790777</v>
      </c>
      <c r="Q85" s="87">
        <v>7.3700000000000002E-2</v>
      </c>
      <c r="R85" s="33">
        <v>842381</v>
      </c>
      <c r="S85" s="87">
        <v>-6.13E-2</v>
      </c>
      <c r="T85" s="33">
        <v>5305371</v>
      </c>
      <c r="U85" s="87">
        <v>-3.1600000000000003E-2</v>
      </c>
      <c r="V85" s="213"/>
      <c r="W85" s="213"/>
      <c r="X85" s="213"/>
      <c r="Y85" s="213"/>
      <c r="Z85" s="213"/>
      <c r="AB85" s="213"/>
      <c r="AC85" s="19"/>
      <c r="AD85" s="19"/>
      <c r="AE85" s="19"/>
      <c r="AF85" s="210"/>
      <c r="AG85" s="19"/>
      <c r="AH85" s="19"/>
      <c r="AI85" s="19"/>
      <c r="AJ85" s="19"/>
      <c r="AK85" s="210"/>
      <c r="AL85" s="19"/>
      <c r="AM85" s="19"/>
      <c r="AN85" s="19"/>
      <c r="AO85" s="19"/>
      <c r="AP85" s="210"/>
      <c r="AQ85" s="19"/>
    </row>
    <row r="86" spans="2:43" ht="17.25">
      <c r="B86" s="1" t="s">
        <v>77</v>
      </c>
      <c r="C86" s="10">
        <v>0</v>
      </c>
      <c r="D86" s="10">
        <v>0</v>
      </c>
      <c r="E86" s="10">
        <v>0</v>
      </c>
      <c r="F86" s="10">
        <v>0</v>
      </c>
      <c r="G86" s="10">
        <v>0</v>
      </c>
      <c r="H86" s="10">
        <v>0</v>
      </c>
      <c r="I86" s="10">
        <v>0</v>
      </c>
      <c r="J86" s="10">
        <v>0</v>
      </c>
      <c r="N86" s="464"/>
      <c r="O86" s="148" t="s">
        <v>3067</v>
      </c>
      <c r="P86" s="176">
        <v>736477</v>
      </c>
      <c r="Q86" s="87">
        <v>-6.0299999999999999E-2</v>
      </c>
      <c r="R86" s="33">
        <v>878355</v>
      </c>
      <c r="S86" s="87">
        <v>-0.1615</v>
      </c>
      <c r="T86" s="33">
        <v>4514594</v>
      </c>
      <c r="U86" s="87">
        <v>-2.6200000000000001E-2</v>
      </c>
      <c r="V86" s="213"/>
      <c r="W86" s="213"/>
      <c r="X86" s="213"/>
      <c r="Y86" s="213"/>
      <c r="Z86" s="213"/>
      <c r="AB86" s="213"/>
      <c r="AC86" s="19"/>
      <c r="AD86" s="19"/>
      <c r="AE86" s="19"/>
      <c r="AF86" s="210"/>
      <c r="AG86" s="19"/>
      <c r="AH86" s="19"/>
      <c r="AI86" s="19"/>
      <c r="AJ86" s="19"/>
      <c r="AK86" s="210"/>
      <c r="AL86" s="19"/>
      <c r="AM86" s="19"/>
      <c r="AN86" s="19"/>
      <c r="AO86" s="19"/>
      <c r="AP86" s="210"/>
      <c r="AQ86" s="19"/>
    </row>
    <row r="87" spans="2:43" ht="17.25">
      <c r="B87" s="1" t="s">
        <v>78</v>
      </c>
      <c r="C87" s="10">
        <v>0</v>
      </c>
      <c r="D87" s="10">
        <v>0</v>
      </c>
      <c r="E87" s="10">
        <v>0</v>
      </c>
      <c r="F87" s="10">
        <v>1</v>
      </c>
      <c r="G87" s="10">
        <v>4</v>
      </c>
      <c r="H87" s="10">
        <v>0</v>
      </c>
      <c r="I87" s="10">
        <v>3</v>
      </c>
      <c r="J87" s="10">
        <v>6</v>
      </c>
      <c r="N87" s="461"/>
      <c r="O87" s="461" t="s">
        <v>3068</v>
      </c>
      <c r="P87" s="178">
        <v>783745</v>
      </c>
      <c r="Q87" s="177">
        <v>-6.1100000000000002E-2</v>
      </c>
      <c r="R87" s="178">
        <v>868909</v>
      </c>
      <c r="S87" s="87">
        <v>-9.8000000000000004E-2</v>
      </c>
      <c r="T87" s="33">
        <v>3778117</v>
      </c>
      <c r="U87" s="87">
        <v>5.4000000000000003E-3</v>
      </c>
      <c r="V87" s="213"/>
      <c r="W87" s="213"/>
      <c r="X87" s="213"/>
      <c r="Y87" s="213"/>
      <c r="Z87" s="213"/>
      <c r="AB87" s="213"/>
      <c r="AC87" s="19"/>
      <c r="AD87" s="19"/>
      <c r="AE87" s="19"/>
      <c r="AF87" s="210"/>
      <c r="AG87" s="19"/>
      <c r="AH87" s="19"/>
      <c r="AI87" s="19"/>
      <c r="AJ87" s="19"/>
      <c r="AK87" s="210"/>
      <c r="AL87" s="19"/>
      <c r="AM87" s="19"/>
      <c r="AN87" s="19"/>
      <c r="AO87" s="19"/>
      <c r="AP87" s="210"/>
      <c r="AQ87" s="19"/>
    </row>
    <row r="88" spans="2:43" ht="17.25">
      <c r="B88" s="1" t="s">
        <v>79</v>
      </c>
      <c r="C88" s="10">
        <v>0</v>
      </c>
      <c r="D88" s="10">
        <v>0</v>
      </c>
      <c r="E88" s="10">
        <v>0</v>
      </c>
      <c r="F88" s="10">
        <v>0</v>
      </c>
      <c r="G88" s="10">
        <v>0</v>
      </c>
      <c r="H88" s="10">
        <v>0</v>
      </c>
      <c r="I88" s="10">
        <v>0</v>
      </c>
      <c r="J88" s="10">
        <v>0</v>
      </c>
      <c r="N88" s="461"/>
      <c r="O88" s="461" t="s">
        <v>3069</v>
      </c>
      <c r="P88" s="178">
        <v>834752</v>
      </c>
      <c r="Q88" s="177">
        <v>0.1905</v>
      </c>
      <c r="R88" s="178">
        <v>910684</v>
      </c>
      <c r="S88" s="87">
        <v>-8.3400000000000002E-2</v>
      </c>
      <c r="T88" s="33">
        <v>2994371</v>
      </c>
      <c r="U88" s="87">
        <v>3.6499999999999998E-2</v>
      </c>
      <c r="V88" s="213"/>
      <c r="W88" s="213"/>
      <c r="X88" s="213"/>
      <c r="Y88" s="213"/>
      <c r="Z88" s="213"/>
      <c r="AB88" s="213"/>
      <c r="AC88" s="19"/>
      <c r="AD88" s="19"/>
      <c r="AE88" s="19"/>
      <c r="AF88" s="210"/>
      <c r="AG88" s="19"/>
      <c r="AH88" s="19"/>
      <c r="AI88" s="19"/>
      <c r="AJ88" s="19"/>
      <c r="AK88" s="210"/>
      <c r="AL88" s="19"/>
      <c r="AM88" s="19"/>
      <c r="AN88" s="19"/>
      <c r="AO88" s="19"/>
      <c r="AP88" s="210"/>
      <c r="AQ88" s="19"/>
    </row>
    <row r="89" spans="2:43" ht="17.25">
      <c r="B89" s="1" t="s">
        <v>80</v>
      </c>
      <c r="C89" s="10">
        <v>-17</v>
      </c>
      <c r="D89" s="10">
        <v>17</v>
      </c>
      <c r="E89" s="10">
        <v>100</v>
      </c>
      <c r="F89" s="10">
        <v>0</v>
      </c>
      <c r="G89" s="10">
        <v>0</v>
      </c>
      <c r="H89" s="10">
        <v>0</v>
      </c>
      <c r="I89" s="10">
        <v>31</v>
      </c>
      <c r="J89" s="10">
        <v>59</v>
      </c>
      <c r="N89" s="461"/>
      <c r="O89" s="461" t="s">
        <v>3070</v>
      </c>
      <c r="P89" s="178">
        <v>701177</v>
      </c>
      <c r="Q89" s="177">
        <v>8.7400000000000005E-2</v>
      </c>
      <c r="R89" s="178">
        <v>765718</v>
      </c>
      <c r="S89" s="87">
        <v>-8.43E-2</v>
      </c>
      <c r="T89" s="33">
        <v>2159619</v>
      </c>
      <c r="U89" s="87">
        <v>9.1700000000000004E-2</v>
      </c>
      <c r="V89" s="213"/>
      <c r="W89" s="213"/>
      <c r="X89" s="213"/>
      <c r="Y89" s="213"/>
      <c r="Z89" s="213"/>
      <c r="AB89" s="213"/>
      <c r="AC89" s="19"/>
      <c r="AD89" s="19"/>
      <c r="AE89" s="19"/>
      <c r="AF89" s="210"/>
      <c r="AG89" s="19"/>
      <c r="AH89" s="19"/>
      <c r="AI89" s="19"/>
      <c r="AJ89" s="19"/>
      <c r="AK89" s="210"/>
      <c r="AL89" s="19"/>
      <c r="AM89" s="19"/>
      <c r="AN89" s="19"/>
      <c r="AO89" s="19"/>
      <c r="AP89" s="210"/>
      <c r="AQ89" s="19"/>
    </row>
    <row r="90" spans="2:43" ht="17.25">
      <c r="B90" s="1" t="s">
        <v>81</v>
      </c>
      <c r="C90" s="10">
        <v>0</v>
      </c>
      <c r="D90" s="10">
        <v>0</v>
      </c>
      <c r="E90" s="10">
        <v>0</v>
      </c>
      <c r="F90" s="10">
        <v>0</v>
      </c>
      <c r="G90" s="10">
        <v>0</v>
      </c>
      <c r="H90" s="10">
        <v>0</v>
      </c>
      <c r="I90" s="10">
        <v>0</v>
      </c>
      <c r="J90" s="10">
        <v>0</v>
      </c>
      <c r="N90" s="461"/>
      <c r="O90" s="461" t="s">
        <v>3071</v>
      </c>
      <c r="P90" s="178">
        <v>644815</v>
      </c>
      <c r="Q90" s="177">
        <v>-0.20749999999999999</v>
      </c>
      <c r="R90" s="178">
        <v>512503</v>
      </c>
      <c r="S90" s="87">
        <v>0.25819999999999999</v>
      </c>
      <c r="T90" s="33">
        <v>1458442</v>
      </c>
      <c r="U90" s="87">
        <v>0.20280000000000001</v>
      </c>
      <c r="V90" s="213"/>
      <c r="W90" s="213"/>
      <c r="X90" s="213"/>
      <c r="Y90" s="213"/>
      <c r="Z90" s="213"/>
      <c r="AB90" s="213"/>
      <c r="AC90" s="19"/>
      <c r="AD90" s="19"/>
      <c r="AE90" s="19"/>
      <c r="AF90" s="210"/>
      <c r="AG90" s="19"/>
      <c r="AH90" s="19"/>
      <c r="AI90" s="19"/>
      <c r="AJ90" s="19"/>
      <c r="AK90" s="210"/>
      <c r="AL90" s="19"/>
      <c r="AM90" s="19"/>
      <c r="AN90" s="19"/>
      <c r="AO90" s="19"/>
      <c r="AP90" s="210"/>
      <c r="AQ90" s="19"/>
    </row>
    <row r="91" spans="2:43" ht="17.25">
      <c r="B91" s="1" t="s">
        <v>82</v>
      </c>
      <c r="C91" s="10">
        <v>-5</v>
      </c>
      <c r="D91" s="10">
        <v>5</v>
      </c>
      <c r="E91" s="10">
        <v>1</v>
      </c>
      <c r="F91" s="10">
        <v>0</v>
      </c>
      <c r="G91" s="10">
        <v>0</v>
      </c>
      <c r="H91" s="10">
        <v>0</v>
      </c>
      <c r="I91" s="10">
        <v>16</v>
      </c>
      <c r="J91" s="10">
        <v>0</v>
      </c>
      <c r="N91" s="461"/>
      <c r="O91" s="461" t="s">
        <v>3072</v>
      </c>
      <c r="P91" s="178">
        <v>813627</v>
      </c>
      <c r="Q91" s="177">
        <v>-7.17E-2</v>
      </c>
      <c r="R91" s="178">
        <v>700005</v>
      </c>
      <c r="S91" s="87">
        <v>0.1623</v>
      </c>
      <c r="T91" s="33">
        <v>813627</v>
      </c>
      <c r="U91" s="87">
        <v>0.1623</v>
      </c>
      <c r="V91" s="213"/>
      <c r="W91" s="213"/>
      <c r="X91" s="213"/>
      <c r="Y91" s="213"/>
      <c r="Z91" s="213"/>
      <c r="AB91" s="213"/>
      <c r="AC91" s="19"/>
      <c r="AD91" s="19"/>
      <c r="AE91" s="19"/>
      <c r="AF91" s="210"/>
      <c r="AG91" s="19"/>
      <c r="AH91" s="19"/>
      <c r="AI91" s="19"/>
      <c r="AJ91" s="19"/>
      <c r="AK91" s="210"/>
      <c r="AL91" s="19"/>
      <c r="AM91" s="19"/>
      <c r="AN91" s="19"/>
      <c r="AO91" s="19"/>
      <c r="AP91" s="210"/>
      <c r="AQ91" s="19"/>
    </row>
    <row r="92" spans="2:43" ht="17.25">
      <c r="B92" s="1" t="s">
        <v>83</v>
      </c>
      <c r="C92" s="10">
        <v>10</v>
      </c>
      <c r="D92" s="10">
        <v>27</v>
      </c>
      <c r="E92" s="10">
        <v>106</v>
      </c>
      <c r="F92" s="10">
        <v>-1</v>
      </c>
      <c r="G92" s="10">
        <v>15</v>
      </c>
      <c r="H92" s="10">
        <v>4</v>
      </c>
      <c r="I92" s="10">
        <v>56</v>
      </c>
      <c r="J92" s="10">
        <v>73</v>
      </c>
      <c r="N92" s="461"/>
      <c r="O92" s="461" t="s">
        <v>3073</v>
      </c>
      <c r="P92" s="178">
        <v>876503</v>
      </c>
      <c r="Q92" s="177">
        <v>-1.6199999999999999E-2</v>
      </c>
      <c r="R92" s="178">
        <v>765282</v>
      </c>
      <c r="S92" s="87">
        <v>0.14530000000000001</v>
      </c>
      <c r="T92" s="33">
        <v>10074061</v>
      </c>
      <c r="U92" s="87">
        <v>0.11269999999999999</v>
      </c>
      <c r="V92" s="213"/>
      <c r="W92" s="213"/>
      <c r="X92" s="213"/>
      <c r="Y92" s="213"/>
      <c r="Z92" s="213"/>
      <c r="AB92" s="213"/>
      <c r="AC92" s="19"/>
      <c r="AD92" s="19"/>
      <c r="AE92" s="19"/>
      <c r="AF92" s="210"/>
      <c r="AG92" s="19"/>
      <c r="AH92" s="19"/>
      <c r="AI92" s="19"/>
      <c r="AJ92" s="19"/>
      <c r="AK92" s="210"/>
      <c r="AL92" s="19"/>
      <c r="AM92" s="19"/>
      <c r="AN92" s="19"/>
      <c r="AO92" s="19"/>
      <c r="AP92" s="210"/>
      <c r="AQ92" s="19"/>
    </row>
    <row r="93" spans="2:43" ht="17.25">
      <c r="B93" s="1" t="s">
        <v>84</v>
      </c>
      <c r="C93" s="10">
        <v>311</v>
      </c>
      <c r="D93" s="10">
        <v>223</v>
      </c>
      <c r="E93" s="10">
        <v>305</v>
      </c>
      <c r="F93" s="10">
        <v>419</v>
      </c>
      <c r="G93" s="10">
        <v>266</v>
      </c>
      <c r="H93" s="10">
        <v>245</v>
      </c>
      <c r="I93" s="10">
        <v>354</v>
      </c>
      <c r="J93" s="10">
        <v>347</v>
      </c>
      <c r="N93" s="461"/>
      <c r="O93" s="461" t="s">
        <v>3074</v>
      </c>
      <c r="P93" s="178">
        <v>890981</v>
      </c>
      <c r="Q93" s="177">
        <v>-1.8499999999999999E-2</v>
      </c>
      <c r="R93" s="178">
        <v>717558</v>
      </c>
      <c r="S93" s="87">
        <v>0.2417</v>
      </c>
      <c r="T93" s="33">
        <v>9197558</v>
      </c>
      <c r="U93" s="87">
        <v>0.10970000000000001</v>
      </c>
      <c r="V93" s="213"/>
      <c r="W93" s="213"/>
      <c r="X93" s="213"/>
      <c r="Y93" s="213"/>
      <c r="Z93" s="213"/>
      <c r="AB93" s="213"/>
      <c r="AC93" s="19"/>
      <c r="AD93" s="19"/>
      <c r="AE93" s="210"/>
      <c r="AF93" s="210"/>
      <c r="AG93" s="19"/>
      <c r="AH93" s="19"/>
      <c r="AI93" s="19"/>
      <c r="AJ93" s="19"/>
      <c r="AK93" s="19"/>
      <c r="AL93" s="19"/>
      <c r="AM93" s="19"/>
      <c r="AN93" s="19"/>
      <c r="AO93" s="210"/>
      <c r="AP93" s="210"/>
      <c r="AQ93" s="19"/>
    </row>
    <row r="94" spans="2:43" ht="17.25">
      <c r="B94" s="1" t="s">
        <v>85</v>
      </c>
      <c r="C94" s="10">
        <v>107</v>
      </c>
      <c r="D94" s="10">
        <v>70</v>
      </c>
      <c r="E94" s="10">
        <v>123</v>
      </c>
      <c r="F94" s="10">
        <v>143</v>
      </c>
      <c r="G94" s="10">
        <v>93</v>
      </c>
      <c r="H94" s="10">
        <v>86</v>
      </c>
      <c r="I94" s="10">
        <v>101</v>
      </c>
      <c r="J94" s="10">
        <v>107</v>
      </c>
      <c r="N94" s="461"/>
      <c r="O94" s="461" t="s">
        <v>3075</v>
      </c>
      <c r="P94" s="178">
        <v>907797</v>
      </c>
      <c r="Q94" s="177">
        <v>-8.5999999999999993E-2</v>
      </c>
      <c r="R94" s="178">
        <v>685555</v>
      </c>
      <c r="S94" s="87">
        <v>0.32419999999999999</v>
      </c>
      <c r="T94" s="33">
        <v>8306577</v>
      </c>
      <c r="U94" s="87">
        <v>9.7199999999999995E-2</v>
      </c>
      <c r="V94" s="213"/>
      <c r="W94" s="213"/>
      <c r="X94" s="213"/>
      <c r="Y94" s="213"/>
      <c r="Z94" s="213"/>
      <c r="AB94" s="213"/>
      <c r="AC94" s="19"/>
      <c r="AD94" s="19"/>
      <c r="AE94" s="210"/>
      <c r="AF94" s="210"/>
      <c r="AG94" s="19"/>
      <c r="AH94" s="19"/>
      <c r="AI94" s="19"/>
      <c r="AJ94" s="210"/>
      <c r="AK94" s="210"/>
      <c r="AL94" s="19"/>
      <c r="AM94" s="19"/>
      <c r="AN94" s="210"/>
      <c r="AO94" s="19"/>
    </row>
    <row r="95" spans="2:43" ht="17.25">
      <c r="B95" s="1" t="s">
        <v>86</v>
      </c>
      <c r="C95" s="10">
        <v>204</v>
      </c>
      <c r="D95" s="10">
        <v>153</v>
      </c>
      <c r="E95" s="10">
        <v>182</v>
      </c>
      <c r="F95" s="10">
        <v>276</v>
      </c>
      <c r="G95" s="10">
        <v>174</v>
      </c>
      <c r="H95" s="10">
        <v>159</v>
      </c>
      <c r="I95" s="10">
        <v>253</v>
      </c>
      <c r="J95" s="10">
        <v>240</v>
      </c>
      <c r="N95" s="461"/>
      <c r="O95" s="461" t="s">
        <v>3076</v>
      </c>
      <c r="P95" s="178">
        <v>993254</v>
      </c>
      <c r="Q95" s="177">
        <v>7.1499999999999994E-2</v>
      </c>
      <c r="R95" s="178">
        <v>807192</v>
      </c>
      <c r="S95" s="87">
        <v>0.23050000000000001</v>
      </c>
      <c r="T95" s="33">
        <v>7398780</v>
      </c>
      <c r="U95" s="87">
        <v>7.46E-2</v>
      </c>
      <c r="V95" s="213"/>
      <c r="W95" s="213"/>
      <c r="X95" s="213"/>
      <c r="Y95" s="213"/>
      <c r="Z95" s="213"/>
      <c r="AB95" s="213"/>
      <c r="AC95" s="213"/>
      <c r="AD95" s="213"/>
    </row>
    <row r="96" spans="2:43" ht="17.25">
      <c r="B96" s="1" t="s">
        <v>87</v>
      </c>
      <c r="C96" s="10">
        <v>0</v>
      </c>
      <c r="D96" s="10">
        <v>0</v>
      </c>
      <c r="E96" s="10">
        <v>0</v>
      </c>
      <c r="F96" s="10">
        <v>0</v>
      </c>
      <c r="G96" s="10">
        <v>0</v>
      </c>
      <c r="H96" s="10">
        <v>0</v>
      </c>
      <c r="I96" s="10">
        <v>0</v>
      </c>
      <c r="J96" s="10">
        <v>0</v>
      </c>
      <c r="N96" s="461"/>
      <c r="O96" s="461" t="s">
        <v>3077</v>
      </c>
      <c r="P96" s="178">
        <v>926971</v>
      </c>
      <c r="Q96" s="177">
        <v>0.1004</v>
      </c>
      <c r="R96" s="178">
        <v>885233</v>
      </c>
      <c r="S96" s="87">
        <v>4.7100000000000003E-2</v>
      </c>
      <c r="T96" s="33">
        <v>6405526</v>
      </c>
      <c r="U96" s="87">
        <v>5.3900000000000003E-2</v>
      </c>
      <c r="V96" s="213"/>
      <c r="W96" s="213"/>
      <c r="X96" s="213"/>
      <c r="Y96" s="213"/>
      <c r="Z96" s="213"/>
      <c r="AB96" s="213"/>
      <c r="AC96" s="213"/>
      <c r="AD96" s="213"/>
    </row>
    <row r="97" spans="2:30" ht="17.25">
      <c r="B97" s="1" t="s">
        <v>88</v>
      </c>
      <c r="C97" s="1">
        <v>0</v>
      </c>
      <c r="D97" s="1">
        <v>0</v>
      </c>
      <c r="E97" s="1">
        <v>0</v>
      </c>
      <c r="F97" s="1">
        <v>0</v>
      </c>
      <c r="G97" s="1">
        <v>0</v>
      </c>
      <c r="H97" s="1">
        <v>0</v>
      </c>
      <c r="I97" s="1">
        <v>0</v>
      </c>
      <c r="J97" s="1">
        <v>0</v>
      </c>
      <c r="N97" s="461"/>
      <c r="O97" s="461" t="s">
        <v>3078</v>
      </c>
      <c r="P97" s="178">
        <v>842381</v>
      </c>
      <c r="Q97" s="177">
        <v>-4.1000000000000002E-2</v>
      </c>
      <c r="R97" s="178">
        <v>829551</v>
      </c>
      <c r="S97" s="87">
        <v>1.55E-2</v>
      </c>
      <c r="T97" s="33">
        <v>5478555</v>
      </c>
      <c r="U97" s="87">
        <v>5.5100000000000003E-2</v>
      </c>
      <c r="V97" s="213"/>
      <c r="W97" s="213"/>
      <c r="X97" s="213"/>
      <c r="Y97" s="213"/>
      <c r="Z97" s="213"/>
      <c r="AB97" s="213"/>
      <c r="AC97" s="213"/>
      <c r="AD97" s="213"/>
    </row>
    <row r="98" spans="2:30" ht="17.25">
      <c r="B98" s="1" t="s">
        <v>89</v>
      </c>
      <c r="C98" s="1">
        <v>0</v>
      </c>
      <c r="D98" s="1">
        <v>0</v>
      </c>
      <c r="E98" s="1">
        <v>0</v>
      </c>
      <c r="F98" s="1">
        <v>0</v>
      </c>
      <c r="G98" s="1">
        <v>0</v>
      </c>
      <c r="H98" s="1">
        <v>0</v>
      </c>
      <c r="I98" s="1">
        <v>0</v>
      </c>
      <c r="J98" s="1">
        <v>0</v>
      </c>
      <c r="N98" s="461"/>
      <c r="O98" s="461" t="s">
        <v>3079</v>
      </c>
      <c r="P98" s="178">
        <v>878355</v>
      </c>
      <c r="Q98" s="177">
        <v>1.09E-2</v>
      </c>
      <c r="R98" s="178">
        <v>707045</v>
      </c>
      <c r="S98" s="87">
        <v>0.24229999999999999</v>
      </c>
      <c r="T98" s="33">
        <v>4636174</v>
      </c>
      <c r="U98" s="87">
        <v>6.2600000000000003E-2</v>
      </c>
      <c r="V98" s="213"/>
      <c r="W98" s="213"/>
      <c r="X98" s="213"/>
      <c r="Y98" s="213"/>
      <c r="Z98" s="213"/>
      <c r="AB98" s="213"/>
      <c r="AC98" s="213"/>
      <c r="AD98" s="213"/>
    </row>
    <row r="99" spans="2:30" ht="17.25">
      <c r="B99" s="1" t="s">
        <v>90</v>
      </c>
      <c r="C99" s="10">
        <v>204</v>
      </c>
      <c r="D99" s="10">
        <v>153</v>
      </c>
      <c r="E99" s="10">
        <v>182</v>
      </c>
      <c r="F99" s="10">
        <v>276</v>
      </c>
      <c r="G99" s="10">
        <v>174</v>
      </c>
      <c r="H99" s="10">
        <v>159</v>
      </c>
      <c r="I99" s="10">
        <v>253</v>
      </c>
      <c r="J99" s="10">
        <v>240</v>
      </c>
      <c r="N99" s="461"/>
      <c r="O99" s="461" t="s">
        <v>3080</v>
      </c>
      <c r="P99" s="178">
        <v>868909</v>
      </c>
      <c r="Q99" s="177">
        <v>-4.5900000000000003E-2</v>
      </c>
      <c r="R99" s="178">
        <v>884225</v>
      </c>
      <c r="S99" s="87">
        <v>-1.7299999999999999E-2</v>
      </c>
      <c r="T99" s="33">
        <v>3757819</v>
      </c>
      <c r="U99" s="87">
        <v>2.7799999999999998E-2</v>
      </c>
      <c r="V99" s="213"/>
      <c r="W99" s="213"/>
      <c r="X99" s="213"/>
      <c r="Y99" s="213"/>
      <c r="Z99" s="213"/>
      <c r="AB99" s="213"/>
      <c r="AC99" s="213"/>
      <c r="AD99" s="213"/>
    </row>
    <row r="100" spans="2:30" ht="17.25">
      <c r="B100" s="1" t="s">
        <v>91</v>
      </c>
      <c r="C100" s="10" t="s">
        <v>92</v>
      </c>
      <c r="D100" s="10" t="s">
        <v>92</v>
      </c>
      <c r="E100" s="10" t="s">
        <v>92</v>
      </c>
      <c r="F100" s="10" t="s">
        <v>92</v>
      </c>
      <c r="G100" s="10" t="s">
        <v>92</v>
      </c>
      <c r="H100" s="10" t="s">
        <v>92</v>
      </c>
      <c r="I100" s="10" t="s">
        <v>92</v>
      </c>
      <c r="J100" s="10" t="s">
        <v>92</v>
      </c>
      <c r="N100" s="461"/>
      <c r="O100" s="461" t="s">
        <v>3081</v>
      </c>
      <c r="P100" s="178">
        <v>910684</v>
      </c>
      <c r="Q100" s="177">
        <v>0.1893</v>
      </c>
      <c r="R100" s="178">
        <v>819022</v>
      </c>
      <c r="S100" s="87">
        <v>0.1119</v>
      </c>
      <c r="T100" s="33">
        <v>2888910</v>
      </c>
      <c r="U100" s="87">
        <v>4.2200000000000001E-2</v>
      </c>
      <c r="V100" s="213"/>
      <c r="W100" s="213"/>
      <c r="X100" s="213"/>
      <c r="Y100" s="213"/>
      <c r="Z100" s="213"/>
      <c r="AB100" s="213"/>
      <c r="AC100" s="213"/>
      <c r="AD100" s="213"/>
    </row>
    <row r="101" spans="2:30" ht="17.25">
      <c r="B101" s="1" t="s">
        <v>93</v>
      </c>
      <c r="C101" s="10">
        <v>0</v>
      </c>
      <c r="D101" s="10">
        <v>0</v>
      </c>
      <c r="E101" s="10">
        <v>0</v>
      </c>
      <c r="F101" s="10">
        <v>0</v>
      </c>
      <c r="G101" s="10">
        <v>0</v>
      </c>
      <c r="H101" s="10">
        <v>0</v>
      </c>
      <c r="I101" s="10">
        <v>0</v>
      </c>
      <c r="J101" s="10">
        <v>0</v>
      </c>
      <c r="N101" s="461"/>
      <c r="O101" s="461" t="s">
        <v>3082</v>
      </c>
      <c r="P101" s="178">
        <v>765718</v>
      </c>
      <c r="Q101" s="177">
        <v>0.49409999999999998</v>
      </c>
      <c r="R101" s="178">
        <v>790882</v>
      </c>
      <c r="S101" s="87">
        <v>-3.1800000000000002E-2</v>
      </c>
      <c r="T101" s="33">
        <v>1978226</v>
      </c>
      <c r="U101" s="87">
        <v>1.2999999999999999E-2</v>
      </c>
      <c r="V101" s="213"/>
      <c r="W101" s="213"/>
      <c r="X101" s="213"/>
      <c r="Y101" s="213"/>
      <c r="Z101" s="213"/>
      <c r="AB101" s="213"/>
      <c r="AC101" s="213"/>
      <c r="AD101" s="213"/>
    </row>
    <row r="102" spans="2:30" ht="17.25">
      <c r="B102" s="1" t="s">
        <v>94</v>
      </c>
      <c r="C102" s="10">
        <v>0</v>
      </c>
      <c r="D102" s="10">
        <v>0</v>
      </c>
      <c r="E102" s="10">
        <v>0</v>
      </c>
      <c r="F102" s="10">
        <v>0</v>
      </c>
      <c r="G102" s="10">
        <v>0</v>
      </c>
      <c r="H102" s="10">
        <v>0</v>
      </c>
      <c r="I102" s="10">
        <v>0</v>
      </c>
      <c r="J102" s="10">
        <v>0</v>
      </c>
      <c r="N102" s="461"/>
      <c r="O102" s="461" t="s">
        <v>3083</v>
      </c>
      <c r="P102" s="178">
        <v>512503</v>
      </c>
      <c r="Q102" s="177">
        <v>-0.26790000000000003</v>
      </c>
      <c r="R102" s="178">
        <v>461825</v>
      </c>
      <c r="S102" s="87">
        <v>0.10970000000000001</v>
      </c>
      <c r="T102" s="33">
        <v>1212509</v>
      </c>
      <c r="U102" s="87">
        <v>4.3499999999999997E-2</v>
      </c>
      <c r="V102" s="213"/>
      <c r="W102" s="213"/>
      <c r="X102" s="213"/>
      <c r="Y102" s="213"/>
      <c r="Z102" s="213"/>
      <c r="AB102" s="213"/>
      <c r="AC102" s="213"/>
      <c r="AD102" s="213"/>
    </row>
    <row r="103" spans="2:30" ht="17.25">
      <c r="B103" s="1" t="s">
        <v>11</v>
      </c>
      <c r="C103" s="10">
        <v>204</v>
      </c>
      <c r="D103" s="10">
        <v>153</v>
      </c>
      <c r="E103" s="10">
        <v>182</v>
      </c>
      <c r="F103" s="10">
        <v>276</v>
      </c>
      <c r="G103" s="10">
        <v>174</v>
      </c>
      <c r="H103" s="10">
        <v>159</v>
      </c>
      <c r="I103" s="10">
        <v>253</v>
      </c>
      <c r="J103" s="10">
        <v>240</v>
      </c>
      <c r="N103" s="461"/>
      <c r="O103" s="461" t="s">
        <v>3084</v>
      </c>
      <c r="P103" s="178">
        <v>700005</v>
      </c>
      <c r="Q103" s="177">
        <v>-8.5300000000000001E-2</v>
      </c>
      <c r="R103" s="178">
        <v>700118</v>
      </c>
      <c r="S103" s="87">
        <v>-2.0000000000000001E-4</v>
      </c>
      <c r="T103" s="33">
        <v>700005</v>
      </c>
      <c r="U103" s="87">
        <v>-2.0000000000000001E-4</v>
      </c>
      <c r="V103" s="213"/>
      <c r="W103" s="213"/>
      <c r="X103" s="213"/>
      <c r="Y103" s="213"/>
      <c r="Z103" s="213"/>
      <c r="AB103" s="213"/>
      <c r="AC103" s="213"/>
      <c r="AD103" s="213"/>
    </row>
    <row r="104" spans="2:30" ht="17.25">
      <c r="B104" s="1" t="s">
        <v>12</v>
      </c>
      <c r="C104" s="1">
        <v>1.36</v>
      </c>
      <c r="D104" s="1">
        <v>1.02</v>
      </c>
      <c r="E104" s="1">
        <v>1.22</v>
      </c>
      <c r="F104" s="1">
        <v>1.84</v>
      </c>
      <c r="G104" s="1">
        <v>1.1599999999999999</v>
      </c>
      <c r="H104" s="1">
        <v>1.06</v>
      </c>
      <c r="I104" s="1">
        <v>1.69</v>
      </c>
      <c r="J104" s="1">
        <v>1.6</v>
      </c>
      <c r="N104" s="461"/>
      <c r="O104" s="461" t="s">
        <v>3085</v>
      </c>
      <c r="P104" s="178">
        <v>765282</v>
      </c>
      <c r="Q104" s="177">
        <v>6.6500000000000004E-2</v>
      </c>
      <c r="R104" s="178">
        <v>661506</v>
      </c>
      <c r="S104" s="87">
        <v>0.15690000000000001</v>
      </c>
      <c r="T104" s="33">
        <v>9053489</v>
      </c>
      <c r="U104" s="87">
        <v>7.5999999999999998E-2</v>
      </c>
      <c r="V104" s="213"/>
      <c r="W104" s="213"/>
      <c r="X104" s="213"/>
      <c r="Y104" s="213"/>
      <c r="Z104" s="213"/>
      <c r="AB104" s="213"/>
      <c r="AC104" s="213"/>
      <c r="AD104" s="213"/>
    </row>
    <row r="105" spans="2:30" ht="17.25">
      <c r="B105" s="1" t="s">
        <v>95</v>
      </c>
      <c r="C105" s="1">
        <v>1.27</v>
      </c>
      <c r="D105" s="123">
        <v>0.94</v>
      </c>
      <c r="E105" s="123" t="s">
        <v>92</v>
      </c>
      <c r="F105" s="123">
        <v>1.52</v>
      </c>
      <c r="G105" s="123">
        <v>1.08</v>
      </c>
      <c r="H105" s="1">
        <v>1.03</v>
      </c>
      <c r="I105" s="1" t="s">
        <v>92</v>
      </c>
      <c r="J105" s="1">
        <v>1.59</v>
      </c>
      <c r="N105" s="461"/>
      <c r="O105" s="461" t="s">
        <v>3086</v>
      </c>
      <c r="P105" s="178">
        <v>717558</v>
      </c>
      <c r="Q105" s="177">
        <v>4.6699999999999998E-2</v>
      </c>
      <c r="R105" s="178">
        <v>671094</v>
      </c>
      <c r="S105" s="87">
        <v>6.9199999999999998E-2</v>
      </c>
      <c r="T105" s="33">
        <v>8288206</v>
      </c>
      <c r="U105" s="87">
        <v>6.9099999999999995E-2</v>
      </c>
      <c r="V105" s="213"/>
      <c r="W105" s="213"/>
      <c r="X105" s="213"/>
      <c r="Y105" s="213"/>
      <c r="Z105" s="213"/>
      <c r="AB105" s="213"/>
      <c r="AC105" s="213"/>
      <c r="AD105" s="213"/>
    </row>
    <row r="106" spans="2:30" ht="17.25">
      <c r="B106" s="1" t="s">
        <v>96</v>
      </c>
      <c r="C106" s="10">
        <v>1499</v>
      </c>
      <c r="D106" s="10">
        <v>1499</v>
      </c>
      <c r="E106" s="10">
        <v>1499</v>
      </c>
      <c r="F106" s="10">
        <v>1499</v>
      </c>
      <c r="G106" s="10">
        <v>1499</v>
      </c>
      <c r="H106" s="10">
        <v>1499</v>
      </c>
      <c r="I106" s="10">
        <v>1499</v>
      </c>
      <c r="J106" s="10">
        <v>1499</v>
      </c>
      <c r="N106" s="461"/>
      <c r="O106" s="461" t="s">
        <v>3087</v>
      </c>
      <c r="P106" s="178">
        <v>685555</v>
      </c>
      <c r="Q106" s="177">
        <v>-0.1507</v>
      </c>
      <c r="R106" s="178">
        <v>641360</v>
      </c>
      <c r="S106" s="87">
        <v>6.8900000000000003E-2</v>
      </c>
      <c r="T106" s="33">
        <v>7570648</v>
      </c>
      <c r="U106" s="87">
        <v>6.9099999999999995E-2</v>
      </c>
      <c r="V106" s="213"/>
      <c r="W106" s="213"/>
      <c r="X106" s="213"/>
      <c r="Y106" s="213"/>
      <c r="Z106" s="213"/>
      <c r="AB106" s="213"/>
      <c r="AC106" s="213"/>
      <c r="AD106" s="213"/>
    </row>
    <row r="107" spans="2:30" ht="17.25">
      <c r="B107" s="1" t="s">
        <v>97</v>
      </c>
      <c r="C107" s="10">
        <v>0</v>
      </c>
      <c r="D107" s="10">
        <v>0</v>
      </c>
      <c r="E107" s="10">
        <v>0</v>
      </c>
      <c r="F107" s="10">
        <v>0</v>
      </c>
      <c r="G107" s="10">
        <v>0</v>
      </c>
      <c r="H107" s="10">
        <v>0</v>
      </c>
      <c r="I107" s="10">
        <v>0</v>
      </c>
      <c r="J107" s="10">
        <v>0</v>
      </c>
      <c r="N107" s="461"/>
      <c r="O107" s="461" t="s">
        <v>3088</v>
      </c>
      <c r="P107" s="178">
        <v>807192</v>
      </c>
      <c r="Q107" s="177">
        <v>-8.8200000000000001E-2</v>
      </c>
      <c r="R107" s="178">
        <v>755027</v>
      </c>
      <c r="S107" s="87">
        <v>6.9099999999999995E-2</v>
      </c>
      <c r="T107" s="33">
        <v>6885093</v>
      </c>
      <c r="U107" s="87">
        <v>6.9099999999999995E-2</v>
      </c>
      <c r="V107" s="213"/>
      <c r="W107" s="213"/>
      <c r="X107" s="213"/>
      <c r="Y107" s="213"/>
      <c r="Z107" s="213"/>
      <c r="AB107" s="213"/>
      <c r="AC107" s="213"/>
      <c r="AD107" s="213"/>
    </row>
    <row r="108" spans="2:30" ht="17.25">
      <c r="B108" s="1" t="s">
        <v>98</v>
      </c>
      <c r="C108" s="10" t="s">
        <v>92</v>
      </c>
      <c r="D108" s="10" t="s">
        <v>92</v>
      </c>
      <c r="E108" s="10">
        <v>0</v>
      </c>
      <c r="F108" s="10" t="s">
        <v>92</v>
      </c>
      <c r="G108" s="10" t="s">
        <v>92</v>
      </c>
      <c r="H108" s="10" t="s">
        <v>92</v>
      </c>
      <c r="I108" s="10">
        <v>0</v>
      </c>
      <c r="J108" s="10" t="s">
        <v>92</v>
      </c>
      <c r="N108" s="461"/>
      <c r="O108" s="461" t="s">
        <v>3089</v>
      </c>
      <c r="P108" s="178">
        <v>885233</v>
      </c>
      <c r="Q108" s="177">
        <v>6.7100000000000007E-2</v>
      </c>
      <c r="R108" s="178"/>
      <c r="S108" s="87"/>
      <c r="T108" s="33">
        <v>6077901</v>
      </c>
      <c r="U108" s="87"/>
      <c r="V108" s="213"/>
      <c r="W108" s="213"/>
      <c r="X108" s="213"/>
      <c r="Y108" s="213"/>
      <c r="Z108" s="213"/>
      <c r="AB108" s="213"/>
      <c r="AC108" s="213"/>
      <c r="AD108" s="213"/>
    </row>
    <row r="109" spans="2:30" ht="17.25">
      <c r="B109" s="1" t="s">
        <v>99</v>
      </c>
      <c r="C109" s="10">
        <v>0</v>
      </c>
      <c r="D109" s="10">
        <v>0</v>
      </c>
      <c r="E109" s="10">
        <v>0</v>
      </c>
      <c r="F109" s="10">
        <v>0</v>
      </c>
      <c r="G109" s="10">
        <v>0</v>
      </c>
      <c r="H109" s="10">
        <v>0</v>
      </c>
      <c r="I109" s="10">
        <v>0</v>
      </c>
      <c r="J109" s="10">
        <v>0</v>
      </c>
      <c r="N109" s="461"/>
      <c r="O109" s="461" t="s">
        <v>3090</v>
      </c>
      <c r="P109" s="178">
        <v>829551</v>
      </c>
      <c r="Q109" s="177">
        <v>0.17330000000000001</v>
      </c>
      <c r="R109" s="178"/>
      <c r="S109" s="87"/>
      <c r="T109" s="33">
        <v>5192668</v>
      </c>
      <c r="U109" s="87"/>
      <c r="V109" s="213"/>
      <c r="W109" s="213"/>
      <c r="X109" s="213"/>
      <c r="Y109" s="213"/>
      <c r="Z109" s="213"/>
      <c r="AB109" s="213"/>
      <c r="AC109" s="213"/>
      <c r="AD109" s="213"/>
    </row>
    <row r="110" spans="2:30" ht="17.25">
      <c r="B110" s="1" t="s">
        <v>100</v>
      </c>
      <c r="C110" s="1">
        <v>0</v>
      </c>
      <c r="D110" s="1">
        <v>0</v>
      </c>
      <c r="E110" s="1">
        <v>0</v>
      </c>
      <c r="F110" s="1">
        <v>0</v>
      </c>
      <c r="G110" s="1">
        <v>0</v>
      </c>
      <c r="H110" s="1">
        <v>0</v>
      </c>
      <c r="I110" s="1">
        <v>0</v>
      </c>
      <c r="J110" s="1">
        <v>0</v>
      </c>
      <c r="N110" s="461"/>
      <c r="O110" s="461" t="s">
        <v>3091</v>
      </c>
      <c r="P110" s="178">
        <v>707045</v>
      </c>
      <c r="Q110" s="177">
        <v>-0.20039999999999999</v>
      </c>
      <c r="R110" s="461"/>
      <c r="S110" s="213"/>
      <c r="T110" s="33">
        <v>4363117</v>
      </c>
      <c r="U110" s="213"/>
      <c r="V110" s="213"/>
      <c r="W110" s="213"/>
      <c r="X110" s="213"/>
      <c r="Y110" s="213"/>
      <c r="Z110" s="213"/>
      <c r="AB110" s="213"/>
      <c r="AC110" s="213"/>
      <c r="AD110" s="213"/>
    </row>
    <row r="111" spans="2:30" ht="17.25">
      <c r="B111" s="1" t="s">
        <v>101</v>
      </c>
      <c r="C111" s="10">
        <v>314</v>
      </c>
      <c r="D111" s="10">
        <v>226</v>
      </c>
      <c r="E111" s="10">
        <v>310</v>
      </c>
      <c r="F111" s="10">
        <v>423</v>
      </c>
      <c r="G111" s="10">
        <v>272</v>
      </c>
      <c r="H111" s="10">
        <v>249</v>
      </c>
      <c r="I111" s="10">
        <v>359</v>
      </c>
      <c r="J111" s="10">
        <v>354</v>
      </c>
      <c r="N111" s="461"/>
      <c r="O111" s="461" t="s">
        <v>3092</v>
      </c>
      <c r="P111" s="178">
        <v>884225</v>
      </c>
      <c r="Q111" s="177">
        <v>7.9600000000000004E-2</v>
      </c>
      <c r="R111" s="461"/>
      <c r="S111" s="213"/>
      <c r="T111" s="33">
        <v>3656072</v>
      </c>
      <c r="U111" s="213"/>
      <c r="V111" s="213"/>
      <c r="W111" s="213"/>
      <c r="X111" s="213"/>
      <c r="Y111" s="213"/>
      <c r="Z111" s="213"/>
      <c r="AB111" s="213"/>
      <c r="AC111" s="213"/>
      <c r="AD111" s="213"/>
    </row>
    <row r="112" spans="2:30" ht="17.25">
      <c r="B112" s="1" t="s">
        <v>102</v>
      </c>
      <c r="C112" s="10">
        <v>345</v>
      </c>
      <c r="D112" s="10">
        <v>256</v>
      </c>
      <c r="E112" s="10">
        <v>341</v>
      </c>
      <c r="F112" s="10">
        <v>455</v>
      </c>
      <c r="G112" s="10">
        <v>305</v>
      </c>
      <c r="H112" s="10">
        <v>284</v>
      </c>
      <c r="I112" s="10">
        <v>394</v>
      </c>
      <c r="J112" s="10">
        <v>387</v>
      </c>
      <c r="N112" s="461"/>
      <c r="O112" s="461" t="s">
        <v>3093</v>
      </c>
      <c r="P112" s="178">
        <v>819022</v>
      </c>
      <c r="Q112" s="177">
        <v>3.56E-2</v>
      </c>
      <c r="R112" s="461"/>
      <c r="S112" s="213"/>
      <c r="T112" s="33">
        <v>2771847</v>
      </c>
      <c r="U112" s="213"/>
      <c r="V112" s="213"/>
      <c r="W112" s="213"/>
      <c r="X112" s="213"/>
      <c r="Y112" s="213"/>
      <c r="Z112" s="213"/>
      <c r="AB112" s="213"/>
      <c r="AC112" s="213"/>
      <c r="AD112" s="213"/>
    </row>
    <row r="113" spans="2:44" ht="17.25">
      <c r="B113" s="1" t="s">
        <v>103</v>
      </c>
      <c r="C113" s="10">
        <v>236</v>
      </c>
      <c r="D113" s="10">
        <v>152</v>
      </c>
      <c r="E113" s="10">
        <v>183</v>
      </c>
      <c r="F113" s="10">
        <v>272</v>
      </c>
      <c r="G113" s="10">
        <v>183</v>
      </c>
      <c r="H113" s="10">
        <v>159</v>
      </c>
      <c r="I113" s="10">
        <v>257</v>
      </c>
      <c r="J113" s="10">
        <v>245</v>
      </c>
      <c r="N113" s="461"/>
      <c r="O113" s="461" t="s">
        <v>3094</v>
      </c>
      <c r="P113" s="178">
        <v>790882</v>
      </c>
      <c r="Q113" s="177">
        <v>0.71250000000000002</v>
      </c>
      <c r="R113" s="461"/>
      <c r="S113" s="213"/>
      <c r="T113" s="33">
        <v>1952825</v>
      </c>
      <c r="U113" s="213"/>
      <c r="V113" s="213"/>
      <c r="W113" s="213"/>
      <c r="X113" s="213"/>
      <c r="Y113" s="213"/>
      <c r="Z113" s="213"/>
      <c r="AB113" s="213"/>
      <c r="AC113" s="213"/>
      <c r="AD113" s="213"/>
    </row>
    <row r="114" spans="2:44" ht="17.25">
      <c r="B114" s="1" t="s">
        <v>104</v>
      </c>
      <c r="N114" s="461"/>
      <c r="O114" s="461" t="s">
        <v>3095</v>
      </c>
      <c r="P114" s="178">
        <v>461825</v>
      </c>
      <c r="Q114" s="177">
        <v>-0.34039999999999998</v>
      </c>
      <c r="R114" s="461"/>
      <c r="S114" s="213"/>
      <c r="T114" s="33">
        <v>1161943</v>
      </c>
      <c r="U114" s="213"/>
      <c r="V114" s="213"/>
      <c r="W114" s="213"/>
      <c r="X114" s="213"/>
      <c r="Y114" s="213"/>
      <c r="Z114" s="213"/>
      <c r="AB114" s="213"/>
      <c r="AC114" s="213"/>
      <c r="AD114" s="213"/>
    </row>
    <row r="115" spans="2:44" ht="17.25">
      <c r="B115" s="1" t="s">
        <v>105</v>
      </c>
      <c r="N115" s="461"/>
      <c r="O115" s="461" t="s">
        <v>3096</v>
      </c>
      <c r="P115" s="178">
        <v>700118</v>
      </c>
      <c r="Q115" s="177">
        <v>5.8400000000000001E-2</v>
      </c>
      <c r="R115" s="461"/>
      <c r="S115" s="213"/>
      <c r="T115" s="33">
        <v>700118</v>
      </c>
      <c r="U115" s="213"/>
      <c r="V115" s="213"/>
      <c r="W115" s="213"/>
      <c r="X115" s="213"/>
      <c r="Y115" s="213"/>
      <c r="Z115" s="213"/>
      <c r="AB115" s="213"/>
      <c r="AC115" s="213"/>
      <c r="AD115" s="213"/>
    </row>
    <row r="116" spans="2:44" ht="17.25">
      <c r="N116" s="461"/>
      <c r="O116" s="461" t="s">
        <v>3097</v>
      </c>
      <c r="P116" s="178">
        <v>661506</v>
      </c>
      <c r="Q116" s="177">
        <v>-1.43E-2</v>
      </c>
      <c r="R116" s="461"/>
      <c r="S116" s="213"/>
      <c r="T116" s="33">
        <v>8414148</v>
      </c>
      <c r="U116" s="213"/>
      <c r="V116" s="213"/>
      <c r="W116" s="213"/>
      <c r="X116" s="213"/>
      <c r="Y116" s="213"/>
      <c r="Z116" s="213"/>
      <c r="AB116" s="213"/>
      <c r="AC116" s="213"/>
      <c r="AD116" s="213"/>
    </row>
    <row r="117" spans="2:44" ht="17.25">
      <c r="N117" s="461"/>
      <c r="O117" s="461" t="s">
        <v>3098</v>
      </c>
      <c r="P117" s="178">
        <v>671094</v>
      </c>
      <c r="Q117" s="177">
        <v>4.6399999999999997E-2</v>
      </c>
      <c r="R117" s="461"/>
      <c r="S117" s="213"/>
      <c r="T117" s="33">
        <v>7752642</v>
      </c>
      <c r="U117" s="213"/>
      <c r="V117" s="213"/>
      <c r="W117" s="213"/>
      <c r="X117" s="213"/>
      <c r="Y117" s="213"/>
      <c r="Z117" s="213"/>
      <c r="AB117" s="213"/>
      <c r="AC117" s="213"/>
      <c r="AD117" s="213"/>
    </row>
    <row r="118" spans="2:44" ht="17.25">
      <c r="N118" s="461"/>
      <c r="O118" s="461" t="s">
        <v>3099</v>
      </c>
      <c r="P118" s="178">
        <v>641360</v>
      </c>
      <c r="Q118" s="177">
        <v>-0.15049999999999999</v>
      </c>
      <c r="R118" s="461"/>
      <c r="S118" s="213"/>
      <c r="T118" s="33">
        <v>7081548</v>
      </c>
      <c r="U118" s="213"/>
      <c r="V118" s="213"/>
      <c r="W118" s="213"/>
      <c r="X118" s="213"/>
      <c r="Y118" s="213"/>
      <c r="Z118" s="213"/>
      <c r="AB118" s="213"/>
      <c r="AC118" s="213"/>
      <c r="AD118" s="213"/>
    </row>
    <row r="119" spans="2:44" ht="17.25">
      <c r="N119" s="461"/>
      <c r="O119" s="461" t="s">
        <v>3100</v>
      </c>
      <c r="P119" s="461"/>
      <c r="Q119" s="177"/>
      <c r="R119" s="461"/>
      <c r="S119" s="213"/>
      <c r="T119" s="33"/>
      <c r="U119" s="213"/>
      <c r="V119" s="213"/>
      <c r="W119" s="213"/>
      <c r="X119" s="213"/>
      <c r="Y119" s="213"/>
      <c r="Z119" s="213"/>
      <c r="AB119" s="213"/>
      <c r="AC119" s="213"/>
      <c r="AD119" s="213"/>
    </row>
    <row r="120" spans="2:44" ht="17.25">
      <c r="N120" s="461"/>
      <c r="O120" s="461"/>
      <c r="P120" s="461"/>
      <c r="Q120" s="177"/>
      <c r="R120" s="461"/>
      <c r="S120" s="213"/>
      <c r="T120" s="33"/>
      <c r="U120" s="213"/>
      <c r="V120" s="213"/>
      <c r="W120" s="213"/>
      <c r="X120" s="213"/>
      <c r="Y120" s="213"/>
      <c r="Z120" s="213"/>
      <c r="AB120" s="213"/>
      <c r="AC120" s="213"/>
      <c r="AD120" s="213"/>
    </row>
    <row r="121" spans="2:44" ht="17.25">
      <c r="N121" s="447"/>
      <c r="O121" s="528"/>
      <c r="P121" s="528"/>
      <c r="Q121" s="447"/>
      <c r="R121" s="447"/>
      <c r="S121" s="213"/>
      <c r="T121" s="213"/>
      <c r="U121" s="213"/>
      <c r="V121" s="213"/>
      <c r="W121" s="213"/>
      <c r="X121" s="213"/>
      <c r="Y121" s="213"/>
      <c r="Z121" s="213"/>
      <c r="AB121" s="213"/>
      <c r="AC121" s="213"/>
      <c r="AD121" s="213"/>
    </row>
    <row r="122" spans="2:44" ht="17.25">
      <c r="B122" s="1" t="s">
        <v>3236</v>
      </c>
      <c r="N122" s="447"/>
      <c r="O122" s="528"/>
      <c r="P122" s="528"/>
      <c r="Q122" s="447"/>
      <c r="R122" s="447"/>
      <c r="S122" s="213"/>
      <c r="T122" s="213"/>
      <c r="U122" s="213"/>
      <c r="V122" s="213"/>
      <c r="W122" s="213"/>
      <c r="X122" s="213"/>
      <c r="Y122" s="213"/>
      <c r="Z122" s="213"/>
      <c r="AB122" s="213"/>
      <c r="AC122" s="213"/>
      <c r="AD122" s="213"/>
    </row>
    <row r="123" spans="2:44" ht="17.25">
      <c r="B123" s="1" t="s">
        <v>43</v>
      </c>
      <c r="N123" s="447"/>
      <c r="O123" s="528"/>
      <c r="P123" s="528"/>
      <c r="Q123" s="447"/>
      <c r="R123" s="447"/>
      <c r="S123" s="213"/>
      <c r="T123" s="213"/>
      <c r="U123" s="213"/>
      <c r="V123" s="213"/>
      <c r="W123" s="213"/>
      <c r="X123" s="213"/>
      <c r="Y123" s="213"/>
    </row>
    <row r="124" spans="2:44" ht="17.25">
      <c r="B124" s="1" t="s">
        <v>44</v>
      </c>
      <c r="C124" s="1" t="s">
        <v>2909</v>
      </c>
      <c r="D124" s="1" t="s">
        <v>1907</v>
      </c>
      <c r="E124" s="1" t="s">
        <v>1840</v>
      </c>
      <c r="F124" s="1" t="s">
        <v>1751</v>
      </c>
      <c r="G124" s="1" t="s">
        <v>215</v>
      </c>
      <c r="H124" s="1" t="s">
        <v>45</v>
      </c>
      <c r="I124" s="1" t="s">
        <v>46</v>
      </c>
      <c r="J124" s="1" t="s">
        <v>47</v>
      </c>
      <c r="N124" s="447"/>
      <c r="O124" s="531"/>
      <c r="P124" s="531"/>
      <c r="Q124" s="447"/>
      <c r="R124" s="447"/>
      <c r="S124" s="213"/>
      <c r="T124" s="213"/>
      <c r="U124" s="213"/>
      <c r="V124" s="213"/>
      <c r="W124" s="213"/>
      <c r="X124" s="213"/>
      <c r="Y124" s="213"/>
    </row>
    <row r="125" spans="2:44" ht="17.25">
      <c r="B125" s="1" t="s">
        <v>145</v>
      </c>
      <c r="C125" s="10">
        <v>3204</v>
      </c>
      <c r="D125" s="10">
        <v>3418</v>
      </c>
      <c r="E125" s="10">
        <v>2945</v>
      </c>
      <c r="F125" s="10">
        <v>2604</v>
      </c>
      <c r="G125" s="10">
        <v>3203</v>
      </c>
      <c r="H125" s="10">
        <v>2654</v>
      </c>
      <c r="I125" s="10">
        <v>2715</v>
      </c>
      <c r="J125" s="10">
        <v>2322</v>
      </c>
      <c r="N125" s="447"/>
      <c r="O125" s="531"/>
      <c r="P125" s="531"/>
      <c r="Q125" s="447"/>
      <c r="R125" s="447"/>
      <c r="S125" s="213"/>
      <c r="T125" s="213"/>
      <c r="U125" s="213"/>
      <c r="V125" s="213"/>
      <c r="W125" s="213"/>
      <c r="X125" s="213"/>
      <c r="Y125" s="213"/>
      <c r="AB125" s="19"/>
      <c r="AC125" s="19"/>
      <c r="AD125" s="19"/>
      <c r="AE125" s="19"/>
      <c r="AF125" s="19"/>
      <c r="AG125" s="19"/>
      <c r="AH125" s="19"/>
      <c r="AI125" s="19"/>
      <c r="AJ125" s="19"/>
      <c r="AK125" s="19"/>
      <c r="AN125" s="19"/>
      <c r="AO125" s="19"/>
      <c r="AP125" s="19"/>
      <c r="AQ125" s="19"/>
      <c r="AR125" s="19"/>
    </row>
    <row r="126" spans="2:44" ht="17.25">
      <c r="B126" s="1" t="s">
        <v>146</v>
      </c>
      <c r="C126" s="10">
        <v>301</v>
      </c>
      <c r="D126" s="10">
        <v>55</v>
      </c>
      <c r="E126" s="10">
        <v>50</v>
      </c>
      <c r="F126" s="10">
        <v>52</v>
      </c>
      <c r="G126" s="10">
        <v>229</v>
      </c>
      <c r="H126" s="10">
        <v>235</v>
      </c>
      <c r="I126" s="10">
        <v>51</v>
      </c>
      <c r="J126" s="10">
        <v>51</v>
      </c>
      <c r="N126" s="447"/>
      <c r="O126" s="528"/>
      <c r="P126" s="528"/>
      <c r="Q126" s="447"/>
      <c r="R126" s="447"/>
      <c r="S126" s="213"/>
      <c r="T126" s="213"/>
      <c r="U126" s="213"/>
      <c r="V126" s="213"/>
      <c r="W126" s="213"/>
      <c r="X126" s="213"/>
      <c r="Y126" s="213"/>
      <c r="AB126" s="19"/>
      <c r="AC126" s="19"/>
      <c r="AD126" s="19"/>
      <c r="AE126" s="19"/>
      <c r="AF126" s="19"/>
      <c r="AG126" s="19"/>
      <c r="AH126" s="19"/>
      <c r="AI126" s="19"/>
      <c r="AJ126" s="19"/>
      <c r="AK126" s="19"/>
      <c r="AL126" s="19"/>
      <c r="AM126" s="19"/>
      <c r="AN126" s="19"/>
      <c r="AO126" s="19"/>
      <c r="AP126" s="19"/>
      <c r="AQ126" s="19"/>
      <c r="AR126" s="19"/>
    </row>
    <row r="127" spans="2:44" ht="17.25">
      <c r="B127" s="1" t="s">
        <v>183</v>
      </c>
      <c r="C127" s="10">
        <v>3456</v>
      </c>
      <c r="D127" s="10">
        <v>3446</v>
      </c>
      <c r="E127" s="10">
        <v>4034</v>
      </c>
      <c r="F127" s="10">
        <v>4428</v>
      </c>
      <c r="G127" s="10">
        <v>3685</v>
      </c>
      <c r="H127" s="10">
        <v>3932</v>
      </c>
      <c r="I127" s="10">
        <v>4420</v>
      </c>
      <c r="J127" s="10">
        <v>4334</v>
      </c>
      <c r="N127" s="447"/>
      <c r="O127" s="528"/>
      <c r="P127" s="528"/>
      <c r="Q127" s="447"/>
      <c r="R127" s="447"/>
      <c r="S127" s="213"/>
      <c r="T127" s="213"/>
      <c r="U127" s="213"/>
      <c r="V127" s="213"/>
      <c r="W127" s="213"/>
      <c r="X127" s="213"/>
      <c r="Y127" s="213"/>
      <c r="AB127" s="19"/>
      <c r="AC127" s="19"/>
      <c r="AD127" s="19"/>
      <c r="AE127" s="19"/>
      <c r="AF127" s="19"/>
      <c r="AG127" s="19"/>
      <c r="AH127" s="19"/>
      <c r="AI127" s="19"/>
      <c r="AJ127" s="19"/>
      <c r="AK127" s="19"/>
      <c r="AL127" s="19"/>
      <c r="AM127" s="19"/>
      <c r="AN127" s="19"/>
      <c r="AO127" s="19"/>
      <c r="AP127" s="19"/>
      <c r="AQ127" s="19"/>
      <c r="AR127" s="19"/>
    </row>
    <row r="128" spans="2:44" ht="17.25">
      <c r="B128" s="1" t="s">
        <v>147</v>
      </c>
      <c r="C128" s="10">
        <v>0</v>
      </c>
      <c r="D128" s="10">
        <v>0</v>
      </c>
      <c r="E128" s="10">
        <v>0</v>
      </c>
      <c r="F128" s="10">
        <v>0</v>
      </c>
      <c r="G128" s="10">
        <v>0</v>
      </c>
      <c r="H128" s="10">
        <v>0</v>
      </c>
      <c r="I128" s="10">
        <v>0</v>
      </c>
      <c r="J128" s="10">
        <v>0</v>
      </c>
      <c r="N128" s="447"/>
      <c r="O128" s="528"/>
      <c r="P128" s="528"/>
      <c r="Q128" s="447"/>
      <c r="R128" s="447"/>
      <c r="S128" s="213"/>
      <c r="T128" s="213"/>
      <c r="U128" s="213"/>
      <c r="V128" s="213"/>
      <c r="W128" s="213"/>
      <c r="X128" s="213"/>
      <c r="Y128" s="213"/>
      <c r="AB128" s="19"/>
      <c r="AC128" s="19"/>
      <c r="AD128" s="19"/>
      <c r="AE128" s="19"/>
      <c r="AF128" s="19"/>
      <c r="AG128" s="19"/>
      <c r="AH128" s="19"/>
      <c r="AI128" s="19"/>
      <c r="AJ128" s="19"/>
      <c r="AK128" s="19"/>
      <c r="AL128" s="19"/>
      <c r="AM128" s="19"/>
      <c r="AN128" s="19"/>
      <c r="AO128" s="19"/>
      <c r="AP128" s="19"/>
      <c r="AQ128" s="19"/>
      <c r="AR128" s="19"/>
    </row>
    <row r="129" spans="2:44">
      <c r="B129" s="1" t="s">
        <v>184</v>
      </c>
      <c r="C129" s="10">
        <v>0</v>
      </c>
      <c r="D129" s="10">
        <v>0</v>
      </c>
      <c r="E129" s="10">
        <v>0</v>
      </c>
      <c r="F129" s="10">
        <v>0</v>
      </c>
      <c r="G129" s="10">
        <v>0</v>
      </c>
      <c r="H129" s="10">
        <v>0</v>
      </c>
      <c r="I129" s="10">
        <v>0</v>
      </c>
      <c r="J129" s="10">
        <v>0</v>
      </c>
      <c r="N129" s="541"/>
      <c r="O129" s="542"/>
      <c r="P129" s="542"/>
      <c r="Q129" s="448"/>
      <c r="R129" s="448"/>
      <c r="S129" s="213"/>
      <c r="T129" s="213"/>
      <c r="U129" s="213"/>
      <c r="V129" s="213"/>
      <c r="W129" s="213"/>
      <c r="X129" s="213"/>
      <c r="Y129" s="213"/>
      <c r="AB129" s="19"/>
      <c r="AC129" s="19"/>
      <c r="AD129" s="19"/>
      <c r="AE129" s="19"/>
      <c r="AF129" s="19"/>
      <c r="AG129" s="19"/>
      <c r="AH129" s="19"/>
      <c r="AI129" s="19"/>
      <c r="AJ129" s="19"/>
      <c r="AK129" s="19"/>
      <c r="AL129" s="19"/>
      <c r="AM129" s="19"/>
      <c r="AN129" s="19"/>
      <c r="AO129" s="19"/>
      <c r="AP129" s="19"/>
      <c r="AQ129" s="19"/>
      <c r="AR129" s="19"/>
    </row>
    <row r="130" spans="2:44" ht="17.25">
      <c r="B130" s="1" t="s">
        <v>13</v>
      </c>
      <c r="C130" s="10">
        <v>566</v>
      </c>
      <c r="D130" s="10">
        <v>553</v>
      </c>
      <c r="E130" s="10">
        <v>572</v>
      </c>
      <c r="F130" s="10">
        <v>649</v>
      </c>
      <c r="G130" s="10">
        <v>630</v>
      </c>
      <c r="H130" s="10">
        <v>712</v>
      </c>
      <c r="I130" s="10">
        <v>631</v>
      </c>
      <c r="J130" s="10">
        <v>613</v>
      </c>
      <c r="N130" s="541"/>
      <c r="O130" s="396"/>
      <c r="P130" s="179"/>
      <c r="Q130" s="447"/>
      <c r="R130" s="447"/>
      <c r="S130" s="213"/>
      <c r="T130" s="213"/>
      <c r="U130" s="213"/>
      <c r="V130" s="213"/>
      <c r="W130" s="213"/>
      <c r="X130" s="213"/>
      <c r="Y130" s="213"/>
      <c r="AB130" s="19"/>
      <c r="AC130" s="134"/>
      <c r="AD130" s="19"/>
      <c r="AE130" s="19"/>
      <c r="AF130" s="19"/>
      <c r="AG130" s="134"/>
      <c r="AH130" s="19"/>
      <c r="AI130" s="19"/>
      <c r="AJ130" s="19"/>
      <c r="AK130" s="19"/>
      <c r="AL130" s="19"/>
      <c r="AM130" s="19"/>
      <c r="AN130" s="19"/>
      <c r="AO130" s="19"/>
      <c r="AP130" s="19"/>
      <c r="AQ130" s="19"/>
      <c r="AR130" s="19"/>
    </row>
    <row r="131" spans="2:44" ht="17.25">
      <c r="B131" s="1" t="s">
        <v>185</v>
      </c>
      <c r="C131" s="1" t="s">
        <v>92</v>
      </c>
      <c r="D131" s="1" t="s">
        <v>92</v>
      </c>
      <c r="E131" s="1" t="s">
        <v>92</v>
      </c>
      <c r="F131" s="1" t="s">
        <v>92</v>
      </c>
      <c r="G131" s="1" t="s">
        <v>92</v>
      </c>
      <c r="H131" s="1" t="s">
        <v>92</v>
      </c>
      <c r="I131" s="1" t="s">
        <v>92</v>
      </c>
      <c r="J131" s="1" t="s">
        <v>92</v>
      </c>
      <c r="N131" s="447"/>
      <c r="O131" s="531"/>
      <c r="P131" s="531"/>
      <c r="Q131" s="447"/>
      <c r="R131" s="447"/>
      <c r="S131" s="213"/>
      <c r="T131" s="213"/>
      <c r="U131" s="213"/>
      <c r="V131" s="213"/>
      <c r="W131" s="213"/>
      <c r="X131" s="213"/>
      <c r="Y131" s="213"/>
      <c r="AB131" s="19"/>
      <c r="AC131" s="134"/>
      <c r="AD131" s="19"/>
      <c r="AE131" s="19"/>
      <c r="AF131" s="19"/>
      <c r="AG131" s="134"/>
      <c r="AH131" s="19"/>
      <c r="AI131" s="19"/>
      <c r="AJ131" s="19"/>
      <c r="AK131" s="19"/>
      <c r="AL131" s="19"/>
      <c r="AM131" s="19"/>
      <c r="AN131" s="19"/>
      <c r="AO131" s="19"/>
      <c r="AP131" s="19"/>
      <c r="AQ131" s="19"/>
      <c r="AR131" s="19"/>
    </row>
    <row r="132" spans="2:44" ht="17.25">
      <c r="B132" s="1" t="s">
        <v>148</v>
      </c>
      <c r="C132" s="10">
        <v>0</v>
      </c>
      <c r="D132" s="10">
        <v>2</v>
      </c>
      <c r="E132" s="10">
        <v>0</v>
      </c>
      <c r="F132" s="10">
        <v>0</v>
      </c>
      <c r="G132" s="10">
        <v>0</v>
      </c>
      <c r="H132" s="10">
        <v>0</v>
      </c>
      <c r="I132" s="10">
        <v>0</v>
      </c>
      <c r="J132" s="10">
        <v>0</v>
      </c>
      <c r="N132" s="447"/>
      <c r="O132" s="528"/>
      <c r="P132" s="528"/>
      <c r="Q132" s="447"/>
      <c r="R132" s="447"/>
      <c r="S132" s="213"/>
      <c r="T132" s="213"/>
      <c r="U132" s="213"/>
      <c r="V132" s="213"/>
      <c r="W132" s="213"/>
      <c r="X132" s="213"/>
      <c r="Y132" s="213"/>
      <c r="AB132" s="19"/>
      <c r="AC132" s="134"/>
      <c r="AD132" s="19"/>
      <c r="AE132" s="19"/>
      <c r="AF132" s="19"/>
      <c r="AG132" s="134"/>
      <c r="AH132" s="19"/>
      <c r="AI132" s="19"/>
      <c r="AJ132" s="19"/>
      <c r="AK132" s="19"/>
      <c r="AL132" s="19"/>
      <c r="AM132" s="19"/>
      <c r="AN132" s="19"/>
      <c r="AO132" s="19"/>
      <c r="AP132" s="19"/>
      <c r="AQ132" s="19"/>
      <c r="AR132" s="19"/>
    </row>
    <row r="133" spans="2:44" ht="17.25">
      <c r="B133" s="1" t="s">
        <v>149</v>
      </c>
      <c r="C133" s="10">
        <v>452</v>
      </c>
      <c r="D133" s="10">
        <v>363</v>
      </c>
      <c r="E133" s="10">
        <v>281</v>
      </c>
      <c r="F133" s="10">
        <v>329</v>
      </c>
      <c r="G133" s="10">
        <v>332</v>
      </c>
      <c r="H133" s="10">
        <v>379</v>
      </c>
      <c r="I133" s="10">
        <v>332</v>
      </c>
      <c r="J133" s="10">
        <v>285</v>
      </c>
      <c r="N133" s="447"/>
      <c r="O133" s="528"/>
      <c r="P133" s="528"/>
      <c r="Q133" s="447"/>
      <c r="R133" s="447"/>
      <c r="S133" s="213"/>
      <c r="T133" s="213"/>
      <c r="U133" s="213"/>
      <c r="V133" s="213"/>
      <c r="W133" s="213"/>
      <c r="X133" s="213"/>
      <c r="Y133" s="213"/>
      <c r="AB133" s="19"/>
      <c r="AC133" s="134"/>
      <c r="AD133" s="19"/>
      <c r="AE133" s="19"/>
      <c r="AF133" s="19"/>
      <c r="AG133" s="134"/>
      <c r="AH133" s="19"/>
      <c r="AI133" s="19"/>
      <c r="AJ133" s="19"/>
      <c r="AK133" s="19"/>
      <c r="AL133" s="19"/>
      <c r="AM133" s="19"/>
      <c r="AN133" s="19"/>
      <c r="AO133" s="19"/>
      <c r="AP133" s="19"/>
      <c r="AQ133" s="19"/>
      <c r="AR133" s="19"/>
    </row>
    <row r="134" spans="2:44" ht="17.25">
      <c r="B134" s="1" t="s">
        <v>150</v>
      </c>
      <c r="C134" s="10">
        <v>8058</v>
      </c>
      <c r="D134" s="10">
        <v>7907</v>
      </c>
      <c r="E134" s="10">
        <v>7938</v>
      </c>
      <c r="F134" s="10">
        <v>8121</v>
      </c>
      <c r="G134" s="10">
        <v>8165</v>
      </c>
      <c r="H134" s="10">
        <v>8082</v>
      </c>
      <c r="I134" s="10">
        <v>8423</v>
      </c>
      <c r="J134" s="10">
        <v>7888</v>
      </c>
      <c r="N134" s="447"/>
      <c r="O134" s="528"/>
      <c r="P134" s="528"/>
      <c r="Q134" s="447"/>
      <c r="R134" s="447"/>
      <c r="S134" s="213"/>
      <c r="T134" s="213"/>
      <c r="U134" s="213"/>
      <c r="V134" s="213"/>
      <c r="W134" s="213"/>
      <c r="X134" s="213"/>
      <c r="Y134" s="213"/>
      <c r="AB134" s="19"/>
      <c r="AC134" s="134"/>
      <c r="AD134" s="19"/>
      <c r="AE134" s="19"/>
      <c r="AF134" s="19"/>
      <c r="AG134" s="134"/>
      <c r="AH134" s="19"/>
      <c r="AI134" s="19"/>
      <c r="AJ134" s="19"/>
      <c r="AK134" s="19"/>
      <c r="AL134" s="19"/>
      <c r="AM134" s="19"/>
      <c r="AN134" s="19"/>
      <c r="AO134" s="19"/>
      <c r="AP134" s="19"/>
      <c r="AQ134" s="19"/>
      <c r="AR134" s="19"/>
    </row>
    <row r="135" spans="2:44" ht="17.25">
      <c r="B135" s="1" t="s">
        <v>151</v>
      </c>
      <c r="C135" s="10">
        <v>156</v>
      </c>
      <c r="D135" s="10">
        <v>194</v>
      </c>
      <c r="E135" s="10">
        <v>190</v>
      </c>
      <c r="F135" s="10">
        <v>152</v>
      </c>
      <c r="G135" s="10">
        <v>148</v>
      </c>
      <c r="H135" s="10">
        <v>147</v>
      </c>
      <c r="I135" s="10">
        <v>115</v>
      </c>
      <c r="J135" s="10">
        <v>44</v>
      </c>
      <c r="N135" s="447"/>
      <c r="O135" s="528"/>
      <c r="P135" s="528"/>
      <c r="Q135" s="447"/>
      <c r="R135" s="447"/>
      <c r="S135" s="213"/>
      <c r="T135" s="213"/>
      <c r="U135" s="213"/>
      <c r="V135" s="213"/>
      <c r="W135" s="213"/>
      <c r="X135" s="213"/>
      <c r="Y135" s="213"/>
      <c r="AB135" s="19"/>
      <c r="AC135" s="134"/>
      <c r="AD135" s="19"/>
      <c r="AE135" s="19"/>
      <c r="AF135" s="19"/>
      <c r="AG135" s="134"/>
      <c r="AH135" s="19"/>
      <c r="AI135" s="19"/>
      <c r="AJ135" s="19"/>
      <c r="AK135" s="19"/>
      <c r="AL135" s="19"/>
      <c r="AM135" s="19"/>
      <c r="AN135" s="19"/>
      <c r="AO135" s="19"/>
      <c r="AP135" s="19"/>
      <c r="AQ135" s="19"/>
      <c r="AR135" s="19"/>
    </row>
    <row r="136" spans="2:44" ht="17.25">
      <c r="B136" s="1" t="s">
        <v>152</v>
      </c>
      <c r="C136" s="10" t="s">
        <v>92</v>
      </c>
      <c r="D136" s="10" t="s">
        <v>92</v>
      </c>
      <c r="E136" s="10">
        <v>65</v>
      </c>
      <c r="F136" s="10" t="s">
        <v>92</v>
      </c>
      <c r="G136" s="10" t="s">
        <v>92</v>
      </c>
      <c r="H136" s="10" t="s">
        <v>92</v>
      </c>
      <c r="I136" s="10">
        <v>65</v>
      </c>
      <c r="J136" s="10" t="s">
        <v>92</v>
      </c>
      <c r="N136" s="447"/>
      <c r="O136" s="528"/>
      <c r="P136" s="528"/>
      <c r="Q136" s="447"/>
      <c r="R136" s="447"/>
      <c r="S136" s="213"/>
      <c r="T136" s="213"/>
      <c r="U136" s="213"/>
      <c r="V136" s="213"/>
      <c r="W136" s="213"/>
      <c r="X136" s="213"/>
      <c r="Y136" s="213"/>
      <c r="AB136" s="19"/>
      <c r="AC136" s="134"/>
      <c r="AD136" s="19"/>
      <c r="AE136" s="19"/>
      <c r="AF136" s="19"/>
      <c r="AG136" s="134"/>
      <c r="AH136" s="19"/>
      <c r="AI136" s="19"/>
      <c r="AJ136" s="19"/>
      <c r="AK136" s="19"/>
      <c r="AL136" s="19"/>
      <c r="AM136" s="19"/>
      <c r="AN136" s="19"/>
      <c r="AO136" s="19"/>
      <c r="AP136" s="19"/>
      <c r="AQ136" s="19"/>
      <c r="AR136" s="19"/>
    </row>
    <row r="137" spans="2:44" ht="17.25">
      <c r="B137" s="1" t="s">
        <v>153</v>
      </c>
      <c r="C137" s="10" t="s">
        <v>92</v>
      </c>
      <c r="D137" s="10" t="s">
        <v>92</v>
      </c>
      <c r="E137" s="10">
        <v>335</v>
      </c>
      <c r="F137" s="10" t="s">
        <v>92</v>
      </c>
      <c r="G137" s="10" t="s">
        <v>92</v>
      </c>
      <c r="H137" s="10" t="s">
        <v>92</v>
      </c>
      <c r="I137" s="10">
        <v>395</v>
      </c>
      <c r="J137" s="10" t="s">
        <v>92</v>
      </c>
      <c r="N137" s="447"/>
      <c r="O137" s="528"/>
      <c r="P137" s="528"/>
      <c r="Q137" s="447"/>
      <c r="R137" s="447"/>
      <c r="S137" s="213"/>
      <c r="T137" s="213"/>
      <c r="U137" s="213"/>
      <c r="V137" s="213"/>
      <c r="W137" s="213"/>
      <c r="X137" s="213"/>
      <c r="Y137" s="213"/>
      <c r="AB137" s="19"/>
      <c r="AC137" s="134"/>
      <c r="AD137" s="19"/>
      <c r="AE137" s="19"/>
      <c r="AF137" s="19"/>
      <c r="AG137" s="134"/>
      <c r="AH137" s="19"/>
      <c r="AI137" s="19"/>
      <c r="AJ137" s="19"/>
      <c r="AK137" s="19"/>
      <c r="AL137" s="19"/>
      <c r="AM137" s="19"/>
      <c r="AN137" s="19"/>
      <c r="AO137" s="19"/>
      <c r="AP137" s="19"/>
      <c r="AQ137" s="19"/>
      <c r="AR137" s="19"/>
    </row>
    <row r="138" spans="2:44" ht="17.25">
      <c r="B138" s="1" t="s">
        <v>154</v>
      </c>
      <c r="C138" s="10" t="s">
        <v>92</v>
      </c>
      <c r="D138" s="10" t="s">
        <v>92</v>
      </c>
      <c r="E138" s="10">
        <v>800</v>
      </c>
      <c r="F138" s="10" t="s">
        <v>92</v>
      </c>
      <c r="G138" s="10" t="s">
        <v>92</v>
      </c>
      <c r="H138" s="10" t="s">
        <v>92</v>
      </c>
      <c r="I138" s="10">
        <v>822</v>
      </c>
      <c r="J138" s="10" t="s">
        <v>92</v>
      </c>
      <c r="N138" s="447"/>
      <c r="O138" s="528"/>
      <c r="P138" s="528"/>
      <c r="Q138" s="447"/>
      <c r="R138" s="447"/>
      <c r="S138" s="213"/>
      <c r="T138" s="213"/>
      <c r="U138" s="213"/>
      <c r="V138" s="213"/>
      <c r="W138" s="213"/>
      <c r="X138" s="213"/>
      <c r="Y138" s="213"/>
      <c r="AB138" s="19"/>
      <c r="AC138" s="134"/>
      <c r="AD138" s="19"/>
      <c r="AE138" s="19"/>
      <c r="AF138" s="19"/>
      <c r="AG138" s="134"/>
      <c r="AH138" s="19"/>
      <c r="AI138" s="19"/>
      <c r="AJ138" s="19"/>
      <c r="AK138" s="19"/>
      <c r="AL138" s="19"/>
      <c r="AM138" s="19"/>
      <c r="AN138" s="19"/>
      <c r="AO138" s="19"/>
      <c r="AP138" s="19"/>
      <c r="AQ138" s="19"/>
      <c r="AR138" s="19"/>
    </row>
    <row r="139" spans="2:44" ht="17.25">
      <c r="B139" s="1" t="s">
        <v>155</v>
      </c>
      <c r="C139" s="10" t="s">
        <v>92</v>
      </c>
      <c r="D139" s="10" t="s">
        <v>92</v>
      </c>
      <c r="E139" s="10">
        <v>150</v>
      </c>
      <c r="F139" s="10" t="s">
        <v>92</v>
      </c>
      <c r="G139" s="10" t="s">
        <v>92</v>
      </c>
      <c r="H139" s="10" t="s">
        <v>92</v>
      </c>
      <c r="I139" s="10">
        <v>157</v>
      </c>
      <c r="J139" s="10" t="s">
        <v>92</v>
      </c>
      <c r="N139" s="447"/>
      <c r="O139" s="528"/>
      <c r="P139" s="528"/>
      <c r="Q139" s="447"/>
      <c r="R139" s="447"/>
      <c r="S139" s="213"/>
      <c r="T139" s="213"/>
      <c r="U139" s="213"/>
      <c r="V139" s="213"/>
      <c r="W139" s="213"/>
      <c r="X139" s="213"/>
      <c r="Y139" s="213"/>
      <c r="AB139" s="19"/>
      <c r="AC139" s="134"/>
      <c r="AD139" s="19"/>
      <c r="AE139" s="19"/>
      <c r="AF139" s="19"/>
      <c r="AG139" s="134"/>
      <c r="AH139" s="19"/>
      <c r="AI139" s="19"/>
      <c r="AJ139" s="19"/>
      <c r="AK139" s="19"/>
      <c r="AL139" s="19"/>
      <c r="AM139" s="19"/>
      <c r="AN139" s="19"/>
      <c r="AO139" s="19"/>
      <c r="AP139" s="19"/>
      <c r="AQ139" s="19"/>
      <c r="AR139" s="19"/>
    </row>
    <row r="140" spans="2:44" ht="17.25">
      <c r="B140" s="1" t="s">
        <v>156</v>
      </c>
      <c r="C140" s="10" t="s">
        <v>92</v>
      </c>
      <c r="D140" s="10" t="s">
        <v>92</v>
      </c>
      <c r="E140" s="10">
        <v>0</v>
      </c>
      <c r="F140" s="10" t="s">
        <v>92</v>
      </c>
      <c r="G140" s="10" t="s">
        <v>92</v>
      </c>
      <c r="H140" s="10" t="s">
        <v>92</v>
      </c>
      <c r="I140" s="10">
        <v>0</v>
      </c>
      <c r="J140" s="10" t="s">
        <v>92</v>
      </c>
      <c r="N140" s="447"/>
      <c r="O140" s="528"/>
      <c r="P140" s="528"/>
      <c r="Q140" s="447"/>
      <c r="R140" s="447"/>
      <c r="S140" s="213"/>
      <c r="T140" s="213"/>
      <c r="U140" s="213"/>
      <c r="V140" s="213"/>
      <c r="W140" s="213"/>
      <c r="X140" s="213"/>
      <c r="Y140" s="213"/>
      <c r="AB140" s="19"/>
      <c r="AC140" s="134"/>
      <c r="AD140" s="19"/>
      <c r="AE140" s="19"/>
      <c r="AF140" s="19"/>
      <c r="AG140" s="134"/>
      <c r="AH140" s="19"/>
      <c r="AI140" s="19"/>
      <c r="AJ140" s="19"/>
      <c r="AK140" s="19"/>
      <c r="AL140" s="19"/>
      <c r="AM140" s="19"/>
      <c r="AN140" s="19"/>
      <c r="AO140" s="19"/>
      <c r="AP140" s="19"/>
      <c r="AQ140" s="19"/>
      <c r="AR140" s="19"/>
    </row>
    <row r="141" spans="2:44" ht="17.25">
      <c r="B141" s="1" t="s">
        <v>157</v>
      </c>
      <c r="C141" s="10" t="s">
        <v>92</v>
      </c>
      <c r="D141" s="10" t="s">
        <v>92</v>
      </c>
      <c r="E141" s="10">
        <v>-634</v>
      </c>
      <c r="F141" s="10" t="s">
        <v>92</v>
      </c>
      <c r="G141" s="10" t="s">
        <v>92</v>
      </c>
      <c r="H141" s="10" t="s">
        <v>92</v>
      </c>
      <c r="I141" s="10">
        <v>-641</v>
      </c>
      <c r="J141" s="10" t="s">
        <v>92</v>
      </c>
      <c r="N141" s="447"/>
      <c r="O141" s="528"/>
      <c r="P141" s="528"/>
      <c r="Q141" s="447"/>
      <c r="R141" s="447"/>
      <c r="S141" s="213"/>
      <c r="T141" s="213"/>
      <c r="U141" s="213"/>
      <c r="V141" s="213"/>
      <c r="W141" s="213"/>
      <c r="X141" s="213"/>
      <c r="Y141" s="213"/>
      <c r="AB141" s="19"/>
      <c r="AC141" s="134"/>
      <c r="AD141" s="19"/>
      <c r="AE141" s="19"/>
      <c r="AF141" s="19"/>
      <c r="AG141" s="134"/>
      <c r="AH141" s="19"/>
      <c r="AI141" s="19"/>
      <c r="AJ141" s="19"/>
      <c r="AK141" s="19"/>
      <c r="AL141" s="19"/>
      <c r="AM141" s="19"/>
      <c r="AN141" s="19"/>
      <c r="AO141" s="19"/>
      <c r="AP141" s="19"/>
      <c r="AQ141" s="19"/>
      <c r="AR141" s="19"/>
    </row>
    <row r="142" spans="2:44" ht="17.25">
      <c r="B142" s="1" t="s">
        <v>158</v>
      </c>
      <c r="C142" s="10" t="s">
        <v>92</v>
      </c>
      <c r="D142" s="10" t="s">
        <v>92</v>
      </c>
      <c r="E142" s="10">
        <v>0</v>
      </c>
      <c r="F142" s="10" t="s">
        <v>92</v>
      </c>
      <c r="G142" s="10" t="s">
        <v>92</v>
      </c>
      <c r="H142" s="10" t="s">
        <v>92</v>
      </c>
      <c r="I142" s="10">
        <v>0</v>
      </c>
      <c r="J142" s="10" t="s">
        <v>92</v>
      </c>
      <c r="N142" s="447"/>
      <c r="O142" s="528"/>
      <c r="P142" s="528"/>
      <c r="Q142" s="447"/>
      <c r="R142" s="447"/>
      <c r="S142" s="213"/>
      <c r="T142" s="213"/>
      <c r="U142" s="213"/>
      <c r="V142" s="213"/>
      <c r="W142" s="213"/>
      <c r="X142" s="213"/>
      <c r="Y142" s="213"/>
      <c r="AB142" s="19"/>
      <c r="AC142" s="134"/>
      <c r="AD142" s="19"/>
      <c r="AE142" s="19"/>
      <c r="AF142" s="19"/>
      <c r="AG142" s="134"/>
      <c r="AH142" s="19"/>
      <c r="AI142" s="19"/>
      <c r="AJ142" s="19"/>
      <c r="AK142" s="19"/>
      <c r="AL142" s="19"/>
      <c r="AM142" s="19"/>
      <c r="AN142" s="19"/>
      <c r="AO142" s="19"/>
      <c r="AP142" s="19"/>
      <c r="AQ142" s="19"/>
      <c r="AR142" s="19"/>
    </row>
    <row r="143" spans="2:44" ht="17.25">
      <c r="B143" s="1" t="s">
        <v>159</v>
      </c>
      <c r="C143" s="10" t="s">
        <v>92</v>
      </c>
      <c r="D143" s="10" t="s">
        <v>92</v>
      </c>
      <c r="E143" s="10">
        <v>0</v>
      </c>
      <c r="F143" s="10" t="s">
        <v>92</v>
      </c>
      <c r="G143" s="10" t="s">
        <v>92</v>
      </c>
      <c r="H143" s="10" t="s">
        <v>92</v>
      </c>
      <c r="I143" s="10">
        <v>0</v>
      </c>
      <c r="J143" s="10" t="s">
        <v>92</v>
      </c>
      <c r="N143" s="447"/>
      <c r="O143" s="528"/>
      <c r="P143" s="528"/>
      <c r="Q143" s="447"/>
      <c r="R143" s="447"/>
      <c r="S143" s="213"/>
      <c r="T143" s="213"/>
      <c r="U143" s="213"/>
      <c r="V143" s="213"/>
      <c r="W143" s="213"/>
      <c r="X143" s="213"/>
      <c r="Y143" s="213"/>
      <c r="AB143" s="19"/>
      <c r="AC143" s="134"/>
      <c r="AD143" s="19"/>
      <c r="AE143" s="19"/>
      <c r="AF143" s="19"/>
      <c r="AG143" s="134"/>
      <c r="AH143" s="19"/>
      <c r="AI143" s="19"/>
      <c r="AJ143" s="19"/>
      <c r="AK143" s="19"/>
      <c r="AL143" s="19"/>
      <c r="AM143" s="19"/>
      <c r="AN143" s="19"/>
      <c r="AO143" s="19"/>
      <c r="AP143" s="19"/>
      <c r="AQ143" s="19"/>
      <c r="AR143" s="19"/>
    </row>
    <row r="144" spans="2:44" ht="17.25">
      <c r="B144" s="1" t="s">
        <v>160</v>
      </c>
      <c r="C144" s="10">
        <v>648</v>
      </c>
      <c r="D144" s="10">
        <v>660</v>
      </c>
      <c r="E144" s="10">
        <v>716</v>
      </c>
      <c r="F144" s="10">
        <v>754</v>
      </c>
      <c r="G144" s="10">
        <v>748</v>
      </c>
      <c r="H144" s="10">
        <v>776</v>
      </c>
      <c r="I144" s="10">
        <v>798</v>
      </c>
      <c r="J144" s="10">
        <v>791</v>
      </c>
      <c r="N144" s="447"/>
      <c r="O144" s="528"/>
      <c r="P144" s="528"/>
      <c r="Q144" s="447"/>
      <c r="R144" s="447"/>
      <c r="S144" s="213"/>
      <c r="T144" s="213"/>
      <c r="U144" s="213"/>
      <c r="V144" s="213"/>
      <c r="W144" s="213"/>
      <c r="X144" s="213"/>
      <c r="Y144" s="213"/>
      <c r="AB144" s="19"/>
      <c r="AC144" s="134"/>
      <c r="AD144" s="19"/>
      <c r="AE144" s="19"/>
      <c r="AF144" s="19"/>
      <c r="AG144" s="134"/>
      <c r="AH144" s="19"/>
      <c r="AI144" s="19"/>
      <c r="AJ144" s="19"/>
      <c r="AK144" s="19"/>
      <c r="AL144" s="19"/>
      <c r="AM144" s="19"/>
      <c r="AN144" s="19"/>
      <c r="AO144" s="19"/>
      <c r="AP144" s="19"/>
      <c r="AQ144" s="19"/>
      <c r="AR144" s="19"/>
    </row>
    <row r="145" spans="2:44" ht="17.25">
      <c r="B145" s="1" t="s">
        <v>161</v>
      </c>
      <c r="C145" s="10">
        <v>42</v>
      </c>
      <c r="D145" s="10">
        <v>39</v>
      </c>
      <c r="E145" s="10">
        <v>31</v>
      </c>
      <c r="F145" s="10">
        <v>38</v>
      </c>
      <c r="G145" s="10">
        <v>44</v>
      </c>
      <c r="H145" s="10">
        <v>38</v>
      </c>
      <c r="I145" s="10">
        <v>44</v>
      </c>
      <c r="J145" s="10">
        <v>39</v>
      </c>
      <c r="N145" s="447"/>
      <c r="O145" s="528"/>
      <c r="P145" s="528"/>
      <c r="Q145" s="447"/>
      <c r="R145" s="447"/>
      <c r="S145" s="213"/>
      <c r="T145" s="213"/>
      <c r="U145" s="213"/>
      <c r="V145" s="213"/>
      <c r="W145" s="213"/>
      <c r="X145" s="213"/>
      <c r="Y145" s="213"/>
      <c r="AB145" s="19"/>
      <c r="AC145" s="19"/>
      <c r="AD145" s="19"/>
      <c r="AE145" s="19"/>
      <c r="AF145" s="19"/>
      <c r="AG145" s="19"/>
      <c r="AH145" s="19"/>
      <c r="AI145" s="19"/>
      <c r="AJ145" s="19"/>
      <c r="AK145" s="19"/>
      <c r="AL145" s="19"/>
      <c r="AM145" s="19"/>
      <c r="AN145" s="19"/>
      <c r="AO145" s="19"/>
      <c r="AP145" s="19"/>
      <c r="AQ145" s="19"/>
      <c r="AR145" s="19"/>
    </row>
    <row r="146" spans="2:44" ht="17.25">
      <c r="B146" s="1" t="s">
        <v>162</v>
      </c>
      <c r="C146" s="10">
        <v>16</v>
      </c>
      <c r="D146" s="10">
        <v>17</v>
      </c>
      <c r="E146" s="10">
        <v>18</v>
      </c>
      <c r="F146" s="10">
        <v>19</v>
      </c>
      <c r="G146" s="10">
        <v>19</v>
      </c>
      <c r="H146" s="10">
        <v>21</v>
      </c>
      <c r="I146" s="10">
        <v>22</v>
      </c>
      <c r="J146" s="10">
        <v>20</v>
      </c>
      <c r="N146" s="447"/>
      <c r="O146" s="528"/>
      <c r="P146" s="528"/>
      <c r="Q146" s="447"/>
      <c r="R146" s="447"/>
      <c r="S146" s="213"/>
      <c r="T146" s="213"/>
      <c r="U146" s="213"/>
      <c r="V146" s="213"/>
      <c r="W146" s="213"/>
      <c r="X146" s="213"/>
      <c r="Y146" s="213"/>
      <c r="AL146" s="19"/>
      <c r="AM146" s="19"/>
    </row>
    <row r="147" spans="2:44" ht="17.25">
      <c r="B147" s="1" t="s">
        <v>163</v>
      </c>
      <c r="C147" s="10">
        <v>91</v>
      </c>
      <c r="D147" s="10">
        <v>88</v>
      </c>
      <c r="E147" s="10">
        <v>88</v>
      </c>
      <c r="F147" s="10">
        <v>107</v>
      </c>
      <c r="G147" s="10">
        <v>166</v>
      </c>
      <c r="H147" s="10">
        <v>148</v>
      </c>
      <c r="I147" s="10">
        <v>105</v>
      </c>
      <c r="J147" s="10">
        <v>93</v>
      </c>
      <c r="N147" s="447"/>
      <c r="O147" s="528"/>
      <c r="P147" s="528"/>
      <c r="Q147" s="447"/>
      <c r="R147" s="447"/>
      <c r="S147" s="213"/>
      <c r="T147" s="213"/>
      <c r="U147" s="213"/>
      <c r="V147" s="213"/>
      <c r="W147" s="213"/>
      <c r="X147" s="213"/>
      <c r="Y147" s="213"/>
    </row>
    <row r="148" spans="2:44" ht="17.25">
      <c r="B148" s="1" t="s">
        <v>164</v>
      </c>
      <c r="C148" s="10">
        <v>517</v>
      </c>
      <c r="D148" s="10">
        <v>511</v>
      </c>
      <c r="E148" s="10">
        <v>504</v>
      </c>
      <c r="F148" s="10">
        <v>530</v>
      </c>
      <c r="G148" s="10">
        <v>595</v>
      </c>
      <c r="H148" s="10">
        <v>574</v>
      </c>
      <c r="I148" s="10">
        <v>537</v>
      </c>
      <c r="J148" s="10">
        <v>519</v>
      </c>
      <c r="N148" s="447"/>
      <c r="O148" s="528"/>
      <c r="P148" s="528"/>
      <c r="Q148" s="447"/>
      <c r="R148" s="447"/>
      <c r="S148" s="213"/>
      <c r="T148" s="213"/>
      <c r="U148" s="213"/>
      <c r="V148" s="213"/>
      <c r="W148" s="213"/>
      <c r="X148" s="213"/>
      <c r="Y148" s="213"/>
    </row>
    <row r="149" spans="2:44" ht="17.25">
      <c r="B149" s="1" t="s">
        <v>16</v>
      </c>
      <c r="C149" s="10">
        <v>9378</v>
      </c>
      <c r="D149" s="10">
        <v>9273</v>
      </c>
      <c r="E149" s="10">
        <v>9348</v>
      </c>
      <c r="F149" s="10">
        <v>9557</v>
      </c>
      <c r="G149" s="10">
        <v>9656</v>
      </c>
      <c r="H149" s="10">
        <v>9579</v>
      </c>
      <c r="I149" s="10">
        <v>9872</v>
      </c>
      <c r="J149" s="10">
        <v>9241</v>
      </c>
      <c r="N149" s="447"/>
      <c r="O149" s="528"/>
      <c r="P149" s="528"/>
      <c r="Q149" s="447"/>
      <c r="R149" s="447"/>
      <c r="S149" s="213"/>
      <c r="T149" s="213"/>
      <c r="U149" s="213"/>
      <c r="V149" s="213"/>
      <c r="W149" s="213"/>
      <c r="X149" s="213"/>
      <c r="Y149" s="213"/>
    </row>
    <row r="150" spans="2:44" ht="17.25">
      <c r="B150" s="1" t="s">
        <v>186</v>
      </c>
      <c r="C150" s="10">
        <v>22</v>
      </c>
      <c r="D150" s="10">
        <v>60</v>
      </c>
      <c r="E150" s="10">
        <v>57</v>
      </c>
      <c r="F150" s="10">
        <v>59</v>
      </c>
      <c r="G150" s="10">
        <v>123</v>
      </c>
      <c r="H150" s="10">
        <v>206</v>
      </c>
      <c r="I150" s="10">
        <v>1026</v>
      </c>
      <c r="J150" s="10">
        <v>901</v>
      </c>
      <c r="N150" s="447"/>
      <c r="O150" s="529"/>
      <c r="P150" s="529"/>
      <c r="Q150" s="448"/>
      <c r="R150" s="448"/>
      <c r="S150" s="213"/>
      <c r="T150" s="213"/>
      <c r="U150" s="213"/>
      <c r="V150" s="213"/>
      <c r="W150" s="213"/>
      <c r="X150" s="213"/>
      <c r="Y150" s="213"/>
    </row>
    <row r="151" spans="2:44">
      <c r="B151" s="1" t="s">
        <v>187</v>
      </c>
      <c r="C151" s="10">
        <v>0</v>
      </c>
      <c r="D151" s="10">
        <v>0</v>
      </c>
      <c r="E151" s="10">
        <v>0</v>
      </c>
      <c r="F151" s="10">
        <v>0</v>
      </c>
      <c r="G151" s="10">
        <v>0</v>
      </c>
      <c r="H151" s="10">
        <v>0</v>
      </c>
      <c r="I151" s="10">
        <v>0</v>
      </c>
      <c r="J151" s="10">
        <v>0</v>
      </c>
      <c r="N151" s="433"/>
      <c r="O151" s="530"/>
      <c r="P151" s="530"/>
      <c r="Q151" s="434"/>
      <c r="R151" s="434"/>
      <c r="S151" s="213"/>
      <c r="T151" s="213"/>
      <c r="U151" s="213"/>
      <c r="V151" s="213"/>
      <c r="W151" s="213"/>
      <c r="X151" s="213"/>
      <c r="Y151" s="213"/>
    </row>
    <row r="152" spans="2:44">
      <c r="B152" s="1" t="s">
        <v>14</v>
      </c>
      <c r="C152" s="10">
        <v>1816</v>
      </c>
      <c r="D152" s="10">
        <v>1710</v>
      </c>
      <c r="E152" s="10">
        <v>1870</v>
      </c>
      <c r="F152" s="10">
        <v>2182</v>
      </c>
      <c r="G152" s="10">
        <v>1911</v>
      </c>
      <c r="H152" s="10">
        <v>1925</v>
      </c>
      <c r="I152" s="10">
        <v>2248</v>
      </c>
      <c r="J152" s="10">
        <v>2272</v>
      </c>
      <c r="P152" s="105"/>
    </row>
    <row r="153" spans="2:44">
      <c r="B153" s="1" t="s">
        <v>165</v>
      </c>
      <c r="C153" s="10">
        <v>324</v>
      </c>
      <c r="D153" s="10">
        <v>350</v>
      </c>
      <c r="E153" s="10">
        <v>307</v>
      </c>
      <c r="F153" s="10">
        <v>287</v>
      </c>
      <c r="G153" s="10">
        <v>341</v>
      </c>
      <c r="H153" s="10">
        <v>355</v>
      </c>
      <c r="I153" s="10">
        <v>378</v>
      </c>
      <c r="J153" s="10">
        <v>347</v>
      </c>
      <c r="P153" s="105"/>
    </row>
    <row r="154" spans="2:44">
      <c r="B154" s="1" t="s">
        <v>166</v>
      </c>
      <c r="C154" s="10">
        <v>0</v>
      </c>
      <c r="D154" s="10">
        <v>0</v>
      </c>
      <c r="E154" s="10">
        <v>0</v>
      </c>
      <c r="F154" s="10">
        <v>0</v>
      </c>
      <c r="G154" s="10">
        <v>0</v>
      </c>
      <c r="H154" s="10">
        <v>0</v>
      </c>
      <c r="I154" s="10">
        <v>0</v>
      </c>
      <c r="J154" s="10">
        <v>0</v>
      </c>
      <c r="P154" s="105"/>
    </row>
    <row r="155" spans="2:44">
      <c r="B155" s="1" t="s">
        <v>167</v>
      </c>
      <c r="C155" s="10">
        <v>843</v>
      </c>
      <c r="D155" s="10">
        <v>162</v>
      </c>
      <c r="E155" s="10">
        <v>139</v>
      </c>
      <c r="F155" s="10">
        <v>135</v>
      </c>
      <c r="G155" s="10">
        <v>821</v>
      </c>
      <c r="H155" s="10">
        <v>124</v>
      </c>
      <c r="I155" s="10">
        <v>109</v>
      </c>
      <c r="J155" s="10">
        <v>147</v>
      </c>
      <c r="P155" s="105"/>
    </row>
    <row r="156" spans="2:44">
      <c r="B156" s="1" t="s">
        <v>168</v>
      </c>
      <c r="C156" s="10">
        <v>139</v>
      </c>
      <c r="D156" s="10">
        <v>143</v>
      </c>
      <c r="E156" s="10">
        <v>167</v>
      </c>
      <c r="F156" s="10">
        <v>165</v>
      </c>
      <c r="G156" s="10">
        <v>100</v>
      </c>
      <c r="H156" s="10">
        <v>76</v>
      </c>
      <c r="I156" s="10">
        <v>96</v>
      </c>
      <c r="J156" s="10">
        <v>81</v>
      </c>
      <c r="P156" s="105"/>
    </row>
    <row r="157" spans="2:44">
      <c r="B157" s="1" t="s">
        <v>169</v>
      </c>
      <c r="C157" s="10">
        <v>0</v>
      </c>
      <c r="D157" s="10">
        <v>0</v>
      </c>
      <c r="E157" s="10">
        <v>0</v>
      </c>
      <c r="F157" s="10">
        <v>0</v>
      </c>
      <c r="G157" s="10">
        <v>0</v>
      </c>
      <c r="H157" s="10">
        <v>0</v>
      </c>
      <c r="I157" s="10">
        <v>0</v>
      </c>
      <c r="J157" s="10">
        <v>0</v>
      </c>
      <c r="P157" s="105"/>
    </row>
    <row r="158" spans="2:44">
      <c r="B158" s="1" t="s">
        <v>170</v>
      </c>
      <c r="C158" s="10">
        <v>27</v>
      </c>
      <c r="D158" s="10">
        <v>43</v>
      </c>
      <c r="E158" s="10">
        <v>48</v>
      </c>
      <c r="F158" s="10">
        <v>54</v>
      </c>
      <c r="G158" s="10">
        <v>42</v>
      </c>
      <c r="H158" s="10">
        <v>39</v>
      </c>
      <c r="I158" s="10">
        <v>51</v>
      </c>
      <c r="J158" s="10">
        <v>54</v>
      </c>
      <c r="P158" s="105"/>
    </row>
    <row r="159" spans="2:44">
      <c r="B159" s="1" t="s">
        <v>171</v>
      </c>
      <c r="C159" s="10">
        <v>3170</v>
      </c>
      <c r="D159" s="10">
        <v>2468</v>
      </c>
      <c r="E159" s="10">
        <v>2587</v>
      </c>
      <c r="F159" s="10">
        <v>2882</v>
      </c>
      <c r="G159" s="10">
        <v>3338</v>
      </c>
      <c r="H159" s="10">
        <v>2725</v>
      </c>
      <c r="I159" s="10">
        <v>3907</v>
      </c>
      <c r="J159" s="10">
        <v>3803</v>
      </c>
      <c r="P159" s="105"/>
    </row>
    <row r="160" spans="2:44">
      <c r="B160" s="1" t="s">
        <v>172</v>
      </c>
      <c r="C160" s="10">
        <v>793</v>
      </c>
      <c r="D160" s="10">
        <v>789</v>
      </c>
      <c r="E160" s="10">
        <v>786</v>
      </c>
      <c r="F160" s="10">
        <v>783</v>
      </c>
      <c r="G160" s="10">
        <v>780</v>
      </c>
      <c r="H160" s="10">
        <v>777</v>
      </c>
      <c r="I160" s="10">
        <v>0</v>
      </c>
      <c r="J160" s="10">
        <v>0</v>
      </c>
      <c r="P160" s="105"/>
    </row>
    <row r="161" spans="2:16">
      <c r="B161" s="1" t="s">
        <v>173</v>
      </c>
      <c r="C161" s="10">
        <v>0</v>
      </c>
      <c r="D161" s="10">
        <v>0</v>
      </c>
      <c r="E161" s="10">
        <v>0</v>
      </c>
      <c r="F161" s="10">
        <v>0</v>
      </c>
      <c r="G161" s="10">
        <v>0</v>
      </c>
      <c r="H161" s="10">
        <v>0</v>
      </c>
      <c r="I161" s="10">
        <v>0</v>
      </c>
      <c r="J161" s="10">
        <v>0</v>
      </c>
      <c r="P161" s="105"/>
    </row>
    <row r="162" spans="2:16">
      <c r="B162" s="1" t="s">
        <v>174</v>
      </c>
      <c r="C162" s="10">
        <v>4</v>
      </c>
      <c r="D162" s="10">
        <v>4</v>
      </c>
      <c r="E162" s="10">
        <v>5</v>
      </c>
      <c r="F162" s="10">
        <v>4</v>
      </c>
      <c r="G162" s="10">
        <v>5</v>
      </c>
      <c r="H162" s="10">
        <v>5</v>
      </c>
      <c r="I162" s="10">
        <v>6</v>
      </c>
      <c r="J162" s="10">
        <v>7</v>
      </c>
      <c r="P162" s="105"/>
    </row>
    <row r="163" spans="2:16">
      <c r="B163" s="1" t="s">
        <v>175</v>
      </c>
      <c r="C163" s="10">
        <v>318</v>
      </c>
      <c r="D163" s="10">
        <v>334</v>
      </c>
      <c r="E163" s="10">
        <v>360</v>
      </c>
      <c r="F163" s="10">
        <v>347</v>
      </c>
      <c r="G163" s="10">
        <v>427</v>
      </c>
      <c r="H163" s="10">
        <v>409</v>
      </c>
      <c r="I163" s="10">
        <v>394</v>
      </c>
      <c r="J163" s="10">
        <v>367</v>
      </c>
      <c r="P163" s="105"/>
    </row>
    <row r="164" spans="2:16">
      <c r="B164" s="1" t="s">
        <v>176</v>
      </c>
      <c r="C164" s="10">
        <v>0</v>
      </c>
      <c r="D164" s="10">
        <v>0</v>
      </c>
      <c r="E164" s="10">
        <v>0</v>
      </c>
      <c r="F164" s="10">
        <v>0</v>
      </c>
      <c r="G164" s="10">
        <v>0</v>
      </c>
      <c r="H164" s="10">
        <v>0</v>
      </c>
      <c r="I164" s="10">
        <v>0</v>
      </c>
      <c r="J164" s="10">
        <v>0</v>
      </c>
      <c r="P164" s="105"/>
    </row>
    <row r="165" spans="2:16">
      <c r="B165" s="1" t="s">
        <v>177</v>
      </c>
      <c r="C165" s="10">
        <v>0</v>
      </c>
      <c r="D165" s="10">
        <v>0</v>
      </c>
      <c r="E165" s="10">
        <v>0</v>
      </c>
      <c r="F165" s="10">
        <v>0</v>
      </c>
      <c r="G165" s="10">
        <v>0</v>
      </c>
      <c r="H165" s="10">
        <v>0</v>
      </c>
      <c r="I165" s="10">
        <v>0</v>
      </c>
      <c r="J165" s="10">
        <v>0</v>
      </c>
      <c r="P165" s="105"/>
    </row>
    <row r="166" spans="2:16">
      <c r="B166" s="1" t="s">
        <v>178</v>
      </c>
      <c r="C166" s="10">
        <v>4</v>
      </c>
      <c r="D166" s="10">
        <v>4</v>
      </c>
      <c r="E166" s="10">
        <v>4</v>
      </c>
      <c r="F166" s="10">
        <v>4</v>
      </c>
      <c r="G166" s="10">
        <v>4</v>
      </c>
      <c r="H166" s="10">
        <v>1</v>
      </c>
      <c r="I166" s="10">
        <v>1</v>
      </c>
      <c r="J166" s="10">
        <v>1</v>
      </c>
      <c r="P166" s="105"/>
    </row>
    <row r="167" spans="2:16">
      <c r="B167" s="1" t="s">
        <v>179</v>
      </c>
      <c r="C167" s="10">
        <v>326</v>
      </c>
      <c r="D167" s="10">
        <v>342</v>
      </c>
      <c r="E167" s="10">
        <v>368</v>
      </c>
      <c r="F167" s="10">
        <v>355</v>
      </c>
      <c r="G167" s="10">
        <v>436</v>
      </c>
      <c r="H167" s="10">
        <v>415</v>
      </c>
      <c r="I167" s="10">
        <v>401</v>
      </c>
      <c r="J167" s="10">
        <v>376</v>
      </c>
      <c r="P167" s="105"/>
    </row>
    <row r="168" spans="2:16">
      <c r="B168" s="1" t="s">
        <v>15</v>
      </c>
      <c r="C168" s="10">
        <v>4288</v>
      </c>
      <c r="D168" s="10">
        <v>3600</v>
      </c>
      <c r="E168" s="10">
        <v>3742</v>
      </c>
      <c r="F168" s="10">
        <v>4021</v>
      </c>
      <c r="G168" s="10">
        <v>4554</v>
      </c>
      <c r="H168" s="10">
        <v>3917</v>
      </c>
      <c r="I168" s="10">
        <v>4308</v>
      </c>
      <c r="J168" s="10">
        <v>4179</v>
      </c>
      <c r="P168" s="105"/>
    </row>
    <row r="169" spans="2:16">
      <c r="B169" s="1" t="s">
        <v>180</v>
      </c>
      <c r="C169" s="10">
        <v>5090</v>
      </c>
      <c r="D169" s="10">
        <v>5673</v>
      </c>
      <c r="E169" s="10">
        <v>5606</v>
      </c>
      <c r="F169" s="10">
        <v>5536</v>
      </c>
      <c r="G169" s="10">
        <v>5101</v>
      </c>
      <c r="H169" s="10">
        <v>5661</v>
      </c>
      <c r="I169" s="10">
        <v>5564</v>
      </c>
      <c r="J169" s="10">
        <v>5062</v>
      </c>
      <c r="P169" s="105"/>
    </row>
    <row r="170" spans="2:16">
      <c r="B170" s="1" t="s">
        <v>188</v>
      </c>
      <c r="C170" s="10">
        <v>1499</v>
      </c>
      <c r="D170" s="10">
        <v>1499</v>
      </c>
      <c r="E170" s="10">
        <v>1499</v>
      </c>
      <c r="F170" s="10">
        <v>1499</v>
      </c>
      <c r="G170" s="10">
        <v>1499</v>
      </c>
      <c r="H170" s="10">
        <v>1499</v>
      </c>
      <c r="I170" s="10">
        <v>1499</v>
      </c>
      <c r="J170" s="10">
        <v>1499</v>
      </c>
      <c r="P170" s="105"/>
    </row>
    <row r="171" spans="2:16">
      <c r="B171" s="1" t="s">
        <v>189</v>
      </c>
      <c r="C171" s="10">
        <v>0</v>
      </c>
      <c r="D171" s="10">
        <v>0</v>
      </c>
      <c r="E171" s="10">
        <v>0</v>
      </c>
      <c r="F171" s="10">
        <v>0</v>
      </c>
      <c r="G171" s="10">
        <v>0</v>
      </c>
      <c r="H171" s="10">
        <v>0</v>
      </c>
      <c r="I171" s="10">
        <v>0</v>
      </c>
      <c r="J171" s="10">
        <v>0</v>
      </c>
      <c r="P171" s="105"/>
    </row>
    <row r="172" spans="2:16">
      <c r="B172" s="1" t="s">
        <v>190</v>
      </c>
      <c r="C172" s="10">
        <v>1940</v>
      </c>
      <c r="D172" s="10">
        <v>1940</v>
      </c>
      <c r="E172" s="10">
        <v>1940</v>
      </c>
      <c r="F172" s="10">
        <v>1940</v>
      </c>
      <c r="G172" s="10">
        <v>1940</v>
      </c>
      <c r="H172" s="10">
        <v>1940</v>
      </c>
      <c r="I172" s="10">
        <v>1919</v>
      </c>
      <c r="J172" s="10">
        <v>1919</v>
      </c>
      <c r="P172" s="105"/>
    </row>
    <row r="173" spans="2:16">
      <c r="B173" s="1" t="s">
        <v>191</v>
      </c>
      <c r="C173" s="10">
        <v>544</v>
      </c>
      <c r="D173" s="10">
        <v>465</v>
      </c>
      <c r="E173" s="10">
        <v>465</v>
      </c>
      <c r="F173" s="10">
        <v>465</v>
      </c>
      <c r="G173" s="10">
        <v>465</v>
      </c>
      <c r="H173" s="10">
        <v>379</v>
      </c>
      <c r="I173" s="10">
        <v>379</v>
      </c>
      <c r="J173" s="10">
        <v>379</v>
      </c>
      <c r="P173" s="105"/>
    </row>
    <row r="174" spans="2:16">
      <c r="B174" s="1" t="s">
        <v>192</v>
      </c>
      <c r="C174" s="10">
        <v>231</v>
      </c>
      <c r="D174" s="10">
        <v>231</v>
      </c>
      <c r="E174" s="10">
        <v>231</v>
      </c>
      <c r="F174" s="10">
        <v>231</v>
      </c>
      <c r="G174" s="10">
        <v>231</v>
      </c>
      <c r="H174" s="10">
        <v>231</v>
      </c>
      <c r="I174" s="10">
        <v>231</v>
      </c>
      <c r="J174" s="10">
        <v>231</v>
      </c>
      <c r="P174" s="105"/>
    </row>
    <row r="175" spans="2:16">
      <c r="B175" s="1" t="s">
        <v>193</v>
      </c>
      <c r="C175" s="10">
        <v>787</v>
      </c>
      <c r="D175" s="10">
        <v>1336</v>
      </c>
      <c r="E175" s="10">
        <v>1184</v>
      </c>
      <c r="F175" s="10">
        <v>1002</v>
      </c>
      <c r="G175" s="10">
        <v>726</v>
      </c>
      <c r="H175" s="10">
        <v>1313</v>
      </c>
      <c r="I175" s="10">
        <v>1154</v>
      </c>
      <c r="J175" s="10">
        <v>900</v>
      </c>
      <c r="P175" s="105"/>
    </row>
    <row r="176" spans="2:16">
      <c r="B176" s="1" t="s">
        <v>194</v>
      </c>
      <c r="C176" s="10">
        <v>0</v>
      </c>
      <c r="D176" s="10">
        <v>0</v>
      </c>
      <c r="E176" s="10">
        <v>0</v>
      </c>
      <c r="F176" s="10">
        <v>0</v>
      </c>
      <c r="G176" s="10">
        <v>0</v>
      </c>
      <c r="H176" s="10">
        <v>0</v>
      </c>
      <c r="I176" s="10">
        <v>0</v>
      </c>
      <c r="J176" s="10">
        <v>0</v>
      </c>
      <c r="P176" s="105"/>
    </row>
    <row r="177" spans="2:16">
      <c r="B177" s="1" t="s">
        <v>181</v>
      </c>
      <c r="C177" s="10">
        <v>0</v>
      </c>
      <c r="D177" s="10">
        <v>0</v>
      </c>
      <c r="E177" s="10">
        <v>0</v>
      </c>
      <c r="F177" s="10">
        <v>0</v>
      </c>
      <c r="G177" s="10">
        <v>0</v>
      </c>
      <c r="H177" s="10">
        <v>0</v>
      </c>
      <c r="I177" s="10">
        <v>0</v>
      </c>
      <c r="J177" s="10">
        <v>0</v>
      </c>
      <c r="P177" s="105"/>
    </row>
    <row r="178" spans="2:16">
      <c r="B178" s="1" t="s">
        <v>182</v>
      </c>
      <c r="C178" s="10">
        <v>9378</v>
      </c>
      <c r="D178" s="10">
        <v>9273</v>
      </c>
      <c r="E178" s="10">
        <v>9348</v>
      </c>
      <c r="F178" s="10">
        <v>9557</v>
      </c>
      <c r="G178" s="10">
        <v>9656</v>
      </c>
      <c r="H178" s="10">
        <v>9579</v>
      </c>
      <c r="I178" s="10">
        <v>9872</v>
      </c>
      <c r="J178" s="10">
        <v>9241</v>
      </c>
      <c r="P178" s="105"/>
    </row>
    <row r="179" spans="2:16">
      <c r="B179" s="1" t="s">
        <v>104</v>
      </c>
      <c r="C179" s="10"/>
      <c r="D179" s="10"/>
      <c r="E179" s="10"/>
      <c r="G179" s="10"/>
      <c r="H179" s="10"/>
      <c r="J179" s="10"/>
      <c r="P179" s="105"/>
    </row>
    <row r="180" spans="2:16">
      <c r="B180" s="1" t="s">
        <v>105</v>
      </c>
      <c r="P180" s="105"/>
    </row>
    <row r="181" spans="2:16">
      <c r="C181" s="10"/>
      <c r="D181" s="10"/>
      <c r="E181" s="10"/>
      <c r="F181" s="10"/>
      <c r="G181" s="10"/>
      <c r="H181" s="10"/>
      <c r="I181" s="10"/>
      <c r="J181" s="10"/>
      <c r="P181" s="105"/>
    </row>
    <row r="182" spans="2:16">
      <c r="C182" s="10"/>
      <c r="D182" s="10"/>
      <c r="E182" s="10"/>
      <c r="F182" s="10"/>
      <c r="G182" s="10"/>
      <c r="H182" s="10"/>
      <c r="I182" s="10"/>
      <c r="J182" s="10"/>
      <c r="P182" s="105"/>
    </row>
    <row r="183" spans="2:16">
      <c r="C183" s="10"/>
      <c r="D183" s="10"/>
      <c r="E183" s="10"/>
      <c r="F183" s="10"/>
      <c r="G183" s="10"/>
      <c r="H183" s="10"/>
      <c r="I183" s="10"/>
      <c r="J183" s="10"/>
      <c r="P183" s="105"/>
    </row>
    <row r="184" spans="2:16">
      <c r="P184" s="105"/>
    </row>
    <row r="221" spans="2:10">
      <c r="B221" s="1" t="s">
        <v>3235</v>
      </c>
    </row>
    <row r="222" spans="2:10">
      <c r="B222" s="1" t="s">
        <v>43</v>
      </c>
    </row>
    <row r="223" spans="2:10">
      <c r="B223" s="1" t="s">
        <v>44</v>
      </c>
      <c r="C223" s="1" t="s">
        <v>2909</v>
      </c>
      <c r="D223" s="1" t="s">
        <v>1907</v>
      </c>
      <c r="E223" s="1" t="s">
        <v>1840</v>
      </c>
      <c r="F223" s="1" t="s">
        <v>1751</v>
      </c>
      <c r="G223" s="1" t="s">
        <v>215</v>
      </c>
      <c r="H223" s="1" t="s">
        <v>45</v>
      </c>
      <c r="I223" s="1" t="s">
        <v>46</v>
      </c>
      <c r="J223" s="1" t="s">
        <v>47</v>
      </c>
    </row>
    <row r="224" spans="2:10">
      <c r="B224" s="1" t="s">
        <v>106</v>
      </c>
      <c r="C224" s="10">
        <v>204</v>
      </c>
      <c r="D224" s="10">
        <v>153</v>
      </c>
      <c r="E224" s="10">
        <v>182</v>
      </c>
      <c r="F224" s="10">
        <v>276</v>
      </c>
      <c r="G224" s="10">
        <v>174</v>
      </c>
      <c r="H224" s="10">
        <v>159</v>
      </c>
      <c r="I224" s="10">
        <v>253</v>
      </c>
      <c r="J224" s="10">
        <v>240</v>
      </c>
    </row>
    <row r="225" spans="2:10">
      <c r="B225" s="1" t="s">
        <v>107</v>
      </c>
      <c r="C225" s="1">
        <v>0</v>
      </c>
      <c r="D225" s="1">
        <v>0</v>
      </c>
      <c r="E225" s="1">
        <v>0</v>
      </c>
      <c r="F225" s="1">
        <v>0</v>
      </c>
      <c r="G225" s="1">
        <v>0</v>
      </c>
      <c r="H225" s="1">
        <v>0</v>
      </c>
      <c r="I225" s="1">
        <v>0</v>
      </c>
      <c r="J225" s="1">
        <v>0</v>
      </c>
    </row>
    <row r="226" spans="2:10">
      <c r="B226" s="1" t="s">
        <v>108</v>
      </c>
      <c r="C226" s="10">
        <v>28</v>
      </c>
      <c r="D226" s="10">
        <v>28</v>
      </c>
      <c r="E226" s="10">
        <v>29</v>
      </c>
      <c r="F226" s="10">
        <v>29</v>
      </c>
      <c r="G226" s="10">
        <v>31</v>
      </c>
      <c r="H226" s="10">
        <v>33</v>
      </c>
      <c r="I226" s="10">
        <v>33</v>
      </c>
      <c r="J226" s="10">
        <v>31</v>
      </c>
    </row>
    <row r="227" spans="2:10">
      <c r="B227" s="1" t="s">
        <v>109</v>
      </c>
      <c r="C227" s="10">
        <v>2</v>
      </c>
      <c r="D227" s="10">
        <v>2</v>
      </c>
      <c r="E227" s="10">
        <v>3</v>
      </c>
      <c r="F227" s="10">
        <v>3</v>
      </c>
      <c r="G227" s="10">
        <v>2</v>
      </c>
      <c r="H227" s="1">
        <v>2</v>
      </c>
      <c r="I227" s="1">
        <v>2</v>
      </c>
      <c r="J227" s="1">
        <v>2</v>
      </c>
    </row>
    <row r="228" spans="2:10">
      <c r="B228" s="1" t="s">
        <v>110</v>
      </c>
      <c r="C228" s="10">
        <v>-6</v>
      </c>
      <c r="D228" s="10">
        <v>-4</v>
      </c>
      <c r="E228" s="10">
        <v>-2</v>
      </c>
      <c r="F228" s="10">
        <v>-5</v>
      </c>
      <c r="G228" s="10">
        <v>-2</v>
      </c>
      <c r="H228" s="10">
        <v>-2</v>
      </c>
      <c r="I228" s="10">
        <v>-7</v>
      </c>
      <c r="J228" s="10">
        <v>-4</v>
      </c>
    </row>
    <row r="229" spans="2:10">
      <c r="B229" s="1" t="s">
        <v>111</v>
      </c>
      <c r="C229" s="1">
        <v>0</v>
      </c>
      <c r="D229" s="1">
        <v>0</v>
      </c>
      <c r="E229" s="1">
        <v>0</v>
      </c>
      <c r="F229" s="1">
        <v>0</v>
      </c>
      <c r="G229" s="1">
        <v>0</v>
      </c>
      <c r="H229" s="1">
        <v>0</v>
      </c>
      <c r="I229" s="1">
        <v>0</v>
      </c>
      <c r="J229" s="10">
        <v>0</v>
      </c>
    </row>
    <row r="230" spans="2:10">
      <c r="B230" s="1" t="s">
        <v>112</v>
      </c>
      <c r="C230" s="10">
        <v>0</v>
      </c>
      <c r="D230" s="10">
        <v>0</v>
      </c>
      <c r="E230" s="10">
        <v>0</v>
      </c>
      <c r="F230" s="10">
        <v>0</v>
      </c>
      <c r="G230" s="10">
        <v>0</v>
      </c>
      <c r="H230" s="10">
        <v>0</v>
      </c>
      <c r="I230" s="10">
        <v>1</v>
      </c>
      <c r="J230" s="10">
        <v>0</v>
      </c>
    </row>
    <row r="231" spans="2:10">
      <c r="B231" s="1" t="s">
        <v>113</v>
      </c>
      <c r="C231" s="1" t="s">
        <v>92</v>
      </c>
      <c r="D231" s="1" t="s">
        <v>92</v>
      </c>
      <c r="E231" s="1" t="s">
        <v>92</v>
      </c>
      <c r="F231" s="1" t="s">
        <v>92</v>
      </c>
      <c r="G231" s="1" t="s">
        <v>92</v>
      </c>
      <c r="H231" s="1" t="s">
        <v>92</v>
      </c>
      <c r="I231" s="1" t="s">
        <v>92</v>
      </c>
      <c r="J231" s="1" t="s">
        <v>92</v>
      </c>
    </row>
    <row r="232" spans="2:10">
      <c r="B232" s="1" t="s">
        <v>114</v>
      </c>
      <c r="C232" s="10">
        <v>12</v>
      </c>
      <c r="D232" s="10">
        <v>16</v>
      </c>
      <c r="E232" s="10">
        <v>12</v>
      </c>
      <c r="F232" s="10">
        <v>1</v>
      </c>
      <c r="G232" s="10">
        <v>5</v>
      </c>
      <c r="H232" s="10">
        <v>1</v>
      </c>
      <c r="I232" s="10">
        <v>2</v>
      </c>
      <c r="J232" s="10">
        <v>1</v>
      </c>
    </row>
    <row r="233" spans="2:10">
      <c r="B233" s="1" t="s">
        <v>115</v>
      </c>
      <c r="C233" s="10">
        <v>5</v>
      </c>
      <c r="D233" s="10">
        <v>-5</v>
      </c>
      <c r="E233" s="10">
        <v>0</v>
      </c>
      <c r="F233" s="10">
        <v>0</v>
      </c>
      <c r="G233" s="10">
        <v>0</v>
      </c>
      <c r="H233" s="10">
        <v>0</v>
      </c>
      <c r="I233" s="10">
        <v>0</v>
      </c>
      <c r="J233" s="10">
        <v>0</v>
      </c>
    </row>
    <row r="234" spans="2:10">
      <c r="B234" s="1" t="s">
        <v>116</v>
      </c>
      <c r="C234" s="10">
        <v>0</v>
      </c>
      <c r="D234" s="10">
        <v>-1</v>
      </c>
      <c r="E234" s="10">
        <v>0</v>
      </c>
      <c r="F234" s="10">
        <v>0</v>
      </c>
      <c r="G234" s="10">
        <v>0</v>
      </c>
      <c r="H234" s="10">
        <v>0</v>
      </c>
      <c r="I234" s="10">
        <v>0</v>
      </c>
      <c r="J234" s="10">
        <v>-1</v>
      </c>
    </row>
    <row r="235" spans="2:10">
      <c r="B235" s="1" t="s">
        <v>117</v>
      </c>
      <c r="C235" s="10">
        <v>-10</v>
      </c>
      <c r="D235" s="10">
        <v>589</v>
      </c>
      <c r="E235" s="10">
        <v>394</v>
      </c>
      <c r="F235" s="10">
        <v>-743</v>
      </c>
      <c r="G235" s="10">
        <v>247</v>
      </c>
      <c r="H235" s="10">
        <v>488</v>
      </c>
      <c r="I235" s="10">
        <v>-85</v>
      </c>
      <c r="J235" s="10">
        <v>-402</v>
      </c>
    </row>
    <row r="236" spans="2:10">
      <c r="B236" s="1" t="s">
        <v>118</v>
      </c>
      <c r="C236" s="10">
        <v>-13</v>
      </c>
      <c r="D236" s="10">
        <v>19</v>
      </c>
      <c r="E236" s="10">
        <v>77</v>
      </c>
      <c r="F236" s="10">
        <v>-19</v>
      </c>
      <c r="G236" s="10">
        <v>82</v>
      </c>
      <c r="H236" s="10">
        <v>-81</v>
      </c>
      <c r="I236" s="10">
        <v>-17</v>
      </c>
      <c r="J236" s="10">
        <v>-54</v>
      </c>
    </row>
    <row r="237" spans="2:10">
      <c r="B237" s="1" t="s">
        <v>119</v>
      </c>
      <c r="C237" s="10">
        <v>106</v>
      </c>
      <c r="D237" s="10">
        <v>-160</v>
      </c>
      <c r="E237" s="10">
        <v>-312</v>
      </c>
      <c r="F237" s="10">
        <v>271</v>
      </c>
      <c r="G237" s="10">
        <v>-13</v>
      </c>
      <c r="H237" s="10">
        <v>-324</v>
      </c>
      <c r="I237" s="10">
        <v>-24</v>
      </c>
      <c r="J237" s="10">
        <v>255</v>
      </c>
    </row>
    <row r="238" spans="2:10">
      <c r="B238" s="1" t="s">
        <v>120</v>
      </c>
      <c r="C238" s="10">
        <v>-179</v>
      </c>
      <c r="D238" s="10">
        <v>-65</v>
      </c>
      <c r="E238" s="10">
        <v>110</v>
      </c>
      <c r="F238" s="10">
        <v>61</v>
      </c>
      <c r="G238" s="10">
        <v>33</v>
      </c>
      <c r="H238" s="10">
        <v>-89</v>
      </c>
      <c r="I238" s="10">
        <v>67</v>
      </c>
      <c r="J238" s="10">
        <v>46</v>
      </c>
    </row>
    <row r="239" spans="2:10">
      <c r="B239" s="1" t="s">
        <v>17</v>
      </c>
      <c r="C239" s="10">
        <v>-98</v>
      </c>
      <c r="D239" s="10">
        <v>518</v>
      </c>
      <c r="E239" s="10">
        <v>492</v>
      </c>
      <c r="F239" s="10">
        <v>53</v>
      </c>
      <c r="G239" s="10">
        <v>566</v>
      </c>
      <c r="H239" s="10">
        <v>3</v>
      </c>
      <c r="I239" s="10">
        <v>228</v>
      </c>
      <c r="J239" s="10">
        <v>119</v>
      </c>
    </row>
    <row r="240" spans="2:10">
      <c r="B240" s="1" t="s">
        <v>121</v>
      </c>
      <c r="C240" s="10">
        <v>0</v>
      </c>
      <c r="D240" s="10">
        <v>51</v>
      </c>
      <c r="E240" s="10">
        <v>0</v>
      </c>
      <c r="F240" s="10">
        <v>0</v>
      </c>
      <c r="G240" s="10">
        <v>0</v>
      </c>
      <c r="H240" s="10">
        <v>0</v>
      </c>
      <c r="I240" s="10">
        <v>0</v>
      </c>
      <c r="J240" s="10">
        <v>0</v>
      </c>
    </row>
    <row r="241" spans="2:10">
      <c r="B241" s="1" t="s">
        <v>122</v>
      </c>
      <c r="C241" s="10">
        <v>45</v>
      </c>
      <c r="D241" s="10">
        <v>0</v>
      </c>
      <c r="E241" s="10">
        <v>0</v>
      </c>
      <c r="F241" s="10">
        <v>0</v>
      </c>
      <c r="G241" s="10">
        <v>0</v>
      </c>
      <c r="H241" s="10">
        <v>0</v>
      </c>
      <c r="I241" s="10">
        <v>0</v>
      </c>
      <c r="J241" s="10">
        <v>0</v>
      </c>
    </row>
    <row r="242" spans="2:10">
      <c r="B242" s="1" t="s">
        <v>19</v>
      </c>
      <c r="C242" s="10">
        <v>0</v>
      </c>
      <c r="D242" s="10">
        <v>0</v>
      </c>
      <c r="E242" s="10">
        <v>-33</v>
      </c>
      <c r="F242" s="10">
        <v>0</v>
      </c>
      <c r="G242" s="10">
        <v>19</v>
      </c>
      <c r="H242" s="10">
        <v>-19</v>
      </c>
      <c r="I242" s="10">
        <v>-67</v>
      </c>
      <c r="J242" s="10">
        <v>0</v>
      </c>
    </row>
    <row r="243" spans="2:10">
      <c r="B243" s="1" t="s">
        <v>123</v>
      </c>
      <c r="C243" s="10">
        <v>3</v>
      </c>
      <c r="D243" s="10">
        <v>18</v>
      </c>
      <c r="E243" s="10">
        <v>9</v>
      </c>
      <c r="F243" s="10">
        <v>11</v>
      </c>
      <c r="G243" s="10">
        <v>3</v>
      </c>
      <c r="H243" s="10">
        <v>1</v>
      </c>
      <c r="I243" s="10">
        <v>14</v>
      </c>
      <c r="J243" s="10">
        <v>0</v>
      </c>
    </row>
    <row r="244" spans="2:10">
      <c r="B244" s="1" t="s">
        <v>18</v>
      </c>
      <c r="C244" s="10">
        <v>-51</v>
      </c>
      <c r="D244" s="10">
        <v>-13</v>
      </c>
      <c r="E244" s="10">
        <v>-23</v>
      </c>
      <c r="F244" s="10">
        <v>-29</v>
      </c>
      <c r="G244" s="10">
        <v>-18</v>
      </c>
      <c r="H244" s="10">
        <v>-28</v>
      </c>
      <c r="I244" s="10">
        <v>-24</v>
      </c>
      <c r="J244" s="10">
        <v>-12</v>
      </c>
    </row>
    <row r="245" spans="2:10">
      <c r="B245" s="1" t="s">
        <v>124</v>
      </c>
      <c r="C245" s="10">
        <v>0</v>
      </c>
      <c r="D245" s="10">
        <v>-8</v>
      </c>
      <c r="E245" s="10">
        <v>30</v>
      </c>
      <c r="F245" s="10">
        <v>106</v>
      </c>
      <c r="G245" s="10">
        <v>86</v>
      </c>
      <c r="H245" s="10">
        <v>77</v>
      </c>
      <c r="I245" s="10">
        <v>27</v>
      </c>
      <c r="J245" s="10">
        <v>-97</v>
      </c>
    </row>
    <row r="246" spans="2:10">
      <c r="B246" s="1" t="s">
        <v>125</v>
      </c>
      <c r="C246" s="10">
        <v>-3</v>
      </c>
      <c r="D246" s="10">
        <v>47</v>
      </c>
      <c r="E246" s="10">
        <v>-21</v>
      </c>
      <c r="F246" s="10">
        <v>87</v>
      </c>
      <c r="G246" s="10">
        <v>68</v>
      </c>
      <c r="H246" s="10">
        <v>20</v>
      </c>
      <c r="I246" s="10">
        <v>-50</v>
      </c>
      <c r="J246" s="10">
        <v>-109</v>
      </c>
    </row>
    <row r="247" spans="2:10">
      <c r="B247" s="1" t="s">
        <v>126</v>
      </c>
      <c r="C247" s="10">
        <v>0</v>
      </c>
      <c r="D247" s="10">
        <v>0</v>
      </c>
      <c r="E247" s="10">
        <v>0</v>
      </c>
      <c r="F247" s="10">
        <v>0</v>
      </c>
      <c r="G247" s="10">
        <v>0</v>
      </c>
      <c r="H247" s="10">
        <v>0</v>
      </c>
      <c r="I247" s="10">
        <v>0</v>
      </c>
      <c r="J247" s="10">
        <v>0</v>
      </c>
    </row>
    <row r="248" spans="2:10">
      <c r="B248" s="1" t="s">
        <v>127</v>
      </c>
      <c r="C248" s="10">
        <v>0</v>
      </c>
      <c r="D248" s="10">
        <v>0</v>
      </c>
      <c r="E248" s="10">
        <v>0</v>
      </c>
      <c r="F248" s="10">
        <v>-674</v>
      </c>
      <c r="G248" s="10">
        <v>0</v>
      </c>
      <c r="H248" s="10">
        <v>0</v>
      </c>
      <c r="I248" s="10">
        <v>0</v>
      </c>
      <c r="J248" s="10">
        <v>-524</v>
      </c>
    </row>
    <row r="249" spans="2:10">
      <c r="B249" s="1" t="s">
        <v>128</v>
      </c>
      <c r="C249" s="1">
        <v>0</v>
      </c>
      <c r="D249" s="1">
        <v>0</v>
      </c>
      <c r="E249" s="1">
        <v>0</v>
      </c>
      <c r="F249" s="1">
        <v>0</v>
      </c>
      <c r="G249" s="1">
        <v>0</v>
      </c>
      <c r="H249" s="1">
        <v>0</v>
      </c>
      <c r="I249" s="1">
        <v>0</v>
      </c>
      <c r="J249" s="1">
        <v>0</v>
      </c>
    </row>
    <row r="250" spans="2:10">
      <c r="B250" s="1" t="s">
        <v>129</v>
      </c>
      <c r="C250" s="10">
        <v>-38</v>
      </c>
      <c r="D250" s="10">
        <v>3</v>
      </c>
      <c r="E250" s="10">
        <v>-2</v>
      </c>
      <c r="F250" s="10">
        <v>-64</v>
      </c>
      <c r="G250" s="10">
        <v>-83</v>
      </c>
      <c r="H250" s="10">
        <v>-820</v>
      </c>
      <c r="I250" s="10">
        <v>124</v>
      </c>
      <c r="J250" s="10">
        <v>426</v>
      </c>
    </row>
    <row r="251" spans="2:10">
      <c r="B251" s="1" t="s">
        <v>130</v>
      </c>
      <c r="C251" s="10">
        <v>0</v>
      </c>
      <c r="D251" s="10">
        <v>0</v>
      </c>
      <c r="E251" s="10">
        <v>0</v>
      </c>
      <c r="F251" s="10">
        <v>0</v>
      </c>
      <c r="G251" s="10">
        <v>0</v>
      </c>
      <c r="H251" s="10">
        <v>0</v>
      </c>
      <c r="I251" s="10">
        <v>0</v>
      </c>
      <c r="J251" s="10">
        <v>0</v>
      </c>
    </row>
    <row r="252" spans="2:10">
      <c r="B252" s="1" t="s">
        <v>131</v>
      </c>
      <c r="C252" s="10">
        <v>0</v>
      </c>
      <c r="D252" s="10">
        <v>0</v>
      </c>
      <c r="E252" s="10">
        <v>0</v>
      </c>
      <c r="F252" s="10">
        <v>0</v>
      </c>
      <c r="G252" s="10">
        <v>0</v>
      </c>
      <c r="H252" s="10">
        <v>796</v>
      </c>
      <c r="I252" s="10">
        <v>0</v>
      </c>
      <c r="J252" s="10">
        <v>0</v>
      </c>
    </row>
    <row r="253" spans="2:10">
      <c r="B253" s="1" t="s">
        <v>132</v>
      </c>
      <c r="C253" s="10">
        <v>0</v>
      </c>
      <c r="D253" s="10">
        <v>0</v>
      </c>
      <c r="E253" s="10">
        <v>0</v>
      </c>
      <c r="F253" s="10">
        <v>0</v>
      </c>
      <c r="G253" s="10">
        <v>0</v>
      </c>
      <c r="H253" s="10">
        <v>0</v>
      </c>
      <c r="I253" s="10">
        <v>0</v>
      </c>
      <c r="J253" s="10">
        <v>0</v>
      </c>
    </row>
    <row r="254" spans="2:10">
      <c r="B254" s="1" t="s">
        <v>133</v>
      </c>
      <c r="C254" s="10">
        <v>0</v>
      </c>
      <c r="D254" s="10">
        <v>0</v>
      </c>
      <c r="E254" s="10">
        <v>0</v>
      </c>
      <c r="F254" s="10">
        <v>0</v>
      </c>
      <c r="G254" s="10">
        <v>0</v>
      </c>
      <c r="H254" s="10">
        <v>0</v>
      </c>
      <c r="I254" s="10">
        <v>0</v>
      </c>
      <c r="J254" s="1">
        <v>0</v>
      </c>
    </row>
    <row r="255" spans="2:10">
      <c r="B255" s="1" t="s">
        <v>134</v>
      </c>
      <c r="C255" s="10">
        <v>0</v>
      </c>
      <c r="D255" s="10">
        <v>2</v>
      </c>
      <c r="E255" s="10">
        <v>-6</v>
      </c>
      <c r="F255" s="10">
        <v>-6</v>
      </c>
      <c r="G255" s="10">
        <v>5</v>
      </c>
      <c r="H255" s="10">
        <v>3</v>
      </c>
      <c r="I255" s="10">
        <v>-10</v>
      </c>
      <c r="J255" s="10">
        <v>-7</v>
      </c>
    </row>
    <row r="256" spans="2:10">
      <c r="B256" s="1" t="s">
        <v>135</v>
      </c>
      <c r="C256" s="10">
        <v>-37</v>
      </c>
      <c r="D256" s="10">
        <v>5</v>
      </c>
      <c r="E256" s="10">
        <v>-8</v>
      </c>
      <c r="F256" s="10">
        <v>-745</v>
      </c>
      <c r="G256" s="10">
        <v>-78</v>
      </c>
      <c r="H256" s="10">
        <v>-21</v>
      </c>
      <c r="I256" s="10">
        <v>114</v>
      </c>
      <c r="J256" s="10">
        <v>-105</v>
      </c>
    </row>
    <row r="257" spans="2:10">
      <c r="B257" s="1" t="s">
        <v>136</v>
      </c>
      <c r="C257" s="10">
        <v>-75</v>
      </c>
      <c r="D257" s="10">
        <v>-96</v>
      </c>
      <c r="E257" s="10">
        <v>-123</v>
      </c>
      <c r="F257" s="10">
        <v>5</v>
      </c>
      <c r="G257" s="10">
        <v>-7</v>
      </c>
      <c r="H257" s="10">
        <v>-62</v>
      </c>
      <c r="I257" s="10">
        <v>101</v>
      </c>
      <c r="J257" s="10">
        <v>24</v>
      </c>
    </row>
    <row r="258" spans="2:10">
      <c r="B258" s="1" t="s">
        <v>137</v>
      </c>
      <c r="C258" s="10">
        <v>-214</v>
      </c>
      <c r="D258" s="10">
        <v>473</v>
      </c>
      <c r="E258" s="10">
        <v>341</v>
      </c>
      <c r="F258" s="10">
        <v>-599</v>
      </c>
      <c r="G258" s="10">
        <v>550</v>
      </c>
      <c r="H258" s="10">
        <v>-61</v>
      </c>
      <c r="I258" s="10">
        <v>393</v>
      </c>
      <c r="J258" s="10">
        <v>-70</v>
      </c>
    </row>
    <row r="259" spans="2:10">
      <c r="B259" s="1" t="s">
        <v>138</v>
      </c>
      <c r="C259" s="10">
        <v>3418</v>
      </c>
      <c r="D259" s="10">
        <v>2945</v>
      </c>
      <c r="E259" s="10">
        <v>2604</v>
      </c>
      <c r="F259" s="10">
        <v>3203</v>
      </c>
      <c r="G259" s="10">
        <v>2654</v>
      </c>
      <c r="H259" s="10">
        <v>2715</v>
      </c>
      <c r="I259" s="10">
        <v>2322</v>
      </c>
      <c r="J259" s="10">
        <v>2391</v>
      </c>
    </row>
    <row r="260" spans="2:10">
      <c r="B260" s="1" t="s">
        <v>139</v>
      </c>
      <c r="C260" s="10">
        <v>3204</v>
      </c>
      <c r="D260" s="10">
        <v>3418</v>
      </c>
      <c r="E260" s="10">
        <v>2945</v>
      </c>
      <c r="F260" s="10">
        <v>2604</v>
      </c>
      <c r="G260" s="10">
        <v>3203</v>
      </c>
      <c r="H260" s="10">
        <v>2654</v>
      </c>
      <c r="I260" s="10">
        <v>2715</v>
      </c>
      <c r="J260" s="10">
        <v>2322</v>
      </c>
    </row>
    <row r="261" spans="2:10">
      <c r="B261" s="1" t="s">
        <v>140</v>
      </c>
      <c r="C261" s="10">
        <v>3</v>
      </c>
      <c r="D261" s="10">
        <v>4</v>
      </c>
      <c r="E261" s="10">
        <v>4</v>
      </c>
      <c r="F261" s="10">
        <v>4</v>
      </c>
      <c r="G261" s="10">
        <v>7</v>
      </c>
      <c r="H261" s="10">
        <v>3</v>
      </c>
      <c r="I261" s="10">
        <v>4</v>
      </c>
      <c r="J261" s="10">
        <v>8</v>
      </c>
    </row>
    <row r="262" spans="2:10">
      <c r="B262" s="1" t="s">
        <v>141</v>
      </c>
      <c r="C262" s="10" t="s">
        <v>92</v>
      </c>
      <c r="D262" s="1" t="s">
        <v>92</v>
      </c>
      <c r="E262" s="10" t="s">
        <v>92</v>
      </c>
      <c r="F262" s="10" t="s">
        <v>92</v>
      </c>
      <c r="G262" s="1" t="s">
        <v>92</v>
      </c>
      <c r="H262" s="10" t="s">
        <v>92</v>
      </c>
      <c r="I262" s="10" t="s">
        <v>92</v>
      </c>
      <c r="J262" s="1" t="s">
        <v>92</v>
      </c>
    </row>
    <row r="263" spans="2:10">
      <c r="B263" s="1" t="s">
        <v>142</v>
      </c>
    </row>
    <row r="264" spans="2:10">
      <c r="B264" s="1" t="s">
        <v>143</v>
      </c>
      <c r="C264" s="10"/>
      <c r="D264" s="10"/>
      <c r="E264" s="10"/>
      <c r="F264" s="10"/>
      <c r="G264" s="10"/>
      <c r="H264" s="10"/>
      <c r="I264" s="10"/>
      <c r="J264" s="10"/>
    </row>
    <row r="265" spans="2:10">
      <c r="B265" s="1" t="s">
        <v>104</v>
      </c>
      <c r="C265" s="10"/>
      <c r="D265" s="10"/>
      <c r="E265" s="10"/>
      <c r="F265" s="10"/>
      <c r="G265" s="10"/>
      <c r="H265" s="10"/>
      <c r="I265" s="10"/>
      <c r="J265" s="10"/>
    </row>
    <row r="266" spans="2:10">
      <c r="B266" s="1" t="s">
        <v>105</v>
      </c>
      <c r="C266" s="10"/>
      <c r="D266" s="10"/>
      <c r="E266" s="10"/>
      <c r="F266" s="10"/>
      <c r="G266" s="10"/>
      <c r="H266" s="10"/>
      <c r="I266" s="10"/>
      <c r="J266" s="10"/>
    </row>
  </sheetData>
  <mergeCells count="83">
    <mergeCell ref="U54:U57"/>
    <mergeCell ref="V54:V57"/>
    <mergeCell ref="W54:W57"/>
    <mergeCell ref="X54:X57"/>
    <mergeCell ref="S52:S53"/>
    <mergeCell ref="T52:T53"/>
    <mergeCell ref="U52:U53"/>
    <mergeCell ref="V52:V53"/>
    <mergeCell ref="AG26:AH26"/>
    <mergeCell ref="W2:X2"/>
    <mergeCell ref="O59:P59"/>
    <mergeCell ref="O60:P60"/>
    <mergeCell ref="O122:P122"/>
    <mergeCell ref="O52:O53"/>
    <mergeCell ref="P52:P53"/>
    <mergeCell ref="Q52:Q53"/>
    <mergeCell ref="X52:X53"/>
    <mergeCell ref="Y52:Y53"/>
    <mergeCell ref="O54:O57"/>
    <mergeCell ref="P54:P57"/>
    <mergeCell ref="Q54:Q57"/>
    <mergeCell ref="R54:R57"/>
    <mergeCell ref="S54:S57"/>
    <mergeCell ref="T54:T57"/>
    <mergeCell ref="AC14:AD14"/>
    <mergeCell ref="W31:X31"/>
    <mergeCell ref="W32:X32"/>
    <mergeCell ref="W22:W23"/>
    <mergeCell ref="X22:X23"/>
    <mergeCell ref="R52:R53"/>
    <mergeCell ref="N63:N64"/>
    <mergeCell ref="N32:N33"/>
    <mergeCell ref="N129:N130"/>
    <mergeCell ref="O131:P131"/>
    <mergeCell ref="O128:P128"/>
    <mergeCell ref="O129:P129"/>
    <mergeCell ref="O58:Y58"/>
    <mergeCell ref="O61:P61"/>
    <mergeCell ref="O62:P62"/>
    <mergeCell ref="O124:P124"/>
    <mergeCell ref="O121:P121"/>
    <mergeCell ref="O63:P63"/>
    <mergeCell ref="O123:P123"/>
    <mergeCell ref="W52:W53"/>
    <mergeCell ref="O126:P126"/>
    <mergeCell ref="F2:I2"/>
    <mergeCell ref="F4:I4"/>
    <mergeCell ref="F6:I6"/>
    <mergeCell ref="F8:I8"/>
    <mergeCell ref="F10:I10"/>
    <mergeCell ref="F14:I14"/>
    <mergeCell ref="F22:I22"/>
    <mergeCell ref="F16:I16"/>
    <mergeCell ref="F34:I34"/>
    <mergeCell ref="F18:I18"/>
    <mergeCell ref="F20:I20"/>
    <mergeCell ref="F30:I30"/>
    <mergeCell ref="A25:J25"/>
    <mergeCell ref="F28:I28"/>
    <mergeCell ref="F32:I32"/>
    <mergeCell ref="F26:I26"/>
    <mergeCell ref="O135:P135"/>
    <mergeCell ref="O136:P136"/>
    <mergeCell ref="O145:P145"/>
    <mergeCell ref="O142:P142"/>
    <mergeCell ref="O147:P147"/>
    <mergeCell ref="O146:P146"/>
    <mergeCell ref="O148:P148"/>
    <mergeCell ref="O149:P149"/>
    <mergeCell ref="O150:P150"/>
    <mergeCell ref="O151:P151"/>
    <mergeCell ref="O125:P125"/>
    <mergeCell ref="O143:P143"/>
    <mergeCell ref="O144:P144"/>
    <mergeCell ref="O137:P137"/>
    <mergeCell ref="O138:P138"/>
    <mergeCell ref="O139:P139"/>
    <mergeCell ref="O140:P140"/>
    <mergeCell ref="O141:P141"/>
    <mergeCell ref="O132:P132"/>
    <mergeCell ref="O133:P133"/>
    <mergeCell ref="O134:P134"/>
    <mergeCell ref="O127:P127"/>
  </mergeCells>
  <phoneticPr fontId="2" type="noConversion"/>
  <hyperlinks>
    <hyperlink ref="N54" r:id="rId1" display="https://tw.stock.yahoo.com/q/bc?s=1582"/>
    <hyperlink ref="N55" r:id="rId2" display="https://tw.stock.yahoo.com/pf/pfsel?stocklist=1582;"/>
    <hyperlink ref="N57" r:id="rId3" display="https://tw.stock.yahoo.com/pf/pfsel?stocklist=1582;"/>
    <hyperlink ref="Y54" r:id="rId4" display="https://tw.stock.yahoo.com/q/ts?s=1582"/>
    <hyperlink ref="Y57" r:id="rId5" display="https://tw.rd.yahoo.com/referurl/stock/other/SIG=125v47s73/**https:/tw.screener.finance.yahoo.net/screener/check.html?symid=1582"/>
    <hyperlink ref="O58" r:id="rId6" display="javascript: CheckP(document.orderform, 'Z', '/fcgi-bin/orderpage.fcg');"/>
  </hyperlinks>
  <pageMargins left="0.70866141732283472" right="0.70866141732283472" top="0.74803149606299213" bottom="0.74803149606299213" header="0.31496062992125984" footer="0.31496062992125984"/>
  <pageSetup paperSize="9" scale="46" orientation="landscape" r:id="rId7"/>
  <drawing r:id="rId8"/>
  <legacyDrawing r:id="rId9"/>
  <controls>
    <control shapeId="1089" r:id="rId10" name="CommandButton4"/>
    <control shapeId="1077" r:id="rId11" name="CommandButton14"/>
    <control shapeId="1075" r:id="rId12" name="CommandButton11"/>
    <control shapeId="1071" r:id="rId13" name="CommandButton18"/>
    <control shapeId="1068" r:id="rId14" name="CommandButton30"/>
    <control shapeId="1066" r:id="rId15" name="CommandButton29"/>
    <control shapeId="1065" r:id="rId16" name="CommandButton28"/>
    <control shapeId="1061" r:id="rId17" name="CommandButton26"/>
    <control shapeId="1055" r:id="rId18" name="CommandButton21"/>
    <control shapeId="1045" r:id="rId19" name="CommandButton13"/>
    <control shapeId="1033" r:id="rId20" name="CommandButton9"/>
    <control shapeId="1029" r:id="rId21" name="CommandButton5"/>
    <control shapeId="1027" r:id="rId22" name="CommandButton2"/>
    <control shapeId="1026" r:id="rId23" name="CommandButton1"/>
    <control shapeId="1025" r:id="rId24" name="ComboBox1"/>
    <control shapeId="1040" r:id="rId25" name="CommandButton3"/>
    <control shapeId="1057" r:id="rId26" name="CommandButton22"/>
    <control shapeId="1060" r:id="rId27" name="CommandButton25"/>
    <control shapeId="1072" r:id="rId28" name="CommandButton31"/>
    <control shapeId="1080" r:id="rId29" name="CommandButton15"/>
  </controls>
</worksheet>
</file>

<file path=xl/worksheets/sheet4.xml><?xml version="1.0" encoding="utf-8"?>
<worksheet xmlns="http://schemas.openxmlformats.org/spreadsheetml/2006/main" xmlns:r="http://schemas.openxmlformats.org/officeDocument/2006/relationships">
  <sheetPr codeName="sheet5"/>
  <dimension ref="A1:V35"/>
  <sheetViews>
    <sheetView zoomScale="80" zoomScaleNormal="80" workbookViewId="0">
      <pane xSplit="16" ySplit="1" topLeftCell="Q2" activePane="bottomRight" state="frozen"/>
      <selection activeCell="G32" sqref="G32"/>
      <selection pane="topRight" activeCell="G32" sqref="G32"/>
      <selection pane="bottomLeft" activeCell="G32" sqref="G32"/>
      <selection pane="bottomRight" activeCell="R1" sqref="R1:V1"/>
    </sheetView>
  </sheetViews>
  <sheetFormatPr defaultColWidth="9" defaultRowHeight="16.5"/>
  <cols>
    <col min="1" max="1" width="1.75" style="1" customWidth="1"/>
    <col min="2" max="2" width="11.125" style="1" customWidth="1"/>
    <col min="3" max="3" width="12.875" style="32" customWidth="1"/>
    <col min="4" max="4" width="12.125" style="1" customWidth="1"/>
    <col min="5" max="5" width="12.875" style="32" customWidth="1"/>
    <col min="6" max="6" width="12.125" style="1" customWidth="1"/>
    <col min="7" max="7" width="12.875" style="32" customWidth="1"/>
    <col min="8" max="8" width="9" style="1"/>
    <col min="9" max="9" width="1.375" style="1" customWidth="1"/>
    <col min="10" max="10" width="9" style="1"/>
    <col min="11" max="15" width="12.875" style="1" customWidth="1"/>
    <col min="16" max="16" width="10.375" style="1" customWidth="1"/>
    <col min="17" max="17" width="0.875" style="1" customWidth="1"/>
    <col min="18" max="21" width="9" style="1" customWidth="1"/>
    <col min="22" max="22" width="9.125" style="1" bestFit="1" customWidth="1"/>
    <col min="23" max="16384" width="9" style="1"/>
  </cols>
  <sheetData>
    <row r="1" spans="1:22" s="22" customFormat="1" ht="28.5" customHeight="1" thickBot="1">
      <c r="A1" s="20"/>
      <c r="B1" s="20"/>
      <c r="C1" s="21" t="s">
        <v>3200</v>
      </c>
      <c r="D1" s="20"/>
      <c r="E1" s="21" t="s">
        <v>3201</v>
      </c>
      <c r="F1" s="20"/>
      <c r="G1" s="21"/>
      <c r="R1" s="577" t="s">
        <v>1727</v>
      </c>
      <c r="S1" s="578"/>
      <c r="T1" s="578"/>
      <c r="U1" s="578"/>
      <c r="V1" s="579"/>
    </row>
    <row r="2" spans="1:22" s="22" customFormat="1" ht="9.75" customHeight="1">
      <c r="A2" s="23"/>
      <c r="B2" s="23"/>
      <c r="C2" s="24"/>
      <c r="D2" s="23"/>
      <c r="E2" s="25"/>
      <c r="F2" s="23"/>
      <c r="G2" s="26"/>
      <c r="H2" s="23"/>
      <c r="I2" s="23"/>
      <c r="J2" s="23"/>
      <c r="K2" s="23"/>
      <c r="L2" s="23"/>
      <c r="M2" s="23"/>
      <c r="N2" s="23"/>
      <c r="O2" s="23"/>
      <c r="P2" s="23"/>
      <c r="R2" s="27"/>
      <c r="S2" s="28"/>
      <c r="T2" s="28"/>
      <c r="U2" s="28"/>
      <c r="V2" s="29"/>
    </row>
    <row r="3" spans="1:22" ht="19.5">
      <c r="A3" s="30"/>
      <c r="B3" s="576" t="s">
        <v>196</v>
      </c>
      <c r="C3" s="576"/>
      <c r="D3" s="576"/>
      <c r="E3" s="576"/>
      <c r="F3" s="576"/>
      <c r="G3" s="576"/>
      <c r="H3" s="576"/>
      <c r="I3" s="30"/>
      <c r="J3" s="576" t="s">
        <v>197</v>
      </c>
      <c r="K3" s="576"/>
      <c r="L3" s="576"/>
      <c r="M3" s="576"/>
      <c r="N3" s="576"/>
      <c r="O3" s="576"/>
      <c r="P3" s="576"/>
      <c r="R3" s="582" t="s">
        <v>1732</v>
      </c>
      <c r="S3" s="532"/>
      <c r="T3" s="73" t="s">
        <v>1733</v>
      </c>
      <c r="U3" s="73" t="s">
        <v>1735</v>
      </c>
      <c r="V3" s="73" t="s">
        <v>1734</v>
      </c>
    </row>
    <row r="4" spans="1:22">
      <c r="A4" s="30"/>
      <c r="B4" s="30"/>
      <c r="C4" s="31"/>
      <c r="D4" s="30"/>
      <c r="E4" s="31"/>
      <c r="F4" s="30"/>
      <c r="G4" s="31"/>
      <c r="H4" s="30"/>
      <c r="I4" s="30"/>
      <c r="J4" s="30"/>
      <c r="K4" s="30"/>
      <c r="L4" s="30"/>
      <c r="M4" s="30"/>
      <c r="N4" s="30"/>
      <c r="O4" s="30"/>
      <c r="P4" s="30"/>
      <c r="R4" s="67">
        <f>IF(C1&lt;&gt;"",PK!A2," ")</f>
        <v>1210</v>
      </c>
      <c r="S4" s="68" t="str">
        <f>LEFT(C1,2)</f>
        <v>大成</v>
      </c>
      <c r="T4" s="74"/>
      <c r="U4" s="75">
        <f>VLOOKUP(R4,收盤價!A:C,3,0)</f>
        <v>28.75</v>
      </c>
      <c r="V4" s="76" t="e">
        <f>ROUND(U4/T4,2)</f>
        <v>#DIV/0!</v>
      </c>
    </row>
    <row r="5" spans="1:22">
      <c r="A5" s="30"/>
      <c r="B5" s="30"/>
      <c r="C5" s="31"/>
      <c r="D5" s="30"/>
      <c r="E5" s="31"/>
      <c r="F5" s="30"/>
      <c r="G5" s="31"/>
      <c r="H5" s="30"/>
      <c r="I5" s="30"/>
      <c r="J5" s="30"/>
      <c r="K5" s="30"/>
      <c r="L5" s="30"/>
      <c r="M5" s="30"/>
      <c r="N5" s="30"/>
      <c r="O5" s="30"/>
      <c r="P5" s="30"/>
      <c r="R5" s="69">
        <f>IF(E1&lt;&gt;"",PK!A3,"")</f>
        <v>1215</v>
      </c>
      <c r="S5" s="70" t="str">
        <f>LEFT(E1,2)</f>
        <v>卜蜂</v>
      </c>
      <c r="T5" s="74"/>
      <c r="U5" s="75">
        <f>VLOOKUP(R5,收盤價!A:C,3,0)</f>
        <v>46.05</v>
      </c>
      <c r="V5" s="76" t="e">
        <f>ROUND(U5/T5,2)</f>
        <v>#DIV/0!</v>
      </c>
    </row>
    <row r="6" spans="1:22">
      <c r="A6" s="30"/>
      <c r="B6" s="30"/>
      <c r="C6" s="31"/>
      <c r="D6" s="30"/>
      <c r="E6" s="31"/>
      <c r="F6" s="30"/>
      <c r="G6" s="31"/>
      <c r="H6" s="30"/>
      <c r="I6" s="30"/>
      <c r="J6" s="30"/>
      <c r="K6" s="30"/>
      <c r="L6" s="30"/>
      <c r="M6" s="30"/>
      <c r="N6" s="30"/>
      <c r="O6" s="30"/>
      <c r="P6" s="30"/>
      <c r="R6" s="71">
        <f>PK!A4</f>
        <v>0</v>
      </c>
      <c r="S6" s="72" t="str">
        <f>LEFT(G1,2)</f>
        <v/>
      </c>
      <c r="T6" s="74"/>
      <c r="U6" s="75" t="e">
        <f>VLOOKUP(R6,收盤價!A:C,3,0)</f>
        <v>#N/A</v>
      </c>
      <c r="V6" s="76" t="e">
        <f>ROUND(U6/T6,0)</f>
        <v>#N/A</v>
      </c>
    </row>
    <row r="7" spans="1:22">
      <c r="A7" s="30"/>
      <c r="B7" s="30"/>
      <c r="C7" s="31"/>
      <c r="D7" s="30"/>
      <c r="E7" s="31"/>
      <c r="F7" s="30"/>
      <c r="G7" s="31"/>
      <c r="H7" s="30"/>
      <c r="I7" s="30"/>
      <c r="J7" s="30"/>
      <c r="K7" s="30"/>
      <c r="L7" s="30"/>
      <c r="M7" s="30"/>
      <c r="N7" s="30"/>
      <c r="O7" s="30"/>
      <c r="P7" s="30"/>
      <c r="R7" s="40"/>
      <c r="S7" s="580"/>
      <c r="T7" s="580"/>
      <c r="U7" s="580"/>
      <c r="V7" s="581"/>
    </row>
    <row r="8" spans="1:22">
      <c r="A8" s="30"/>
      <c r="B8" s="30"/>
      <c r="C8" s="31"/>
      <c r="D8" s="30"/>
      <c r="E8" s="31"/>
      <c r="F8" s="30"/>
      <c r="G8" s="31"/>
      <c r="H8" s="30"/>
      <c r="I8" s="30"/>
      <c r="J8" s="30"/>
      <c r="K8" s="30"/>
      <c r="L8" s="30"/>
      <c r="M8" s="30"/>
      <c r="N8" s="30"/>
      <c r="O8" s="30"/>
      <c r="P8" s="30"/>
      <c r="R8" s="40"/>
      <c r="S8" s="41"/>
      <c r="T8" s="41"/>
      <c r="U8" s="41"/>
      <c r="V8" s="42"/>
    </row>
    <row r="9" spans="1:22">
      <c r="A9" s="30"/>
      <c r="B9" s="30"/>
      <c r="C9" s="31"/>
      <c r="D9" s="30"/>
      <c r="E9" s="31"/>
      <c r="F9" s="30"/>
      <c r="G9" s="31"/>
      <c r="H9" s="30"/>
      <c r="I9" s="30"/>
      <c r="J9" s="30"/>
      <c r="K9" s="30"/>
      <c r="L9" s="30"/>
      <c r="M9" s="30"/>
      <c r="N9" s="30"/>
      <c r="O9" s="30"/>
      <c r="P9" s="30"/>
      <c r="R9" s="40"/>
      <c r="S9" s="41"/>
      <c r="T9" s="41"/>
      <c r="U9" s="41"/>
      <c r="V9" s="42"/>
    </row>
    <row r="10" spans="1:22">
      <c r="A10" s="30"/>
      <c r="B10" s="30"/>
      <c r="C10" s="31"/>
      <c r="D10" s="30"/>
      <c r="E10" s="31"/>
      <c r="F10" s="30"/>
      <c r="G10" s="31"/>
      <c r="H10" s="30"/>
      <c r="I10" s="30"/>
      <c r="J10" s="30"/>
      <c r="K10" s="30"/>
      <c r="L10" s="30"/>
      <c r="M10" s="30"/>
      <c r="N10" s="30"/>
      <c r="O10" s="30"/>
      <c r="P10" s="30"/>
      <c r="R10" s="40"/>
      <c r="S10" s="41"/>
      <c r="T10" s="41"/>
      <c r="U10" s="41"/>
      <c r="V10" s="42"/>
    </row>
    <row r="11" spans="1:22">
      <c r="A11" s="30"/>
      <c r="B11" s="30"/>
      <c r="C11" s="31"/>
      <c r="D11" s="30"/>
      <c r="E11" s="31"/>
      <c r="F11" s="30"/>
      <c r="G11" s="31"/>
      <c r="H11" s="30"/>
      <c r="I11" s="30"/>
      <c r="J11" s="30"/>
      <c r="K11" s="30"/>
      <c r="L11" s="30"/>
      <c r="M11" s="30"/>
      <c r="N11" s="30"/>
      <c r="O11" s="30"/>
      <c r="P11" s="30"/>
      <c r="R11" s="40"/>
      <c r="S11" s="41"/>
      <c r="T11" s="41"/>
      <c r="U11" s="41"/>
      <c r="V11" s="42"/>
    </row>
    <row r="12" spans="1:22" ht="17.25" thickBot="1">
      <c r="A12" s="30"/>
      <c r="B12" s="30"/>
      <c r="C12" s="31"/>
      <c r="D12" s="30"/>
      <c r="E12" s="31"/>
      <c r="F12" s="30"/>
      <c r="G12" s="31"/>
      <c r="H12" s="30"/>
      <c r="I12" s="30"/>
      <c r="J12" s="30"/>
      <c r="K12" s="30"/>
      <c r="L12" s="30"/>
      <c r="M12" s="30"/>
      <c r="N12" s="30"/>
      <c r="O12" s="30"/>
      <c r="P12" s="30"/>
      <c r="R12" s="43"/>
      <c r="S12" s="44"/>
      <c r="T12" s="44"/>
      <c r="U12" s="44"/>
      <c r="V12" s="45"/>
    </row>
    <row r="13" spans="1:22" ht="17.25" thickBot="1">
      <c r="A13" s="30"/>
      <c r="B13" s="30"/>
      <c r="C13" s="31"/>
      <c r="D13" s="30"/>
      <c r="E13" s="31"/>
      <c r="F13" s="30"/>
      <c r="G13" s="31"/>
      <c r="H13" s="30"/>
      <c r="I13" s="30"/>
      <c r="J13" s="30"/>
      <c r="K13" s="30"/>
      <c r="L13" s="30"/>
      <c r="M13" s="30"/>
      <c r="N13" s="30"/>
      <c r="O13" s="30"/>
      <c r="P13" s="30"/>
      <c r="R13" s="30"/>
      <c r="S13" s="30"/>
      <c r="T13" s="30"/>
      <c r="U13" s="30"/>
      <c r="V13" s="30"/>
    </row>
    <row r="14" spans="1:22" ht="19.5">
      <c r="A14" s="30"/>
      <c r="B14" s="576" t="s">
        <v>1729</v>
      </c>
      <c r="C14" s="576"/>
      <c r="D14" s="576"/>
      <c r="E14" s="576"/>
      <c r="F14" s="576"/>
      <c r="G14" s="576"/>
      <c r="H14" s="576"/>
      <c r="I14" s="30"/>
      <c r="J14" s="576" t="s">
        <v>198</v>
      </c>
      <c r="K14" s="576"/>
      <c r="L14" s="576"/>
      <c r="M14" s="576"/>
      <c r="N14" s="576"/>
      <c r="O14" s="576"/>
      <c r="P14" s="576"/>
      <c r="R14" s="46"/>
      <c r="S14" s="47"/>
      <c r="T14" s="47"/>
      <c r="U14" s="47"/>
      <c r="V14" s="48"/>
    </row>
    <row r="15" spans="1:22">
      <c r="A15" s="30"/>
      <c r="B15" s="30"/>
      <c r="C15" s="31"/>
      <c r="D15" s="30"/>
      <c r="E15" s="31"/>
      <c r="F15" s="30"/>
      <c r="G15" s="31"/>
      <c r="H15" s="30"/>
      <c r="I15" s="30"/>
      <c r="J15" s="30"/>
      <c r="K15" s="30"/>
      <c r="L15" s="30"/>
      <c r="M15" s="30"/>
      <c r="N15" s="30"/>
      <c r="O15" s="30"/>
      <c r="P15" s="30"/>
      <c r="R15" s="40"/>
      <c r="S15" s="41"/>
      <c r="T15" s="41"/>
      <c r="U15" s="41"/>
      <c r="V15" s="42"/>
    </row>
    <row r="16" spans="1:22">
      <c r="A16" s="30"/>
      <c r="B16" s="30"/>
      <c r="C16" s="31"/>
      <c r="D16" s="30"/>
      <c r="E16" s="31"/>
      <c r="F16" s="30"/>
      <c r="G16" s="31"/>
      <c r="H16" s="30"/>
      <c r="I16" s="30"/>
      <c r="J16" s="30"/>
      <c r="K16" s="30"/>
      <c r="L16" s="30"/>
      <c r="M16" s="30"/>
      <c r="N16" s="30"/>
      <c r="O16" s="30"/>
      <c r="P16" s="30"/>
      <c r="R16" s="40"/>
      <c r="S16" s="41"/>
      <c r="T16" s="41"/>
      <c r="U16" s="41"/>
      <c r="V16" s="42"/>
    </row>
    <row r="17" spans="1:22">
      <c r="A17" s="30"/>
      <c r="B17" s="30"/>
      <c r="C17" s="31"/>
      <c r="D17" s="30"/>
      <c r="E17" s="31"/>
      <c r="F17" s="30"/>
      <c r="G17" s="31"/>
      <c r="H17" s="30"/>
      <c r="I17" s="30"/>
      <c r="J17" s="30"/>
      <c r="K17" s="30"/>
      <c r="L17" s="30"/>
      <c r="M17" s="30"/>
      <c r="N17" s="30"/>
      <c r="O17" s="30"/>
      <c r="P17" s="30"/>
      <c r="R17" s="40"/>
      <c r="S17" s="41"/>
      <c r="T17" s="41"/>
      <c r="U17" s="41"/>
      <c r="V17" s="42"/>
    </row>
    <row r="18" spans="1:22">
      <c r="A18" s="30"/>
      <c r="B18" s="30"/>
      <c r="C18" s="31"/>
      <c r="D18" s="30"/>
      <c r="E18" s="31"/>
      <c r="F18" s="30"/>
      <c r="G18" s="31"/>
      <c r="H18" s="30"/>
      <c r="I18" s="30"/>
      <c r="J18" s="30"/>
      <c r="K18" s="30"/>
      <c r="L18" s="30"/>
      <c r="M18" s="30"/>
      <c r="N18" s="30"/>
      <c r="O18" s="30"/>
      <c r="P18" s="30"/>
      <c r="R18" s="40"/>
      <c r="S18" s="41"/>
      <c r="T18" s="41"/>
      <c r="U18" s="41"/>
      <c r="V18" s="42"/>
    </row>
    <row r="19" spans="1:22">
      <c r="A19" s="30"/>
      <c r="B19" s="30"/>
      <c r="C19" s="31"/>
      <c r="D19" s="30"/>
      <c r="E19" s="31"/>
      <c r="F19" s="30"/>
      <c r="G19" s="31"/>
      <c r="H19" s="30"/>
      <c r="I19" s="30"/>
      <c r="J19" s="30"/>
      <c r="K19" s="30"/>
      <c r="L19" s="30"/>
      <c r="M19" s="30"/>
      <c r="N19" s="30"/>
      <c r="O19" s="30"/>
      <c r="P19" s="30"/>
      <c r="R19" s="40"/>
      <c r="S19" s="41"/>
      <c r="T19" s="41"/>
      <c r="U19" s="41"/>
      <c r="V19" s="42"/>
    </row>
    <row r="20" spans="1:22">
      <c r="A20" s="30"/>
      <c r="B20" s="30"/>
      <c r="C20" s="31"/>
      <c r="D20" s="30"/>
      <c r="E20" s="31"/>
      <c r="F20" s="30"/>
      <c r="G20" s="31"/>
      <c r="H20" s="30"/>
      <c r="I20" s="30"/>
      <c r="J20" s="30"/>
      <c r="K20" s="30"/>
      <c r="L20" s="30"/>
      <c r="M20" s="30"/>
      <c r="N20" s="30"/>
      <c r="O20" s="30"/>
      <c r="P20" s="30"/>
      <c r="R20" s="40"/>
      <c r="S20" s="41"/>
      <c r="T20" s="41"/>
      <c r="U20" s="41"/>
      <c r="V20" s="42"/>
    </row>
    <row r="21" spans="1:22">
      <c r="A21" s="30"/>
      <c r="B21" s="30"/>
      <c r="C21" s="31"/>
      <c r="D21" s="30"/>
      <c r="E21" s="31"/>
      <c r="F21" s="30"/>
      <c r="G21" s="31"/>
      <c r="H21" s="30"/>
      <c r="I21" s="30"/>
      <c r="J21" s="30"/>
      <c r="K21" s="30"/>
      <c r="L21" s="30"/>
      <c r="M21" s="30"/>
      <c r="N21" s="30"/>
      <c r="O21" s="30"/>
      <c r="P21" s="30"/>
      <c r="R21" s="40"/>
      <c r="S21" s="41"/>
      <c r="T21" s="41"/>
      <c r="U21" s="41"/>
      <c r="V21" s="42"/>
    </row>
    <row r="22" spans="1:22">
      <c r="A22" s="30"/>
      <c r="B22" s="30"/>
      <c r="C22" s="31"/>
      <c r="D22" s="30"/>
      <c r="E22" s="31"/>
      <c r="F22" s="30"/>
      <c r="G22" s="31"/>
      <c r="H22" s="30"/>
      <c r="I22" s="30"/>
      <c r="J22" s="30"/>
      <c r="K22" s="30"/>
      <c r="L22" s="30"/>
      <c r="M22" s="30"/>
      <c r="N22" s="30"/>
      <c r="O22" s="30"/>
      <c r="P22" s="30"/>
      <c r="R22" s="40"/>
      <c r="S22" s="41"/>
      <c r="T22" s="41"/>
      <c r="U22" s="41"/>
      <c r="V22" s="42"/>
    </row>
    <row r="23" spans="1:22">
      <c r="A23" s="30"/>
      <c r="B23" s="30"/>
      <c r="C23" s="31"/>
      <c r="D23" s="30"/>
      <c r="E23" s="31"/>
      <c r="F23" s="30"/>
      <c r="G23" s="31"/>
      <c r="H23" s="30"/>
      <c r="I23" s="30"/>
      <c r="J23" s="30"/>
      <c r="K23" s="30"/>
      <c r="L23" s="30"/>
      <c r="M23" s="30"/>
      <c r="N23" s="30"/>
      <c r="O23" s="30"/>
      <c r="P23" s="30"/>
      <c r="R23" s="40"/>
      <c r="S23" s="41"/>
      <c r="T23" s="41"/>
      <c r="U23" s="41"/>
      <c r="V23" s="42"/>
    </row>
    <row r="24" spans="1:22">
      <c r="A24" s="30"/>
      <c r="B24" s="30"/>
      <c r="C24" s="31"/>
      <c r="D24" s="30"/>
      <c r="E24" s="31"/>
      <c r="F24" s="30"/>
      <c r="G24" s="31"/>
      <c r="H24" s="30"/>
      <c r="I24" s="30"/>
      <c r="J24" s="30"/>
      <c r="K24" s="30"/>
      <c r="L24" s="30"/>
      <c r="M24" s="30"/>
      <c r="N24" s="30"/>
      <c r="O24" s="30"/>
      <c r="P24" s="30"/>
      <c r="R24" s="40"/>
      <c r="S24" s="41"/>
      <c r="T24" s="41"/>
      <c r="U24" s="41"/>
      <c r="V24" s="42"/>
    </row>
    <row r="25" spans="1:22" ht="19.5">
      <c r="A25" s="30"/>
      <c r="B25" s="576" t="s">
        <v>1728</v>
      </c>
      <c r="C25" s="576"/>
      <c r="D25" s="576"/>
      <c r="E25" s="576"/>
      <c r="F25" s="576"/>
      <c r="G25" s="576"/>
      <c r="H25" s="576"/>
      <c r="I25" s="30"/>
      <c r="J25" s="576" t="s">
        <v>1731</v>
      </c>
      <c r="K25" s="576"/>
      <c r="L25" s="576"/>
      <c r="M25" s="576"/>
      <c r="N25" s="576"/>
      <c r="O25" s="576"/>
      <c r="P25" s="576"/>
      <c r="R25" s="27"/>
      <c r="S25" s="28"/>
      <c r="T25" s="28"/>
      <c r="U25" s="28"/>
      <c r="V25" s="29"/>
    </row>
    <row r="26" spans="1:22">
      <c r="A26" s="30"/>
      <c r="B26" s="30"/>
      <c r="C26" s="31"/>
      <c r="D26" s="30"/>
      <c r="E26" s="31"/>
      <c r="F26" s="30"/>
      <c r="G26" s="31"/>
      <c r="H26" s="30"/>
      <c r="I26" s="30"/>
      <c r="J26" s="30"/>
      <c r="K26" s="30"/>
      <c r="L26" s="30"/>
      <c r="M26" s="30"/>
      <c r="N26" s="30"/>
      <c r="O26" s="30"/>
      <c r="P26" s="30"/>
      <c r="R26" s="27"/>
      <c r="S26" s="49"/>
      <c r="T26" s="28"/>
      <c r="U26" s="49"/>
      <c r="V26" s="29"/>
    </row>
    <row r="27" spans="1:22">
      <c r="A27" s="30"/>
      <c r="B27" s="30"/>
      <c r="C27" s="31"/>
      <c r="D27" s="30"/>
      <c r="E27" s="31"/>
      <c r="F27" s="30"/>
      <c r="G27" s="31"/>
      <c r="H27" s="30"/>
      <c r="I27" s="30"/>
      <c r="J27" s="30"/>
      <c r="K27" s="30"/>
      <c r="L27" s="30"/>
      <c r="M27" s="30"/>
      <c r="N27" s="30"/>
      <c r="O27" s="30"/>
      <c r="P27" s="30"/>
      <c r="R27" s="27"/>
      <c r="S27" s="28"/>
      <c r="T27" s="28"/>
      <c r="U27" s="28"/>
      <c r="V27" s="29"/>
    </row>
    <row r="28" spans="1:22">
      <c r="A28" s="30"/>
      <c r="B28" s="30"/>
      <c r="C28" s="31"/>
      <c r="D28" s="30"/>
      <c r="E28" s="31"/>
      <c r="F28" s="30"/>
      <c r="G28" s="31"/>
      <c r="H28" s="30"/>
      <c r="I28" s="30"/>
      <c r="J28" s="30"/>
      <c r="K28" s="30"/>
      <c r="L28" s="30"/>
      <c r="M28" s="30"/>
      <c r="N28" s="30"/>
      <c r="O28" s="30"/>
      <c r="P28" s="30"/>
      <c r="R28" s="27"/>
      <c r="S28" s="28"/>
      <c r="T28" s="28"/>
      <c r="U28" s="28"/>
      <c r="V28" s="29"/>
    </row>
    <row r="29" spans="1:22">
      <c r="A29" s="30"/>
      <c r="B29" s="30"/>
      <c r="C29" s="31"/>
      <c r="D29" s="30"/>
      <c r="E29" s="31"/>
      <c r="F29" s="30"/>
      <c r="G29" s="31"/>
      <c r="H29" s="30"/>
      <c r="I29" s="30"/>
      <c r="J29" s="30"/>
      <c r="K29" s="30"/>
      <c r="L29" s="30"/>
      <c r="M29" s="30"/>
      <c r="N29" s="30"/>
      <c r="O29" s="30"/>
      <c r="P29" s="30"/>
      <c r="R29" s="27"/>
      <c r="S29" s="28"/>
      <c r="T29" s="28"/>
      <c r="U29" s="28"/>
      <c r="V29" s="29"/>
    </row>
    <row r="30" spans="1:22">
      <c r="A30" s="30"/>
      <c r="B30" s="30"/>
      <c r="C30" s="31"/>
      <c r="D30" s="30"/>
      <c r="E30" s="31"/>
      <c r="F30" s="30"/>
      <c r="G30" s="31"/>
      <c r="H30" s="30"/>
      <c r="I30" s="30"/>
      <c r="J30" s="30"/>
      <c r="K30" s="30"/>
      <c r="L30" s="30"/>
      <c r="M30" s="30"/>
      <c r="N30" s="30"/>
      <c r="O30" s="30"/>
      <c r="P30" s="30"/>
      <c r="R30" s="27"/>
      <c r="S30" s="28"/>
      <c r="T30" s="28"/>
      <c r="U30" s="28"/>
      <c r="V30" s="29"/>
    </row>
    <row r="31" spans="1:22">
      <c r="A31" s="30"/>
      <c r="B31" s="30"/>
      <c r="C31" s="31"/>
      <c r="D31" s="30"/>
      <c r="E31" s="31"/>
      <c r="F31" s="30"/>
      <c r="G31" s="31"/>
      <c r="H31" s="30"/>
      <c r="I31" s="30"/>
      <c r="J31" s="30"/>
      <c r="K31" s="30"/>
      <c r="L31" s="30"/>
      <c r="M31" s="30"/>
      <c r="N31" s="30"/>
      <c r="O31" s="30"/>
      <c r="P31" s="30"/>
      <c r="R31" s="27"/>
      <c r="S31" s="28"/>
      <c r="T31" s="28"/>
      <c r="U31" s="28"/>
      <c r="V31" s="29"/>
    </row>
    <row r="32" spans="1:22">
      <c r="A32" s="30"/>
      <c r="B32" s="30"/>
      <c r="C32" s="31"/>
      <c r="D32" s="30"/>
      <c r="E32" s="31"/>
      <c r="F32" s="30"/>
      <c r="G32" s="31"/>
      <c r="H32" s="30"/>
      <c r="I32" s="30"/>
      <c r="J32" s="30"/>
      <c r="K32" s="30"/>
      <c r="L32" s="30"/>
      <c r="M32" s="30"/>
      <c r="N32" s="30"/>
      <c r="O32" s="30"/>
      <c r="P32" s="30"/>
      <c r="R32" s="27"/>
      <c r="S32" s="28"/>
      <c r="T32" s="28"/>
      <c r="U32" s="28"/>
      <c r="V32" s="29"/>
    </row>
    <row r="33" spans="1:22">
      <c r="A33" s="30"/>
      <c r="B33" s="30"/>
      <c r="C33" s="31"/>
      <c r="D33" s="30"/>
      <c r="E33" s="31"/>
      <c r="F33" s="30"/>
      <c r="G33" s="31"/>
      <c r="H33" s="30"/>
      <c r="I33" s="30"/>
      <c r="J33" s="30"/>
      <c r="K33" s="30"/>
      <c r="L33" s="30"/>
      <c r="M33" s="30"/>
      <c r="N33" s="30"/>
      <c r="O33" s="30"/>
      <c r="P33" s="30"/>
      <c r="R33" s="27"/>
      <c r="S33" s="28"/>
      <c r="T33" s="28"/>
      <c r="U33" s="28"/>
      <c r="V33" s="29"/>
    </row>
    <row r="34" spans="1:22">
      <c r="A34" s="30"/>
      <c r="B34" s="30"/>
      <c r="C34" s="31"/>
      <c r="D34" s="30"/>
      <c r="E34" s="31"/>
      <c r="F34" s="30"/>
      <c r="G34" s="31"/>
      <c r="H34" s="30"/>
      <c r="I34" s="30"/>
      <c r="J34" s="30"/>
      <c r="K34" s="30"/>
      <c r="L34" s="30"/>
      <c r="M34" s="30"/>
      <c r="N34" s="30"/>
      <c r="O34" s="30"/>
      <c r="P34" s="30"/>
      <c r="R34" s="27"/>
      <c r="S34" s="28"/>
      <c r="T34" s="28"/>
      <c r="U34" s="28"/>
      <c r="V34" s="29"/>
    </row>
    <row r="35" spans="1:22" ht="17.25" thickBot="1">
      <c r="A35" s="30"/>
      <c r="B35" s="30"/>
      <c r="C35" s="31"/>
      <c r="D35" s="30"/>
      <c r="E35" s="31"/>
      <c r="F35" s="30"/>
      <c r="G35" s="31"/>
      <c r="H35" s="30"/>
      <c r="I35" s="30"/>
      <c r="J35" s="30"/>
      <c r="K35" s="30"/>
      <c r="L35" s="30"/>
      <c r="M35" s="30"/>
      <c r="N35" s="30"/>
      <c r="O35" s="30"/>
      <c r="P35" s="30"/>
      <c r="R35" s="37"/>
      <c r="S35" s="38"/>
      <c r="T35" s="38"/>
      <c r="U35" s="38"/>
      <c r="V35" s="39"/>
    </row>
  </sheetData>
  <mergeCells count="10">
    <mergeCell ref="B14:H14"/>
    <mergeCell ref="J14:P14"/>
    <mergeCell ref="B25:H25"/>
    <mergeCell ref="J25:P25"/>
    <mergeCell ref="R1:V1"/>
    <mergeCell ref="B3:H3"/>
    <mergeCell ref="J3:P3"/>
    <mergeCell ref="U7:V7"/>
    <mergeCell ref="S7:T7"/>
    <mergeCell ref="R3:S3"/>
  </mergeCells>
  <phoneticPr fontId="2" type="noConversion"/>
  <pageMargins left="0.7" right="0.7" top="0.75" bottom="0.75" header="0.3" footer="0.3"/>
  <pageSetup paperSize="9" orientation="portrait" horizontalDpi="1200" verticalDpi="1200" r:id="rId1"/>
  <drawing r:id="rId2"/>
  <legacyDrawing r:id="rId3"/>
  <controls>
    <control shapeId="7178" r:id="rId4" name="CommandButton7"/>
    <control shapeId="7176" r:id="rId5" name="CommandButton5"/>
    <control shapeId="7175" r:id="rId6" name="CommandButton4"/>
    <control shapeId="7174" r:id="rId7" name="CommandButton3"/>
    <control shapeId="7173" r:id="rId8" name="CommandButton2"/>
    <control shapeId="7172" r:id="rId9" name="CommandButton1"/>
    <control shapeId="7171" r:id="rId10" name="ComboBox3"/>
    <control shapeId="7170" r:id="rId11" name="ComboBox2"/>
    <control shapeId="7169" r:id="rId12" name="ComboBox1"/>
  </controls>
</worksheet>
</file>

<file path=xl/worksheets/sheet5.xml><?xml version="1.0" encoding="utf-8"?>
<worksheet xmlns="http://schemas.openxmlformats.org/spreadsheetml/2006/main" xmlns:r="http://schemas.openxmlformats.org/officeDocument/2006/relationships">
  <sheetPr codeName="D評比系統"/>
  <dimension ref="A1:R22"/>
  <sheetViews>
    <sheetView zoomScale="80" zoomScaleNormal="80" workbookViewId="0">
      <pane xSplit="11" ySplit="3" topLeftCell="L4" activePane="bottomRight" state="frozen"/>
      <selection activeCell="G32" sqref="G32"/>
      <selection pane="topRight" activeCell="G32" sqref="G32"/>
      <selection pane="bottomLeft" activeCell="G32" sqref="G32"/>
      <selection pane="bottomRight" activeCell="C6" sqref="C6"/>
    </sheetView>
  </sheetViews>
  <sheetFormatPr defaultRowHeight="19.5"/>
  <cols>
    <col min="1" max="1" width="9.625" style="16" customWidth="1"/>
    <col min="2" max="2" width="8.5" style="18" bestFit="1" customWidth="1"/>
    <col min="3" max="3" width="6.25" style="14" bestFit="1" customWidth="1"/>
    <col min="4" max="4" width="7.5" style="14" bestFit="1" customWidth="1"/>
    <col min="5" max="5" width="9.375" style="14" bestFit="1" customWidth="1"/>
    <col min="6" max="7" width="6.875" style="14" bestFit="1" customWidth="1"/>
    <col min="8" max="11" width="6.875" style="16" bestFit="1" customWidth="1"/>
    <col min="12" max="12" width="8.375" style="16" customWidth="1"/>
    <col min="13" max="13" width="9.625" style="15" bestFit="1" customWidth="1"/>
    <col min="14" max="14" width="11" style="15" customWidth="1"/>
    <col min="15" max="15" width="9.625" style="187" bestFit="1" customWidth="1"/>
    <col min="16" max="16" width="8.125" style="15" bestFit="1" customWidth="1"/>
    <col min="18" max="18" width="13.875" customWidth="1"/>
  </cols>
  <sheetData>
    <row r="1" spans="1:18" ht="26.25" thickBot="1">
      <c r="A1" s="586">
        <f ca="1">TODAY()</f>
        <v>42668</v>
      </c>
      <c r="B1" s="587"/>
      <c r="C1" s="595"/>
      <c r="D1" s="596"/>
      <c r="E1" s="596"/>
      <c r="F1" s="596"/>
      <c r="G1" s="597"/>
      <c r="H1" s="98"/>
      <c r="I1" s="97"/>
      <c r="J1" s="97"/>
      <c r="K1" s="97"/>
      <c r="L1" s="100"/>
      <c r="M1" s="98"/>
      <c r="N1" s="184"/>
      <c r="O1" s="185"/>
      <c r="P1" s="426"/>
      <c r="R1" s="428">
        <v>20160930</v>
      </c>
    </row>
    <row r="2" spans="1:18" s="34" customFormat="1" ht="28.5" customHeight="1">
      <c r="A2" s="588" t="s">
        <v>36</v>
      </c>
      <c r="B2" s="589"/>
      <c r="C2" s="590" t="s">
        <v>218</v>
      </c>
      <c r="D2" s="591"/>
      <c r="E2" s="591"/>
      <c r="F2" s="591"/>
      <c r="G2" s="592"/>
      <c r="H2" s="593" t="s">
        <v>1904</v>
      </c>
      <c r="I2" s="594"/>
      <c r="J2" s="594"/>
      <c r="K2" s="594"/>
      <c r="L2" s="101" t="s">
        <v>1743</v>
      </c>
      <c r="M2" s="583" t="s">
        <v>1750</v>
      </c>
      <c r="N2" s="584"/>
      <c r="O2" s="584"/>
      <c r="P2" s="585"/>
      <c r="R2" s="428">
        <v>20161007</v>
      </c>
    </row>
    <row r="3" spans="1:18" ht="20.25" thickBot="1">
      <c r="A3" s="17" t="s">
        <v>37</v>
      </c>
      <c r="B3" s="208" t="s">
        <v>2314</v>
      </c>
      <c r="C3" s="11" t="s">
        <v>38</v>
      </c>
      <c r="D3" s="12" t="s">
        <v>39</v>
      </c>
      <c r="E3" s="12" t="s">
        <v>40</v>
      </c>
      <c r="F3" s="12" t="s">
        <v>41</v>
      </c>
      <c r="G3" s="99" t="s">
        <v>2315</v>
      </c>
      <c r="H3" s="13" t="s">
        <v>35</v>
      </c>
      <c r="I3" s="88" t="s">
        <v>216</v>
      </c>
      <c r="J3" s="89" t="s">
        <v>217</v>
      </c>
      <c r="K3" s="89" t="s">
        <v>1903</v>
      </c>
      <c r="L3" s="102" t="s">
        <v>500</v>
      </c>
      <c r="M3" s="183" t="s">
        <v>219</v>
      </c>
      <c r="N3" s="35" t="s">
        <v>220</v>
      </c>
      <c r="O3" s="186" t="s">
        <v>1905</v>
      </c>
      <c r="P3" s="427" t="s">
        <v>1836</v>
      </c>
      <c r="R3" s="428">
        <v>20161014</v>
      </c>
    </row>
    <row r="4" spans="1:18">
      <c r="A4" s="16">
        <v>3236</v>
      </c>
      <c r="C4" s="14">
        <f>VLOOKUP(3236,季財報!A:P,12,0)</f>
        <v>1</v>
      </c>
      <c r="D4" s="14">
        <f>VLOOKUP(3236,季財報!A:P,13,0)</f>
        <v>1</v>
      </c>
      <c r="E4" s="14">
        <f>VLOOKUP(3236,季財報!A:P,14,0)</f>
        <v>2</v>
      </c>
      <c r="F4" s="14">
        <f>VLOOKUP(3236,季財報!A:P,15,0)</f>
        <v>1</v>
      </c>
      <c r="G4" s="14">
        <f>VLOOKUP(3236,季財報!A:P,16,0)</f>
        <v>0</v>
      </c>
      <c r="H4" s="16">
        <v>1</v>
      </c>
      <c r="I4" s="16">
        <v>1</v>
      </c>
      <c r="J4" s="16">
        <v>0</v>
      </c>
      <c r="K4" s="16">
        <v>1</v>
      </c>
      <c r="L4" s="16">
        <f t="shared" ref="L4:L22" si="0">SUM(C4:K4)</f>
        <v>8</v>
      </c>
      <c r="M4" s="15">
        <f>VLOOKUP(3236,季財報!A:D,3,0)</f>
        <v>24.4</v>
      </c>
      <c r="N4" s="15">
        <f>ROUND(VLOOKUP(3236,季財報!A:D,4,0),2)</f>
        <v>9.5500000000000007</v>
      </c>
      <c r="O4" s="187">
        <f>VLOOKUP(3236,季財報!A:G,7,0)</f>
        <v>154</v>
      </c>
      <c r="P4" s="15">
        <f>VLOOKUP(3236,季財報!A:G,6,0)</f>
        <v>0.73820877579643362</v>
      </c>
    </row>
    <row r="5" spans="1:18">
      <c r="A5" s="16">
        <v>5234</v>
      </c>
      <c r="C5" s="14">
        <f>VLOOKUP(5234,季財報!A:P,12,0)</f>
        <v>1</v>
      </c>
      <c r="D5" s="14">
        <f>VLOOKUP(5234,季財報!A:P,13,0)</f>
        <v>1</v>
      </c>
      <c r="E5" s="14">
        <f>VLOOKUP(5234,季財報!A:P,14,0)</f>
        <v>2</v>
      </c>
      <c r="F5" s="14">
        <f>VLOOKUP(5234,季財報!A:P,15,0)</f>
        <v>1</v>
      </c>
      <c r="G5" s="14">
        <f>VLOOKUP(5234,季財報!A:P,16,0)</f>
        <v>0</v>
      </c>
      <c r="H5" s="16">
        <v>1</v>
      </c>
      <c r="I5" s="16">
        <v>1</v>
      </c>
      <c r="J5" s="16">
        <v>0</v>
      </c>
      <c r="K5" s="16">
        <v>1</v>
      </c>
      <c r="L5" s="16">
        <f t="shared" si="0"/>
        <v>8</v>
      </c>
      <c r="M5" s="15">
        <f>VLOOKUP(5234,季財報!A:D,3,0)</f>
        <v>35.299999999999997</v>
      </c>
      <c r="N5" s="15">
        <f>ROUND(VLOOKUP(5234,季財報!A:D,4,0),2)</f>
        <v>11.15</v>
      </c>
      <c r="O5" s="187">
        <f>VLOOKUP(5234,季財報!A:G,7,0)</f>
        <v>305</v>
      </c>
      <c r="P5" s="15">
        <f>VLOOKUP(5234,季財報!A:G,6,0)</f>
        <v>0.96178692333609961</v>
      </c>
    </row>
    <row r="6" spans="1:18">
      <c r="A6" s="16">
        <v>1809</v>
      </c>
      <c r="C6" s="14">
        <f>VLOOKUP(1809,季財報!A:P,12,0)</f>
        <v>1</v>
      </c>
      <c r="D6" s="14">
        <f>VLOOKUP(1809,季財報!A:P,13,0)</f>
        <v>1</v>
      </c>
      <c r="E6" s="14">
        <f>VLOOKUP(1809,季財報!A:P,14,0)</f>
        <v>2</v>
      </c>
      <c r="F6" s="14">
        <f>VLOOKUP(1809,季財報!A:P,15,0)</f>
        <v>1</v>
      </c>
      <c r="G6" s="14">
        <f>VLOOKUP(1809,季財報!A:P,16,0)</f>
        <v>0</v>
      </c>
      <c r="H6" s="16">
        <v>1</v>
      </c>
      <c r="I6" s="16">
        <v>0</v>
      </c>
      <c r="J6" s="16">
        <v>0</v>
      </c>
      <c r="K6" s="16">
        <v>1</v>
      </c>
      <c r="L6" s="16">
        <f t="shared" si="0"/>
        <v>7</v>
      </c>
      <c r="M6" s="15">
        <f>VLOOKUP(1809,季財報!A:D,3,0)</f>
        <v>13.75</v>
      </c>
      <c r="N6" s="15">
        <f>ROUND(VLOOKUP(1809,季財報!A:D,4,0),2)</f>
        <v>11.09</v>
      </c>
      <c r="O6" s="187">
        <f>VLOOKUP(1809,季財報!A:G,7,0)</f>
        <v>946</v>
      </c>
      <c r="P6" s="15">
        <f>VLOOKUP(1809,季財報!A:G,6,0)</f>
        <v>0.94980543500888759</v>
      </c>
    </row>
    <row r="7" spans="1:18">
      <c r="A7" s="16">
        <v>6173</v>
      </c>
      <c r="C7" s="14">
        <f>VLOOKUP(6173,季財報!A:P,12,0)</f>
        <v>1</v>
      </c>
      <c r="D7" s="14">
        <f>VLOOKUP(6173,季財報!A:P,13,0)</f>
        <v>1</v>
      </c>
      <c r="E7" s="14">
        <f>VLOOKUP(6173,季財報!A:P,14,0)</f>
        <v>2</v>
      </c>
      <c r="F7" s="14">
        <f>VLOOKUP(6173,季財報!A:P,15,0)</f>
        <v>1</v>
      </c>
      <c r="G7" s="14">
        <f>VLOOKUP(6173,季財報!A:P,16,0)</f>
        <v>0</v>
      </c>
      <c r="H7" s="16">
        <v>1</v>
      </c>
      <c r="I7" s="16">
        <v>0</v>
      </c>
      <c r="J7" s="16">
        <v>0</v>
      </c>
      <c r="K7" s="16">
        <v>1</v>
      </c>
      <c r="L7" s="16">
        <f t="shared" si="0"/>
        <v>7</v>
      </c>
      <c r="M7" s="15">
        <f>VLOOKUP(6173,季財報!A:D,3,0)</f>
        <v>17.399999999999999</v>
      </c>
      <c r="N7" s="15">
        <f>ROUND(VLOOKUP(6173,季財報!A:D,4,0),2)</f>
        <v>12.57</v>
      </c>
      <c r="O7" s="187">
        <f>VLOOKUP(6173,季財報!A:G,7,0)</f>
        <v>360</v>
      </c>
      <c r="P7" s="15">
        <f>VLOOKUP(6173,季財報!A:G,6,0)</f>
        <v>1.2639894822562128</v>
      </c>
    </row>
    <row r="8" spans="1:18">
      <c r="A8" s="16">
        <v>5016</v>
      </c>
      <c r="C8" s="14">
        <f>VLOOKUP(5016,季財報!A:P,12,0)</f>
        <v>1</v>
      </c>
      <c r="D8" s="14">
        <f>VLOOKUP(5016,季財報!A:P,13,0)</f>
        <v>1</v>
      </c>
      <c r="E8" s="14">
        <f>VLOOKUP(5016,季財報!A:P,14,0)</f>
        <v>2</v>
      </c>
      <c r="F8" s="14">
        <f>VLOOKUP(5016,季財報!A:P,15,0)</f>
        <v>1</v>
      </c>
      <c r="G8" s="14">
        <f>VLOOKUP(5016,季財報!A:P,16,0)</f>
        <v>0</v>
      </c>
      <c r="H8" s="16">
        <v>1</v>
      </c>
      <c r="I8" s="16">
        <v>0</v>
      </c>
      <c r="J8" s="16">
        <v>0</v>
      </c>
      <c r="K8" s="16">
        <v>0</v>
      </c>
      <c r="L8" s="16">
        <f t="shared" si="0"/>
        <v>6</v>
      </c>
      <c r="M8" s="15">
        <f>VLOOKUP(5016,季財報!A:D,3,0)</f>
        <v>27</v>
      </c>
      <c r="N8" s="15">
        <f>ROUND(VLOOKUP(5016,季財報!A:D,4,0),2)</f>
        <v>7.36</v>
      </c>
      <c r="O8" s="187">
        <f>VLOOKUP(5016,季財報!A:G,7,0)</f>
        <v>416</v>
      </c>
      <c r="P8" s="15">
        <f>VLOOKUP(5016,季財報!A:G,6,0)</f>
        <v>0.60576782156989395</v>
      </c>
    </row>
    <row r="9" spans="1:18">
      <c r="A9" s="16">
        <v>4938</v>
      </c>
      <c r="C9" s="14">
        <f>VLOOKUP(4938,季財報!A:P,12,0)</f>
        <v>0</v>
      </c>
      <c r="D9" s="14">
        <f>VLOOKUP(4938,季財報!A:P,13,0)</f>
        <v>1</v>
      </c>
      <c r="E9" s="14">
        <f>VLOOKUP(4938,季財報!A:P,14,0)</f>
        <v>1</v>
      </c>
      <c r="F9" s="14">
        <f>VLOOKUP(4938,季財報!A:P,15,0)</f>
        <v>0</v>
      </c>
      <c r="G9" s="14">
        <f>VLOOKUP(4938,季財報!A:P,16,0)</f>
        <v>0</v>
      </c>
      <c r="H9" s="16">
        <v>1</v>
      </c>
      <c r="I9" s="16">
        <v>1</v>
      </c>
      <c r="J9" s="16">
        <v>0</v>
      </c>
      <c r="K9" s="16">
        <v>1</v>
      </c>
      <c r="L9" s="16">
        <f t="shared" si="0"/>
        <v>5</v>
      </c>
      <c r="M9" s="15">
        <f>VLOOKUP(4938,季財報!A:D,3,0)</f>
        <v>83.3</v>
      </c>
      <c r="N9" s="15">
        <f>ROUND(VLOOKUP(4938,季財報!A:D,4,0),2)</f>
        <v>10.66</v>
      </c>
      <c r="O9" s="187">
        <f>VLOOKUP(4938,季財報!A:G,7,0)</f>
        <v>256</v>
      </c>
      <c r="P9" s="15">
        <f>VLOOKUP(4938,季財報!A:G,6,0)</f>
        <v>0.17616715475991984</v>
      </c>
    </row>
    <row r="10" spans="1:18">
      <c r="A10" s="16">
        <v>1615</v>
      </c>
      <c r="C10" s="14">
        <f>VLOOKUP(1615,季財報!A:P,12,0)</f>
        <v>1</v>
      </c>
      <c r="D10" s="14">
        <f>VLOOKUP(1615,季財報!A:P,13,0)</f>
        <v>1</v>
      </c>
      <c r="E10" s="14">
        <f>VLOOKUP(1615,季財報!A:P,14,0)</f>
        <v>0</v>
      </c>
      <c r="F10" s="14">
        <f>VLOOKUP(1615,季財報!A:P,15,0)</f>
        <v>0</v>
      </c>
      <c r="G10" s="14">
        <f>VLOOKUP(1615,季財報!A:P,16,0)</f>
        <v>0</v>
      </c>
      <c r="H10" s="16">
        <v>1</v>
      </c>
      <c r="I10" s="16">
        <v>1</v>
      </c>
      <c r="J10" s="16">
        <v>1</v>
      </c>
      <c r="K10" s="16">
        <v>0</v>
      </c>
      <c r="L10" s="16">
        <f t="shared" si="0"/>
        <v>5</v>
      </c>
      <c r="M10" s="15">
        <f>VLOOKUP(1615,季財報!A:D,3,0)</f>
        <v>9.9</v>
      </c>
      <c r="N10" s="15">
        <f>ROUND(VLOOKUP(1615,季財報!A:D,4,0),2)</f>
        <v>8.84</v>
      </c>
      <c r="O10" s="187">
        <f>VLOOKUP(1615,季財報!A:G,7,0)</f>
        <v>498</v>
      </c>
      <c r="P10" s="15">
        <f>VLOOKUP(1615,季財報!A:G,6,0)</f>
        <v>0.47733621392811237</v>
      </c>
    </row>
    <row r="11" spans="1:18">
      <c r="A11" s="16">
        <v>2428</v>
      </c>
      <c r="C11" s="14">
        <f>VLOOKUP(2428,季財報!A:P,12,0)</f>
        <v>0</v>
      </c>
      <c r="D11" s="14">
        <f>VLOOKUP(2428,季財報!A:P,13,0)</f>
        <v>1</v>
      </c>
      <c r="E11" s="14">
        <f>VLOOKUP(2428,季財報!A:P,14,0)</f>
        <v>1</v>
      </c>
      <c r="F11" s="14">
        <f>VLOOKUP(2428,季財報!A:P,15,0)</f>
        <v>1</v>
      </c>
      <c r="G11" s="14">
        <f>VLOOKUP(2428,季財報!A:P,16,0)</f>
        <v>0</v>
      </c>
      <c r="H11" s="16">
        <v>1</v>
      </c>
      <c r="I11" s="16">
        <v>0</v>
      </c>
      <c r="J11" s="16">
        <v>0</v>
      </c>
      <c r="K11" s="16">
        <v>1</v>
      </c>
      <c r="L11" s="16">
        <f t="shared" si="0"/>
        <v>5</v>
      </c>
      <c r="M11" s="15">
        <f>VLOOKUP(2428,季財報!A:D,3,0)</f>
        <v>66</v>
      </c>
      <c r="N11" s="15">
        <f>ROUND(VLOOKUP(2428,季財報!A:D,4,0),2)</f>
        <v>10.72</v>
      </c>
      <c r="O11" s="187">
        <f>VLOOKUP(2428,季財報!A:G,7,0)</f>
        <v>129</v>
      </c>
      <c r="P11" s="15">
        <f>VLOOKUP(2428,季財報!A:G,6,0)</f>
        <v>1.6063996060097199</v>
      </c>
    </row>
    <row r="12" spans="1:18">
      <c r="A12" s="16">
        <v>5388</v>
      </c>
      <c r="C12" s="14">
        <f>VLOOKUP(5388,季財報!A:P,12,0)</f>
        <v>0</v>
      </c>
      <c r="D12" s="14">
        <f>VLOOKUP(5388,季財報!A:P,13,0)</f>
        <v>1</v>
      </c>
      <c r="E12" s="14">
        <f>VLOOKUP(5388,季財報!A:P,14,0)</f>
        <v>2</v>
      </c>
      <c r="F12" s="14">
        <f>VLOOKUP(5388,季財報!A:P,15,0)</f>
        <v>1</v>
      </c>
      <c r="G12" s="14">
        <f>VLOOKUP(5388,季財報!A:P,16,0)</f>
        <v>0</v>
      </c>
      <c r="H12" s="16">
        <v>1</v>
      </c>
      <c r="I12" s="16">
        <v>0</v>
      </c>
      <c r="J12" s="16">
        <v>0</v>
      </c>
      <c r="K12" s="16">
        <v>0</v>
      </c>
      <c r="L12" s="16">
        <f t="shared" si="0"/>
        <v>5</v>
      </c>
      <c r="M12" s="15">
        <f>VLOOKUP(5388,季財報!A:D,3,0)</f>
        <v>72</v>
      </c>
      <c r="N12" s="15">
        <f>ROUND(VLOOKUP(5388,季財報!A:D,4,0),2)</f>
        <v>12.59</v>
      </c>
      <c r="O12" s="187">
        <f>VLOOKUP(5388,季財報!A:G,7,0)</f>
        <v>946</v>
      </c>
      <c r="P12" s="15">
        <f>VLOOKUP(5388,季財報!A:G,6,0)</f>
        <v>0.46298269522492574</v>
      </c>
    </row>
    <row r="13" spans="1:18">
      <c r="A13" s="16">
        <v>1410</v>
      </c>
      <c r="C13" s="14">
        <f>VLOOKUP(1410,季財報!A:P,12,0)</f>
        <v>0</v>
      </c>
      <c r="D13" s="14">
        <f>VLOOKUP(1410,季財報!A:P,13,0)</f>
        <v>1</v>
      </c>
      <c r="E13" s="14">
        <f>VLOOKUP(1410,季財報!A:P,14,0)</f>
        <v>2</v>
      </c>
      <c r="F13" s="14">
        <f>VLOOKUP(1410,季財報!A:P,15,0)</f>
        <v>1</v>
      </c>
      <c r="G13" s="14">
        <f>VLOOKUP(1410,季財報!A:P,16,0)</f>
        <v>0</v>
      </c>
      <c r="H13" s="16">
        <v>1</v>
      </c>
      <c r="I13" s="16">
        <v>0</v>
      </c>
      <c r="J13" s="16">
        <v>0</v>
      </c>
      <c r="K13" s="16">
        <v>0</v>
      </c>
      <c r="L13" s="16">
        <f t="shared" si="0"/>
        <v>5</v>
      </c>
      <c r="M13" s="15">
        <f>VLOOKUP(1410,季財報!A:D,3,0)</f>
        <v>24.1</v>
      </c>
      <c r="N13" s="15">
        <f>ROUND(VLOOKUP(1410,季財報!A:D,4,0),2)</f>
        <v>13.4</v>
      </c>
      <c r="O13" s="187">
        <f>VLOOKUP(1410,季財報!A:G,7,0)</f>
        <v>256</v>
      </c>
      <c r="P13" s="15">
        <f>VLOOKUP(1410,季財報!A:G,6,0)</f>
        <v>2.8133116725196259</v>
      </c>
    </row>
    <row r="14" spans="1:18">
      <c r="A14" s="16">
        <v>2387</v>
      </c>
      <c r="C14" s="14">
        <f>VLOOKUP(2387,季財報!A:P,12,0)</f>
        <v>0</v>
      </c>
      <c r="D14" s="14">
        <f>VLOOKUP(2387,季財報!A:P,13,0)</f>
        <v>1</v>
      </c>
      <c r="E14" s="14">
        <f>VLOOKUP(2387,季財報!A:P,14,0)</f>
        <v>0</v>
      </c>
      <c r="F14" s="14">
        <f>VLOOKUP(2387,季財報!A:P,15,0)</f>
        <v>1</v>
      </c>
      <c r="G14" s="14">
        <f>VLOOKUP(2387,季財報!A:P,16,0)</f>
        <v>0</v>
      </c>
      <c r="H14" s="16">
        <v>1</v>
      </c>
      <c r="I14" s="16">
        <v>0</v>
      </c>
      <c r="J14" s="16">
        <v>0</v>
      </c>
      <c r="K14" s="16">
        <v>1</v>
      </c>
      <c r="L14" s="16">
        <f t="shared" si="0"/>
        <v>4</v>
      </c>
      <c r="M14" s="15">
        <f>VLOOKUP(2387,季財報!A:D,3,0)</f>
        <v>17.8</v>
      </c>
      <c r="N14" s="15">
        <f>ROUND(VLOOKUP(2387,季財報!A:D,4,0),2)</f>
        <v>11.41</v>
      </c>
      <c r="O14" s="187">
        <f>VLOOKUP(2387,季財報!A:G,7,0)</f>
        <v>946</v>
      </c>
      <c r="P14" s="15">
        <f>VLOOKUP(2387,季財報!A:G,6,0)</f>
        <v>0.35976152317886351</v>
      </c>
    </row>
    <row r="15" spans="1:18">
      <c r="A15" s="16">
        <v>3050</v>
      </c>
      <c r="C15" s="14">
        <f>VLOOKUP(3050,季財報!A:P,12,0)</f>
        <v>0</v>
      </c>
      <c r="D15" s="14">
        <f>VLOOKUP(3050,季財報!A:P,13,0)</f>
        <v>1</v>
      </c>
      <c r="E15" s="14">
        <f>VLOOKUP(3050,季財報!A:P,14,0)</f>
        <v>1</v>
      </c>
      <c r="F15" s="14">
        <f>VLOOKUP(3050,季財報!A:P,15,0)</f>
        <v>0</v>
      </c>
      <c r="G15" s="14">
        <f>VLOOKUP(3050,季財報!A:P,16,0)</f>
        <v>0</v>
      </c>
      <c r="H15" s="16">
        <v>1</v>
      </c>
      <c r="I15" s="16">
        <v>0</v>
      </c>
      <c r="J15" s="16">
        <v>0</v>
      </c>
      <c r="K15" s="16">
        <v>1</v>
      </c>
      <c r="L15" s="16">
        <f t="shared" si="0"/>
        <v>4</v>
      </c>
      <c r="M15" s="15">
        <f>VLOOKUP(3050,季財報!A:D,3,0)</f>
        <v>13.1</v>
      </c>
      <c r="N15" s="15">
        <f>ROUND(VLOOKUP(3050,季財報!A:D,4,0),2)</f>
        <v>21.18</v>
      </c>
      <c r="O15" s="187">
        <f>VLOOKUP(3050,季財報!A:G,7,0)</f>
        <v>710</v>
      </c>
      <c r="P15" s="15">
        <f>VLOOKUP(3050,季財報!A:G,6,0)</f>
        <v>2.1771187875940363</v>
      </c>
    </row>
    <row r="16" spans="1:18">
      <c r="A16" s="16">
        <v>1605</v>
      </c>
      <c r="C16" s="14">
        <f>VLOOKUP(1605,季財報!A:P,12,0)</f>
        <v>0</v>
      </c>
      <c r="D16" s="14">
        <f>VLOOKUP(1605,季財報!A:P,13,0)</f>
        <v>1</v>
      </c>
      <c r="E16" s="14">
        <f>VLOOKUP(1605,季財報!A:P,14,0)</f>
        <v>1</v>
      </c>
      <c r="F16" s="14">
        <f>VLOOKUP(1605,季財報!A:P,15,0)</f>
        <v>1</v>
      </c>
      <c r="G16" s="14">
        <f>VLOOKUP(1605,季財報!A:P,16,0)</f>
        <v>0</v>
      </c>
      <c r="H16" s="16">
        <v>1</v>
      </c>
      <c r="I16" s="16">
        <v>0</v>
      </c>
      <c r="J16" s="16">
        <v>0</v>
      </c>
      <c r="K16" s="16">
        <v>0</v>
      </c>
      <c r="L16" s="16">
        <f t="shared" si="0"/>
        <v>4</v>
      </c>
      <c r="M16" s="15">
        <f>VLOOKUP(1605,季財報!A:D,3,0)</f>
        <v>10.35</v>
      </c>
      <c r="N16" s="15">
        <f>ROUND(VLOOKUP(1605,季財報!A:D,4,0),2)</f>
        <v>8.6199999999999992</v>
      </c>
      <c r="O16" s="187">
        <f>VLOOKUP(1605,季財報!A:G,7,0)</f>
        <v>551</v>
      </c>
      <c r="P16" s="15">
        <f>VLOOKUP(1605,季財報!A:G,6,0)</f>
        <v>0.26648001823937634</v>
      </c>
    </row>
    <row r="17" spans="1:16">
      <c r="A17" s="16">
        <v>1507</v>
      </c>
      <c r="C17" s="14">
        <f>VLOOKUP(1507,季財報!A:P,12,0)</f>
        <v>0</v>
      </c>
      <c r="D17" s="14">
        <f>VLOOKUP(1507,季財報!A:P,13,0)</f>
        <v>0</v>
      </c>
      <c r="E17" s="14">
        <f>VLOOKUP(1507,季財報!A:P,14,0)</f>
        <v>1</v>
      </c>
      <c r="F17" s="14">
        <f>VLOOKUP(1507,季財報!A:P,15,0)</f>
        <v>1</v>
      </c>
      <c r="G17" s="14">
        <f>VLOOKUP(1507,季財報!A:P,16,0)</f>
        <v>0</v>
      </c>
      <c r="H17" s="16">
        <v>1</v>
      </c>
      <c r="I17" s="16">
        <v>0</v>
      </c>
      <c r="J17" s="16">
        <v>1</v>
      </c>
      <c r="K17" s="16">
        <v>0</v>
      </c>
      <c r="L17" s="16">
        <f t="shared" si="0"/>
        <v>4</v>
      </c>
      <c r="M17" s="15">
        <f>VLOOKUP(1507,季財報!A:D,3,0)</f>
        <v>46.25</v>
      </c>
      <c r="N17" s="15">
        <f>ROUND(VLOOKUP(1507,季財報!A:D,4,0),2)</f>
        <v>12.96</v>
      </c>
      <c r="O17" s="187">
        <f>VLOOKUP(1507,季財報!A:G,7,0)</f>
        <v>154</v>
      </c>
      <c r="P17" s="15">
        <f>VLOOKUP(1507,季財報!A:G,6,0)</f>
        <v>0.88737947376545334</v>
      </c>
    </row>
    <row r="18" spans="1:16">
      <c r="A18" s="16">
        <v>3360</v>
      </c>
      <c r="C18" s="14">
        <f>VLOOKUP(3360,季財報!A:P,12,0)</f>
        <v>0</v>
      </c>
      <c r="D18" s="14">
        <f>VLOOKUP(3360,季財報!A:P,13,0)</f>
        <v>0</v>
      </c>
      <c r="E18" s="14">
        <f>VLOOKUP(3360,季財報!A:P,14,0)</f>
        <v>0</v>
      </c>
      <c r="F18" s="14">
        <f>VLOOKUP(3360,季財報!A:P,15,0)</f>
        <v>1</v>
      </c>
      <c r="G18" s="14">
        <f>VLOOKUP(3360,季財報!A:P,16,0)</f>
        <v>0</v>
      </c>
      <c r="H18" s="16">
        <v>1</v>
      </c>
      <c r="I18" s="16">
        <v>0</v>
      </c>
      <c r="J18" s="16">
        <v>0</v>
      </c>
      <c r="K18" s="16">
        <v>1</v>
      </c>
      <c r="L18" s="16">
        <f t="shared" si="0"/>
        <v>3</v>
      </c>
      <c r="M18" s="15">
        <f>VLOOKUP(3360,季財報!A:D,3,0)</f>
        <v>17.8</v>
      </c>
      <c r="N18" s="15">
        <f>ROUND(VLOOKUP(3360,季財報!A:D,4,0),2)</f>
        <v>17.53</v>
      </c>
      <c r="O18" s="187">
        <f>VLOOKUP(3360,季財報!A:G,7,0)</f>
        <v>551</v>
      </c>
      <c r="P18" s="15">
        <f>VLOOKUP(3360,季財報!A:G,6,0)</f>
        <v>0.12018898620290537</v>
      </c>
    </row>
    <row r="19" spans="1:16">
      <c r="A19" s="16">
        <v>6281</v>
      </c>
      <c r="C19" s="14">
        <f>VLOOKUP(6281,季財報!A:P,12,0)</f>
        <v>0</v>
      </c>
      <c r="D19" s="14">
        <f>VLOOKUP(6281,季財報!A:P,13,0)</f>
        <v>1</v>
      </c>
      <c r="E19" s="14">
        <f>VLOOKUP(6281,季財報!A:P,14,0)</f>
        <v>1</v>
      </c>
      <c r="F19" s="14">
        <f>VLOOKUP(6281,季財報!A:P,15,0)</f>
        <v>0</v>
      </c>
      <c r="G19" s="14">
        <f>VLOOKUP(6281,季財報!A:P,16,0)</f>
        <v>0</v>
      </c>
      <c r="H19" s="16">
        <v>1</v>
      </c>
      <c r="I19" s="16">
        <v>0</v>
      </c>
      <c r="J19" s="16">
        <v>0</v>
      </c>
      <c r="K19" s="16">
        <v>0</v>
      </c>
      <c r="L19" s="16">
        <f t="shared" si="0"/>
        <v>3</v>
      </c>
      <c r="M19" s="15">
        <f>VLOOKUP(6281,季財報!A:D,3,0)</f>
        <v>60.5</v>
      </c>
      <c r="N19" s="15">
        <f>ROUND(VLOOKUP(6281,季財報!A:D,4,0),2)</f>
        <v>11.04</v>
      </c>
      <c r="O19" s="187">
        <f>VLOOKUP(6281,季財報!A:G,7,0)</f>
        <v>76</v>
      </c>
      <c r="P19" s="15">
        <f>VLOOKUP(6281,季財報!A:G,6,0)</f>
        <v>0.35008912934637176</v>
      </c>
    </row>
    <row r="20" spans="1:16">
      <c r="A20" s="16">
        <v>3413</v>
      </c>
      <c r="C20" s="14">
        <f>VLOOKUP(3413,季財報!A:P,12,0)</f>
        <v>0</v>
      </c>
      <c r="D20" s="14">
        <f>VLOOKUP(3413,季財報!A:P,13,0)</f>
        <v>1</v>
      </c>
      <c r="E20" s="14">
        <f>VLOOKUP(3413,季財報!A:P,14,0)</f>
        <v>0</v>
      </c>
      <c r="F20" s="14">
        <f>VLOOKUP(3413,季財報!A:P,15,0)</f>
        <v>0</v>
      </c>
      <c r="G20" s="14">
        <f>VLOOKUP(3413,季財報!A:P,16,0)</f>
        <v>1</v>
      </c>
      <c r="H20" s="16">
        <v>1</v>
      </c>
      <c r="I20" s="16">
        <v>0</v>
      </c>
      <c r="J20" s="16">
        <v>0</v>
      </c>
      <c r="K20" s="16">
        <v>0</v>
      </c>
      <c r="L20" s="16">
        <f t="shared" si="0"/>
        <v>3</v>
      </c>
      <c r="M20" s="15">
        <f>VLOOKUP(3413,季財報!A:D,3,0)</f>
        <v>81.400000000000006</v>
      </c>
      <c r="N20" s="15">
        <f>ROUND(VLOOKUP(3413,季財報!A:D,4,0),2)</f>
        <v>12</v>
      </c>
      <c r="O20" s="187">
        <f>VLOOKUP(3413,季財報!A:G,7,0)</f>
        <v>57</v>
      </c>
      <c r="P20" s="15">
        <f>VLOOKUP(3413,季財報!A:G,6,0)</f>
        <v>0.78020221377726717</v>
      </c>
    </row>
    <row r="21" spans="1:16">
      <c r="A21" s="16">
        <v>3444</v>
      </c>
      <c r="C21" s="14">
        <f>VLOOKUP(3444,季財報!A:P,12,0)</f>
        <v>0</v>
      </c>
      <c r="D21" s="14">
        <f>VLOOKUP(3444,季財報!A:P,13,0)</f>
        <v>1</v>
      </c>
      <c r="E21" s="14">
        <f>VLOOKUP(3444,季財報!A:P,14,0)</f>
        <v>0</v>
      </c>
      <c r="F21" s="14">
        <f>VLOOKUP(3444,季財報!A:P,15,0)</f>
        <v>0</v>
      </c>
      <c r="G21" s="14">
        <f>VLOOKUP(3444,季財報!A:P,16,0)</f>
        <v>0</v>
      </c>
      <c r="H21" s="16">
        <v>1</v>
      </c>
      <c r="I21" s="16">
        <v>0</v>
      </c>
      <c r="J21" s="16">
        <v>0</v>
      </c>
      <c r="K21" s="16">
        <v>0</v>
      </c>
      <c r="L21" s="16">
        <f t="shared" si="0"/>
        <v>2</v>
      </c>
      <c r="M21" s="15">
        <f>VLOOKUP(3444,季財報!A:D,3,0)</f>
        <v>17.3</v>
      </c>
      <c r="N21" s="15">
        <f>ROUND(VLOOKUP(3444,季財報!A:D,4,0),2)</f>
        <v>15.02</v>
      </c>
      <c r="O21" s="187">
        <f>VLOOKUP(3444,季財報!A:G,7,0)</f>
        <v>618</v>
      </c>
      <c r="P21" s="15">
        <f>VLOOKUP(3444,季財報!A:G,6,0)</f>
        <v>0.73619745411486082</v>
      </c>
    </row>
    <row r="22" spans="1:16">
      <c r="A22" s="16">
        <v>8081</v>
      </c>
      <c r="C22" s="14">
        <f>VLOOKUP(8081,季財報!A:P,12,0)</f>
        <v>0</v>
      </c>
      <c r="D22" s="14">
        <f>VLOOKUP(8081,季財報!A:P,13,0)</f>
        <v>1</v>
      </c>
      <c r="E22" s="14">
        <f>VLOOKUP(8081,季財報!A:P,14,0)</f>
        <v>0</v>
      </c>
      <c r="F22" s="14">
        <f>VLOOKUP(8081,季財報!A:P,15,0)</f>
        <v>0</v>
      </c>
      <c r="G22" s="14">
        <f>VLOOKUP(8081,季財報!A:P,16,0)</f>
        <v>0</v>
      </c>
      <c r="H22" s="16">
        <v>1</v>
      </c>
      <c r="I22" s="16">
        <v>0</v>
      </c>
      <c r="J22" s="16">
        <v>0</v>
      </c>
      <c r="K22" s="16">
        <v>0</v>
      </c>
      <c r="L22" s="16">
        <f t="shared" si="0"/>
        <v>2</v>
      </c>
      <c r="M22" s="15">
        <f>VLOOKUP(8081,季財報!A:D,3,0)</f>
        <v>70.400000000000006</v>
      </c>
      <c r="N22" s="15">
        <f>ROUND(VLOOKUP(8081,季財報!A:D,4,0),2)</f>
        <v>18.329999999999998</v>
      </c>
      <c r="O22" s="187">
        <f>VLOOKUP(8081,季財報!A:G,7,0)</f>
        <v>946</v>
      </c>
      <c r="P22" s="15">
        <f>VLOOKUP(8081,季財報!A:G,6,0)</f>
        <v>1.7415335819921078</v>
      </c>
    </row>
  </sheetData>
  <sortState ref="A4:Y25">
    <sortCondition descending="1" ref="L3"/>
  </sortState>
  <mergeCells count="6">
    <mergeCell ref="M2:P2"/>
    <mergeCell ref="A1:B1"/>
    <mergeCell ref="A2:B2"/>
    <mergeCell ref="C2:G2"/>
    <mergeCell ref="H2:K2"/>
    <mergeCell ref="C1:G1"/>
  </mergeCells>
  <phoneticPr fontId="2" type="noConversion"/>
  <pageMargins left="0.7" right="0.7" top="0.75" bottom="0.75" header="0.3" footer="0.3"/>
  <pageSetup paperSize="9" orientation="portrait" r:id="rId1"/>
  <legacyDrawing r:id="rId2"/>
  <controls>
    <control shapeId="2071" r:id="rId3" name="CommandButton16"/>
    <control shapeId="2068" r:id="rId4" name="CommandButton13"/>
    <control shapeId="2062" r:id="rId5" name="CommandButton9"/>
    <control shapeId="2059" r:id="rId6" name="CommandButton7"/>
    <control shapeId="2053" r:id="rId7" name="CommandButton6"/>
    <control shapeId="2052" r:id="rId8" name="CommandButton5"/>
    <control shapeId="2051" r:id="rId9" name="CommandButton4"/>
    <control shapeId="2050" r:id="rId10" name="CommandButton3"/>
    <control shapeId="2063" r:id="rId11" name="CommandButton8"/>
    <control shapeId="2064" r:id="rId12" name="CommandButton10"/>
  </controls>
</worksheet>
</file>

<file path=xl/worksheets/sheet6.xml><?xml version="1.0" encoding="utf-8"?>
<worksheet xmlns="http://schemas.openxmlformats.org/spreadsheetml/2006/main" xmlns:r="http://schemas.openxmlformats.org/officeDocument/2006/relationships">
  <sheetPr codeName="工作表3"/>
  <dimension ref="A1:AF4988"/>
  <sheetViews>
    <sheetView zoomScale="70" zoomScaleNormal="70" workbookViewId="0">
      <pane xSplit="14" ySplit="1" topLeftCell="O2" activePane="bottomRight" state="frozen"/>
      <selection activeCell="G32" sqref="G32"/>
      <selection pane="topRight" activeCell="G32" sqref="G32"/>
      <selection pane="bottomLeft" activeCell="G32" sqref="G32"/>
      <selection pane="bottomRight" activeCell="O26" sqref="O26"/>
    </sheetView>
  </sheetViews>
  <sheetFormatPr defaultColWidth="8.875" defaultRowHeight="16.5"/>
  <cols>
    <col min="1" max="1" width="14.5" style="103" customWidth="1"/>
    <col min="2" max="2" width="13.25" style="103" customWidth="1"/>
    <col min="3" max="6" width="12.625" style="103" customWidth="1"/>
    <col min="7" max="7" width="12.625" style="415" customWidth="1"/>
    <col min="8" max="8" width="16" style="415" customWidth="1"/>
    <col min="9" max="9" width="20.75" style="200" customWidth="1"/>
    <col min="10" max="10" width="28.25" style="415" customWidth="1"/>
    <col min="11" max="11" width="6.375" style="415" customWidth="1"/>
    <col min="12" max="12" width="10.75" style="415" customWidth="1"/>
    <col min="13" max="13" width="13.125" style="415" customWidth="1"/>
    <col min="14" max="14" width="8.875" style="415"/>
    <col min="15" max="28" width="8.875" style="103"/>
    <col min="29" max="29" width="8.875" style="200"/>
    <col min="30" max="31" width="8.875" style="103"/>
    <col min="32" max="32" width="8.875" style="415"/>
    <col min="33" max="16384" width="8.875" style="103"/>
  </cols>
  <sheetData>
    <row r="1" spans="1:14" ht="42" customHeight="1">
      <c r="A1" s="103">
        <v>105</v>
      </c>
      <c r="B1" s="103">
        <v>9</v>
      </c>
      <c r="C1" s="103" t="s">
        <v>3282</v>
      </c>
      <c r="D1" s="103" t="s">
        <v>3283</v>
      </c>
      <c r="E1" s="103" t="s">
        <v>3284</v>
      </c>
      <c r="F1" s="103" t="s">
        <v>3285</v>
      </c>
      <c r="G1" s="415" t="s">
        <v>3286</v>
      </c>
      <c r="H1" s="415" t="s">
        <v>3287</v>
      </c>
      <c r="I1" s="200" t="s">
        <v>3288</v>
      </c>
      <c r="J1" s="415" t="s">
        <v>3289</v>
      </c>
      <c r="N1" s="415" t="s">
        <v>3246</v>
      </c>
    </row>
    <row r="2" spans="1:14" customFormat="1">
      <c r="A2" t="s">
        <v>3290</v>
      </c>
      <c r="B2" t="s">
        <v>3291</v>
      </c>
      <c r="C2" t="s">
        <v>3292</v>
      </c>
      <c r="D2" t="s">
        <v>3293</v>
      </c>
      <c r="E2" t="s">
        <v>3294</v>
      </c>
    </row>
    <row r="3" spans="1:14" customFormat="1">
      <c r="C3" t="s">
        <v>3295</v>
      </c>
    </row>
    <row r="4" spans="1:14" customFormat="1"/>
    <row r="5" spans="1:14" customFormat="1">
      <c r="A5" t="s">
        <v>3296</v>
      </c>
      <c r="B5" t="s">
        <v>3297</v>
      </c>
      <c r="C5" t="s">
        <v>3298</v>
      </c>
      <c r="D5" t="s">
        <v>3299</v>
      </c>
      <c r="E5">
        <v>5</v>
      </c>
      <c r="F5">
        <v>9</v>
      </c>
      <c r="G5" t="s">
        <v>3300</v>
      </c>
      <c r="H5" t="s">
        <v>3301</v>
      </c>
      <c r="I5">
        <v>105</v>
      </c>
      <c r="J5" t="s">
        <v>3302</v>
      </c>
      <c r="K5" t="s">
        <v>3303</v>
      </c>
    </row>
    <row r="6" spans="1:14" customFormat="1"/>
    <row r="7" spans="1:14" customFormat="1">
      <c r="C7" t="s">
        <v>3304</v>
      </c>
      <c r="H7" t="s">
        <v>3306</v>
      </c>
      <c r="M7" t="s">
        <v>3307</v>
      </c>
    </row>
    <row r="8" spans="1:14" customFormat="1">
      <c r="C8" t="s">
        <v>3305</v>
      </c>
      <c r="M8" t="s">
        <v>3308</v>
      </c>
    </row>
    <row r="9" spans="1:14" customFormat="1">
      <c r="A9" t="s">
        <v>3309</v>
      </c>
      <c r="B9" t="s">
        <v>3310</v>
      </c>
      <c r="C9" t="s">
        <v>3311</v>
      </c>
      <c r="D9" t="s">
        <v>3312</v>
      </c>
      <c r="E9" t="s">
        <v>3313</v>
      </c>
      <c r="F9" t="s">
        <v>3314</v>
      </c>
      <c r="G9" t="s">
        <v>3315</v>
      </c>
      <c r="H9" t="s">
        <v>3311</v>
      </c>
      <c r="I9" t="s">
        <v>3312</v>
      </c>
      <c r="J9" t="s">
        <v>3313</v>
      </c>
      <c r="K9" t="s">
        <v>3314</v>
      </c>
      <c r="L9" t="s">
        <v>3315</v>
      </c>
    </row>
    <row r="10" spans="1:14" customFormat="1">
      <c r="A10" t="s">
        <v>3316</v>
      </c>
      <c r="B10" s="33">
        <v>353336038</v>
      </c>
      <c r="C10" s="33">
        <v>14133441</v>
      </c>
      <c r="D10" s="33">
        <v>9548355</v>
      </c>
      <c r="E10">
        <v>0</v>
      </c>
      <c r="F10">
        <v>0</v>
      </c>
      <c r="G10" s="33">
        <v>4585086</v>
      </c>
      <c r="H10">
        <v>0</v>
      </c>
      <c r="I10">
        <v>0</v>
      </c>
      <c r="J10">
        <v>0</v>
      </c>
      <c r="K10">
        <v>0</v>
      </c>
      <c r="M10" t="s">
        <v>3317</v>
      </c>
    </row>
    <row r="11" spans="1:14" customFormat="1">
      <c r="A11" t="s">
        <v>3318</v>
      </c>
      <c r="B11" s="33">
        <v>159974915</v>
      </c>
      <c r="C11" s="33">
        <v>9598494</v>
      </c>
      <c r="D11" s="33">
        <v>107357951</v>
      </c>
      <c r="E11">
        <v>0</v>
      </c>
      <c r="F11">
        <v>0</v>
      </c>
      <c r="H11" s="33">
        <v>959849</v>
      </c>
      <c r="I11" s="33">
        <v>59131</v>
      </c>
      <c r="J11">
        <v>0</v>
      </c>
      <c r="K11">
        <v>0</v>
      </c>
      <c r="L11" s="33">
        <v>900718</v>
      </c>
      <c r="M11" t="s">
        <v>3317</v>
      </c>
    </row>
    <row r="12" spans="1:14" customFormat="1">
      <c r="A12" t="s">
        <v>3319</v>
      </c>
      <c r="B12" s="33">
        <v>52516749</v>
      </c>
      <c r="C12" s="33">
        <v>4201339</v>
      </c>
      <c r="D12" s="33">
        <v>16599283</v>
      </c>
      <c r="E12">
        <v>0</v>
      </c>
      <c r="F12">
        <v>0</v>
      </c>
      <c r="H12" s="33">
        <v>420133</v>
      </c>
      <c r="I12" s="33">
        <v>2520</v>
      </c>
      <c r="J12">
        <v>0</v>
      </c>
      <c r="K12">
        <v>0</v>
      </c>
      <c r="L12" s="33">
        <v>417613</v>
      </c>
      <c r="M12" t="s">
        <v>3317</v>
      </c>
    </row>
    <row r="13" spans="1:14" customFormat="1">
      <c r="A13" t="s">
        <v>3320</v>
      </c>
      <c r="B13" s="33">
        <v>180000000</v>
      </c>
      <c r="C13" s="33">
        <v>13500000</v>
      </c>
      <c r="D13" s="33">
        <v>22347691</v>
      </c>
      <c r="E13">
        <v>0</v>
      </c>
      <c r="F13">
        <v>0</v>
      </c>
      <c r="H13" s="33">
        <v>1350000</v>
      </c>
      <c r="I13" s="33">
        <v>1159000</v>
      </c>
      <c r="J13">
        <v>0</v>
      </c>
      <c r="K13">
        <v>0</v>
      </c>
      <c r="L13" s="33">
        <v>191000</v>
      </c>
      <c r="M13" t="s">
        <v>3317</v>
      </c>
    </row>
    <row r="14" spans="1:14" customFormat="1">
      <c r="A14" t="s">
        <v>3321</v>
      </c>
      <c r="B14" s="33">
        <v>200000000</v>
      </c>
      <c r="C14" s="33">
        <v>12000000</v>
      </c>
      <c r="D14" s="33">
        <v>80752272</v>
      </c>
      <c r="E14">
        <v>0</v>
      </c>
      <c r="F14">
        <v>0</v>
      </c>
      <c r="H14" s="33">
        <v>1200000</v>
      </c>
      <c r="I14" s="33">
        <v>777790</v>
      </c>
      <c r="J14">
        <v>0</v>
      </c>
      <c r="K14">
        <v>0</v>
      </c>
      <c r="L14" s="33">
        <v>422210</v>
      </c>
      <c r="M14" t="s">
        <v>3317</v>
      </c>
    </row>
    <row r="15" spans="1:14" customFormat="1">
      <c r="A15" t="s">
        <v>3322</v>
      </c>
      <c r="B15" s="33">
        <v>542858000</v>
      </c>
      <c r="C15" s="33">
        <v>21714320</v>
      </c>
      <c r="D15" s="33">
        <v>20127549</v>
      </c>
      <c r="E15">
        <v>0</v>
      </c>
      <c r="F15">
        <v>0</v>
      </c>
      <c r="G15" s="33">
        <v>1586771</v>
      </c>
      <c r="H15" s="33">
        <v>2171432</v>
      </c>
      <c r="I15" s="33">
        <v>9537368</v>
      </c>
      <c r="J15">
        <v>0</v>
      </c>
      <c r="K15">
        <v>0</v>
      </c>
      <c r="M15" t="s">
        <v>3317</v>
      </c>
    </row>
    <row r="16" spans="1:14" customFormat="1">
      <c r="A16" t="s">
        <v>3323</v>
      </c>
      <c r="B16" s="33">
        <v>332349134</v>
      </c>
      <c r="C16" s="33">
        <v>13293965</v>
      </c>
      <c r="D16" s="33">
        <v>27707365</v>
      </c>
      <c r="E16">
        <v>0</v>
      </c>
      <c r="F16">
        <v>0</v>
      </c>
      <c r="H16" s="33">
        <v>1329396</v>
      </c>
      <c r="I16" s="33">
        <v>219440</v>
      </c>
      <c r="J16">
        <v>0</v>
      </c>
      <c r="K16">
        <v>0</v>
      </c>
      <c r="L16" s="33">
        <v>1109956</v>
      </c>
      <c r="M16" t="s">
        <v>3317</v>
      </c>
    </row>
    <row r="17" spans="1:13" customFormat="1">
      <c r="A17" t="s">
        <v>3324</v>
      </c>
      <c r="B17" s="33">
        <v>806015782</v>
      </c>
      <c r="C17" s="33">
        <v>25792505</v>
      </c>
      <c r="D17" s="33">
        <v>7114147</v>
      </c>
      <c r="E17">
        <v>0</v>
      </c>
      <c r="F17">
        <v>0</v>
      </c>
      <c r="G17" s="33">
        <v>18678358</v>
      </c>
      <c r="H17" s="33">
        <v>2579250</v>
      </c>
      <c r="I17" s="33">
        <v>11477420</v>
      </c>
      <c r="J17">
        <v>0</v>
      </c>
      <c r="K17">
        <v>0</v>
      </c>
      <c r="M17" t="s">
        <v>3317</v>
      </c>
    </row>
    <row r="18" spans="1:13" customFormat="1">
      <c r="A18" t="s">
        <v>3325</v>
      </c>
      <c r="B18" s="33">
        <v>238233373</v>
      </c>
      <c r="C18" s="33">
        <v>12000000</v>
      </c>
      <c r="D18" s="33">
        <v>13633410</v>
      </c>
      <c r="E18">
        <v>0</v>
      </c>
      <c r="F18">
        <v>0</v>
      </c>
      <c r="H18" s="33">
        <v>1200000</v>
      </c>
      <c r="I18" s="33">
        <v>242997</v>
      </c>
      <c r="J18">
        <v>0</v>
      </c>
      <c r="K18">
        <v>0</v>
      </c>
      <c r="L18" s="33">
        <v>957003</v>
      </c>
      <c r="M18" t="s">
        <v>3317</v>
      </c>
    </row>
    <row r="19" spans="1:13" customFormat="1">
      <c r="A19" t="s">
        <v>3326</v>
      </c>
      <c r="B19" s="33">
        <v>187314463</v>
      </c>
      <c r="C19" s="33">
        <v>11238867</v>
      </c>
      <c r="D19" s="33">
        <v>98504890</v>
      </c>
      <c r="E19">
        <v>0</v>
      </c>
      <c r="F19">
        <v>0</v>
      </c>
      <c r="H19" s="33">
        <v>1123886</v>
      </c>
      <c r="I19" s="33">
        <v>46763</v>
      </c>
      <c r="J19">
        <v>0</v>
      </c>
      <c r="K19">
        <v>0</v>
      </c>
      <c r="L19" s="33">
        <v>1077123</v>
      </c>
      <c r="M19" t="s">
        <v>3317</v>
      </c>
    </row>
    <row r="20" spans="1:13" customFormat="1">
      <c r="A20" t="s">
        <v>3327</v>
      </c>
      <c r="B20" s="33">
        <v>107174602</v>
      </c>
      <c r="C20" s="33">
        <v>10000000</v>
      </c>
      <c r="D20" s="33">
        <v>9652174</v>
      </c>
      <c r="E20">
        <v>0</v>
      </c>
      <c r="F20">
        <v>0</v>
      </c>
      <c r="G20" s="33">
        <v>347826</v>
      </c>
      <c r="H20" s="33">
        <v>1000000</v>
      </c>
      <c r="I20" s="33">
        <v>1000350</v>
      </c>
      <c r="J20">
        <v>0</v>
      </c>
      <c r="K20">
        <v>0</v>
      </c>
      <c r="M20" t="s">
        <v>3317</v>
      </c>
    </row>
    <row r="21" spans="1:13" customFormat="1">
      <c r="A21" t="s">
        <v>3328</v>
      </c>
      <c r="B21" s="33">
        <v>369794363</v>
      </c>
      <c r="C21" s="33">
        <v>18489718</v>
      </c>
      <c r="D21" s="33">
        <v>53438270</v>
      </c>
      <c r="E21">
        <v>0</v>
      </c>
      <c r="F21">
        <v>0</v>
      </c>
      <c r="H21" s="33">
        <v>1848971</v>
      </c>
      <c r="I21">
        <v>0</v>
      </c>
      <c r="J21">
        <v>0</v>
      </c>
      <c r="K21">
        <v>0</v>
      </c>
      <c r="L21" s="33">
        <v>1848971</v>
      </c>
      <c r="M21" t="s">
        <v>3317</v>
      </c>
    </row>
    <row r="22" spans="1:13" customFormat="1">
      <c r="A22" t="s">
        <v>3329</v>
      </c>
      <c r="B22" s="33">
        <v>74408000</v>
      </c>
      <c r="C22" s="33">
        <v>5952640</v>
      </c>
      <c r="D22" s="33">
        <v>22595518</v>
      </c>
      <c r="E22">
        <v>0</v>
      </c>
      <c r="F22">
        <v>0</v>
      </c>
      <c r="H22" s="33">
        <v>595264</v>
      </c>
      <c r="I22">
        <v>0</v>
      </c>
      <c r="J22">
        <v>0</v>
      </c>
      <c r="K22">
        <v>0</v>
      </c>
      <c r="L22" s="33">
        <v>595264</v>
      </c>
      <c r="M22" t="s">
        <v>3317</v>
      </c>
    </row>
    <row r="23" spans="1:13" customFormat="1">
      <c r="A23" t="s">
        <v>3330</v>
      </c>
      <c r="B23" s="33">
        <v>15760000</v>
      </c>
      <c r="C23" s="33">
        <v>1891200</v>
      </c>
      <c r="D23" s="33">
        <v>1127935</v>
      </c>
      <c r="E23">
        <v>0</v>
      </c>
      <c r="F23">
        <v>0</v>
      </c>
      <c r="G23" s="33">
        <v>763265</v>
      </c>
      <c r="H23">
        <v>0</v>
      </c>
      <c r="I23">
        <v>0</v>
      </c>
      <c r="J23">
        <v>0</v>
      </c>
      <c r="K23">
        <v>0</v>
      </c>
      <c r="M23" t="s">
        <v>3317</v>
      </c>
    </row>
    <row r="24" spans="1:13" customFormat="1">
      <c r="A24" t="s">
        <v>3331</v>
      </c>
      <c r="B24" s="33">
        <v>256473497</v>
      </c>
      <c r="C24" s="33">
        <v>12000000</v>
      </c>
      <c r="D24" s="33">
        <v>48730256</v>
      </c>
      <c r="E24">
        <v>0</v>
      </c>
      <c r="F24">
        <v>0</v>
      </c>
      <c r="H24" s="33">
        <v>1200000</v>
      </c>
      <c r="I24" s="33">
        <v>1000</v>
      </c>
      <c r="J24">
        <v>0</v>
      </c>
      <c r="K24">
        <v>0</v>
      </c>
      <c r="L24" s="33">
        <v>1199000</v>
      </c>
      <c r="M24" t="s">
        <v>3317</v>
      </c>
    </row>
    <row r="25" spans="1:13" customFormat="1">
      <c r="A25" t="s">
        <v>3332</v>
      </c>
      <c r="B25" s="33">
        <v>417294487</v>
      </c>
      <c r="C25" s="33">
        <v>16000000</v>
      </c>
      <c r="D25" s="33">
        <v>151640379</v>
      </c>
      <c r="E25">
        <v>0</v>
      </c>
      <c r="F25">
        <v>0</v>
      </c>
      <c r="H25" s="33">
        <v>1600000</v>
      </c>
      <c r="I25" s="33">
        <v>1000</v>
      </c>
      <c r="J25">
        <v>0</v>
      </c>
      <c r="K25">
        <v>0</v>
      </c>
      <c r="L25" s="33">
        <v>1599000</v>
      </c>
      <c r="M25" t="s">
        <v>3317</v>
      </c>
    </row>
    <row r="26" spans="1:13" customFormat="1">
      <c r="A26" t="s">
        <v>3333</v>
      </c>
      <c r="B26" s="33">
        <v>106464724</v>
      </c>
      <c r="C26" s="33">
        <v>8000000</v>
      </c>
      <c r="D26" s="33">
        <v>7471536</v>
      </c>
      <c r="E26">
        <v>0</v>
      </c>
      <c r="F26">
        <v>0</v>
      </c>
      <c r="G26" s="33">
        <v>528464</v>
      </c>
      <c r="H26">
        <v>0</v>
      </c>
      <c r="I26">
        <v>0</v>
      </c>
      <c r="J26">
        <v>0</v>
      </c>
      <c r="K26">
        <v>0</v>
      </c>
      <c r="M26" t="s">
        <v>3317</v>
      </c>
    </row>
    <row r="27" spans="1:13" customFormat="1">
      <c r="A27" t="s">
        <v>3334</v>
      </c>
      <c r="B27" s="33">
        <v>174201987</v>
      </c>
      <c r="C27" s="33">
        <v>10452119</v>
      </c>
      <c r="D27" s="33">
        <v>4310819</v>
      </c>
      <c r="E27">
        <v>0</v>
      </c>
      <c r="F27">
        <v>0</v>
      </c>
      <c r="G27" s="33">
        <v>6141300</v>
      </c>
      <c r="H27">
        <v>0</v>
      </c>
      <c r="I27">
        <v>0</v>
      </c>
      <c r="J27">
        <v>0</v>
      </c>
      <c r="K27">
        <v>0</v>
      </c>
      <c r="M27" t="s">
        <v>3317</v>
      </c>
    </row>
    <row r="28" spans="1:13" customFormat="1">
      <c r="A28" t="s">
        <v>3335</v>
      </c>
      <c r="B28" s="33">
        <v>120580539</v>
      </c>
      <c r="C28" s="33">
        <v>8000000</v>
      </c>
      <c r="D28" s="33">
        <v>6470105</v>
      </c>
      <c r="E28">
        <v>0</v>
      </c>
      <c r="F28">
        <v>0</v>
      </c>
      <c r="G28" s="33">
        <v>1529895</v>
      </c>
      <c r="H28" s="33">
        <v>800000</v>
      </c>
      <c r="I28" s="33">
        <v>450000</v>
      </c>
      <c r="J28">
        <v>0</v>
      </c>
      <c r="K28">
        <v>0</v>
      </c>
      <c r="L28" s="33">
        <v>350000</v>
      </c>
      <c r="M28" t="s">
        <v>3317</v>
      </c>
    </row>
    <row r="29" spans="1:13" customFormat="1">
      <c r="A29" t="s">
        <v>3336</v>
      </c>
      <c r="B29" s="33">
        <v>90847147</v>
      </c>
      <c r="C29" s="33">
        <v>9084714</v>
      </c>
      <c r="D29" s="33">
        <v>12289744</v>
      </c>
      <c r="E29">
        <v>0</v>
      </c>
      <c r="F29">
        <v>0</v>
      </c>
      <c r="H29" s="33">
        <v>908471</v>
      </c>
      <c r="I29" s="33">
        <v>794838</v>
      </c>
      <c r="J29">
        <v>0</v>
      </c>
      <c r="K29">
        <v>0</v>
      </c>
      <c r="L29" s="33">
        <v>113633</v>
      </c>
      <c r="M29" t="s">
        <v>3317</v>
      </c>
    </row>
    <row r="30" spans="1:13" customFormat="1">
      <c r="A30" t="s">
        <v>3337</v>
      </c>
      <c r="B30" s="33">
        <v>66880000</v>
      </c>
      <c r="C30" s="33">
        <v>5350400</v>
      </c>
      <c r="D30" s="33">
        <v>18645000</v>
      </c>
      <c r="E30">
        <v>0</v>
      </c>
      <c r="F30">
        <v>0</v>
      </c>
      <c r="H30" s="33">
        <v>535040</v>
      </c>
      <c r="I30" s="33">
        <v>300000</v>
      </c>
      <c r="J30">
        <v>0</v>
      </c>
      <c r="K30">
        <v>0</v>
      </c>
      <c r="L30" s="33">
        <v>235040</v>
      </c>
      <c r="M30" t="s">
        <v>3317</v>
      </c>
    </row>
    <row r="31" spans="1:13" customFormat="1">
      <c r="A31" t="s">
        <v>3338</v>
      </c>
      <c r="B31" s="33">
        <v>302736057</v>
      </c>
      <c r="C31" s="33">
        <v>15136802</v>
      </c>
      <c r="D31" s="33">
        <v>14012580</v>
      </c>
      <c r="E31">
        <v>0</v>
      </c>
      <c r="F31">
        <v>0</v>
      </c>
      <c r="G31" s="33">
        <v>1124222</v>
      </c>
      <c r="H31" s="33">
        <v>1513680</v>
      </c>
      <c r="I31" s="33">
        <v>1504035</v>
      </c>
      <c r="J31">
        <v>0</v>
      </c>
      <c r="K31">
        <v>0</v>
      </c>
      <c r="L31" s="33">
        <v>9645</v>
      </c>
      <c r="M31" t="s">
        <v>3317</v>
      </c>
    </row>
    <row r="32" spans="1:13" customFormat="1">
      <c r="A32" t="s">
        <v>3339</v>
      </c>
      <c r="B32" s="33">
        <v>72033590</v>
      </c>
      <c r="C32" s="33">
        <v>5762687</v>
      </c>
      <c r="D32" s="33">
        <v>5235400</v>
      </c>
      <c r="E32">
        <v>0</v>
      </c>
      <c r="F32">
        <v>0</v>
      </c>
      <c r="G32" s="33">
        <v>527287</v>
      </c>
      <c r="H32" s="33">
        <v>576268</v>
      </c>
      <c r="I32">
        <v>0</v>
      </c>
      <c r="J32">
        <v>0</v>
      </c>
      <c r="K32">
        <v>0</v>
      </c>
      <c r="L32" s="33">
        <v>576268</v>
      </c>
      <c r="M32" t="s">
        <v>3317</v>
      </c>
    </row>
    <row r="33" spans="1:13" customFormat="1">
      <c r="A33" t="s">
        <v>3340</v>
      </c>
      <c r="B33" s="33">
        <v>57084780</v>
      </c>
      <c r="C33" s="33">
        <v>4566782</v>
      </c>
      <c r="D33" s="33">
        <v>23248727</v>
      </c>
      <c r="E33">
        <v>0</v>
      </c>
      <c r="F33">
        <v>0</v>
      </c>
      <c r="H33" s="33">
        <v>456678</v>
      </c>
      <c r="I33">
        <v>0</v>
      </c>
      <c r="J33">
        <v>0</v>
      </c>
      <c r="K33">
        <v>0</v>
      </c>
      <c r="L33" s="33">
        <v>456678</v>
      </c>
      <c r="M33" t="s">
        <v>3317</v>
      </c>
    </row>
    <row r="34" spans="1:13" customFormat="1">
      <c r="A34" t="s">
        <v>3341</v>
      </c>
      <c r="B34" s="33">
        <v>115507847</v>
      </c>
      <c r="C34" s="33">
        <v>8000000</v>
      </c>
      <c r="D34" s="33">
        <v>19345660</v>
      </c>
      <c r="E34">
        <v>0</v>
      </c>
      <c r="F34">
        <v>0</v>
      </c>
      <c r="H34" s="33">
        <v>800000</v>
      </c>
      <c r="I34" s="33">
        <v>272092</v>
      </c>
      <c r="J34">
        <v>0</v>
      </c>
      <c r="K34">
        <v>0</v>
      </c>
      <c r="L34" s="33">
        <v>527908</v>
      </c>
      <c r="M34" t="s">
        <v>3317</v>
      </c>
    </row>
    <row r="35" spans="1:13" customFormat="1">
      <c r="A35" t="s">
        <v>3342</v>
      </c>
      <c r="B35" s="33">
        <v>101926533</v>
      </c>
      <c r="C35" s="33">
        <v>8000000</v>
      </c>
      <c r="D35" s="33">
        <v>8468108</v>
      </c>
      <c r="E35">
        <v>0</v>
      </c>
      <c r="F35">
        <v>0</v>
      </c>
      <c r="H35" s="33">
        <v>800000</v>
      </c>
      <c r="I35">
        <v>0</v>
      </c>
      <c r="J35">
        <v>0</v>
      </c>
      <c r="K35">
        <v>0</v>
      </c>
      <c r="L35" s="33">
        <v>800000</v>
      </c>
      <c r="M35" t="s">
        <v>3317</v>
      </c>
    </row>
    <row r="36" spans="1:13" customFormat="1">
      <c r="A36" t="s">
        <v>3343</v>
      </c>
      <c r="B36" s="33">
        <v>95572655</v>
      </c>
      <c r="C36" s="33">
        <v>7645812</v>
      </c>
      <c r="D36" s="33">
        <v>20005000</v>
      </c>
      <c r="E36">
        <v>0</v>
      </c>
      <c r="F36">
        <v>0</v>
      </c>
      <c r="H36" s="33">
        <v>764581</v>
      </c>
      <c r="I36">
        <v>0</v>
      </c>
      <c r="J36">
        <v>0</v>
      </c>
      <c r="K36">
        <v>0</v>
      </c>
      <c r="L36" s="33">
        <v>764581</v>
      </c>
      <c r="M36" t="s">
        <v>3317</v>
      </c>
    </row>
    <row r="37" spans="1:13" customFormat="1">
      <c r="A37" t="s">
        <v>3344</v>
      </c>
      <c r="B37" s="33">
        <v>74976693</v>
      </c>
      <c r="C37" s="33">
        <v>5998135</v>
      </c>
      <c r="D37" s="33">
        <v>5415145</v>
      </c>
      <c r="E37">
        <v>0</v>
      </c>
      <c r="F37">
        <v>0</v>
      </c>
      <c r="G37" s="33">
        <v>582990</v>
      </c>
      <c r="H37" s="33">
        <v>599813</v>
      </c>
      <c r="I37" s="33">
        <v>323950</v>
      </c>
      <c r="J37">
        <v>0</v>
      </c>
      <c r="K37">
        <v>0</v>
      </c>
      <c r="L37" s="33">
        <v>275863</v>
      </c>
      <c r="M37" t="s">
        <v>3317</v>
      </c>
    </row>
    <row r="38" spans="1:13" customFormat="1">
      <c r="A38" t="s">
        <v>3345</v>
      </c>
      <c r="B38" s="33">
        <v>162907031</v>
      </c>
      <c r="C38" s="33">
        <v>9774421</v>
      </c>
      <c r="D38" s="33">
        <v>6141811</v>
      </c>
      <c r="E38">
        <v>0</v>
      </c>
      <c r="F38">
        <v>0</v>
      </c>
      <c r="G38" s="33">
        <v>3632610</v>
      </c>
      <c r="H38" s="33">
        <v>977442</v>
      </c>
      <c r="I38" s="33">
        <v>1400248</v>
      </c>
      <c r="J38">
        <v>0</v>
      </c>
      <c r="K38">
        <v>0</v>
      </c>
      <c r="M38" t="s">
        <v>3317</v>
      </c>
    </row>
    <row r="39" spans="1:13" customFormat="1">
      <c r="A39" t="s">
        <v>3346</v>
      </c>
      <c r="B39" s="33">
        <v>100897807</v>
      </c>
      <c r="C39" s="33">
        <v>8000000</v>
      </c>
      <c r="D39" s="33">
        <v>7768063</v>
      </c>
      <c r="E39">
        <v>0</v>
      </c>
      <c r="F39">
        <v>0</v>
      </c>
      <c r="G39" s="33">
        <v>231937</v>
      </c>
      <c r="H39" s="33">
        <v>800000</v>
      </c>
      <c r="I39" s="33">
        <v>1207041</v>
      </c>
      <c r="J39">
        <v>0</v>
      </c>
      <c r="K39">
        <v>0</v>
      </c>
      <c r="M39" t="s">
        <v>3317</v>
      </c>
    </row>
    <row r="40" spans="1:13" customFormat="1">
      <c r="A40" t="s">
        <v>3347</v>
      </c>
      <c r="B40" s="33">
        <v>89384080</v>
      </c>
      <c r="C40" s="33">
        <v>7150726</v>
      </c>
      <c r="D40" s="33">
        <v>5792136</v>
      </c>
      <c r="E40">
        <v>0</v>
      </c>
      <c r="F40" s="33">
        <v>2000000</v>
      </c>
      <c r="H40" s="33">
        <v>715072</v>
      </c>
      <c r="I40" s="33">
        <v>154326</v>
      </c>
      <c r="J40">
        <v>0</v>
      </c>
      <c r="K40">
        <v>0</v>
      </c>
      <c r="L40" s="33">
        <v>560746</v>
      </c>
      <c r="M40" t="s">
        <v>3317</v>
      </c>
    </row>
    <row r="41" spans="1:13" customFormat="1">
      <c r="A41" t="s">
        <v>3351</v>
      </c>
      <c r="B41" s="33">
        <v>64690524</v>
      </c>
      <c r="C41" s="33">
        <v>5175241</v>
      </c>
      <c r="D41" s="33">
        <v>6614000</v>
      </c>
      <c r="E41">
        <v>0</v>
      </c>
      <c r="F41">
        <v>0</v>
      </c>
      <c r="H41" s="33">
        <v>517524</v>
      </c>
      <c r="I41" s="33">
        <v>268000</v>
      </c>
      <c r="J41">
        <v>0</v>
      </c>
      <c r="K41">
        <v>0</v>
      </c>
      <c r="L41" s="33">
        <v>249524</v>
      </c>
      <c r="M41" t="s">
        <v>3317</v>
      </c>
    </row>
    <row r="42" spans="1:13" customFormat="1">
      <c r="A42" t="s">
        <v>3352</v>
      </c>
      <c r="B42" s="33">
        <v>350000000</v>
      </c>
      <c r="C42" s="33">
        <v>14000000</v>
      </c>
      <c r="D42" s="33">
        <v>128317655</v>
      </c>
      <c r="E42">
        <v>0</v>
      </c>
      <c r="F42">
        <v>0</v>
      </c>
      <c r="H42" s="33">
        <v>1400000</v>
      </c>
      <c r="I42">
        <v>0</v>
      </c>
      <c r="J42">
        <v>0</v>
      </c>
      <c r="K42">
        <v>0</v>
      </c>
      <c r="L42" s="33">
        <v>1400000</v>
      </c>
      <c r="M42" t="s">
        <v>3317</v>
      </c>
    </row>
    <row r="43" spans="1:13" customFormat="1">
      <c r="A43" t="s">
        <v>3353</v>
      </c>
      <c r="B43" s="33">
        <v>49214766</v>
      </c>
      <c r="C43" s="33">
        <v>3937181</v>
      </c>
      <c r="D43" s="33">
        <v>3809391</v>
      </c>
      <c r="E43">
        <v>0</v>
      </c>
      <c r="F43">
        <v>0</v>
      </c>
      <c r="G43" s="33">
        <v>127790</v>
      </c>
      <c r="H43" s="33">
        <v>393718</v>
      </c>
      <c r="I43" s="33">
        <v>957856</v>
      </c>
      <c r="J43">
        <v>0</v>
      </c>
      <c r="K43">
        <v>0</v>
      </c>
      <c r="M43" t="s">
        <v>3317</v>
      </c>
    </row>
    <row r="44" spans="1:13" customFormat="1">
      <c r="A44" t="s">
        <v>3354</v>
      </c>
      <c r="B44" s="33">
        <v>71226713</v>
      </c>
      <c r="C44" s="33">
        <v>5698137</v>
      </c>
      <c r="D44" s="33">
        <v>21559556</v>
      </c>
      <c r="E44">
        <v>0</v>
      </c>
      <c r="F44">
        <v>0</v>
      </c>
      <c r="H44" s="33">
        <v>569813</v>
      </c>
      <c r="I44" s="33">
        <v>2000</v>
      </c>
      <c r="J44">
        <v>0</v>
      </c>
      <c r="K44">
        <v>0</v>
      </c>
      <c r="L44" s="33">
        <v>567813</v>
      </c>
      <c r="M44" t="s">
        <v>3317</v>
      </c>
    </row>
    <row r="45" spans="1:13" customFormat="1">
      <c r="A45" t="s">
        <v>3355</v>
      </c>
      <c r="B45" s="33">
        <v>62921327</v>
      </c>
      <c r="C45" s="33">
        <v>5033706</v>
      </c>
      <c r="D45" s="33">
        <v>600710</v>
      </c>
      <c r="E45">
        <v>0</v>
      </c>
      <c r="F45">
        <v>0</v>
      </c>
      <c r="G45" s="33">
        <v>4432996</v>
      </c>
      <c r="H45" s="33">
        <v>503370</v>
      </c>
      <c r="I45" s="33">
        <v>480440</v>
      </c>
      <c r="J45">
        <v>0</v>
      </c>
      <c r="K45">
        <v>0</v>
      </c>
      <c r="L45" s="33">
        <v>22930</v>
      </c>
      <c r="M45" t="s">
        <v>3317</v>
      </c>
    </row>
    <row r="46" spans="1:13" customFormat="1">
      <c r="A46" t="s">
        <v>3356</v>
      </c>
      <c r="B46" s="33">
        <v>73890463</v>
      </c>
      <c r="C46" s="33">
        <v>5911237</v>
      </c>
      <c r="D46" s="33">
        <v>4722000</v>
      </c>
      <c r="E46">
        <v>0</v>
      </c>
      <c r="F46">
        <v>0</v>
      </c>
      <c r="G46" s="33">
        <v>1189237</v>
      </c>
      <c r="H46" s="33">
        <v>591123</v>
      </c>
      <c r="I46" s="33">
        <v>56000</v>
      </c>
      <c r="J46">
        <v>0</v>
      </c>
      <c r="K46">
        <v>0</v>
      </c>
      <c r="L46" s="33">
        <v>535123</v>
      </c>
      <c r="M46" t="s">
        <v>3317</v>
      </c>
    </row>
    <row r="47" spans="1:13" customFormat="1">
      <c r="A47" t="s">
        <v>3357</v>
      </c>
      <c r="B47" s="33">
        <v>63471690</v>
      </c>
      <c r="C47" s="33">
        <v>5077735</v>
      </c>
      <c r="D47" s="33">
        <v>11299819</v>
      </c>
      <c r="E47">
        <v>0</v>
      </c>
      <c r="F47">
        <v>0</v>
      </c>
      <c r="H47" s="33">
        <v>507773</v>
      </c>
      <c r="I47" s="33">
        <v>488734</v>
      </c>
      <c r="J47">
        <v>0</v>
      </c>
      <c r="K47">
        <v>0</v>
      </c>
      <c r="L47" s="33">
        <v>19039</v>
      </c>
      <c r="M47" t="s">
        <v>3317</v>
      </c>
    </row>
    <row r="48" spans="1:13" customFormat="1">
      <c r="A48" t="s">
        <v>3358</v>
      </c>
      <c r="B48" s="33">
        <v>54694761</v>
      </c>
      <c r="C48" s="33">
        <v>4375580</v>
      </c>
      <c r="D48" s="33">
        <v>120000</v>
      </c>
      <c r="E48">
        <v>0</v>
      </c>
      <c r="F48">
        <v>0</v>
      </c>
      <c r="G48" s="33">
        <v>4255580</v>
      </c>
      <c r="H48" s="33">
        <v>437558</v>
      </c>
      <c r="I48">
        <v>0</v>
      </c>
      <c r="J48">
        <v>0</v>
      </c>
      <c r="K48">
        <v>0</v>
      </c>
      <c r="L48" s="33">
        <v>437558</v>
      </c>
      <c r="M48" t="s">
        <v>3317</v>
      </c>
    </row>
    <row r="49" spans="1:13" customFormat="1">
      <c r="A49" t="s">
        <v>3359</v>
      </c>
      <c r="B49" s="33">
        <v>38259225</v>
      </c>
      <c r="C49" s="33">
        <v>3600000</v>
      </c>
      <c r="D49" s="33">
        <v>2400746</v>
      </c>
      <c r="E49">
        <v>0</v>
      </c>
      <c r="F49">
        <v>0</v>
      </c>
      <c r="G49" s="33">
        <v>1199254</v>
      </c>
      <c r="H49" s="33">
        <v>360000</v>
      </c>
      <c r="I49" s="33">
        <v>597000</v>
      </c>
      <c r="J49">
        <v>0</v>
      </c>
      <c r="K49">
        <v>0</v>
      </c>
      <c r="M49" t="s">
        <v>3317</v>
      </c>
    </row>
    <row r="50" spans="1:13" customFormat="1">
      <c r="A50" t="s">
        <v>3360</v>
      </c>
      <c r="B50" s="33">
        <v>107746524</v>
      </c>
      <c r="C50" s="33">
        <v>8000000</v>
      </c>
      <c r="D50" s="33">
        <v>17811044</v>
      </c>
      <c r="E50">
        <v>0</v>
      </c>
      <c r="F50">
        <v>0</v>
      </c>
      <c r="H50" s="33">
        <v>800000</v>
      </c>
      <c r="I50" s="33">
        <v>135698</v>
      </c>
      <c r="J50">
        <v>0</v>
      </c>
      <c r="K50">
        <v>0</v>
      </c>
      <c r="L50" s="33">
        <v>664302</v>
      </c>
      <c r="M50" t="s">
        <v>3317</v>
      </c>
    </row>
    <row r="51" spans="1:13" customFormat="1">
      <c r="A51" t="s">
        <v>3361</v>
      </c>
      <c r="B51" s="33">
        <v>35458704</v>
      </c>
      <c r="C51" s="33">
        <v>3600000</v>
      </c>
      <c r="D51" s="33">
        <v>3527556</v>
      </c>
      <c r="E51">
        <v>0</v>
      </c>
      <c r="F51">
        <v>0</v>
      </c>
      <c r="G51" s="33">
        <v>72444</v>
      </c>
      <c r="H51" s="33">
        <v>360000</v>
      </c>
      <c r="I51" s="33">
        <v>361530</v>
      </c>
      <c r="J51">
        <v>0</v>
      </c>
      <c r="K51">
        <v>0</v>
      </c>
      <c r="M51" t="s">
        <v>3317</v>
      </c>
    </row>
    <row r="52" spans="1:13" customFormat="1">
      <c r="A52" t="s">
        <v>3362</v>
      </c>
      <c r="B52" s="33">
        <v>62341847</v>
      </c>
      <c r="C52" s="33">
        <v>4987347</v>
      </c>
      <c r="D52" s="33">
        <v>3353565</v>
      </c>
      <c r="E52">
        <v>0</v>
      </c>
      <c r="F52" s="33">
        <v>700000</v>
      </c>
      <c r="G52" s="33">
        <v>933782</v>
      </c>
      <c r="H52">
        <v>0</v>
      </c>
      <c r="I52">
        <v>0</v>
      </c>
      <c r="J52">
        <v>0</v>
      </c>
      <c r="K52">
        <v>0</v>
      </c>
      <c r="M52" t="s">
        <v>3317</v>
      </c>
    </row>
    <row r="53" spans="1:13" customFormat="1">
      <c r="A53" t="s">
        <v>3363</v>
      </c>
      <c r="B53" s="33">
        <v>56443865</v>
      </c>
      <c r="C53" s="33">
        <v>4515509</v>
      </c>
      <c r="D53" s="33">
        <v>1928000</v>
      </c>
      <c r="E53">
        <v>0</v>
      </c>
      <c r="F53">
        <v>0</v>
      </c>
      <c r="G53" s="33">
        <v>2587509</v>
      </c>
      <c r="H53" s="33">
        <v>451550</v>
      </c>
      <c r="I53">
        <v>100</v>
      </c>
      <c r="J53">
        <v>0</v>
      </c>
      <c r="K53">
        <v>0</v>
      </c>
      <c r="L53" s="33">
        <v>451450</v>
      </c>
      <c r="M53" t="s">
        <v>3317</v>
      </c>
    </row>
    <row r="54" spans="1:13" customFormat="1">
      <c r="A54" t="s">
        <v>3364</v>
      </c>
      <c r="B54" s="33">
        <v>35581000</v>
      </c>
      <c r="C54" s="33">
        <v>3600000</v>
      </c>
      <c r="D54" s="33">
        <v>1869235</v>
      </c>
      <c r="E54">
        <v>0</v>
      </c>
      <c r="F54">
        <v>0</v>
      </c>
      <c r="G54" s="33">
        <v>1730765</v>
      </c>
      <c r="H54" s="33">
        <v>360000</v>
      </c>
      <c r="I54" s="33">
        <v>379767</v>
      </c>
      <c r="J54">
        <v>0</v>
      </c>
      <c r="K54">
        <v>0</v>
      </c>
      <c r="M54" t="s">
        <v>3317</v>
      </c>
    </row>
    <row r="55" spans="1:13" customFormat="1">
      <c r="A55" t="s">
        <v>3365</v>
      </c>
      <c r="B55" s="33">
        <v>56726657</v>
      </c>
      <c r="C55" s="33">
        <v>4538132</v>
      </c>
      <c r="D55" s="33">
        <v>5080080</v>
      </c>
      <c r="E55">
        <v>0</v>
      </c>
      <c r="F55">
        <v>0</v>
      </c>
      <c r="H55" s="33">
        <v>453813</v>
      </c>
      <c r="I55" s="33">
        <v>198000</v>
      </c>
      <c r="J55">
        <v>0</v>
      </c>
      <c r="K55">
        <v>0</v>
      </c>
      <c r="L55" s="33">
        <v>255813</v>
      </c>
      <c r="M55" t="s">
        <v>3317</v>
      </c>
    </row>
    <row r="56" spans="1:13" customFormat="1">
      <c r="A56" t="s">
        <v>3366</v>
      </c>
      <c r="B56" s="33">
        <v>101644960</v>
      </c>
      <c r="C56" s="33">
        <v>8000000</v>
      </c>
      <c r="D56" s="33">
        <v>18607391</v>
      </c>
      <c r="E56">
        <v>0</v>
      </c>
      <c r="F56">
        <v>0</v>
      </c>
      <c r="H56" s="33">
        <v>800000</v>
      </c>
      <c r="I56" s="33">
        <v>172512</v>
      </c>
      <c r="J56">
        <v>0</v>
      </c>
      <c r="K56">
        <v>0</v>
      </c>
      <c r="L56" s="33">
        <v>627488</v>
      </c>
      <c r="M56" t="s">
        <v>3317</v>
      </c>
    </row>
    <row r="57" spans="1:13" customFormat="1">
      <c r="A57" t="s">
        <v>3367</v>
      </c>
      <c r="B57" s="33">
        <v>30368642</v>
      </c>
      <c r="C57" s="33">
        <v>4500000</v>
      </c>
      <c r="D57" s="33">
        <v>2445607</v>
      </c>
      <c r="E57">
        <v>0</v>
      </c>
      <c r="F57">
        <v>0</v>
      </c>
      <c r="G57" s="33">
        <v>2054393</v>
      </c>
      <c r="H57" s="33">
        <v>450000</v>
      </c>
      <c r="I57" s="33">
        <v>9111</v>
      </c>
      <c r="J57">
        <v>0</v>
      </c>
      <c r="K57">
        <v>0</v>
      </c>
      <c r="L57" s="33">
        <v>440889</v>
      </c>
      <c r="M57" t="s">
        <v>3317</v>
      </c>
    </row>
    <row r="58" spans="1:13" customFormat="1">
      <c r="A58" t="s">
        <v>3368</v>
      </c>
      <c r="B58" s="33">
        <v>183837294</v>
      </c>
      <c r="C58" s="33">
        <v>11030237</v>
      </c>
      <c r="D58" s="33">
        <v>9747031</v>
      </c>
      <c r="E58">
        <v>0</v>
      </c>
      <c r="F58">
        <v>0</v>
      </c>
      <c r="G58" s="33">
        <v>1283206</v>
      </c>
      <c r="H58" s="33">
        <v>1103023</v>
      </c>
      <c r="I58" s="33">
        <v>1448532</v>
      </c>
      <c r="J58">
        <v>0</v>
      </c>
      <c r="K58">
        <v>0</v>
      </c>
      <c r="M58" t="s">
        <v>3317</v>
      </c>
    </row>
    <row r="59" spans="1:13" customFormat="1">
      <c r="A59" t="s">
        <v>3369</v>
      </c>
      <c r="B59" s="33">
        <v>100806000</v>
      </c>
      <c r="C59" s="33">
        <v>8000000</v>
      </c>
      <c r="D59" s="33">
        <v>38101190</v>
      </c>
      <c r="E59">
        <v>0</v>
      </c>
      <c r="F59">
        <v>0</v>
      </c>
      <c r="H59" s="33">
        <v>800000</v>
      </c>
      <c r="I59">
        <v>0</v>
      </c>
      <c r="J59">
        <v>0</v>
      </c>
      <c r="K59">
        <v>0</v>
      </c>
      <c r="L59" s="33">
        <v>800000</v>
      </c>
      <c r="M59" t="s">
        <v>3317</v>
      </c>
    </row>
    <row r="60" spans="1:13" customFormat="1">
      <c r="A60" t="s">
        <v>3370</v>
      </c>
      <c r="B60" s="33">
        <v>19314689</v>
      </c>
      <c r="C60" s="33">
        <v>2897203</v>
      </c>
      <c r="D60" s="33">
        <v>481682</v>
      </c>
      <c r="E60">
        <v>0</v>
      </c>
      <c r="F60">
        <v>0</v>
      </c>
      <c r="G60" s="33">
        <v>2415521</v>
      </c>
      <c r="H60" s="33">
        <v>289720</v>
      </c>
      <c r="I60" s="33">
        <v>1330000</v>
      </c>
      <c r="J60">
        <v>0</v>
      </c>
      <c r="K60">
        <v>0</v>
      </c>
      <c r="M60" t="s">
        <v>3317</v>
      </c>
    </row>
    <row r="61" spans="1:13" customFormat="1">
      <c r="A61" t="s">
        <v>3371</v>
      </c>
      <c r="B61" s="33">
        <v>83623891</v>
      </c>
      <c r="C61" s="33">
        <v>6689911</v>
      </c>
      <c r="D61" s="33">
        <v>6007200</v>
      </c>
      <c r="E61">
        <v>0</v>
      </c>
      <c r="F61">
        <v>0</v>
      </c>
      <c r="G61" s="33">
        <v>682711</v>
      </c>
      <c r="H61" s="33">
        <v>668991</v>
      </c>
      <c r="I61">
        <v>0</v>
      </c>
      <c r="J61">
        <v>0</v>
      </c>
      <c r="K61">
        <v>0</v>
      </c>
      <c r="L61" s="33">
        <v>668991</v>
      </c>
      <c r="M61" t="s">
        <v>3317</v>
      </c>
    </row>
    <row r="62" spans="1:13" customFormat="1">
      <c r="A62" t="s">
        <v>3372</v>
      </c>
      <c r="B62" s="33">
        <v>29578917</v>
      </c>
      <c r="C62" s="33">
        <v>3549470</v>
      </c>
      <c r="D62" s="33">
        <v>11191165</v>
      </c>
      <c r="E62">
        <v>0</v>
      </c>
      <c r="F62">
        <v>0</v>
      </c>
      <c r="H62" s="33">
        <v>354947</v>
      </c>
      <c r="I62" s="33">
        <v>270000</v>
      </c>
      <c r="J62">
        <v>0</v>
      </c>
      <c r="K62">
        <v>0</v>
      </c>
      <c r="L62" s="33">
        <v>84947</v>
      </c>
      <c r="M62" t="s">
        <v>3317</v>
      </c>
    </row>
    <row r="63" spans="1:13" customFormat="1">
      <c r="A63" t="s">
        <v>3373</v>
      </c>
      <c r="B63" s="33">
        <v>30763326</v>
      </c>
      <c r="C63" s="33">
        <v>4500000</v>
      </c>
      <c r="D63" s="33">
        <v>3842199</v>
      </c>
      <c r="E63">
        <v>0</v>
      </c>
      <c r="F63">
        <v>0</v>
      </c>
      <c r="G63" s="33">
        <v>657801</v>
      </c>
      <c r="H63" s="33">
        <v>450000</v>
      </c>
      <c r="I63" s="33">
        <v>1920781</v>
      </c>
      <c r="J63">
        <v>0</v>
      </c>
      <c r="K63">
        <v>0</v>
      </c>
      <c r="M63" t="s">
        <v>3317</v>
      </c>
    </row>
    <row r="64" spans="1:13" customFormat="1">
      <c r="A64" t="s">
        <v>3374</v>
      </c>
      <c r="B64" s="33">
        <v>74397877</v>
      </c>
      <c r="C64" s="33">
        <v>7439787</v>
      </c>
      <c r="D64" s="33">
        <v>7209430</v>
      </c>
      <c r="E64">
        <v>0</v>
      </c>
      <c r="F64">
        <v>0</v>
      </c>
      <c r="G64" s="33">
        <v>230357</v>
      </c>
      <c r="H64" s="33">
        <v>743978</v>
      </c>
      <c r="I64" s="33">
        <v>1261298</v>
      </c>
      <c r="J64">
        <v>0</v>
      </c>
      <c r="K64">
        <v>0</v>
      </c>
      <c r="M64" t="s">
        <v>3317</v>
      </c>
    </row>
    <row r="65" spans="1:13" customFormat="1">
      <c r="A65" t="s">
        <v>3375</v>
      </c>
      <c r="B65" s="33">
        <v>93356864</v>
      </c>
      <c r="C65" s="33">
        <v>7468549</v>
      </c>
      <c r="D65" s="33">
        <v>4320870</v>
      </c>
      <c r="E65">
        <v>0</v>
      </c>
      <c r="F65" s="33">
        <v>2500000</v>
      </c>
      <c r="G65" s="33">
        <v>647679</v>
      </c>
      <c r="H65" s="33">
        <v>746854</v>
      </c>
      <c r="I65" s="33">
        <v>2669206</v>
      </c>
      <c r="J65">
        <v>0</v>
      </c>
      <c r="K65">
        <v>0</v>
      </c>
      <c r="M65" t="s">
        <v>3317</v>
      </c>
    </row>
    <row r="66" spans="1:13" customFormat="1">
      <c r="A66" t="s">
        <v>3376</v>
      </c>
      <c r="B66" s="33">
        <v>17005200</v>
      </c>
      <c r="C66" s="33">
        <v>2040624</v>
      </c>
      <c r="D66" s="33">
        <v>342400</v>
      </c>
      <c r="E66">
        <v>0</v>
      </c>
      <c r="F66">
        <v>0</v>
      </c>
      <c r="G66" s="33">
        <v>1698224</v>
      </c>
      <c r="H66" s="33">
        <v>204062</v>
      </c>
      <c r="I66" s="33">
        <v>48400</v>
      </c>
      <c r="J66">
        <v>0</v>
      </c>
      <c r="K66">
        <v>0</v>
      </c>
      <c r="L66" s="33">
        <v>155662</v>
      </c>
      <c r="M66" t="s">
        <v>3317</v>
      </c>
    </row>
    <row r="67" spans="1:13" customFormat="1">
      <c r="A67" t="s">
        <v>3377</v>
      </c>
      <c r="B67" s="33">
        <v>185962436</v>
      </c>
      <c r="C67" s="33">
        <v>11157746</v>
      </c>
      <c r="D67" s="33">
        <v>936960</v>
      </c>
      <c r="E67">
        <v>0</v>
      </c>
      <c r="F67">
        <v>0</v>
      </c>
      <c r="G67" s="33">
        <v>10220786</v>
      </c>
      <c r="H67" s="33">
        <v>1115774</v>
      </c>
      <c r="I67" s="33">
        <v>1890191</v>
      </c>
      <c r="J67">
        <v>0</v>
      </c>
      <c r="K67">
        <v>0</v>
      </c>
      <c r="M67" t="s">
        <v>3317</v>
      </c>
    </row>
    <row r="68" spans="1:13" customFormat="1">
      <c r="A68" t="s">
        <v>3378</v>
      </c>
      <c r="B68" s="33">
        <v>213638104</v>
      </c>
      <c r="C68" s="33">
        <v>15000000</v>
      </c>
      <c r="D68" s="33">
        <v>19397023</v>
      </c>
      <c r="E68">
        <v>0</v>
      </c>
      <c r="F68">
        <v>0</v>
      </c>
      <c r="H68" s="33">
        <v>1500000</v>
      </c>
      <c r="I68">
        <v>0</v>
      </c>
      <c r="J68">
        <v>0</v>
      </c>
      <c r="K68">
        <v>0</v>
      </c>
      <c r="L68" s="33">
        <v>1500000</v>
      </c>
      <c r="M68" t="s">
        <v>3317</v>
      </c>
    </row>
    <row r="69" spans="1:13" customFormat="1">
      <c r="A69" t="s">
        <v>3379</v>
      </c>
      <c r="B69" s="33">
        <v>106351832</v>
      </c>
      <c r="C69" s="33">
        <v>8000000</v>
      </c>
      <c r="D69" s="33">
        <v>6437781</v>
      </c>
      <c r="E69">
        <v>0</v>
      </c>
      <c r="F69">
        <v>0</v>
      </c>
      <c r="G69" s="33">
        <v>1562219</v>
      </c>
      <c r="H69" s="33">
        <v>800000</v>
      </c>
      <c r="I69" s="33">
        <v>867477</v>
      </c>
      <c r="J69">
        <v>0</v>
      </c>
      <c r="K69">
        <v>0</v>
      </c>
      <c r="M69" t="s">
        <v>3317</v>
      </c>
    </row>
    <row r="70" spans="1:13" customFormat="1">
      <c r="A70" t="s">
        <v>3380</v>
      </c>
      <c r="B70" s="33">
        <v>134615405</v>
      </c>
      <c r="C70" s="33">
        <v>8076924</v>
      </c>
      <c r="D70" s="33">
        <v>80870366</v>
      </c>
      <c r="E70">
        <v>0</v>
      </c>
      <c r="F70">
        <v>0</v>
      </c>
      <c r="H70" s="33">
        <v>807692</v>
      </c>
      <c r="I70" s="33">
        <v>10000</v>
      </c>
      <c r="J70">
        <v>0</v>
      </c>
      <c r="K70">
        <v>0</v>
      </c>
      <c r="L70" s="33">
        <v>797692</v>
      </c>
      <c r="M70" t="s">
        <v>3317</v>
      </c>
    </row>
    <row r="71" spans="1:13" customFormat="1">
      <c r="A71" t="s">
        <v>3381</v>
      </c>
      <c r="B71" s="33">
        <v>44975460</v>
      </c>
      <c r="C71" s="33">
        <v>4500000</v>
      </c>
      <c r="D71" s="33">
        <v>3123122</v>
      </c>
      <c r="E71">
        <v>0</v>
      </c>
      <c r="F71">
        <v>0</v>
      </c>
      <c r="G71" s="33">
        <v>1376878</v>
      </c>
      <c r="H71" s="33">
        <v>450000</v>
      </c>
      <c r="I71" s="33">
        <v>507916</v>
      </c>
      <c r="J71">
        <v>0</v>
      </c>
      <c r="K71">
        <v>0</v>
      </c>
      <c r="M71" t="s">
        <v>3317</v>
      </c>
    </row>
    <row r="72" spans="1:13" customFormat="1">
      <c r="A72" t="s">
        <v>3382</v>
      </c>
      <c r="B72" s="33">
        <v>35501813</v>
      </c>
      <c r="C72" s="33">
        <v>4500000</v>
      </c>
      <c r="D72" s="33">
        <v>615600</v>
      </c>
      <c r="E72">
        <v>0</v>
      </c>
      <c r="F72">
        <v>0</v>
      </c>
      <c r="G72" s="33">
        <v>3884400</v>
      </c>
      <c r="H72" s="33">
        <v>450000</v>
      </c>
      <c r="I72" s="33">
        <v>121035</v>
      </c>
      <c r="J72">
        <v>0</v>
      </c>
      <c r="K72">
        <v>0</v>
      </c>
      <c r="L72" s="33">
        <v>328965</v>
      </c>
      <c r="M72" t="s">
        <v>3317</v>
      </c>
    </row>
    <row r="73" spans="1:13" customFormat="1">
      <c r="A73" t="s">
        <v>3383</v>
      </c>
      <c r="B73" s="33">
        <v>69822909</v>
      </c>
      <c r="C73" s="33">
        <v>5585832</v>
      </c>
      <c r="D73" s="33">
        <v>45130157</v>
      </c>
      <c r="E73">
        <v>0</v>
      </c>
      <c r="F73">
        <v>0</v>
      </c>
      <c r="H73" s="33">
        <v>558583</v>
      </c>
      <c r="I73" s="33">
        <v>555461</v>
      </c>
      <c r="J73">
        <v>0</v>
      </c>
      <c r="K73">
        <v>0</v>
      </c>
      <c r="L73" s="33">
        <v>3122</v>
      </c>
      <c r="M73" t="s">
        <v>3317</v>
      </c>
    </row>
    <row r="74" spans="1:13" customFormat="1">
      <c r="A74" t="s">
        <v>3384</v>
      </c>
      <c r="B74" s="33">
        <v>94693891</v>
      </c>
      <c r="C74" s="33">
        <v>7575511</v>
      </c>
      <c r="D74" s="33">
        <v>6695036</v>
      </c>
      <c r="E74">
        <v>0</v>
      </c>
      <c r="F74">
        <v>0</v>
      </c>
      <c r="G74" s="33">
        <v>880475</v>
      </c>
      <c r="H74" s="33">
        <v>757551</v>
      </c>
      <c r="I74" s="33">
        <v>1252000</v>
      </c>
      <c r="J74">
        <v>0</v>
      </c>
      <c r="K74">
        <v>0</v>
      </c>
      <c r="M74" t="s">
        <v>3317</v>
      </c>
    </row>
    <row r="75" spans="1:13" customFormat="1">
      <c r="A75" t="s">
        <v>3385</v>
      </c>
      <c r="B75" s="33">
        <v>69826850</v>
      </c>
      <c r="C75" s="33">
        <v>5586148</v>
      </c>
      <c r="D75" s="33">
        <v>6840786</v>
      </c>
      <c r="E75">
        <v>0</v>
      </c>
      <c r="F75">
        <v>0</v>
      </c>
      <c r="H75" s="33">
        <v>558614</v>
      </c>
      <c r="I75" s="33">
        <v>506200</v>
      </c>
      <c r="J75">
        <v>0</v>
      </c>
      <c r="K75">
        <v>0</v>
      </c>
      <c r="L75" s="33">
        <v>52414</v>
      </c>
      <c r="M75" t="s">
        <v>3317</v>
      </c>
    </row>
    <row r="76" spans="1:13" customFormat="1">
      <c r="A76" t="s">
        <v>3386</v>
      </c>
      <c r="B76" s="33">
        <v>90669184</v>
      </c>
      <c r="C76" s="33">
        <v>7253534</v>
      </c>
      <c r="D76" s="33">
        <v>7064303</v>
      </c>
      <c r="E76">
        <v>0</v>
      </c>
      <c r="F76">
        <v>0</v>
      </c>
      <c r="G76" s="33">
        <v>189231</v>
      </c>
      <c r="H76" s="33">
        <v>725353</v>
      </c>
      <c r="I76" s="33">
        <v>776023</v>
      </c>
      <c r="J76">
        <v>0</v>
      </c>
      <c r="K76">
        <v>0</v>
      </c>
      <c r="M76" t="s">
        <v>3317</v>
      </c>
    </row>
    <row r="77" spans="1:13" customFormat="1">
      <c r="A77" t="s">
        <v>3387</v>
      </c>
      <c r="B77" s="33">
        <v>113468975</v>
      </c>
      <c r="C77" s="33">
        <v>8000000</v>
      </c>
      <c r="D77" s="33">
        <v>14692218</v>
      </c>
      <c r="E77">
        <v>0</v>
      </c>
      <c r="F77" s="33">
        <v>220000</v>
      </c>
      <c r="H77" s="33">
        <v>800000</v>
      </c>
      <c r="I77" s="33">
        <v>740531</v>
      </c>
      <c r="J77">
        <v>0</v>
      </c>
      <c r="K77">
        <v>0</v>
      </c>
      <c r="L77" s="33">
        <v>59469</v>
      </c>
      <c r="M77" t="s">
        <v>3317</v>
      </c>
    </row>
    <row r="78" spans="1:13" customFormat="1">
      <c r="A78" t="s">
        <v>3388</v>
      </c>
      <c r="B78" s="33">
        <v>35473750</v>
      </c>
      <c r="C78" s="33">
        <v>3600000</v>
      </c>
      <c r="D78" s="33">
        <v>7096750</v>
      </c>
      <c r="E78">
        <v>0</v>
      </c>
      <c r="F78">
        <v>0</v>
      </c>
      <c r="H78" s="33">
        <v>360000</v>
      </c>
      <c r="I78">
        <v>0</v>
      </c>
      <c r="J78">
        <v>0</v>
      </c>
      <c r="K78">
        <v>0</v>
      </c>
      <c r="L78" s="33">
        <v>360000</v>
      </c>
      <c r="M78" t="s">
        <v>3317</v>
      </c>
    </row>
    <row r="79" spans="1:13" customFormat="1">
      <c r="A79" t="s">
        <v>3389</v>
      </c>
      <c r="B79" s="33">
        <v>42982940</v>
      </c>
      <c r="C79" s="33">
        <v>3600000</v>
      </c>
      <c r="D79" s="33">
        <v>15049125</v>
      </c>
      <c r="E79">
        <v>0</v>
      </c>
      <c r="F79">
        <v>0</v>
      </c>
      <c r="H79" s="33">
        <v>360000</v>
      </c>
      <c r="I79" s="33">
        <v>233118</v>
      </c>
      <c r="J79">
        <v>0</v>
      </c>
      <c r="K79">
        <v>0</v>
      </c>
      <c r="L79" s="33">
        <v>126882</v>
      </c>
      <c r="M79" t="s">
        <v>3317</v>
      </c>
    </row>
    <row r="80" spans="1:13" customFormat="1">
      <c r="A80" t="s">
        <v>3390</v>
      </c>
      <c r="B80" s="33">
        <v>57570883</v>
      </c>
      <c r="C80" s="33">
        <v>4605670</v>
      </c>
      <c r="D80" s="33">
        <v>4810943</v>
      </c>
      <c r="E80">
        <v>0</v>
      </c>
      <c r="F80">
        <v>0</v>
      </c>
      <c r="H80" s="33">
        <v>460567</v>
      </c>
      <c r="I80" s="33">
        <v>38000</v>
      </c>
      <c r="J80">
        <v>0</v>
      </c>
      <c r="K80">
        <v>0</v>
      </c>
      <c r="L80" s="33">
        <v>422567</v>
      </c>
      <c r="M80" t="s">
        <v>3317</v>
      </c>
    </row>
    <row r="81" spans="1:13" customFormat="1">
      <c r="A81" t="s">
        <v>3391</v>
      </c>
      <c r="B81" s="33">
        <v>76111786</v>
      </c>
      <c r="C81" s="33">
        <v>6088942</v>
      </c>
      <c r="D81" s="33">
        <v>45913423</v>
      </c>
      <c r="E81">
        <v>0</v>
      </c>
      <c r="F81">
        <v>0</v>
      </c>
      <c r="H81" s="33">
        <v>608894</v>
      </c>
      <c r="I81">
        <v>0</v>
      </c>
      <c r="J81">
        <v>0</v>
      </c>
      <c r="K81">
        <v>0</v>
      </c>
      <c r="L81" s="33">
        <v>608894</v>
      </c>
      <c r="M81" t="s">
        <v>3317</v>
      </c>
    </row>
    <row r="82" spans="1:13" customFormat="1">
      <c r="A82" t="s">
        <v>3392</v>
      </c>
      <c r="B82" s="33">
        <v>60321000</v>
      </c>
      <c r="C82" s="33">
        <v>4825680</v>
      </c>
      <c r="D82" s="33">
        <v>22123000</v>
      </c>
      <c r="E82">
        <v>0</v>
      </c>
      <c r="F82">
        <v>0</v>
      </c>
      <c r="H82" s="33">
        <v>482568</v>
      </c>
      <c r="I82">
        <v>0</v>
      </c>
      <c r="J82">
        <v>0</v>
      </c>
      <c r="K82">
        <v>0</v>
      </c>
      <c r="L82" s="33">
        <v>482568</v>
      </c>
      <c r="M82" t="s">
        <v>3317</v>
      </c>
    </row>
    <row r="83" spans="1:13" customFormat="1">
      <c r="A83" t="s">
        <v>3393</v>
      </c>
      <c r="B83" s="33">
        <v>33063000</v>
      </c>
      <c r="C83" s="33">
        <v>3600000</v>
      </c>
      <c r="D83" s="33">
        <v>18713800</v>
      </c>
      <c r="E83">
        <v>0</v>
      </c>
      <c r="F83">
        <v>0</v>
      </c>
      <c r="H83" s="33">
        <v>360000</v>
      </c>
      <c r="I83" s="33">
        <v>309000</v>
      </c>
      <c r="J83">
        <v>0</v>
      </c>
      <c r="K83">
        <v>0</v>
      </c>
      <c r="L83" s="33">
        <v>51000</v>
      </c>
      <c r="M83" t="s">
        <v>3317</v>
      </c>
    </row>
    <row r="84" spans="1:13" customFormat="1">
      <c r="A84" t="s">
        <v>3394</v>
      </c>
      <c r="B84" s="33">
        <v>91118000</v>
      </c>
      <c r="C84" s="33">
        <v>7289440</v>
      </c>
      <c r="D84" s="33">
        <v>14318277</v>
      </c>
      <c r="E84">
        <v>0</v>
      </c>
      <c r="F84">
        <v>0</v>
      </c>
      <c r="H84" s="33">
        <v>728944</v>
      </c>
      <c r="I84">
        <v>0</v>
      </c>
      <c r="J84">
        <v>0</v>
      </c>
      <c r="K84">
        <v>0</v>
      </c>
      <c r="L84" s="33">
        <v>728944</v>
      </c>
      <c r="M84" t="s">
        <v>3317</v>
      </c>
    </row>
    <row r="85" spans="1:13" customFormat="1">
      <c r="A85" t="s">
        <v>3395</v>
      </c>
      <c r="B85" s="33">
        <v>66955992</v>
      </c>
      <c r="C85" s="33">
        <v>5356479</v>
      </c>
      <c r="D85" s="33">
        <v>4599767</v>
      </c>
      <c r="E85">
        <v>0</v>
      </c>
      <c r="F85">
        <v>0</v>
      </c>
      <c r="G85" s="33">
        <v>756712</v>
      </c>
      <c r="H85" s="33">
        <v>535647</v>
      </c>
      <c r="I85" s="33">
        <v>450551</v>
      </c>
      <c r="J85">
        <v>0</v>
      </c>
      <c r="K85">
        <v>0</v>
      </c>
      <c r="L85" s="33">
        <v>85096</v>
      </c>
      <c r="M85" t="s">
        <v>3317</v>
      </c>
    </row>
    <row r="86" spans="1:13" customFormat="1">
      <c r="A86" t="s">
        <v>3396</v>
      </c>
      <c r="B86" s="33">
        <v>142759123</v>
      </c>
      <c r="C86" s="33">
        <v>8565547</v>
      </c>
      <c r="D86" s="33">
        <v>7709594</v>
      </c>
      <c r="E86">
        <v>0</v>
      </c>
      <c r="F86">
        <v>0</v>
      </c>
      <c r="G86" s="33">
        <v>855953</v>
      </c>
      <c r="H86">
        <v>0</v>
      </c>
      <c r="I86">
        <v>0</v>
      </c>
      <c r="J86">
        <v>0</v>
      </c>
      <c r="K86">
        <v>0</v>
      </c>
      <c r="M86" t="s">
        <v>3317</v>
      </c>
    </row>
    <row r="87" spans="1:13" customFormat="1">
      <c r="A87" t="s">
        <v>3397</v>
      </c>
      <c r="B87" s="33">
        <v>26674306</v>
      </c>
      <c r="C87" s="33">
        <v>3200916</v>
      </c>
      <c r="D87" s="33">
        <v>2708599</v>
      </c>
      <c r="E87">
        <v>0</v>
      </c>
      <c r="F87">
        <v>0</v>
      </c>
      <c r="G87" s="33">
        <v>492317</v>
      </c>
      <c r="H87" s="33">
        <v>320091</v>
      </c>
      <c r="I87" s="33">
        <v>320999</v>
      </c>
      <c r="J87">
        <v>0</v>
      </c>
      <c r="K87">
        <v>0</v>
      </c>
      <c r="M87" t="s">
        <v>3317</v>
      </c>
    </row>
    <row r="88" spans="1:13" customFormat="1">
      <c r="A88" t="s">
        <v>3398</v>
      </c>
      <c r="B88" s="33">
        <v>38398140</v>
      </c>
      <c r="C88" s="33">
        <v>3600000</v>
      </c>
      <c r="D88" s="33">
        <v>21687177</v>
      </c>
      <c r="E88">
        <v>0</v>
      </c>
      <c r="F88">
        <v>0</v>
      </c>
      <c r="H88" s="33">
        <v>360000</v>
      </c>
      <c r="I88" s="33">
        <v>349989</v>
      </c>
      <c r="J88">
        <v>0</v>
      </c>
      <c r="K88">
        <v>0</v>
      </c>
      <c r="L88" s="33">
        <v>10011</v>
      </c>
      <c r="M88" t="s">
        <v>3317</v>
      </c>
    </row>
    <row r="89" spans="1:13" customFormat="1"/>
    <row r="90" spans="1:13" customFormat="1">
      <c r="A90" t="s">
        <v>3348</v>
      </c>
    </row>
    <row r="91" spans="1:13" customFormat="1">
      <c r="A91" t="s">
        <v>3349</v>
      </c>
    </row>
    <row r="92" spans="1:13" customFormat="1">
      <c r="A92" t="s">
        <v>3350</v>
      </c>
    </row>
    <row r="93" spans="1:13" customFormat="1"/>
    <row r="94" spans="1:13" customFormat="1"/>
    <row r="95" spans="1:13" customFormat="1"/>
    <row r="96" spans="1:13"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row r="402" customFormat="1"/>
    <row r="403" customFormat="1"/>
    <row r="404" customFormat="1"/>
    <row r="405" customFormat="1"/>
    <row r="406" customFormat="1"/>
    <row r="407" customFormat="1"/>
    <row r="408" customFormat="1"/>
    <row r="409" customFormat="1"/>
    <row r="410" customFormat="1"/>
    <row r="411" customFormat="1"/>
    <row r="412" customFormat="1"/>
    <row r="413" customFormat="1"/>
    <row r="414" customFormat="1"/>
    <row r="415" customFormat="1"/>
    <row r="416" customFormat="1"/>
    <row r="417" customFormat="1"/>
    <row r="418" customFormat="1"/>
    <row r="419" customFormat="1"/>
    <row r="420" customFormat="1"/>
    <row r="421" customFormat="1"/>
    <row r="422" customFormat="1"/>
    <row r="423" customFormat="1"/>
    <row r="424" customFormat="1"/>
    <row r="425" customFormat="1"/>
    <row r="426" customFormat="1"/>
    <row r="427" customFormat="1"/>
    <row r="428" customFormat="1"/>
    <row r="429" customFormat="1"/>
    <row r="430" customFormat="1"/>
    <row r="431" customFormat="1"/>
    <row r="432" customFormat="1"/>
    <row r="433" customFormat="1"/>
    <row r="434" customFormat="1"/>
    <row r="435" customFormat="1"/>
    <row r="436" customFormat="1"/>
    <row r="437" customFormat="1"/>
    <row r="438" customFormat="1"/>
    <row r="439" customFormat="1"/>
    <row r="440" customFormat="1"/>
    <row r="441" customFormat="1"/>
    <row r="442" customFormat="1"/>
    <row r="443" customFormat="1"/>
    <row r="444" customFormat="1"/>
    <row r="445" customFormat="1"/>
    <row r="446" customFormat="1"/>
    <row r="447" customFormat="1"/>
    <row r="448" customFormat="1"/>
    <row r="449" customFormat="1"/>
    <row r="450" customFormat="1"/>
    <row r="451" customFormat="1"/>
    <row r="452" customFormat="1"/>
    <row r="453" customFormat="1"/>
    <row r="454" customFormat="1"/>
    <row r="455" customFormat="1"/>
    <row r="456" customFormat="1"/>
    <row r="457" customFormat="1"/>
    <row r="458" customFormat="1"/>
    <row r="459" customFormat="1"/>
    <row r="460" customFormat="1"/>
    <row r="461" customFormat="1"/>
    <row r="462" customFormat="1"/>
    <row r="463" customFormat="1"/>
    <row r="464" customFormat="1"/>
    <row r="465" customFormat="1"/>
    <row r="466" customFormat="1"/>
    <row r="467" customFormat="1"/>
    <row r="468" customFormat="1"/>
    <row r="469" customFormat="1"/>
    <row r="470" customFormat="1"/>
    <row r="471" customFormat="1"/>
    <row r="472" customFormat="1"/>
    <row r="473" customFormat="1"/>
    <row r="474" customFormat="1"/>
    <row r="475" customFormat="1"/>
    <row r="476" customFormat="1"/>
    <row r="477" customFormat="1"/>
    <row r="478" customFormat="1"/>
    <row r="479" customFormat="1"/>
    <row r="480" customFormat="1"/>
    <row r="481" customFormat="1"/>
    <row r="482" customFormat="1"/>
    <row r="483" customFormat="1"/>
    <row r="484" customFormat="1"/>
    <row r="485" customFormat="1"/>
    <row r="486" customFormat="1"/>
    <row r="487" customFormat="1"/>
    <row r="488" customFormat="1"/>
    <row r="489" customFormat="1"/>
    <row r="490" customFormat="1"/>
    <row r="491" customFormat="1"/>
    <row r="492" customFormat="1"/>
    <row r="493" customFormat="1"/>
    <row r="494" customFormat="1"/>
    <row r="495" customFormat="1"/>
    <row r="496" customFormat="1"/>
    <row r="497" customFormat="1"/>
    <row r="498" customFormat="1"/>
    <row r="499" customFormat="1"/>
    <row r="500" customFormat="1"/>
    <row r="501" customFormat="1"/>
    <row r="502" customFormat="1"/>
    <row r="503" customFormat="1"/>
    <row r="504" customFormat="1"/>
    <row r="505" customFormat="1"/>
    <row r="506" customFormat="1"/>
    <row r="507" customFormat="1"/>
    <row r="508" customFormat="1"/>
    <row r="509" customFormat="1"/>
    <row r="510" customFormat="1"/>
    <row r="511" customFormat="1"/>
    <row r="512" customFormat="1"/>
    <row r="513" customFormat="1"/>
    <row r="514" customFormat="1"/>
    <row r="515" customFormat="1"/>
    <row r="516" customFormat="1"/>
    <row r="517" customFormat="1"/>
    <row r="518" customFormat="1"/>
    <row r="519" customFormat="1"/>
    <row r="520" customFormat="1"/>
    <row r="521" customFormat="1"/>
    <row r="522" customFormat="1"/>
    <row r="523" customFormat="1"/>
    <row r="524" customFormat="1"/>
    <row r="525" customFormat="1"/>
    <row r="526" customFormat="1"/>
    <row r="527" customFormat="1"/>
    <row r="528" customFormat="1"/>
    <row r="529" customFormat="1"/>
    <row r="530" customFormat="1"/>
    <row r="531" customFormat="1"/>
    <row r="532" customFormat="1"/>
    <row r="533" customFormat="1"/>
    <row r="534" customFormat="1"/>
    <row r="535" customFormat="1"/>
    <row r="536" customFormat="1"/>
    <row r="537" customFormat="1"/>
    <row r="538" customFormat="1"/>
    <row r="539" customFormat="1"/>
    <row r="540" customFormat="1"/>
    <row r="541" customFormat="1"/>
    <row r="542" customFormat="1"/>
    <row r="543" customFormat="1"/>
    <row r="544" customFormat="1"/>
    <row r="545" customFormat="1"/>
    <row r="546" customFormat="1"/>
    <row r="547" customFormat="1"/>
    <row r="548" customFormat="1"/>
    <row r="549" customFormat="1"/>
    <row r="550" customFormat="1"/>
    <row r="551" customFormat="1"/>
    <row r="552" customFormat="1"/>
    <row r="553" customFormat="1"/>
    <row r="554" customFormat="1"/>
    <row r="555" customFormat="1"/>
    <row r="556" customFormat="1"/>
    <row r="557" customFormat="1"/>
    <row r="558" customFormat="1"/>
    <row r="559" customFormat="1"/>
    <row r="560" customFormat="1"/>
    <row r="561" customFormat="1"/>
    <row r="562" customFormat="1"/>
    <row r="563" customFormat="1"/>
    <row r="564" customFormat="1"/>
    <row r="565" customFormat="1"/>
    <row r="566" customFormat="1"/>
    <row r="567" customFormat="1"/>
    <row r="568" customFormat="1"/>
    <row r="569" customFormat="1"/>
    <row r="570" customFormat="1"/>
    <row r="571" customFormat="1"/>
    <row r="572" customFormat="1"/>
    <row r="573" customFormat="1"/>
    <row r="574" customFormat="1"/>
    <row r="575" customFormat="1"/>
    <row r="576" customFormat="1"/>
    <row r="577" customFormat="1"/>
    <row r="578" customFormat="1"/>
    <row r="579" customFormat="1"/>
    <row r="580" customFormat="1"/>
    <row r="581" customFormat="1"/>
    <row r="582" customFormat="1"/>
    <row r="583" customFormat="1"/>
    <row r="584" customFormat="1"/>
    <row r="585" customFormat="1"/>
    <row r="586" customFormat="1"/>
    <row r="587" customFormat="1"/>
    <row r="588" customFormat="1"/>
    <row r="589" customFormat="1"/>
    <row r="590" customFormat="1"/>
    <row r="591" customFormat="1"/>
    <row r="592" customFormat="1"/>
    <row r="593" customFormat="1"/>
    <row r="594" customFormat="1"/>
    <row r="595" customFormat="1"/>
    <row r="596" customFormat="1"/>
    <row r="597" customFormat="1"/>
    <row r="598" customFormat="1"/>
    <row r="599" customFormat="1"/>
    <row r="600" customFormat="1"/>
    <row r="601" customFormat="1"/>
    <row r="602" customFormat="1"/>
    <row r="603" customFormat="1"/>
    <row r="604" customFormat="1"/>
    <row r="605" customFormat="1"/>
    <row r="606" customFormat="1"/>
    <row r="607" customFormat="1"/>
    <row r="608" customFormat="1"/>
    <row r="609" customFormat="1"/>
    <row r="610" customFormat="1"/>
    <row r="611" customFormat="1"/>
    <row r="612" customFormat="1"/>
    <row r="613" customFormat="1"/>
    <row r="614" customFormat="1"/>
    <row r="615" customFormat="1"/>
    <row r="616" customFormat="1"/>
    <row r="617" customFormat="1"/>
    <row r="618" customFormat="1"/>
    <row r="619" customFormat="1"/>
    <row r="620" customFormat="1"/>
    <row r="621" customFormat="1"/>
    <row r="622" customFormat="1"/>
    <row r="623" customFormat="1"/>
    <row r="624" customFormat="1"/>
    <row r="625" customFormat="1"/>
    <row r="626" customFormat="1"/>
    <row r="627" customFormat="1"/>
    <row r="628" customFormat="1"/>
    <row r="629" customFormat="1"/>
    <row r="630" customFormat="1"/>
    <row r="631" customFormat="1"/>
    <row r="632" customFormat="1"/>
    <row r="633" customFormat="1"/>
    <row r="634" customFormat="1"/>
    <row r="635" customFormat="1"/>
    <row r="636" customFormat="1"/>
    <row r="637" customFormat="1"/>
    <row r="638" customFormat="1"/>
    <row r="639" customFormat="1"/>
    <row r="640" customFormat="1"/>
    <row r="641" customFormat="1"/>
    <row r="642" customFormat="1"/>
    <row r="643" customFormat="1"/>
    <row r="644" customFormat="1"/>
    <row r="645" customFormat="1"/>
    <row r="646" customFormat="1"/>
    <row r="647" customFormat="1"/>
    <row r="648" customFormat="1"/>
    <row r="649" customFormat="1"/>
    <row r="650" customFormat="1"/>
    <row r="651" customFormat="1"/>
    <row r="652" customFormat="1"/>
    <row r="653" customFormat="1"/>
    <row r="654" customFormat="1"/>
    <row r="655" customFormat="1"/>
    <row r="656" customFormat="1"/>
    <row r="657" customFormat="1"/>
    <row r="658" customFormat="1"/>
    <row r="659" customFormat="1"/>
    <row r="660" customFormat="1"/>
    <row r="661" customFormat="1"/>
    <row r="662" customFormat="1"/>
    <row r="663" customFormat="1"/>
    <row r="664" customFormat="1"/>
    <row r="665" customFormat="1"/>
    <row r="666" customFormat="1"/>
    <row r="667" customFormat="1"/>
    <row r="668" customFormat="1"/>
    <row r="669" customFormat="1"/>
    <row r="670" customFormat="1"/>
    <row r="671" customFormat="1"/>
    <row r="672" customFormat="1"/>
    <row r="673" customFormat="1"/>
    <row r="674" customFormat="1"/>
    <row r="675" customFormat="1"/>
    <row r="676" customFormat="1"/>
    <row r="677" customFormat="1"/>
    <row r="678" customFormat="1"/>
    <row r="679" customFormat="1"/>
    <row r="680" customFormat="1"/>
    <row r="681" customFormat="1"/>
    <row r="682" customFormat="1"/>
    <row r="683" customFormat="1"/>
    <row r="684" customFormat="1"/>
    <row r="685" customFormat="1"/>
    <row r="686" customFormat="1"/>
    <row r="687" customFormat="1"/>
    <row r="688" customFormat="1"/>
    <row r="689" customFormat="1"/>
    <row r="690" customFormat="1"/>
    <row r="691" customFormat="1"/>
    <row r="692" customFormat="1"/>
    <row r="693" customFormat="1"/>
    <row r="694" customFormat="1"/>
    <row r="695" customFormat="1"/>
    <row r="696" customFormat="1"/>
    <row r="697" customFormat="1"/>
    <row r="698" customFormat="1"/>
    <row r="699" customFormat="1"/>
    <row r="700" customFormat="1"/>
    <row r="701" customFormat="1"/>
    <row r="702" customFormat="1"/>
    <row r="703" customFormat="1"/>
    <row r="704" customFormat="1"/>
    <row r="705" customFormat="1"/>
    <row r="706" customFormat="1"/>
    <row r="707" customFormat="1"/>
    <row r="708" customFormat="1"/>
    <row r="709" customFormat="1"/>
    <row r="710" customFormat="1"/>
    <row r="711" customFormat="1"/>
    <row r="712" customFormat="1"/>
    <row r="713" customFormat="1"/>
    <row r="714" customFormat="1"/>
    <row r="715" customFormat="1"/>
    <row r="716" customFormat="1"/>
    <row r="717" customFormat="1"/>
    <row r="718" customFormat="1"/>
    <row r="719" customFormat="1"/>
    <row r="720" customFormat="1"/>
    <row r="721" customFormat="1"/>
    <row r="722" customFormat="1"/>
    <row r="723" customFormat="1"/>
    <row r="724" customFormat="1"/>
    <row r="725" customFormat="1"/>
    <row r="726" customFormat="1"/>
    <row r="727" customFormat="1"/>
    <row r="728" customFormat="1"/>
    <row r="729" customFormat="1"/>
    <row r="730" customFormat="1"/>
    <row r="731" customFormat="1"/>
    <row r="732" customFormat="1"/>
    <row r="733" customFormat="1"/>
    <row r="734" customFormat="1"/>
    <row r="735" customFormat="1"/>
    <row r="736" customFormat="1"/>
    <row r="737" customFormat="1"/>
    <row r="738" customFormat="1"/>
    <row r="739" customFormat="1"/>
    <row r="740" customFormat="1"/>
    <row r="741" customFormat="1"/>
    <row r="742" customFormat="1"/>
    <row r="743" customFormat="1"/>
    <row r="744" customFormat="1"/>
    <row r="745" customFormat="1"/>
    <row r="746" customFormat="1"/>
    <row r="747" customFormat="1"/>
    <row r="748" customFormat="1"/>
    <row r="749" customFormat="1"/>
    <row r="750" customFormat="1"/>
    <row r="751" customFormat="1"/>
    <row r="752" customFormat="1"/>
    <row r="753" customFormat="1"/>
    <row r="754" customFormat="1"/>
    <row r="755" customFormat="1"/>
    <row r="756" customFormat="1"/>
    <row r="757" customFormat="1"/>
    <row r="758" customFormat="1"/>
    <row r="759" customFormat="1"/>
    <row r="760" customFormat="1"/>
    <row r="761" customFormat="1"/>
    <row r="762" customFormat="1"/>
    <row r="763" customFormat="1"/>
    <row r="764" customFormat="1"/>
    <row r="765" customFormat="1"/>
    <row r="766" customFormat="1"/>
    <row r="767" customFormat="1"/>
    <row r="768" customFormat="1"/>
    <row r="769" customFormat="1"/>
    <row r="770" customFormat="1"/>
    <row r="771" customFormat="1"/>
    <row r="772" customFormat="1"/>
    <row r="773" customFormat="1"/>
    <row r="774" customFormat="1"/>
    <row r="775" customFormat="1"/>
    <row r="776" customFormat="1"/>
    <row r="777" customFormat="1"/>
    <row r="778" customFormat="1"/>
    <row r="779" customFormat="1"/>
    <row r="780" customFormat="1"/>
    <row r="781" customFormat="1"/>
    <row r="782" customFormat="1"/>
    <row r="783" customFormat="1"/>
    <row r="784" customFormat="1"/>
    <row r="785" customFormat="1"/>
    <row r="786" customFormat="1"/>
    <row r="787" customFormat="1"/>
    <row r="788" customFormat="1"/>
    <row r="789" customFormat="1"/>
    <row r="790" customFormat="1"/>
    <row r="791" customFormat="1"/>
    <row r="792" customFormat="1"/>
    <row r="793" customFormat="1"/>
    <row r="794" customFormat="1"/>
    <row r="795" customFormat="1"/>
    <row r="796" customFormat="1"/>
    <row r="797" customFormat="1"/>
    <row r="798" customFormat="1"/>
    <row r="799" customFormat="1"/>
    <row r="800" customFormat="1"/>
    <row r="801" customFormat="1"/>
    <row r="802" customFormat="1"/>
    <row r="803" customFormat="1"/>
    <row r="804" customFormat="1"/>
    <row r="805" customFormat="1"/>
    <row r="806" customFormat="1"/>
    <row r="807" customFormat="1"/>
    <row r="808" customFormat="1"/>
    <row r="809" customFormat="1"/>
    <row r="810" customFormat="1"/>
    <row r="811" customFormat="1"/>
    <row r="812" customFormat="1"/>
    <row r="813" customFormat="1"/>
    <row r="814" customFormat="1"/>
    <row r="815" customFormat="1"/>
    <row r="816" customFormat="1"/>
    <row r="817" customFormat="1"/>
    <row r="818" customFormat="1"/>
    <row r="819" customFormat="1"/>
    <row r="820" customFormat="1"/>
    <row r="821" customFormat="1"/>
    <row r="822" customFormat="1"/>
    <row r="823" customFormat="1"/>
    <row r="824" customFormat="1"/>
    <row r="825" customFormat="1"/>
    <row r="826" customFormat="1"/>
    <row r="827" customFormat="1"/>
    <row r="828" customFormat="1"/>
    <row r="829" customFormat="1"/>
    <row r="830" customFormat="1"/>
    <row r="831" customFormat="1"/>
    <row r="832" customFormat="1"/>
    <row r="833" customFormat="1"/>
    <row r="834" customFormat="1"/>
    <row r="835" customFormat="1"/>
    <row r="836" customFormat="1"/>
    <row r="837" customFormat="1"/>
    <row r="838" customFormat="1"/>
    <row r="839" customFormat="1"/>
    <row r="840" customFormat="1"/>
    <row r="841" customFormat="1"/>
    <row r="842" customFormat="1"/>
    <row r="843" customFormat="1"/>
    <row r="844" customFormat="1"/>
    <row r="845" customFormat="1"/>
    <row r="846" customFormat="1"/>
    <row r="847" customFormat="1"/>
    <row r="848" customFormat="1"/>
    <row r="849" customFormat="1"/>
    <row r="850" customFormat="1"/>
    <row r="851" customFormat="1"/>
    <row r="852" customFormat="1"/>
    <row r="853" customFormat="1"/>
    <row r="854" customFormat="1"/>
    <row r="855" customFormat="1"/>
    <row r="856" customFormat="1"/>
    <row r="857" customFormat="1"/>
    <row r="858" customFormat="1"/>
    <row r="859" customFormat="1"/>
    <row r="860" customFormat="1"/>
    <row r="861" customFormat="1"/>
    <row r="862" customFormat="1"/>
    <row r="863" customFormat="1"/>
    <row r="864" customFormat="1"/>
    <row r="865" customFormat="1"/>
    <row r="866" customFormat="1"/>
    <row r="867" customFormat="1"/>
    <row r="868" customFormat="1"/>
    <row r="869" customFormat="1"/>
    <row r="870" customFormat="1"/>
    <row r="871" customFormat="1"/>
    <row r="872" customFormat="1"/>
    <row r="873" customFormat="1"/>
    <row r="874" customFormat="1"/>
    <row r="875" customFormat="1"/>
    <row r="876" customFormat="1"/>
    <row r="877" customFormat="1"/>
    <row r="878" customFormat="1"/>
    <row r="879" customFormat="1"/>
    <row r="880" customFormat="1"/>
    <row r="881" customFormat="1"/>
    <row r="882" customFormat="1"/>
    <row r="883" customFormat="1"/>
    <row r="884" customFormat="1"/>
    <row r="885" customFormat="1"/>
    <row r="886" customFormat="1"/>
    <row r="887" customFormat="1"/>
    <row r="888" customFormat="1"/>
    <row r="889" customFormat="1"/>
    <row r="890" customFormat="1"/>
    <row r="891" customFormat="1"/>
    <row r="892" customFormat="1"/>
    <row r="893" customFormat="1"/>
    <row r="894" customFormat="1"/>
    <row r="895" customFormat="1"/>
    <row r="896" customFormat="1"/>
    <row r="897" customFormat="1"/>
    <row r="898" customFormat="1"/>
    <row r="899" customFormat="1"/>
    <row r="900" customFormat="1"/>
    <row r="901" customFormat="1"/>
    <row r="902" customFormat="1"/>
    <row r="903" customFormat="1"/>
    <row r="904" customFormat="1"/>
    <row r="905" customFormat="1"/>
    <row r="906" customFormat="1"/>
    <row r="907" customFormat="1"/>
    <row r="908" customFormat="1"/>
    <row r="909" customFormat="1"/>
    <row r="910" customFormat="1"/>
    <row r="911" customFormat="1"/>
    <row r="912" customFormat="1"/>
    <row r="913" customFormat="1"/>
    <row r="914" customFormat="1"/>
    <row r="915" customFormat="1"/>
    <row r="916" customFormat="1"/>
    <row r="917" customFormat="1"/>
    <row r="918" customFormat="1"/>
    <row r="919" customFormat="1"/>
    <row r="920" customFormat="1"/>
    <row r="921" customFormat="1"/>
    <row r="922" customFormat="1"/>
    <row r="923" customFormat="1"/>
    <row r="924" customFormat="1"/>
    <row r="925" customFormat="1"/>
    <row r="926" customFormat="1"/>
    <row r="927" customFormat="1"/>
    <row r="928" customFormat="1"/>
    <row r="929" customFormat="1"/>
    <row r="930" customFormat="1"/>
    <row r="931" customFormat="1"/>
    <row r="932" customFormat="1"/>
    <row r="933" customFormat="1"/>
    <row r="934" customFormat="1"/>
    <row r="935" customFormat="1"/>
    <row r="936" customFormat="1"/>
    <row r="937" customFormat="1"/>
    <row r="938" customFormat="1"/>
    <row r="939" customFormat="1"/>
    <row r="940" customFormat="1"/>
    <row r="941" customFormat="1"/>
    <row r="942" customFormat="1"/>
    <row r="943" customFormat="1"/>
    <row r="944" customFormat="1"/>
    <row r="945" customFormat="1"/>
    <row r="946" customFormat="1"/>
    <row r="947" customFormat="1"/>
    <row r="948" customFormat="1"/>
    <row r="949" customFormat="1"/>
    <row r="950" customFormat="1"/>
    <row r="951" customFormat="1"/>
    <row r="952" customFormat="1"/>
    <row r="953" customFormat="1"/>
    <row r="954" customFormat="1"/>
    <row r="955" customFormat="1"/>
    <row r="956" customFormat="1"/>
    <row r="957" customFormat="1"/>
    <row r="958" customFormat="1"/>
    <row r="959" customFormat="1"/>
    <row r="960" customFormat="1"/>
    <row r="961" customFormat="1"/>
    <row r="962" customFormat="1"/>
    <row r="963" customFormat="1"/>
    <row r="964" customFormat="1"/>
    <row r="965" customFormat="1"/>
    <row r="966" customFormat="1"/>
    <row r="967" customFormat="1"/>
    <row r="968" customFormat="1"/>
    <row r="969" customFormat="1"/>
    <row r="970" customFormat="1"/>
    <row r="971" customFormat="1"/>
    <row r="972" customFormat="1"/>
    <row r="973" customFormat="1"/>
    <row r="974" customFormat="1"/>
    <row r="975" customFormat="1"/>
    <row r="976" customFormat="1"/>
    <row r="977" customFormat="1"/>
    <row r="978" customFormat="1"/>
    <row r="979" customFormat="1"/>
    <row r="980" customFormat="1"/>
    <row r="981" customFormat="1"/>
    <row r="982" customFormat="1"/>
    <row r="983" customFormat="1"/>
    <row r="984" customFormat="1"/>
    <row r="985" customFormat="1"/>
    <row r="986" customFormat="1"/>
    <row r="987" customFormat="1"/>
    <row r="988" customFormat="1"/>
    <row r="989" customFormat="1"/>
    <row r="990" customFormat="1"/>
    <row r="991" customFormat="1"/>
    <row r="992" customFormat="1"/>
    <row r="993" customFormat="1"/>
    <row r="994" customFormat="1"/>
    <row r="995" customFormat="1"/>
    <row r="996" customFormat="1"/>
    <row r="997" customFormat="1"/>
    <row r="998" customFormat="1"/>
    <row r="999" customFormat="1"/>
    <row r="1000" customFormat="1"/>
    <row r="1001" customFormat="1"/>
    <row r="1002" customFormat="1"/>
    <row r="1003" customFormat="1"/>
    <row r="1004" customFormat="1"/>
    <row r="1005" customFormat="1"/>
    <row r="1006" customFormat="1"/>
    <row r="1007" customFormat="1"/>
    <row r="1008" customFormat="1"/>
    <row r="1009" customFormat="1"/>
    <row r="1010" customFormat="1"/>
    <row r="1011" customFormat="1"/>
    <row r="1012" customFormat="1"/>
    <row r="1013" customFormat="1"/>
    <row r="1014" customFormat="1"/>
    <row r="1015" customFormat="1"/>
    <row r="1016" customFormat="1"/>
    <row r="1017" customFormat="1"/>
    <row r="1018" customFormat="1"/>
    <row r="1019" customFormat="1"/>
    <row r="1020" customFormat="1"/>
    <row r="1021" customFormat="1"/>
    <row r="1022" customFormat="1"/>
    <row r="1023" customFormat="1"/>
    <row r="1024" customFormat="1"/>
    <row r="1025" customFormat="1"/>
    <row r="1026" customFormat="1"/>
    <row r="1027" customFormat="1"/>
    <row r="1028" customFormat="1"/>
    <row r="1029" customFormat="1"/>
    <row r="1030" customFormat="1"/>
    <row r="1031" customFormat="1"/>
    <row r="1032" customFormat="1"/>
    <row r="1033" customFormat="1"/>
    <row r="1034" customFormat="1"/>
    <row r="1035" customFormat="1"/>
    <row r="1036" customFormat="1"/>
    <row r="1037" customFormat="1"/>
    <row r="1038" customFormat="1"/>
    <row r="1039" customFormat="1"/>
    <row r="1040" customFormat="1"/>
    <row r="1041" customFormat="1"/>
    <row r="1042" customFormat="1"/>
    <row r="1043" customFormat="1"/>
    <row r="1044" customFormat="1"/>
    <row r="1045" customFormat="1"/>
    <row r="1046" customFormat="1"/>
    <row r="1047" customFormat="1"/>
    <row r="1048" customFormat="1"/>
    <row r="1049" customFormat="1"/>
    <row r="1050" customFormat="1"/>
    <row r="1051" customFormat="1"/>
    <row r="1052" customFormat="1"/>
    <row r="1053" customFormat="1"/>
    <row r="1054" customFormat="1"/>
    <row r="1055" customFormat="1"/>
    <row r="1056" customFormat="1"/>
    <row r="1057" customFormat="1"/>
    <row r="1058" customFormat="1"/>
    <row r="1059" customFormat="1"/>
    <row r="1060" customFormat="1"/>
    <row r="1061" customFormat="1"/>
    <row r="1062" customFormat="1"/>
    <row r="1063" customFormat="1"/>
    <row r="1064" customFormat="1"/>
    <row r="1065" customFormat="1"/>
    <row r="1066" customFormat="1"/>
    <row r="1067" customFormat="1"/>
    <row r="1068" customFormat="1"/>
    <row r="1069" customFormat="1"/>
    <row r="1070" customFormat="1"/>
    <row r="1071" customFormat="1"/>
    <row r="1072" customFormat="1"/>
    <row r="1073" customFormat="1"/>
    <row r="1074" customFormat="1"/>
    <row r="1075" customFormat="1"/>
    <row r="1076" customFormat="1"/>
    <row r="1077" customFormat="1"/>
    <row r="1078" customFormat="1"/>
    <row r="1079" customFormat="1"/>
    <row r="1080" customFormat="1"/>
    <row r="1081" customFormat="1"/>
    <row r="1082" customFormat="1"/>
    <row r="1083" customFormat="1"/>
    <row r="1084" customFormat="1"/>
    <row r="1085" customFormat="1"/>
    <row r="1086" customFormat="1"/>
    <row r="1087" customFormat="1"/>
    <row r="1088" customFormat="1"/>
    <row r="1089" customFormat="1"/>
    <row r="1090" customFormat="1"/>
    <row r="1091" customFormat="1"/>
    <row r="1092" customFormat="1"/>
    <row r="1093" customFormat="1"/>
    <row r="1094" customFormat="1"/>
    <row r="1095" customFormat="1"/>
    <row r="1096" customFormat="1"/>
    <row r="1097" customFormat="1"/>
    <row r="1098" customFormat="1"/>
    <row r="1099" customFormat="1"/>
    <row r="1100" customFormat="1"/>
    <row r="1101" customFormat="1"/>
    <row r="1102" customFormat="1"/>
    <row r="1103" customFormat="1"/>
    <row r="1104" customFormat="1"/>
    <row r="1105" customFormat="1"/>
    <row r="1106" customFormat="1"/>
    <row r="1107" customFormat="1"/>
    <row r="1108" customFormat="1"/>
    <row r="1109" customFormat="1"/>
    <row r="1110" customFormat="1"/>
    <row r="1111" customFormat="1"/>
    <row r="1112" customFormat="1"/>
    <row r="1113" customFormat="1"/>
    <row r="1114" customFormat="1"/>
    <row r="1115" customFormat="1"/>
    <row r="1116" customFormat="1"/>
    <row r="1117" customFormat="1"/>
    <row r="1118" customFormat="1"/>
    <row r="1119" customFormat="1"/>
    <row r="1120" customFormat="1"/>
    <row r="1121" customFormat="1"/>
    <row r="1122" customFormat="1"/>
    <row r="1123" customFormat="1"/>
    <row r="1124" customFormat="1"/>
    <row r="1125" customFormat="1"/>
    <row r="1126" customFormat="1"/>
    <row r="1127" customFormat="1"/>
    <row r="1128" customFormat="1"/>
    <row r="1129" customFormat="1"/>
    <row r="1130" customFormat="1"/>
    <row r="1131" customFormat="1"/>
    <row r="1132" customFormat="1"/>
    <row r="1133" customFormat="1"/>
    <row r="1134" customFormat="1"/>
    <row r="1135" customFormat="1"/>
    <row r="1136" customFormat="1"/>
    <row r="1137" customFormat="1"/>
    <row r="1138" customFormat="1"/>
    <row r="1139" customFormat="1"/>
    <row r="1140" customFormat="1"/>
    <row r="1141" customFormat="1"/>
    <row r="1142" customFormat="1"/>
    <row r="1143" customFormat="1"/>
    <row r="1144" customFormat="1"/>
    <row r="1145" customFormat="1"/>
    <row r="1146" customFormat="1"/>
    <row r="1147" customFormat="1"/>
    <row r="1148" customFormat="1"/>
    <row r="1149" customFormat="1"/>
    <row r="1150" customFormat="1"/>
    <row r="1151" customFormat="1"/>
    <row r="1152" customFormat="1"/>
    <row r="1153" customFormat="1"/>
    <row r="1154" customFormat="1"/>
    <row r="1155" customFormat="1"/>
    <row r="1156" customFormat="1"/>
    <row r="1157" customFormat="1"/>
    <row r="1158" customFormat="1"/>
    <row r="1159" customFormat="1"/>
    <row r="1160" customFormat="1"/>
    <row r="1161" customFormat="1"/>
    <row r="1162" customFormat="1"/>
    <row r="1163" customFormat="1"/>
    <row r="1164" customFormat="1"/>
    <row r="1165" customFormat="1"/>
    <row r="1166" customFormat="1"/>
    <row r="1167" customFormat="1"/>
    <row r="1168" customFormat="1"/>
    <row r="1169" customFormat="1"/>
    <row r="1170" customFormat="1"/>
    <row r="1171" customFormat="1"/>
    <row r="1172" customFormat="1"/>
    <row r="1173" customFormat="1"/>
    <row r="1174" customFormat="1"/>
    <row r="1175" customFormat="1"/>
    <row r="1176" customFormat="1"/>
    <row r="1177" customFormat="1"/>
    <row r="1178" customFormat="1"/>
    <row r="1179" customFormat="1"/>
    <row r="1180" customFormat="1"/>
    <row r="1181" customFormat="1"/>
    <row r="1182" customFormat="1"/>
    <row r="1183" customFormat="1"/>
    <row r="1184" customFormat="1"/>
    <row r="1185" customFormat="1"/>
    <row r="1186" customFormat="1"/>
    <row r="1187" customFormat="1"/>
    <row r="1188" customFormat="1"/>
    <row r="1189" customFormat="1"/>
    <row r="1190" customFormat="1"/>
    <row r="1191" customFormat="1"/>
    <row r="1192" customFormat="1"/>
    <row r="1193" customFormat="1"/>
    <row r="1194" customFormat="1"/>
    <row r="1195" customFormat="1"/>
    <row r="1196" customFormat="1"/>
    <row r="1197" customFormat="1"/>
    <row r="1198" customFormat="1"/>
    <row r="1199" customFormat="1"/>
    <row r="1200" customFormat="1"/>
    <row r="1201" customFormat="1"/>
    <row r="1202" customFormat="1"/>
    <row r="1203" customFormat="1"/>
    <row r="1204" customFormat="1"/>
    <row r="1205" customFormat="1"/>
    <row r="1206" customFormat="1"/>
    <row r="1207" customFormat="1"/>
    <row r="1208" customFormat="1"/>
    <row r="1209" customFormat="1"/>
    <row r="1210" customFormat="1"/>
    <row r="1211" customFormat="1"/>
    <row r="1212" customFormat="1"/>
    <row r="1213" customFormat="1"/>
    <row r="1214" customFormat="1"/>
    <row r="1215" customFormat="1"/>
    <row r="1216" customFormat="1"/>
    <row r="1217" customFormat="1"/>
    <row r="1218" customFormat="1"/>
    <row r="1219" customFormat="1"/>
    <row r="1220" customFormat="1"/>
    <row r="1221" customFormat="1"/>
    <row r="1222" customFormat="1"/>
    <row r="1223" customFormat="1"/>
    <row r="1224" customFormat="1"/>
    <row r="1225" customFormat="1"/>
    <row r="1226" customFormat="1"/>
    <row r="1227" customFormat="1"/>
    <row r="1228" customFormat="1"/>
    <row r="1229" customFormat="1"/>
    <row r="1230" customFormat="1"/>
    <row r="1231" customFormat="1"/>
    <row r="1232" customFormat="1"/>
    <row r="1233" customFormat="1"/>
    <row r="1234" customFormat="1"/>
    <row r="1235" customFormat="1"/>
    <row r="1236" customFormat="1"/>
    <row r="1237" customFormat="1"/>
    <row r="1238" customFormat="1"/>
    <row r="1239" customFormat="1"/>
    <row r="1240" customFormat="1"/>
    <row r="1241" customFormat="1"/>
    <row r="1242" customFormat="1"/>
    <row r="1243" customFormat="1"/>
    <row r="1244" customFormat="1"/>
    <row r="1245" customFormat="1"/>
    <row r="1246" customFormat="1"/>
    <row r="1247" customFormat="1"/>
    <row r="1248" customFormat="1"/>
    <row r="1249" customFormat="1"/>
    <row r="1250" customFormat="1"/>
    <row r="1251" customFormat="1"/>
    <row r="1252" customFormat="1"/>
    <row r="1253" customFormat="1"/>
    <row r="1254" customFormat="1"/>
    <row r="1255" customFormat="1"/>
    <row r="1256" customFormat="1"/>
    <row r="1257" customFormat="1"/>
    <row r="1258" customFormat="1"/>
    <row r="1259" customFormat="1"/>
    <row r="1260" customFormat="1"/>
    <row r="1261" customFormat="1"/>
    <row r="1262" customFormat="1"/>
    <row r="1263" customFormat="1"/>
    <row r="1264" customFormat="1"/>
    <row r="1265" customFormat="1"/>
    <row r="1266" customFormat="1"/>
    <row r="1267" customFormat="1"/>
    <row r="1268" customFormat="1"/>
    <row r="1269" customFormat="1"/>
    <row r="1270" customFormat="1"/>
    <row r="1271" customFormat="1"/>
    <row r="1272" customFormat="1"/>
    <row r="1273" customFormat="1"/>
    <row r="1274" customFormat="1"/>
    <row r="1275" customFormat="1"/>
    <row r="1276" customFormat="1"/>
    <row r="1277" customFormat="1"/>
    <row r="1278" customFormat="1"/>
    <row r="1279" customFormat="1"/>
    <row r="1280" customFormat="1"/>
    <row r="1281" customFormat="1"/>
    <row r="1282" customFormat="1"/>
    <row r="1283" customFormat="1"/>
    <row r="1284" customFormat="1"/>
    <row r="1285" customFormat="1"/>
    <row r="1286" customFormat="1"/>
    <row r="1287" customFormat="1"/>
    <row r="1288" customFormat="1"/>
    <row r="1289" customFormat="1"/>
    <row r="1290" customFormat="1"/>
    <row r="1291" customFormat="1"/>
    <row r="1292" customFormat="1"/>
    <row r="1293" customFormat="1"/>
    <row r="1294" customFormat="1"/>
    <row r="1295" customFormat="1"/>
    <row r="1296" customFormat="1"/>
    <row r="1297" customFormat="1"/>
    <row r="1298" customFormat="1"/>
    <row r="1299" customFormat="1"/>
    <row r="1300" customFormat="1"/>
    <row r="1301" customFormat="1"/>
    <row r="1302" customFormat="1"/>
    <row r="1303" customFormat="1"/>
    <row r="1304" customFormat="1"/>
    <row r="1305" customFormat="1"/>
    <row r="1306" customFormat="1"/>
    <row r="1307" customFormat="1"/>
    <row r="1308" customFormat="1"/>
    <row r="1309" customFormat="1"/>
    <row r="1310" customFormat="1"/>
    <row r="1311" customFormat="1"/>
    <row r="1312" customFormat="1"/>
    <row r="1313" customFormat="1"/>
    <row r="1314" customFormat="1"/>
    <row r="1315" customFormat="1"/>
    <row r="1316" customFormat="1"/>
    <row r="1317" customFormat="1"/>
    <row r="1318" customFormat="1"/>
    <row r="1319" customFormat="1"/>
    <row r="1320" customFormat="1"/>
    <row r="1321" customFormat="1"/>
    <row r="1322" customFormat="1"/>
    <row r="1323" customFormat="1"/>
    <row r="1324" customFormat="1"/>
    <row r="1325" customFormat="1"/>
    <row r="1326" customFormat="1"/>
    <row r="1327" customFormat="1"/>
    <row r="1328" customFormat="1"/>
    <row r="1329" customFormat="1"/>
    <row r="1330" customFormat="1"/>
    <row r="1331" customFormat="1"/>
    <row r="1332" customFormat="1"/>
    <row r="1333" customFormat="1"/>
    <row r="1334" customFormat="1"/>
    <row r="1335" customFormat="1"/>
    <row r="1336" customFormat="1"/>
    <row r="1337" customFormat="1"/>
    <row r="1338" customFormat="1"/>
    <row r="1339" customFormat="1"/>
    <row r="1340" customFormat="1"/>
    <row r="1341" customFormat="1"/>
    <row r="1342" customFormat="1"/>
    <row r="1343" customFormat="1"/>
    <row r="1344" customFormat="1"/>
    <row r="1345" customFormat="1"/>
    <row r="1346" customFormat="1"/>
    <row r="1347" customFormat="1"/>
    <row r="1348" customFormat="1"/>
    <row r="1349" customFormat="1"/>
    <row r="1350" customFormat="1"/>
    <row r="1351" customFormat="1"/>
    <row r="1352" customFormat="1"/>
    <row r="1353" customFormat="1"/>
    <row r="1354" customFormat="1"/>
    <row r="1355" customFormat="1"/>
    <row r="1356" customFormat="1"/>
    <row r="1357" customFormat="1"/>
    <row r="1358" customFormat="1"/>
    <row r="1359" customFormat="1"/>
    <row r="1360" customFormat="1"/>
    <row r="1361" customFormat="1"/>
    <row r="1362" customFormat="1"/>
    <row r="1363" customFormat="1"/>
    <row r="1364" customFormat="1"/>
    <row r="1365" customFormat="1"/>
    <row r="1366" customFormat="1"/>
    <row r="1367" customFormat="1"/>
    <row r="1368" customFormat="1"/>
    <row r="1369" customFormat="1"/>
    <row r="1370" customFormat="1"/>
    <row r="1371" customFormat="1"/>
    <row r="1372" customFormat="1"/>
    <row r="1373" customFormat="1"/>
    <row r="1374" customFormat="1"/>
    <row r="1375" customFormat="1"/>
    <row r="1376" customFormat="1"/>
    <row r="1377" customFormat="1"/>
    <row r="1378" customFormat="1"/>
    <row r="1379" customFormat="1"/>
    <row r="1380" customFormat="1"/>
    <row r="1381" customFormat="1"/>
    <row r="1382" customFormat="1"/>
    <row r="1383" customFormat="1"/>
    <row r="1384" customFormat="1"/>
    <row r="1385" customFormat="1"/>
    <row r="1386" customFormat="1"/>
    <row r="1387" customFormat="1"/>
    <row r="1388" customFormat="1"/>
    <row r="1389" customFormat="1"/>
    <row r="1390" customFormat="1"/>
    <row r="1391" customFormat="1"/>
    <row r="1392" customFormat="1"/>
    <row r="1393" customFormat="1"/>
    <row r="1394" customFormat="1"/>
    <row r="1395" customFormat="1"/>
    <row r="1396" customFormat="1"/>
    <row r="1397" customFormat="1"/>
    <row r="1398" customFormat="1"/>
    <row r="1399" customFormat="1"/>
    <row r="1400" customFormat="1"/>
    <row r="1401" customFormat="1"/>
    <row r="1402" customFormat="1"/>
    <row r="1403" customFormat="1"/>
    <row r="1404" customFormat="1"/>
    <row r="1405" customFormat="1"/>
    <row r="1406" customFormat="1"/>
    <row r="1407" customFormat="1"/>
    <row r="1408" customFormat="1"/>
    <row r="1409" customFormat="1"/>
    <row r="1410" customFormat="1"/>
    <row r="1411" customFormat="1"/>
    <row r="1412" customFormat="1"/>
    <row r="1413" customFormat="1"/>
    <row r="1414" customFormat="1"/>
    <row r="1415" customFormat="1"/>
    <row r="1416" customFormat="1"/>
    <row r="1417" customFormat="1"/>
    <row r="1418" customFormat="1"/>
    <row r="1419" customFormat="1"/>
    <row r="1420" customFormat="1"/>
    <row r="1421" customFormat="1"/>
    <row r="1422" customFormat="1"/>
    <row r="1423" customFormat="1"/>
    <row r="1424" customFormat="1"/>
    <row r="1425" customFormat="1"/>
    <row r="1426" customFormat="1"/>
    <row r="1427" customFormat="1"/>
    <row r="1428" customFormat="1"/>
    <row r="1429" customFormat="1"/>
    <row r="1430" customFormat="1"/>
    <row r="1431" customFormat="1"/>
    <row r="1432" customFormat="1"/>
    <row r="1433" customFormat="1"/>
    <row r="1434" customFormat="1"/>
    <row r="1435" customFormat="1"/>
    <row r="1436" customFormat="1"/>
    <row r="1437" customFormat="1"/>
    <row r="1438" customFormat="1"/>
    <row r="1439" customFormat="1"/>
    <row r="1440" customFormat="1"/>
    <row r="1441" customFormat="1"/>
    <row r="1442" customFormat="1"/>
    <row r="1443" customFormat="1"/>
    <row r="1444" customFormat="1"/>
    <row r="1445" customFormat="1"/>
    <row r="1446" customFormat="1"/>
    <row r="1447" customFormat="1"/>
    <row r="1448" customFormat="1"/>
    <row r="1449" customFormat="1"/>
    <row r="1450" customFormat="1"/>
    <row r="1451" customFormat="1"/>
    <row r="1452" customFormat="1"/>
    <row r="1453" customFormat="1"/>
    <row r="1454" customFormat="1"/>
    <row r="1455" customFormat="1"/>
    <row r="1456" customFormat="1"/>
    <row r="1457" customFormat="1"/>
    <row r="1458" customFormat="1"/>
    <row r="1459" customFormat="1"/>
    <row r="1460" customFormat="1"/>
    <row r="1461" customFormat="1"/>
    <row r="1462" customFormat="1"/>
    <row r="1463" customFormat="1"/>
    <row r="1464" customFormat="1"/>
    <row r="1465" customFormat="1"/>
    <row r="1466" customFormat="1"/>
    <row r="1467" customFormat="1"/>
    <row r="1468" customFormat="1"/>
    <row r="1469" customFormat="1"/>
    <row r="1470" customFormat="1"/>
    <row r="1471" customFormat="1"/>
    <row r="1472" customFormat="1"/>
    <row r="1473" customFormat="1"/>
    <row r="1474" customFormat="1"/>
    <row r="1475" customFormat="1"/>
    <row r="1476" customFormat="1"/>
    <row r="1477" customFormat="1"/>
    <row r="1478" customFormat="1"/>
    <row r="1479" customFormat="1"/>
    <row r="1480" customFormat="1"/>
    <row r="1481" customFormat="1"/>
    <row r="1482" customFormat="1"/>
    <row r="1483" customFormat="1"/>
    <row r="1484" customFormat="1"/>
    <row r="1485" customFormat="1"/>
    <row r="1486" customFormat="1"/>
    <row r="1487" customFormat="1"/>
    <row r="1488" customFormat="1"/>
    <row r="1489" customFormat="1"/>
    <row r="1490" customFormat="1"/>
    <row r="1491" customFormat="1"/>
    <row r="1492" customFormat="1"/>
    <row r="1493" customFormat="1"/>
    <row r="1494" customFormat="1"/>
    <row r="1495" customFormat="1"/>
    <row r="1496" customFormat="1"/>
    <row r="1497" customFormat="1"/>
    <row r="1498" customFormat="1"/>
    <row r="1499" customFormat="1"/>
    <row r="1500" customFormat="1"/>
    <row r="1501" customFormat="1"/>
    <row r="1502" customFormat="1"/>
    <row r="1503" customFormat="1"/>
    <row r="1504" customFormat="1"/>
    <row r="1505" customFormat="1"/>
    <row r="1506" customFormat="1"/>
    <row r="1507" customFormat="1"/>
    <row r="1508" customFormat="1"/>
    <row r="1509" customFormat="1"/>
    <row r="1510" customFormat="1"/>
    <row r="1511" customFormat="1"/>
    <row r="1512" customFormat="1"/>
    <row r="1513" customFormat="1"/>
    <row r="1514" customFormat="1"/>
    <row r="1515" customFormat="1"/>
    <row r="1516" customFormat="1"/>
    <row r="1517" customFormat="1"/>
    <row r="1518" customFormat="1"/>
    <row r="1519" customFormat="1"/>
    <row r="1520" customFormat="1"/>
    <row r="1521" customFormat="1"/>
    <row r="1522" customFormat="1"/>
    <row r="1523" customFormat="1"/>
    <row r="1524" customFormat="1"/>
    <row r="1525" customFormat="1"/>
    <row r="1526" customFormat="1"/>
    <row r="1527" customFormat="1"/>
    <row r="1528" customFormat="1"/>
    <row r="1529" customFormat="1"/>
    <row r="1530" customFormat="1"/>
    <row r="1531" customFormat="1"/>
    <row r="1532" customFormat="1"/>
    <row r="1533" customFormat="1"/>
    <row r="1534" customFormat="1"/>
    <row r="1535" customFormat="1"/>
    <row r="1536" customFormat="1"/>
    <row r="1537" customFormat="1"/>
    <row r="1538" customFormat="1"/>
    <row r="1539" customFormat="1"/>
    <row r="1540" customFormat="1"/>
    <row r="1541" customFormat="1"/>
    <row r="1542" customFormat="1"/>
    <row r="1543" customFormat="1"/>
    <row r="1544" customFormat="1"/>
    <row r="1545" customFormat="1"/>
    <row r="1546" customFormat="1"/>
    <row r="1547" customFormat="1"/>
    <row r="1548" customFormat="1"/>
    <row r="1549" customFormat="1"/>
    <row r="1550" customFormat="1"/>
    <row r="1551" customFormat="1"/>
    <row r="1552" customFormat="1"/>
    <row r="1553" customFormat="1"/>
    <row r="1554" customFormat="1"/>
    <row r="1555" customFormat="1"/>
    <row r="1556" customFormat="1"/>
    <row r="1557" customFormat="1"/>
    <row r="1558" customFormat="1"/>
    <row r="1559" customFormat="1"/>
    <row r="1560" customFormat="1"/>
    <row r="1561" customFormat="1"/>
    <row r="1562" customFormat="1"/>
    <row r="1563" customFormat="1"/>
    <row r="1564" customFormat="1"/>
    <row r="1565" customFormat="1"/>
    <row r="1566" customFormat="1"/>
    <row r="1567" customFormat="1"/>
    <row r="1568" customFormat="1"/>
    <row r="1569" customFormat="1"/>
    <row r="1570" customFormat="1"/>
    <row r="1571" customFormat="1"/>
    <row r="1572" customFormat="1"/>
    <row r="1573" customFormat="1"/>
    <row r="1574" customFormat="1"/>
    <row r="1575" customFormat="1"/>
    <row r="1576" customFormat="1"/>
    <row r="1577" customFormat="1"/>
    <row r="1578" customFormat="1"/>
    <row r="1579" customFormat="1"/>
    <row r="1580" customFormat="1"/>
    <row r="1581" customFormat="1"/>
    <row r="1582" customFormat="1"/>
    <row r="1583" customFormat="1"/>
    <row r="1584" customFormat="1"/>
    <row r="1585" customFormat="1"/>
    <row r="1586" customFormat="1"/>
    <row r="1587" customFormat="1"/>
    <row r="1588" customFormat="1"/>
    <row r="1589" customFormat="1"/>
    <row r="1590" customFormat="1"/>
    <row r="1591" customFormat="1"/>
    <row r="1592" customFormat="1"/>
    <row r="1593" customFormat="1"/>
    <row r="1594" customFormat="1"/>
    <row r="1595" customFormat="1"/>
    <row r="1596" customFormat="1"/>
    <row r="1597" customFormat="1"/>
    <row r="1598" customFormat="1"/>
    <row r="1599" customFormat="1"/>
    <row r="1600" customFormat="1"/>
    <row r="1601" customFormat="1"/>
    <row r="1602" customFormat="1"/>
    <row r="1603" customFormat="1"/>
    <row r="1604" customFormat="1"/>
    <row r="1605" customFormat="1"/>
    <row r="1606" customFormat="1"/>
    <row r="1607" customFormat="1"/>
    <row r="1608" customFormat="1"/>
    <row r="1609" customFormat="1"/>
    <row r="1610" customFormat="1"/>
    <row r="1611" customFormat="1"/>
    <row r="1612" customFormat="1"/>
    <row r="1613" customFormat="1"/>
    <row r="1614" customFormat="1"/>
    <row r="1615" customFormat="1"/>
    <row r="1616" customFormat="1"/>
    <row r="1617" customFormat="1"/>
    <row r="1618" customFormat="1"/>
    <row r="1619" customFormat="1"/>
    <row r="1620" customFormat="1"/>
    <row r="1621" customFormat="1"/>
    <row r="1622" customFormat="1"/>
    <row r="1623" customFormat="1"/>
    <row r="1624" customFormat="1"/>
    <row r="1625" customFormat="1"/>
    <row r="1626" customFormat="1"/>
    <row r="1627" customFormat="1"/>
    <row r="1628" customFormat="1"/>
    <row r="1629" customFormat="1"/>
    <row r="1630" customFormat="1"/>
    <row r="1631" customFormat="1"/>
    <row r="1632" customFormat="1"/>
    <row r="1633" customFormat="1"/>
    <row r="1634" customFormat="1"/>
    <row r="1635" customFormat="1"/>
    <row r="1636" customFormat="1"/>
    <row r="1637" customFormat="1"/>
    <row r="1638" customFormat="1"/>
    <row r="1639" customFormat="1"/>
    <row r="1640" customFormat="1"/>
    <row r="1641" customFormat="1"/>
    <row r="1642" customFormat="1"/>
    <row r="1643" customFormat="1"/>
    <row r="1644" customFormat="1"/>
    <row r="1645" customFormat="1"/>
    <row r="1646" customFormat="1"/>
    <row r="1647" customFormat="1"/>
    <row r="1648" customFormat="1"/>
    <row r="1649" customFormat="1"/>
    <row r="1650" customFormat="1"/>
    <row r="1651" customFormat="1"/>
    <row r="1652" customFormat="1"/>
    <row r="1653" customFormat="1"/>
    <row r="1654" customFormat="1"/>
    <row r="1655" customFormat="1"/>
    <row r="1656" customFormat="1"/>
    <row r="1657" customFormat="1"/>
    <row r="1658" customFormat="1"/>
    <row r="1659" customFormat="1"/>
    <row r="1660" customFormat="1"/>
    <row r="1661" customFormat="1"/>
    <row r="1662" customFormat="1"/>
    <row r="1663" customFormat="1"/>
    <row r="1664" customFormat="1"/>
    <row r="1665" customFormat="1"/>
    <row r="1666" customFormat="1"/>
    <row r="1667" customFormat="1"/>
    <row r="1668" customFormat="1"/>
    <row r="1669" customFormat="1"/>
    <row r="1670" customFormat="1"/>
    <row r="1671" customFormat="1"/>
    <row r="1672" customFormat="1"/>
    <row r="1673" customFormat="1"/>
    <row r="1674" customFormat="1"/>
    <row r="1675" customFormat="1"/>
    <row r="1676" customFormat="1"/>
    <row r="1677" customFormat="1"/>
    <row r="1678" customFormat="1"/>
    <row r="1679" customFormat="1"/>
    <row r="1680" customFormat="1"/>
    <row r="1681" customFormat="1"/>
    <row r="1682" customFormat="1"/>
    <row r="1683" customFormat="1"/>
    <row r="1684" customFormat="1"/>
    <row r="1685" customFormat="1"/>
    <row r="1686" customFormat="1"/>
    <row r="1687" customFormat="1"/>
    <row r="1688" customFormat="1"/>
    <row r="1689" customFormat="1"/>
    <row r="1690" customFormat="1"/>
    <row r="1691" customFormat="1"/>
    <row r="1692" customFormat="1"/>
    <row r="1693" customFormat="1"/>
    <row r="1694" customFormat="1"/>
    <row r="1695" customFormat="1"/>
    <row r="1696" customFormat="1"/>
    <row r="1697" customFormat="1"/>
    <row r="1698" customFormat="1"/>
    <row r="1699" customFormat="1"/>
    <row r="1700" customFormat="1"/>
    <row r="1701" customFormat="1"/>
    <row r="1702" customFormat="1"/>
    <row r="1703" customFormat="1"/>
    <row r="1704" customFormat="1"/>
    <row r="1705" customFormat="1"/>
    <row r="1706" customFormat="1"/>
    <row r="1707" customFormat="1"/>
    <row r="1708" customFormat="1"/>
    <row r="1709" customFormat="1"/>
    <row r="1710" customFormat="1"/>
    <row r="1711" customFormat="1"/>
    <row r="1712" customFormat="1"/>
    <row r="1713" customFormat="1"/>
    <row r="1714" customFormat="1"/>
    <row r="1715" customFormat="1"/>
    <row r="1716" customFormat="1"/>
    <row r="1717" customFormat="1"/>
    <row r="1718" customFormat="1"/>
    <row r="1719" customFormat="1"/>
    <row r="1720" customFormat="1"/>
    <row r="1721" customFormat="1"/>
    <row r="1722" customFormat="1"/>
    <row r="1723" customFormat="1"/>
    <row r="1724" customFormat="1"/>
    <row r="1725" customFormat="1"/>
    <row r="1726" customFormat="1"/>
    <row r="1727" customFormat="1"/>
    <row r="1728" customFormat="1"/>
    <row r="1729" customFormat="1"/>
    <row r="1730" customFormat="1"/>
    <row r="1731" customFormat="1"/>
    <row r="1732" customFormat="1"/>
    <row r="1733" customFormat="1"/>
    <row r="1734" customFormat="1"/>
    <row r="1735" customFormat="1"/>
    <row r="1736" customFormat="1"/>
    <row r="1737" customFormat="1"/>
    <row r="1738" customFormat="1"/>
    <row r="1739" customFormat="1"/>
    <row r="1740" customFormat="1"/>
    <row r="1741" customFormat="1"/>
    <row r="1742" customFormat="1"/>
    <row r="1743" customFormat="1"/>
    <row r="1744" customFormat="1"/>
    <row r="1745" customFormat="1"/>
    <row r="1746" customFormat="1"/>
    <row r="1747" customFormat="1"/>
    <row r="1748" customFormat="1"/>
    <row r="1749" customFormat="1"/>
    <row r="1750" customFormat="1"/>
    <row r="1751" customFormat="1"/>
    <row r="1752" customFormat="1"/>
    <row r="1753" customFormat="1"/>
    <row r="1754" customFormat="1"/>
    <row r="1755" customFormat="1"/>
    <row r="1756" customFormat="1"/>
    <row r="1757" customFormat="1"/>
    <row r="1758" customFormat="1"/>
    <row r="1759" customFormat="1"/>
    <row r="1760" customFormat="1"/>
    <row r="1761" customFormat="1"/>
    <row r="1762" customFormat="1"/>
    <row r="1763" customFormat="1"/>
    <row r="1764" customFormat="1"/>
    <row r="1765" customFormat="1"/>
    <row r="1766" customFormat="1"/>
    <row r="1767" customFormat="1"/>
    <row r="1768" customFormat="1"/>
    <row r="1769" customFormat="1"/>
    <row r="1770" customFormat="1"/>
    <row r="1771" customFormat="1"/>
    <row r="1772" customFormat="1"/>
    <row r="1773" customFormat="1"/>
    <row r="1774" customFormat="1"/>
    <row r="1775" customFormat="1"/>
    <row r="1776" customFormat="1"/>
    <row r="1777" customFormat="1"/>
    <row r="1778" customFormat="1"/>
    <row r="1779" customFormat="1"/>
    <row r="1780" customFormat="1"/>
    <row r="1781" customFormat="1"/>
    <row r="1782" customFormat="1"/>
    <row r="1783" customFormat="1"/>
    <row r="1784" customFormat="1"/>
    <row r="1785" customFormat="1"/>
    <row r="1786" customFormat="1"/>
    <row r="1787" customFormat="1"/>
    <row r="1788" customFormat="1"/>
    <row r="1789" customFormat="1"/>
    <row r="1790" customFormat="1"/>
    <row r="1791" customFormat="1"/>
    <row r="1792" customFormat="1"/>
    <row r="1793" customFormat="1"/>
    <row r="1794" customFormat="1"/>
    <row r="1795" customFormat="1"/>
    <row r="1796" customFormat="1"/>
    <row r="1797" customFormat="1"/>
    <row r="1798" customFormat="1"/>
    <row r="1799" customFormat="1"/>
    <row r="1800" customFormat="1"/>
    <row r="1801" customFormat="1"/>
    <row r="1802" customFormat="1"/>
    <row r="1803" customFormat="1"/>
    <row r="1804" customFormat="1"/>
    <row r="1805" customFormat="1"/>
    <row r="1806" customFormat="1"/>
    <row r="1807" customFormat="1"/>
    <row r="1808" customFormat="1"/>
    <row r="1809" customFormat="1"/>
    <row r="1810" customFormat="1"/>
    <row r="1811" customFormat="1"/>
    <row r="1812" customFormat="1"/>
    <row r="1813" customFormat="1"/>
    <row r="1814" customFormat="1"/>
    <row r="1815" customFormat="1"/>
    <row r="1816" customFormat="1"/>
    <row r="1817" customFormat="1"/>
    <row r="1818" customFormat="1"/>
    <row r="1819" customFormat="1"/>
    <row r="1820" customFormat="1"/>
    <row r="1821" customFormat="1"/>
    <row r="1822" customFormat="1"/>
    <row r="1823" customFormat="1"/>
    <row r="1824" customFormat="1"/>
    <row r="1825" customFormat="1"/>
    <row r="1826" customFormat="1"/>
    <row r="1827" customFormat="1"/>
    <row r="1828" customFormat="1"/>
    <row r="1829" customFormat="1"/>
    <row r="1830" customFormat="1"/>
    <row r="1831" customFormat="1"/>
    <row r="1832" customFormat="1"/>
    <row r="1833" customFormat="1"/>
    <row r="1834" customFormat="1"/>
    <row r="1835" customFormat="1"/>
    <row r="1836" customFormat="1"/>
    <row r="1837" customFormat="1"/>
    <row r="1838" customFormat="1"/>
    <row r="1839" customFormat="1"/>
    <row r="1840" customFormat="1"/>
    <row r="1841" customFormat="1"/>
    <row r="1842" customFormat="1"/>
    <row r="1843" customFormat="1"/>
    <row r="1844" customFormat="1"/>
    <row r="1845" customFormat="1"/>
    <row r="1846" customFormat="1"/>
    <row r="1847" customFormat="1"/>
    <row r="1848" customFormat="1"/>
    <row r="1849" customFormat="1"/>
    <row r="1850" customFormat="1"/>
    <row r="1851" customFormat="1"/>
    <row r="1852" customFormat="1"/>
    <row r="1853" customFormat="1"/>
    <row r="1854" customFormat="1"/>
    <row r="1855" customFormat="1"/>
    <row r="1856" customFormat="1"/>
    <row r="1857" customFormat="1"/>
    <row r="1858" customFormat="1"/>
    <row r="1859" customFormat="1"/>
    <row r="1860" customFormat="1"/>
    <row r="1861" customFormat="1"/>
    <row r="1862" customFormat="1"/>
    <row r="1863" customFormat="1"/>
    <row r="1864" customFormat="1"/>
    <row r="1865" customFormat="1"/>
    <row r="1866" customFormat="1"/>
    <row r="1867" customFormat="1"/>
    <row r="1868" customFormat="1"/>
    <row r="1869" customFormat="1"/>
    <row r="1870" customFormat="1"/>
    <row r="1871" customFormat="1"/>
    <row r="1872" customFormat="1"/>
    <row r="1873" customFormat="1"/>
    <row r="1874" customFormat="1"/>
    <row r="1875" customFormat="1"/>
    <row r="1876" customFormat="1"/>
    <row r="1877" customFormat="1"/>
    <row r="1878" customFormat="1"/>
    <row r="1879" customFormat="1"/>
    <row r="1880" customFormat="1"/>
    <row r="1881" customFormat="1"/>
    <row r="1882" customFormat="1"/>
    <row r="1883" customFormat="1"/>
    <row r="1884" customFormat="1"/>
    <row r="1885" customFormat="1"/>
    <row r="1886" customFormat="1"/>
    <row r="1887" customFormat="1"/>
    <row r="1888" customFormat="1"/>
    <row r="1889" customFormat="1"/>
    <row r="1890" customFormat="1"/>
    <row r="1891" customFormat="1"/>
    <row r="1892" customFormat="1"/>
    <row r="1893" customFormat="1"/>
    <row r="1894" customFormat="1"/>
    <row r="1895" customFormat="1"/>
    <row r="1896" customFormat="1"/>
    <row r="1897" customFormat="1"/>
    <row r="1898" customFormat="1"/>
    <row r="1899" customFormat="1"/>
    <row r="1900" customFormat="1"/>
    <row r="1901" customFormat="1"/>
    <row r="1902" customFormat="1"/>
    <row r="1903" customFormat="1"/>
    <row r="1904" customFormat="1"/>
    <row r="1905" customFormat="1"/>
    <row r="1906" customFormat="1"/>
    <row r="1907" customFormat="1"/>
    <row r="1908" customFormat="1"/>
    <row r="1909" customFormat="1"/>
    <row r="1910" customFormat="1"/>
    <row r="1911" customFormat="1"/>
    <row r="1912" customFormat="1"/>
    <row r="1913" customFormat="1"/>
    <row r="1914" customFormat="1"/>
    <row r="1915" customFormat="1"/>
    <row r="1916" customFormat="1"/>
    <row r="1917" customFormat="1"/>
    <row r="1918" customFormat="1"/>
    <row r="1919" customFormat="1"/>
    <row r="1920" customFormat="1"/>
    <row r="1921" customFormat="1"/>
    <row r="1922" customFormat="1"/>
    <row r="1923" customFormat="1"/>
    <row r="1924" customFormat="1"/>
    <row r="1925" customFormat="1"/>
    <row r="1926" customFormat="1"/>
    <row r="1927" customFormat="1"/>
    <row r="1928" customFormat="1"/>
    <row r="1929" customFormat="1"/>
    <row r="1930" customFormat="1"/>
    <row r="1931" customFormat="1"/>
    <row r="1932" customFormat="1"/>
    <row r="1933" customFormat="1"/>
    <row r="1934" customFormat="1"/>
    <row r="1935" customFormat="1"/>
    <row r="1936" customFormat="1"/>
    <row r="1937" customFormat="1"/>
    <row r="1938" customFormat="1"/>
    <row r="1939" customFormat="1"/>
    <row r="1940" customFormat="1"/>
    <row r="1941" customFormat="1"/>
    <row r="1942" customFormat="1"/>
    <row r="1943" customFormat="1"/>
    <row r="1944" customFormat="1"/>
    <row r="1945" customFormat="1"/>
    <row r="1946" customFormat="1"/>
    <row r="1947" customFormat="1"/>
    <row r="1948" customFormat="1"/>
    <row r="1949" customFormat="1"/>
    <row r="1950" customFormat="1"/>
    <row r="1951" customFormat="1"/>
    <row r="1952" customFormat="1"/>
    <row r="1953" customFormat="1"/>
    <row r="1954" customFormat="1"/>
    <row r="1955" customFormat="1"/>
    <row r="1956" customFormat="1"/>
    <row r="1957" customFormat="1"/>
    <row r="1958" customFormat="1"/>
    <row r="1959" customFormat="1"/>
    <row r="1960" customFormat="1"/>
    <row r="1961" customFormat="1"/>
    <row r="1962" customFormat="1"/>
    <row r="1963" customFormat="1"/>
    <row r="1964" customFormat="1"/>
    <row r="1965" customFormat="1"/>
    <row r="1966" customFormat="1"/>
    <row r="1967" customFormat="1"/>
    <row r="1968" customFormat="1"/>
    <row r="1969" customFormat="1"/>
    <row r="1970" customFormat="1"/>
    <row r="1971" customFormat="1"/>
    <row r="1972" customFormat="1"/>
    <row r="1973" customFormat="1"/>
    <row r="1974" customFormat="1"/>
    <row r="1975" customFormat="1"/>
    <row r="1976" customFormat="1"/>
    <row r="1977" customFormat="1"/>
    <row r="1978" customFormat="1"/>
    <row r="1979" customFormat="1"/>
    <row r="1980" customFormat="1"/>
    <row r="1981" customFormat="1"/>
    <row r="1982" customFormat="1"/>
    <row r="1983" customFormat="1"/>
    <row r="1984" customFormat="1"/>
    <row r="1985" customFormat="1"/>
    <row r="1986" customFormat="1"/>
    <row r="1987" customFormat="1"/>
    <row r="1988" customFormat="1"/>
    <row r="1989" customFormat="1"/>
    <row r="1990" customFormat="1"/>
    <row r="1991" customFormat="1"/>
    <row r="1992" customFormat="1"/>
    <row r="1993" customFormat="1"/>
    <row r="1994" customFormat="1"/>
    <row r="1995" customFormat="1"/>
    <row r="1996" customFormat="1"/>
    <row r="1997" customFormat="1"/>
    <row r="1998" customFormat="1"/>
    <row r="1999" customFormat="1"/>
    <row r="2000" customFormat="1"/>
    <row r="2001" customFormat="1"/>
    <row r="2002" customFormat="1"/>
    <row r="2003" customFormat="1"/>
    <row r="2004" customFormat="1"/>
    <row r="2005" customFormat="1"/>
    <row r="2006" customFormat="1"/>
    <row r="2007" customFormat="1"/>
    <row r="2008" customFormat="1"/>
    <row r="2009" customFormat="1"/>
    <row r="2010" customFormat="1"/>
    <row r="2011" customFormat="1"/>
    <row r="2012" customFormat="1"/>
    <row r="2013" customFormat="1"/>
    <row r="2014" customFormat="1"/>
    <row r="2015" customFormat="1"/>
    <row r="2016" customFormat="1"/>
    <row r="2017" customFormat="1"/>
    <row r="2018" customFormat="1"/>
    <row r="2019" customFormat="1"/>
    <row r="2020" customFormat="1"/>
    <row r="2021" customFormat="1"/>
    <row r="2022" customFormat="1"/>
    <row r="2023" customFormat="1"/>
    <row r="2024" customFormat="1"/>
    <row r="2025" customFormat="1"/>
    <row r="2026" customFormat="1"/>
    <row r="2027" customFormat="1"/>
    <row r="2028" customFormat="1"/>
    <row r="2029" customFormat="1"/>
    <row r="2030" customFormat="1"/>
    <row r="2031" customFormat="1"/>
    <row r="2032" customFormat="1"/>
    <row r="2033" customFormat="1"/>
    <row r="2034" customFormat="1"/>
    <row r="2035" customFormat="1"/>
    <row r="2036" customFormat="1"/>
    <row r="2037" customFormat="1"/>
    <row r="2038" customFormat="1"/>
    <row r="2039" customFormat="1"/>
    <row r="2040" customFormat="1"/>
    <row r="2041" customFormat="1"/>
    <row r="2042" customFormat="1"/>
    <row r="2043" customFormat="1"/>
    <row r="2044" customFormat="1"/>
    <row r="2045" customFormat="1"/>
    <row r="2046" customFormat="1"/>
    <row r="2047" customFormat="1"/>
    <row r="2048" customFormat="1"/>
    <row r="2049" customFormat="1"/>
    <row r="2050" customFormat="1"/>
    <row r="2051" customFormat="1"/>
    <row r="2052" customFormat="1"/>
    <row r="2053" customFormat="1"/>
    <row r="2054" customFormat="1"/>
    <row r="2055" customFormat="1"/>
    <row r="2056" customFormat="1"/>
    <row r="2057" customFormat="1"/>
    <row r="2058" customFormat="1"/>
    <row r="2059" customFormat="1"/>
    <row r="2060" customFormat="1"/>
    <row r="2061" customFormat="1"/>
    <row r="2062" customFormat="1"/>
    <row r="2063" customFormat="1"/>
    <row r="2064" customFormat="1"/>
    <row r="2065" customFormat="1"/>
    <row r="2066" customFormat="1"/>
    <row r="2067" customFormat="1"/>
    <row r="2068" customFormat="1"/>
    <row r="2069" customFormat="1"/>
    <row r="2070" customFormat="1"/>
    <row r="2071" customFormat="1"/>
    <row r="2072" customFormat="1"/>
    <row r="2073" customFormat="1"/>
    <row r="2074" customFormat="1"/>
    <row r="2075" customFormat="1"/>
    <row r="2076" customFormat="1"/>
    <row r="2077" customFormat="1"/>
    <row r="2078" customFormat="1"/>
    <row r="2079" customFormat="1"/>
    <row r="2080" customFormat="1"/>
    <row r="2081" customFormat="1"/>
    <row r="2082" customFormat="1"/>
    <row r="2083" customFormat="1"/>
    <row r="2084" customFormat="1"/>
    <row r="2085" customFormat="1"/>
    <row r="2086" customFormat="1"/>
    <row r="2087" customFormat="1"/>
    <row r="2088" customFormat="1"/>
    <row r="2089" customFormat="1"/>
    <row r="2090" customFormat="1"/>
    <row r="2091" customFormat="1"/>
    <row r="2092" customFormat="1"/>
    <row r="2093" customFormat="1"/>
    <row r="2094" customFormat="1"/>
    <row r="2095" customFormat="1"/>
    <row r="2096" customFormat="1"/>
    <row r="2097" customFormat="1"/>
    <row r="2098" customFormat="1"/>
    <row r="2099" customFormat="1"/>
    <row r="2100" customFormat="1"/>
    <row r="2101" customFormat="1"/>
    <row r="2102" customFormat="1"/>
    <row r="2103" customFormat="1"/>
    <row r="2104" customFormat="1"/>
    <row r="2105" customFormat="1"/>
    <row r="2106" customFormat="1"/>
    <row r="2107" customFormat="1"/>
    <row r="2108" customFormat="1"/>
    <row r="2109" customFormat="1"/>
    <row r="2110" customFormat="1"/>
    <row r="2111" customFormat="1"/>
    <row r="2112" customFormat="1"/>
    <row r="2113" customFormat="1"/>
    <row r="2114" customFormat="1"/>
    <row r="2115" customFormat="1"/>
    <row r="2116" customFormat="1"/>
    <row r="2117" customFormat="1"/>
    <row r="2118" customFormat="1"/>
    <row r="2119" customFormat="1"/>
    <row r="2120" customFormat="1"/>
    <row r="2121" customFormat="1"/>
    <row r="2122" customFormat="1"/>
    <row r="2123" customFormat="1"/>
    <row r="2124" customFormat="1"/>
    <row r="2125" customFormat="1"/>
    <row r="2126" customFormat="1"/>
    <row r="2127" customFormat="1"/>
    <row r="2128" customFormat="1"/>
    <row r="2129" customFormat="1"/>
    <row r="2130" customFormat="1"/>
    <row r="2131" customFormat="1"/>
    <row r="2132" customFormat="1"/>
    <row r="2133" customFormat="1"/>
    <row r="2134" customFormat="1"/>
    <row r="2135" customFormat="1"/>
    <row r="2136" customFormat="1"/>
    <row r="2137" customFormat="1"/>
    <row r="2138" customFormat="1"/>
    <row r="2139" customFormat="1"/>
    <row r="2140" customFormat="1"/>
    <row r="2141" customFormat="1"/>
    <row r="2142" customFormat="1"/>
    <row r="2143" customFormat="1"/>
    <row r="2144" customFormat="1"/>
    <row r="2145" customFormat="1"/>
    <row r="2146" customFormat="1"/>
    <row r="2147" customFormat="1"/>
    <row r="2148" customFormat="1"/>
    <row r="2149" customFormat="1"/>
    <row r="2150" customFormat="1"/>
    <row r="2151" customFormat="1"/>
    <row r="2152" customFormat="1"/>
    <row r="2153" customFormat="1"/>
    <row r="2154" customFormat="1"/>
    <row r="2155" customFormat="1"/>
    <row r="2156" customFormat="1"/>
    <row r="2157" customFormat="1"/>
    <row r="2158" customFormat="1"/>
    <row r="2159" customFormat="1"/>
    <row r="2160" customFormat="1"/>
    <row r="2161" customFormat="1"/>
    <row r="2162" customFormat="1"/>
    <row r="2163" customFormat="1"/>
    <row r="2164" customFormat="1"/>
    <row r="2165" customFormat="1"/>
    <row r="2166" customFormat="1"/>
    <row r="2167" customFormat="1"/>
    <row r="2168" customFormat="1"/>
    <row r="2169" customFormat="1"/>
    <row r="2170" customFormat="1"/>
    <row r="2171" customFormat="1"/>
    <row r="2172" customFormat="1"/>
    <row r="2173" customFormat="1"/>
    <row r="2174" customFormat="1"/>
    <row r="2175" customFormat="1"/>
    <row r="2176" customFormat="1"/>
    <row r="2177" customFormat="1"/>
    <row r="2178" customFormat="1"/>
    <row r="2179" customFormat="1"/>
    <row r="2180" customFormat="1"/>
    <row r="2181" customFormat="1"/>
    <row r="2182" customFormat="1"/>
    <row r="2183" customFormat="1"/>
    <row r="2184" customFormat="1"/>
    <row r="2185" customFormat="1"/>
    <row r="2186" customFormat="1"/>
    <row r="2187" customFormat="1"/>
    <row r="2188" customFormat="1"/>
    <row r="2189" customFormat="1"/>
    <row r="2190" customFormat="1"/>
    <row r="2191" customFormat="1"/>
    <row r="2192" customFormat="1"/>
    <row r="2193" customFormat="1"/>
    <row r="2194" customFormat="1"/>
    <row r="2195" customFormat="1"/>
    <row r="2196" customFormat="1"/>
    <row r="2197" customFormat="1"/>
    <row r="2198" customFormat="1"/>
    <row r="2199" customFormat="1"/>
    <row r="2200" customFormat="1"/>
    <row r="2201" customFormat="1"/>
    <row r="2202" customFormat="1"/>
    <row r="2203" customFormat="1"/>
    <row r="2204" customFormat="1"/>
    <row r="2205" customFormat="1"/>
    <row r="2206" customFormat="1"/>
    <row r="2207" customFormat="1"/>
    <row r="2208" customFormat="1"/>
    <row r="2209" customFormat="1"/>
    <row r="2210" customFormat="1"/>
    <row r="2211" customFormat="1"/>
    <row r="2212" customFormat="1"/>
    <row r="2213" customFormat="1"/>
    <row r="2214" customFormat="1"/>
    <row r="2215" customFormat="1"/>
    <row r="2216" customFormat="1"/>
    <row r="2217" customFormat="1"/>
    <row r="2218" customFormat="1"/>
    <row r="2219" customFormat="1"/>
    <row r="2220" customFormat="1"/>
    <row r="2221" customFormat="1"/>
    <row r="2222" customFormat="1"/>
    <row r="2223" customFormat="1"/>
    <row r="2224" customFormat="1"/>
    <row r="2225" customFormat="1"/>
    <row r="2226" customFormat="1"/>
    <row r="2227" customFormat="1"/>
    <row r="2228" customFormat="1"/>
    <row r="2229" customFormat="1"/>
    <row r="2230" customFormat="1"/>
    <row r="2231" customFormat="1"/>
    <row r="2232" customFormat="1"/>
    <row r="2233" customFormat="1"/>
    <row r="2234" customFormat="1"/>
    <row r="2235" customFormat="1"/>
    <row r="2236" customFormat="1"/>
    <row r="2237" customFormat="1"/>
    <row r="2238" customFormat="1"/>
    <row r="2239" customFormat="1"/>
    <row r="2240" customFormat="1"/>
    <row r="2241" customFormat="1"/>
    <row r="2242" customFormat="1"/>
    <row r="2243" customFormat="1"/>
    <row r="2244" customFormat="1"/>
    <row r="2245" customFormat="1"/>
    <row r="2246" customFormat="1"/>
    <row r="2247" customFormat="1"/>
    <row r="2248" customFormat="1"/>
    <row r="2249" customFormat="1"/>
    <row r="2250" customFormat="1"/>
    <row r="2251" customFormat="1"/>
    <row r="2252" customFormat="1"/>
    <row r="2253" customFormat="1"/>
    <row r="2254" customFormat="1"/>
    <row r="2255" customFormat="1"/>
    <row r="2256" customFormat="1"/>
    <row r="2257" customFormat="1"/>
    <row r="2258" customFormat="1"/>
    <row r="2259" customFormat="1"/>
    <row r="2260" customFormat="1"/>
    <row r="2261" customFormat="1"/>
    <row r="2262" customFormat="1"/>
    <row r="2263" customFormat="1"/>
    <row r="2264" customFormat="1"/>
    <row r="2265" customFormat="1"/>
    <row r="2266" customFormat="1"/>
    <row r="2267" customFormat="1"/>
    <row r="2268" customFormat="1"/>
    <row r="2269" customFormat="1"/>
    <row r="2270" customFormat="1"/>
    <row r="2271" customFormat="1"/>
    <row r="2272" customFormat="1"/>
    <row r="2273" customFormat="1"/>
    <row r="2274" customFormat="1"/>
    <row r="2275" customFormat="1"/>
    <row r="2276" customFormat="1"/>
    <row r="2277" customFormat="1"/>
    <row r="2278" customFormat="1"/>
    <row r="2279" customFormat="1"/>
    <row r="2280" customFormat="1"/>
    <row r="2281" customFormat="1"/>
    <row r="2282" customFormat="1"/>
    <row r="2283" customFormat="1"/>
    <row r="2284" customFormat="1"/>
    <row r="2285" customFormat="1"/>
    <row r="2286" customFormat="1"/>
    <row r="2287" customFormat="1"/>
    <row r="2288" customFormat="1"/>
    <row r="2289" customFormat="1"/>
    <row r="2290" customFormat="1"/>
    <row r="2291" customFormat="1"/>
    <row r="2292" customFormat="1"/>
    <row r="2293" customFormat="1"/>
    <row r="2294" customFormat="1"/>
    <row r="2295" customFormat="1"/>
    <row r="2296" customFormat="1"/>
    <row r="2297" customFormat="1"/>
    <row r="2298" customFormat="1"/>
    <row r="2299" customFormat="1"/>
    <row r="2300" customFormat="1"/>
    <row r="2301" customFormat="1"/>
    <row r="2302" customFormat="1"/>
    <row r="2303" customFormat="1"/>
    <row r="2304" customFormat="1"/>
    <row r="2305" customFormat="1"/>
    <row r="2306" customFormat="1"/>
    <row r="2307" customFormat="1"/>
    <row r="2308" customFormat="1"/>
    <row r="2309" customFormat="1"/>
    <row r="2310" customFormat="1"/>
    <row r="2311" customFormat="1"/>
    <row r="2312" customFormat="1"/>
    <row r="2313" customFormat="1"/>
    <row r="2314" customFormat="1"/>
    <row r="2315" customFormat="1"/>
    <row r="2316" customFormat="1"/>
    <row r="2317" customFormat="1"/>
    <row r="2318" customFormat="1"/>
    <row r="2319" customFormat="1"/>
    <row r="2320" customFormat="1"/>
    <row r="2321" customFormat="1"/>
    <row r="2322" customFormat="1"/>
    <row r="2323" customFormat="1"/>
    <row r="2324" customFormat="1"/>
    <row r="2325" customFormat="1"/>
    <row r="2326" customFormat="1"/>
    <row r="2327" customFormat="1"/>
    <row r="2328" customFormat="1"/>
    <row r="2329" customFormat="1"/>
    <row r="2330" customFormat="1"/>
    <row r="2331" customFormat="1"/>
    <row r="2332" customFormat="1"/>
    <row r="2333" customFormat="1"/>
    <row r="2334" customFormat="1"/>
    <row r="2335" customFormat="1"/>
    <row r="2336" customFormat="1"/>
    <row r="2337" customFormat="1"/>
    <row r="2338" customFormat="1"/>
    <row r="2339" customFormat="1"/>
    <row r="2340" customFormat="1"/>
    <row r="2341" customFormat="1"/>
    <row r="2342" customFormat="1"/>
    <row r="2343" customFormat="1"/>
    <row r="2344" customFormat="1"/>
    <row r="2345" customFormat="1"/>
    <row r="2346" customFormat="1"/>
    <row r="2347" customFormat="1"/>
    <row r="2348" customFormat="1"/>
    <row r="2349" customFormat="1"/>
    <row r="2350" customFormat="1"/>
    <row r="2351" customFormat="1"/>
    <row r="2352" customFormat="1"/>
    <row r="2353" customFormat="1"/>
    <row r="2354" customFormat="1"/>
    <row r="2355" customFormat="1"/>
    <row r="2356" customFormat="1"/>
    <row r="2357" customFormat="1"/>
    <row r="2358" customFormat="1"/>
    <row r="2359" customFormat="1"/>
    <row r="2360" customFormat="1"/>
    <row r="2361" customFormat="1"/>
    <row r="2362" customFormat="1"/>
    <row r="2363" customFormat="1"/>
    <row r="2364" customFormat="1"/>
    <row r="2365" customFormat="1"/>
    <row r="2366" customFormat="1"/>
    <row r="2367" customFormat="1"/>
    <row r="2368" customFormat="1"/>
    <row r="2369" customFormat="1"/>
    <row r="2370" customFormat="1"/>
    <row r="2371" customFormat="1"/>
    <row r="2372" customFormat="1"/>
    <row r="2373" customFormat="1"/>
    <row r="2374" customFormat="1"/>
    <row r="2375" customFormat="1"/>
    <row r="2376" customFormat="1"/>
    <row r="2377" customFormat="1"/>
    <row r="2378" customFormat="1"/>
    <row r="2379" customFormat="1"/>
    <row r="2380" customFormat="1"/>
    <row r="2381" customFormat="1"/>
    <row r="2382" customFormat="1"/>
    <row r="2383" customFormat="1"/>
    <row r="2384" customFormat="1"/>
    <row r="2385" customFormat="1"/>
    <row r="2386" customFormat="1"/>
    <row r="2387" customFormat="1"/>
    <row r="2388" customFormat="1"/>
    <row r="2389" customFormat="1"/>
    <row r="2390" customFormat="1"/>
    <row r="2391" customFormat="1"/>
    <row r="2392" customFormat="1"/>
    <row r="2393" customFormat="1"/>
    <row r="2394" customFormat="1"/>
    <row r="2395" customFormat="1"/>
    <row r="2396" customFormat="1"/>
    <row r="2397" customFormat="1"/>
    <row r="2398" customFormat="1"/>
    <row r="2399" customFormat="1"/>
    <row r="2400" customFormat="1"/>
    <row r="2401" customFormat="1"/>
    <row r="2402" customFormat="1"/>
    <row r="2403" customFormat="1"/>
    <row r="2404" customFormat="1"/>
    <row r="2405" customFormat="1"/>
    <row r="2406" customFormat="1"/>
    <row r="2407" customFormat="1"/>
    <row r="2408" customFormat="1"/>
    <row r="2409" customFormat="1"/>
    <row r="2410" customFormat="1"/>
    <row r="2411" customFormat="1"/>
    <row r="2412" customFormat="1"/>
    <row r="2413" customFormat="1"/>
    <row r="2414" customFormat="1"/>
    <row r="2415" customFormat="1"/>
    <row r="2416" customFormat="1"/>
    <row r="2417" customFormat="1"/>
    <row r="2418" customFormat="1"/>
    <row r="2419" customFormat="1"/>
    <row r="2420" customFormat="1"/>
    <row r="2421" customFormat="1"/>
    <row r="2422" customFormat="1"/>
    <row r="2423" customFormat="1"/>
    <row r="2424" customFormat="1"/>
    <row r="2425" customFormat="1"/>
    <row r="2426" customFormat="1"/>
    <row r="2427" customFormat="1"/>
    <row r="2428" customFormat="1"/>
    <row r="2429" customFormat="1"/>
    <row r="2430" customFormat="1"/>
    <row r="2431" customFormat="1"/>
    <row r="2432" customFormat="1"/>
    <row r="2433" customFormat="1"/>
    <row r="2434" customFormat="1"/>
    <row r="2435" customFormat="1"/>
    <row r="2436" customFormat="1"/>
    <row r="2437" customFormat="1"/>
    <row r="2438" customFormat="1"/>
    <row r="2439" customFormat="1"/>
    <row r="2440" customFormat="1"/>
    <row r="2441" customFormat="1"/>
    <row r="2442" customFormat="1"/>
    <row r="2443" customFormat="1"/>
    <row r="2444" customFormat="1"/>
    <row r="2445" customFormat="1"/>
    <row r="2446" customFormat="1"/>
    <row r="2447" customFormat="1"/>
    <row r="2448" customFormat="1"/>
    <row r="2449" customFormat="1"/>
    <row r="2450" customFormat="1"/>
    <row r="2451" customFormat="1"/>
    <row r="2452" customFormat="1"/>
    <row r="2453" customFormat="1"/>
    <row r="2454" customFormat="1"/>
    <row r="2455" customFormat="1"/>
    <row r="2456" customFormat="1"/>
    <row r="2457" customFormat="1"/>
    <row r="2458" customFormat="1"/>
    <row r="2459" customFormat="1"/>
    <row r="2460" customFormat="1"/>
    <row r="2461" customFormat="1"/>
    <row r="2462" customFormat="1"/>
    <row r="2463" customFormat="1"/>
    <row r="2464" customFormat="1"/>
    <row r="2465" customFormat="1"/>
    <row r="2466" customFormat="1"/>
    <row r="2467" customFormat="1"/>
    <row r="2468" customFormat="1"/>
    <row r="2469" customFormat="1"/>
    <row r="2470" customFormat="1"/>
    <row r="2471" customFormat="1"/>
    <row r="2472" customFormat="1"/>
    <row r="2473" customFormat="1"/>
    <row r="2474" customFormat="1"/>
    <row r="2475" customFormat="1"/>
    <row r="2476" customFormat="1"/>
    <row r="2477" customFormat="1"/>
    <row r="2478" customFormat="1"/>
    <row r="2479" customFormat="1"/>
    <row r="2480" customFormat="1"/>
    <row r="2481" customFormat="1"/>
    <row r="2482" customFormat="1"/>
    <row r="2483" customFormat="1"/>
    <row r="2484" customFormat="1"/>
    <row r="2485" customFormat="1"/>
    <row r="2486" customFormat="1"/>
    <row r="2487" customFormat="1"/>
    <row r="2488" customFormat="1"/>
    <row r="2489" customFormat="1"/>
    <row r="2490" customFormat="1"/>
    <row r="2491" customFormat="1"/>
    <row r="2492" customFormat="1"/>
    <row r="2493" customFormat="1"/>
    <row r="2494" customFormat="1"/>
    <row r="2495" customFormat="1"/>
    <row r="2496" customFormat="1"/>
    <row r="2497" customFormat="1"/>
    <row r="2498" customFormat="1"/>
    <row r="2499" customFormat="1"/>
    <row r="2500" customFormat="1"/>
    <row r="2501" customFormat="1"/>
    <row r="2502" customFormat="1"/>
    <row r="2503" customFormat="1"/>
    <row r="2504" customFormat="1"/>
    <row r="2505" customFormat="1"/>
    <row r="2506" customFormat="1"/>
    <row r="2507" customFormat="1"/>
    <row r="2508" customFormat="1"/>
    <row r="2509" customFormat="1"/>
    <row r="2510" customFormat="1"/>
    <row r="2511" customFormat="1"/>
    <row r="2512" customFormat="1"/>
    <row r="2513" customFormat="1"/>
    <row r="2514" customFormat="1"/>
    <row r="2515" customFormat="1"/>
    <row r="2516" customFormat="1"/>
    <row r="2517" customFormat="1"/>
    <row r="2518" customFormat="1"/>
    <row r="2519" customFormat="1"/>
    <row r="2520" customFormat="1"/>
    <row r="2521" customFormat="1"/>
    <row r="2522" customFormat="1"/>
    <row r="2523" customFormat="1"/>
    <row r="2524" customFormat="1"/>
    <row r="2525" customFormat="1"/>
    <row r="2526" customFormat="1"/>
    <row r="2527" customFormat="1"/>
    <row r="2528" customFormat="1"/>
    <row r="2529" customFormat="1"/>
    <row r="2530" customFormat="1"/>
    <row r="2531" customFormat="1"/>
    <row r="2532" customFormat="1"/>
    <row r="2533" customFormat="1"/>
    <row r="2534" customFormat="1"/>
    <row r="2535" customFormat="1"/>
    <row r="2536" customFormat="1"/>
    <row r="2537" customFormat="1"/>
    <row r="2538" customFormat="1"/>
    <row r="2539" customFormat="1"/>
    <row r="2540" customFormat="1"/>
    <row r="2541" customFormat="1"/>
    <row r="2542" customFormat="1"/>
    <row r="2543" customFormat="1"/>
    <row r="2544" customFormat="1"/>
    <row r="2545" customFormat="1"/>
    <row r="2546" customFormat="1"/>
    <row r="2547" customFormat="1"/>
    <row r="2548" customFormat="1"/>
    <row r="2549" customFormat="1"/>
    <row r="2550" customFormat="1"/>
    <row r="2551" customFormat="1"/>
    <row r="2552" customFormat="1"/>
    <row r="2553" customFormat="1"/>
    <row r="2554" customFormat="1"/>
    <row r="2555" customFormat="1"/>
    <row r="2556" customFormat="1"/>
    <row r="2557" customFormat="1"/>
    <row r="2558" customFormat="1"/>
    <row r="2559" customFormat="1"/>
    <row r="2560" customFormat="1"/>
    <row r="2561" customFormat="1"/>
    <row r="2562" customFormat="1"/>
    <row r="2563" customFormat="1"/>
    <row r="2564" customFormat="1"/>
    <row r="2565" customFormat="1"/>
    <row r="2566" customFormat="1"/>
    <row r="2567" customFormat="1"/>
    <row r="2568" customFormat="1"/>
    <row r="2569" customFormat="1"/>
    <row r="2570" customFormat="1"/>
    <row r="2571" customFormat="1"/>
    <row r="2572" customFormat="1"/>
    <row r="2573" customFormat="1"/>
    <row r="2574" customFormat="1"/>
    <row r="2575" customFormat="1"/>
    <row r="2576" customFormat="1"/>
    <row r="2577" customFormat="1"/>
    <row r="2578" customFormat="1"/>
    <row r="2579" customFormat="1"/>
    <row r="2580" customFormat="1"/>
    <row r="2581" customFormat="1"/>
    <row r="2582" customFormat="1"/>
    <row r="2583" customFormat="1"/>
    <row r="2584" customFormat="1"/>
    <row r="2585" customFormat="1"/>
    <row r="2586" customFormat="1"/>
    <row r="2587" customFormat="1"/>
    <row r="2588" customFormat="1"/>
    <row r="2589" customFormat="1"/>
    <row r="2590" customFormat="1"/>
    <row r="2591" customFormat="1"/>
    <row r="2592" customFormat="1"/>
    <row r="2593" customFormat="1"/>
    <row r="2594" customFormat="1"/>
    <row r="2595" customFormat="1"/>
    <row r="2596" customFormat="1"/>
    <row r="2597" customFormat="1"/>
    <row r="2598" customFormat="1"/>
    <row r="2599" customFormat="1"/>
    <row r="2600" customFormat="1"/>
    <row r="2601" customFormat="1"/>
    <row r="2602" customFormat="1"/>
    <row r="2603" customFormat="1"/>
    <row r="2604" customFormat="1"/>
    <row r="2605" customFormat="1"/>
    <row r="2606" customFormat="1"/>
    <row r="2607" customFormat="1"/>
    <row r="2608" customFormat="1"/>
    <row r="2609" customFormat="1"/>
    <row r="2610" customFormat="1"/>
    <row r="2611" customFormat="1"/>
    <row r="2612" customFormat="1"/>
    <row r="2613" customFormat="1"/>
    <row r="2614" customFormat="1"/>
    <row r="2615" customFormat="1"/>
    <row r="2616" customFormat="1"/>
    <row r="2617" customFormat="1"/>
    <row r="2618" customFormat="1"/>
    <row r="2619" customFormat="1"/>
    <row r="2620" customFormat="1"/>
    <row r="2621" customFormat="1"/>
    <row r="2622" customFormat="1"/>
    <row r="2623" customFormat="1"/>
    <row r="2624" customFormat="1"/>
    <row r="2625" customFormat="1"/>
    <row r="2626" customFormat="1"/>
    <row r="2627" customFormat="1"/>
    <row r="2628" customFormat="1"/>
    <row r="2629" customFormat="1"/>
    <row r="2630" customFormat="1"/>
    <row r="2631" customFormat="1"/>
    <row r="2632" customFormat="1"/>
    <row r="2633" customFormat="1"/>
    <row r="2634" customFormat="1"/>
    <row r="2635" customFormat="1"/>
    <row r="2636" customFormat="1"/>
    <row r="2637" customFormat="1"/>
    <row r="2638" customFormat="1"/>
    <row r="2639" customFormat="1"/>
    <row r="2640" customFormat="1"/>
    <row r="2641" customFormat="1"/>
    <row r="2642" customFormat="1"/>
    <row r="2643" customFormat="1"/>
    <row r="2644" customFormat="1"/>
    <row r="2645" customFormat="1"/>
    <row r="2646" customFormat="1"/>
    <row r="2647" customFormat="1"/>
    <row r="2648" customFormat="1"/>
    <row r="2649" customFormat="1"/>
    <row r="2650" customFormat="1"/>
    <row r="2651" customFormat="1"/>
    <row r="2652" customFormat="1"/>
    <row r="2653" customFormat="1"/>
    <row r="2654" customFormat="1"/>
    <row r="2655" customFormat="1"/>
    <row r="2656" customFormat="1"/>
    <row r="2657" customFormat="1"/>
    <row r="2658" customFormat="1"/>
    <row r="2659" customFormat="1"/>
    <row r="2660" customFormat="1"/>
    <row r="2661" customFormat="1"/>
    <row r="2662" customFormat="1"/>
    <row r="2663" customFormat="1"/>
    <row r="2664" customFormat="1"/>
    <row r="2665" customFormat="1"/>
    <row r="2666" customFormat="1"/>
    <row r="2667" customFormat="1"/>
    <row r="2668" customFormat="1"/>
    <row r="2669" customFormat="1"/>
    <row r="2670" customFormat="1"/>
    <row r="2671" customFormat="1"/>
    <row r="2672" customFormat="1"/>
    <row r="2673" customFormat="1"/>
    <row r="2674" customFormat="1"/>
    <row r="2675" customFormat="1"/>
    <row r="2676" customFormat="1"/>
    <row r="2677" customFormat="1"/>
    <row r="2678" customFormat="1"/>
    <row r="2679" customFormat="1"/>
    <row r="2680" customFormat="1"/>
    <row r="2681" customFormat="1"/>
    <row r="2682" customFormat="1"/>
    <row r="2683" customFormat="1"/>
    <row r="2684" customFormat="1"/>
    <row r="2685" customFormat="1"/>
    <row r="2686" customFormat="1"/>
    <row r="2687" customFormat="1"/>
    <row r="2688" customFormat="1"/>
    <row r="2689" customFormat="1"/>
    <row r="2690" customFormat="1"/>
    <row r="2691" customFormat="1"/>
    <row r="2692" customFormat="1"/>
    <row r="2693" customFormat="1"/>
    <row r="2694" customFormat="1"/>
    <row r="2695" customFormat="1"/>
    <row r="2696" customFormat="1"/>
    <row r="2697" customFormat="1"/>
    <row r="2698" customFormat="1"/>
    <row r="2699" customFormat="1"/>
    <row r="2700" customFormat="1"/>
    <row r="2701" customFormat="1"/>
    <row r="2702" customFormat="1"/>
    <row r="2703" customFormat="1"/>
    <row r="2704" customFormat="1"/>
    <row r="2705" customFormat="1"/>
    <row r="2706" customFormat="1"/>
    <row r="2707" customFormat="1"/>
    <row r="2708" customFormat="1"/>
    <row r="2709" customFormat="1"/>
    <row r="2710" customFormat="1"/>
    <row r="2711" customFormat="1"/>
    <row r="2712" customFormat="1"/>
    <row r="2713" customFormat="1"/>
    <row r="2714" customFormat="1"/>
    <row r="2715" customFormat="1"/>
    <row r="2716" customFormat="1"/>
    <row r="2717" customFormat="1"/>
    <row r="2718" customFormat="1"/>
    <row r="2719" customFormat="1"/>
    <row r="2720" customFormat="1"/>
    <row r="2721" customFormat="1"/>
    <row r="2722" customFormat="1"/>
    <row r="2723" customFormat="1"/>
    <row r="2724" customFormat="1"/>
    <row r="2725" customFormat="1"/>
    <row r="2726" customFormat="1"/>
    <row r="2727" customFormat="1"/>
    <row r="2728" customFormat="1"/>
    <row r="2729" customFormat="1"/>
    <row r="2730" customFormat="1"/>
    <row r="2731" customFormat="1"/>
    <row r="2732" customFormat="1"/>
    <row r="2733" customFormat="1"/>
    <row r="2734" customFormat="1"/>
    <row r="2735" customFormat="1"/>
    <row r="2736" customFormat="1"/>
    <row r="2737" customFormat="1"/>
    <row r="2738" customFormat="1"/>
    <row r="2739" customFormat="1"/>
    <row r="2740" customFormat="1"/>
    <row r="2741" customFormat="1"/>
    <row r="2742" customFormat="1"/>
    <row r="2743" customFormat="1"/>
    <row r="2744" customFormat="1"/>
    <row r="2745" customFormat="1"/>
    <row r="2746" customFormat="1"/>
    <row r="2747" customFormat="1"/>
    <row r="2748" customFormat="1"/>
    <row r="2749" customFormat="1"/>
    <row r="2750" customFormat="1"/>
    <row r="2751" customFormat="1"/>
    <row r="2752" customFormat="1"/>
    <row r="2753" customFormat="1"/>
    <row r="2754" customFormat="1"/>
    <row r="2755" customFormat="1"/>
    <row r="2756" customFormat="1"/>
    <row r="2757" customFormat="1"/>
    <row r="2758" customFormat="1"/>
    <row r="2759" customFormat="1"/>
    <row r="2760" customFormat="1"/>
    <row r="2761" customFormat="1"/>
    <row r="2762" customFormat="1"/>
    <row r="2763" customFormat="1"/>
    <row r="2764" customFormat="1"/>
    <row r="2765" customFormat="1"/>
    <row r="2766" customFormat="1"/>
    <row r="2767" customFormat="1"/>
    <row r="2768" customFormat="1"/>
    <row r="2769" customFormat="1"/>
    <row r="2770" customFormat="1"/>
    <row r="2771" customFormat="1"/>
    <row r="2772" customFormat="1"/>
    <row r="2773" customFormat="1"/>
    <row r="2774" customFormat="1"/>
    <row r="2775" customFormat="1"/>
    <row r="2776" customFormat="1"/>
    <row r="2777" customFormat="1"/>
    <row r="2778" customFormat="1"/>
    <row r="2779" customFormat="1"/>
    <row r="2780" customFormat="1"/>
    <row r="2781" customFormat="1"/>
    <row r="2782" customFormat="1"/>
    <row r="2783" customFormat="1"/>
    <row r="2784" customFormat="1"/>
    <row r="2785" customFormat="1"/>
    <row r="2786" customFormat="1"/>
    <row r="2787" customFormat="1"/>
    <row r="2788" customFormat="1"/>
    <row r="2789" customFormat="1"/>
    <row r="2790" customFormat="1"/>
    <row r="2791" customFormat="1"/>
    <row r="2792" customFormat="1"/>
    <row r="2793" customFormat="1"/>
    <row r="2794" customFormat="1"/>
    <row r="2795" customFormat="1"/>
    <row r="2796" customFormat="1"/>
    <row r="2797" customFormat="1"/>
    <row r="2798" customFormat="1"/>
    <row r="2799" customFormat="1"/>
    <row r="2800" customFormat="1"/>
    <row r="2801" customFormat="1"/>
    <row r="2802" customFormat="1"/>
    <row r="2803" customFormat="1"/>
    <row r="2804" customFormat="1"/>
    <row r="2805" customFormat="1"/>
    <row r="2806" customFormat="1"/>
    <row r="2807" customFormat="1"/>
    <row r="2808" customFormat="1"/>
    <row r="2809" customFormat="1"/>
    <row r="2810" customFormat="1"/>
    <row r="2811" customFormat="1"/>
    <row r="2812" customFormat="1"/>
    <row r="2813" customFormat="1"/>
    <row r="2814" customFormat="1"/>
    <row r="2815" customFormat="1"/>
    <row r="2816" customFormat="1"/>
    <row r="2817" customFormat="1"/>
    <row r="2818" customFormat="1"/>
    <row r="2819" customFormat="1"/>
    <row r="2820" customFormat="1"/>
    <row r="2821" customFormat="1"/>
    <row r="2822" customFormat="1"/>
    <row r="2823" customFormat="1"/>
    <row r="2824" customFormat="1"/>
    <row r="2825" customFormat="1"/>
    <row r="2826" customFormat="1"/>
    <row r="2827" customFormat="1"/>
    <row r="2828" customFormat="1"/>
    <row r="2829" customFormat="1"/>
    <row r="2830" customFormat="1"/>
    <row r="2831" customFormat="1"/>
    <row r="2832" customFormat="1"/>
    <row r="2833" customFormat="1"/>
    <row r="2834" customFormat="1"/>
    <row r="2835" customFormat="1"/>
    <row r="2836" customFormat="1"/>
    <row r="2837" customFormat="1"/>
    <row r="2838" customFormat="1"/>
    <row r="2839" customFormat="1"/>
    <row r="2840" customFormat="1"/>
    <row r="2841" customFormat="1"/>
    <row r="2842" customFormat="1"/>
    <row r="2843" customFormat="1"/>
    <row r="2844" customFormat="1"/>
    <row r="2845" customFormat="1"/>
    <row r="2846" customFormat="1"/>
    <row r="2847" customFormat="1"/>
    <row r="2848" customFormat="1"/>
    <row r="2849" customFormat="1"/>
    <row r="2850" customFormat="1"/>
    <row r="2851" customFormat="1"/>
    <row r="2852" customFormat="1"/>
    <row r="2853" customFormat="1"/>
    <row r="2854" customFormat="1"/>
    <row r="2855" customFormat="1"/>
    <row r="2856" customFormat="1"/>
    <row r="2857" customFormat="1"/>
    <row r="2858" customFormat="1"/>
    <row r="2859" customFormat="1"/>
    <row r="2860" customFormat="1"/>
    <row r="2861" customFormat="1"/>
    <row r="2862" customFormat="1"/>
    <row r="2863" customFormat="1"/>
    <row r="2864" customFormat="1"/>
    <row r="2865" customFormat="1"/>
    <row r="2866" customFormat="1"/>
    <row r="2867" customFormat="1"/>
    <row r="2868" customFormat="1"/>
    <row r="2869" customFormat="1"/>
    <row r="2870" customFormat="1"/>
    <row r="2871" customFormat="1"/>
    <row r="2872" customFormat="1"/>
    <row r="2873" customFormat="1"/>
    <row r="2874" customFormat="1"/>
    <row r="2875" customFormat="1"/>
    <row r="2876" customFormat="1"/>
    <row r="2877" customFormat="1"/>
    <row r="2878" customFormat="1"/>
    <row r="2879" customFormat="1"/>
    <row r="2880" customFormat="1"/>
    <row r="2881" customFormat="1"/>
    <row r="2882" customFormat="1"/>
    <row r="2883" customFormat="1"/>
    <row r="2884" customFormat="1"/>
    <row r="2885" customFormat="1"/>
    <row r="2886" customFormat="1"/>
    <row r="2887" customFormat="1"/>
    <row r="2888" customFormat="1"/>
    <row r="2889" customFormat="1"/>
    <row r="2890" customFormat="1"/>
    <row r="2891" customFormat="1"/>
    <row r="2892" customFormat="1"/>
    <row r="2893" customFormat="1"/>
    <row r="2894" customFormat="1"/>
    <row r="2895" customFormat="1"/>
    <row r="2896" customFormat="1"/>
    <row r="2897" customFormat="1"/>
    <row r="2898" customFormat="1"/>
    <row r="2899" customFormat="1"/>
    <row r="2900" customFormat="1"/>
    <row r="2901" customFormat="1"/>
    <row r="2902" customFormat="1"/>
    <row r="2903" customFormat="1"/>
    <row r="2904" customFormat="1"/>
    <row r="2905" customFormat="1"/>
    <row r="2906" customFormat="1"/>
    <row r="2907" customFormat="1"/>
    <row r="2908" customFormat="1"/>
    <row r="2909" customFormat="1"/>
    <row r="2910" customFormat="1"/>
    <row r="2911" customFormat="1"/>
    <row r="2912" customFormat="1"/>
    <row r="2913" customFormat="1"/>
    <row r="2914" customFormat="1"/>
    <row r="2915" customFormat="1"/>
    <row r="2916" customFormat="1"/>
    <row r="2917" customFormat="1"/>
    <row r="2918" customFormat="1"/>
    <row r="2919" customFormat="1"/>
    <row r="2920" customFormat="1"/>
    <row r="2921" customFormat="1"/>
    <row r="2922" customFormat="1"/>
    <row r="2923" customFormat="1"/>
    <row r="2924" customFormat="1"/>
    <row r="2925" customFormat="1"/>
    <row r="2926" customFormat="1"/>
    <row r="2927" customFormat="1"/>
    <row r="2928" customFormat="1"/>
    <row r="2929" customFormat="1"/>
    <row r="2930" customFormat="1"/>
    <row r="2931" customFormat="1"/>
    <row r="2932" customFormat="1"/>
    <row r="2933" customFormat="1"/>
    <row r="2934" customFormat="1"/>
    <row r="2935" customFormat="1"/>
    <row r="2936" customFormat="1"/>
    <row r="2937" customFormat="1"/>
    <row r="2938" customFormat="1"/>
    <row r="2939" customFormat="1"/>
    <row r="2940" customFormat="1"/>
    <row r="2941" customFormat="1"/>
    <row r="2942" customFormat="1"/>
    <row r="2943" customFormat="1"/>
    <row r="2944" customFormat="1"/>
    <row r="2945" customFormat="1"/>
    <row r="2946" customFormat="1"/>
    <row r="2947" customFormat="1"/>
    <row r="2948" customFormat="1"/>
    <row r="2949" customFormat="1"/>
    <row r="2950" customFormat="1"/>
    <row r="2951" customFormat="1"/>
    <row r="2952" customFormat="1"/>
    <row r="2953" customFormat="1"/>
    <row r="2954" customFormat="1"/>
    <row r="2955" customFormat="1"/>
    <row r="2956" customFormat="1"/>
    <row r="2957" customFormat="1"/>
    <row r="2958" customFormat="1"/>
    <row r="2959" customFormat="1"/>
    <row r="2960" customFormat="1"/>
    <row r="2961" customFormat="1"/>
    <row r="2962" customFormat="1"/>
    <row r="2963" customFormat="1"/>
    <row r="2964" customFormat="1"/>
    <row r="2965" customFormat="1"/>
    <row r="2966" customFormat="1"/>
    <row r="2967" customFormat="1"/>
    <row r="2968" customFormat="1"/>
    <row r="2969" customFormat="1"/>
    <row r="2970" customFormat="1"/>
    <row r="2971" customFormat="1"/>
    <row r="2972" customFormat="1"/>
    <row r="2973" customFormat="1"/>
    <row r="2974" customFormat="1"/>
    <row r="2975" customFormat="1"/>
    <row r="2976" customFormat="1"/>
    <row r="2977" customFormat="1"/>
    <row r="2978" customFormat="1"/>
    <row r="2979" customFormat="1"/>
    <row r="2980" customFormat="1"/>
    <row r="2981" customFormat="1"/>
    <row r="2982" customFormat="1"/>
    <row r="2983" customFormat="1"/>
    <row r="2984" customFormat="1"/>
    <row r="2985" customFormat="1"/>
    <row r="2986" customFormat="1"/>
    <row r="2987" customFormat="1"/>
    <row r="2988" customFormat="1"/>
    <row r="2989" customFormat="1"/>
    <row r="2990" customFormat="1"/>
    <row r="2991" customFormat="1"/>
    <row r="2992" customFormat="1"/>
    <row r="2993" customFormat="1"/>
    <row r="2994" customFormat="1"/>
    <row r="2995" customFormat="1"/>
    <row r="2996" customFormat="1"/>
    <row r="2997" customFormat="1"/>
    <row r="2998" customFormat="1"/>
    <row r="2999" customFormat="1"/>
    <row r="3000" customFormat="1"/>
    <row r="3001" customFormat="1"/>
    <row r="3002" customFormat="1"/>
    <row r="3003" customFormat="1"/>
    <row r="3004" customFormat="1"/>
    <row r="3005" customFormat="1"/>
    <row r="3006" customFormat="1"/>
    <row r="3007" customFormat="1"/>
    <row r="3008" customFormat="1"/>
    <row r="3009" customFormat="1"/>
    <row r="3010" customFormat="1"/>
    <row r="3011" customFormat="1"/>
    <row r="3012" customFormat="1"/>
    <row r="3013" customFormat="1"/>
    <row r="3014" customFormat="1"/>
    <row r="3015" customFormat="1"/>
    <row r="3016" customFormat="1"/>
    <row r="3017" customFormat="1"/>
    <row r="3018" customFormat="1"/>
    <row r="3019" customFormat="1"/>
    <row r="3020" customFormat="1"/>
    <row r="3021" customFormat="1"/>
    <row r="3022" customFormat="1"/>
    <row r="3023" customFormat="1"/>
    <row r="3024" customFormat="1"/>
    <row r="3025" customFormat="1"/>
    <row r="3026" customFormat="1"/>
    <row r="3027" customFormat="1"/>
    <row r="3028" customFormat="1"/>
    <row r="3029" customFormat="1"/>
    <row r="3030" customFormat="1"/>
    <row r="3031" customFormat="1"/>
    <row r="3032" customFormat="1"/>
    <row r="3033" customFormat="1"/>
    <row r="3034" customFormat="1"/>
    <row r="3035" customFormat="1"/>
    <row r="3036" customFormat="1"/>
    <row r="3037" customFormat="1"/>
    <row r="3038" customFormat="1"/>
    <row r="3039" customFormat="1"/>
    <row r="3040" customFormat="1"/>
    <row r="3041" customFormat="1"/>
    <row r="3042" customFormat="1"/>
    <row r="3043" customFormat="1"/>
    <row r="3044" customFormat="1"/>
    <row r="3045" customFormat="1"/>
    <row r="3046" customFormat="1"/>
    <row r="3047" customFormat="1"/>
    <row r="3048" customFormat="1"/>
    <row r="3049" customFormat="1"/>
    <row r="3050" customFormat="1"/>
    <row r="3051" customFormat="1"/>
    <row r="3052" customFormat="1"/>
    <row r="3053" customFormat="1"/>
    <row r="3054" customFormat="1"/>
    <row r="3055" customFormat="1"/>
    <row r="3056" customFormat="1"/>
    <row r="3057" customFormat="1"/>
    <row r="3058" customFormat="1"/>
    <row r="3059" customFormat="1"/>
    <row r="3060" customFormat="1"/>
    <row r="3061" customFormat="1"/>
    <row r="3062" customFormat="1"/>
    <row r="3063" customFormat="1"/>
    <row r="3064" customFormat="1"/>
    <row r="3065" customFormat="1"/>
    <row r="3066" customFormat="1"/>
    <row r="3067" customFormat="1"/>
    <row r="3068" customFormat="1"/>
    <row r="3069" customFormat="1"/>
    <row r="3070" customFormat="1"/>
    <row r="3071" customFormat="1"/>
    <row r="3072" customFormat="1"/>
    <row r="3073" customFormat="1"/>
    <row r="3074" customFormat="1"/>
    <row r="3075" customFormat="1"/>
    <row r="3076" customFormat="1"/>
    <row r="3077" customFormat="1"/>
    <row r="3078" customFormat="1"/>
    <row r="3079" customFormat="1"/>
    <row r="3080" customFormat="1"/>
    <row r="3081" customFormat="1"/>
    <row r="3082" customFormat="1"/>
    <row r="3083" customFormat="1"/>
    <row r="3084" customFormat="1"/>
    <row r="3085" customFormat="1"/>
    <row r="3086" customFormat="1"/>
    <row r="3087" customFormat="1"/>
    <row r="3088" customFormat="1"/>
    <row r="3089" customFormat="1"/>
    <row r="3090" customFormat="1"/>
    <row r="3091" customFormat="1"/>
    <row r="3092" customFormat="1"/>
    <row r="3093" customFormat="1"/>
    <row r="3094" customFormat="1"/>
    <row r="3095" customFormat="1"/>
    <row r="3096" customFormat="1"/>
    <row r="3097" customFormat="1"/>
    <row r="3098" customFormat="1"/>
    <row r="3099" customFormat="1"/>
    <row r="3100" customFormat="1"/>
    <row r="3101" customFormat="1"/>
    <row r="3102" customFormat="1"/>
    <row r="3103" customFormat="1"/>
    <row r="3104" customFormat="1"/>
    <row r="3105" customFormat="1"/>
    <row r="3106" customFormat="1"/>
    <row r="3107" customFormat="1"/>
    <row r="3108" customFormat="1"/>
    <row r="3109" customFormat="1"/>
    <row r="3110" customFormat="1"/>
    <row r="3111" customFormat="1"/>
    <row r="3112" customFormat="1"/>
    <row r="3113" customFormat="1"/>
    <row r="3114" customFormat="1"/>
    <row r="3115" customFormat="1"/>
    <row r="3116" customFormat="1"/>
    <row r="3117" customFormat="1"/>
    <row r="3118" customFormat="1"/>
    <row r="3119" customFormat="1"/>
    <row r="3120" customFormat="1"/>
    <row r="3121" customFormat="1"/>
    <row r="3122" customFormat="1"/>
    <row r="3123" customFormat="1"/>
    <row r="3124" customFormat="1"/>
    <row r="3125" customFormat="1"/>
    <row r="3126" customFormat="1"/>
    <row r="3127" customFormat="1"/>
    <row r="3128" customFormat="1"/>
    <row r="3129" customFormat="1"/>
    <row r="3130" customFormat="1"/>
    <row r="3131" customFormat="1"/>
    <row r="3132" customFormat="1"/>
    <row r="3133" customFormat="1"/>
    <row r="3134" customFormat="1"/>
    <row r="3135" customFormat="1"/>
    <row r="3136" customFormat="1"/>
    <row r="3137" customFormat="1"/>
    <row r="3138" customFormat="1"/>
    <row r="3139" customFormat="1"/>
    <row r="3140" customFormat="1"/>
    <row r="3141" customFormat="1"/>
    <row r="3142" customFormat="1"/>
    <row r="3143" customFormat="1"/>
    <row r="3144" customFormat="1"/>
    <row r="3145" customFormat="1"/>
    <row r="3146" customFormat="1"/>
    <row r="3147" customFormat="1"/>
    <row r="3148" customFormat="1"/>
    <row r="3149" customFormat="1"/>
    <row r="3150" customFormat="1"/>
    <row r="3151" customFormat="1"/>
    <row r="3152" customFormat="1"/>
    <row r="3153" customFormat="1"/>
    <row r="3154" customFormat="1"/>
    <row r="3155" customFormat="1"/>
    <row r="3156" customFormat="1"/>
    <row r="3157" customFormat="1"/>
    <row r="3158" customFormat="1"/>
    <row r="3159" customFormat="1"/>
    <row r="3160" customFormat="1"/>
    <row r="3161" customFormat="1"/>
    <row r="3162" customFormat="1"/>
    <row r="3163" customFormat="1"/>
    <row r="3164" customFormat="1"/>
    <row r="3165" customFormat="1"/>
    <row r="3166" customFormat="1"/>
    <row r="3167" customFormat="1"/>
    <row r="3168" customFormat="1"/>
    <row r="3169" customFormat="1"/>
    <row r="3170" customFormat="1"/>
    <row r="3171" customFormat="1"/>
    <row r="3172" customFormat="1"/>
    <row r="3173" customFormat="1"/>
    <row r="3174" customFormat="1"/>
    <row r="3175" customFormat="1"/>
    <row r="3176" customFormat="1"/>
    <row r="3177" customFormat="1"/>
    <row r="3178" customFormat="1"/>
    <row r="3179" customFormat="1"/>
    <row r="3180" customFormat="1"/>
    <row r="3181" customFormat="1"/>
    <row r="3182" customFormat="1"/>
    <row r="3183" customFormat="1"/>
    <row r="3184" customFormat="1"/>
    <row r="3185" customFormat="1"/>
    <row r="3186" customFormat="1"/>
    <row r="3187" customFormat="1"/>
    <row r="3188" customFormat="1"/>
    <row r="3189" customFormat="1"/>
    <row r="3190" customFormat="1"/>
    <row r="3191" customFormat="1"/>
    <row r="3192" customFormat="1"/>
    <row r="3193" customFormat="1"/>
    <row r="3194" customFormat="1"/>
    <row r="3195" customFormat="1"/>
    <row r="3196" customFormat="1"/>
    <row r="3197" customFormat="1"/>
    <row r="3198" customFormat="1"/>
    <row r="3199" customFormat="1"/>
    <row r="3200" customFormat="1"/>
    <row r="3201" customFormat="1"/>
    <row r="3202" customFormat="1"/>
    <row r="3203" customFormat="1"/>
    <row r="3204" customFormat="1"/>
    <row r="3205" customFormat="1"/>
    <row r="3206" customFormat="1"/>
    <row r="3207" customFormat="1"/>
    <row r="3208" customFormat="1"/>
    <row r="3209" customFormat="1"/>
    <row r="3210" customFormat="1"/>
    <row r="3211" customFormat="1"/>
    <row r="3212" customFormat="1"/>
    <row r="3213" customFormat="1"/>
    <row r="3214" customFormat="1"/>
    <row r="3215" customFormat="1"/>
    <row r="3216" customFormat="1"/>
    <row r="3217" customFormat="1"/>
    <row r="3218" customFormat="1"/>
    <row r="3219" customFormat="1"/>
    <row r="3220" customFormat="1"/>
    <row r="3221" customFormat="1"/>
    <row r="3222" customFormat="1"/>
    <row r="3223" customFormat="1"/>
    <row r="3224" customFormat="1"/>
    <row r="3225" customFormat="1"/>
    <row r="3226" customFormat="1"/>
    <row r="3227" customFormat="1"/>
    <row r="3228" customFormat="1"/>
    <row r="3229" customFormat="1"/>
    <row r="3230" customFormat="1"/>
    <row r="3231" customFormat="1"/>
    <row r="3232" customFormat="1"/>
    <row r="3233" customFormat="1"/>
    <row r="3234" customFormat="1"/>
    <row r="3235" customFormat="1"/>
    <row r="3236" customFormat="1"/>
    <row r="3237" customFormat="1"/>
    <row r="3238" customFormat="1"/>
    <row r="3239" customFormat="1"/>
    <row r="3240" customFormat="1"/>
    <row r="3241" customFormat="1"/>
    <row r="3242" customFormat="1"/>
    <row r="3243" customFormat="1"/>
    <row r="3244" customFormat="1"/>
    <row r="3245" customFormat="1"/>
    <row r="3246" customFormat="1"/>
    <row r="3247" customFormat="1"/>
    <row r="3248" customFormat="1"/>
    <row r="3249" customFormat="1"/>
    <row r="3250" customFormat="1"/>
    <row r="3251" customFormat="1"/>
    <row r="3252" customFormat="1"/>
    <row r="3253" customFormat="1"/>
    <row r="3254" customFormat="1"/>
    <row r="3255" customFormat="1"/>
    <row r="3256" customFormat="1"/>
    <row r="3257" customFormat="1"/>
    <row r="3258" customFormat="1"/>
    <row r="3259" customFormat="1"/>
    <row r="3260" customFormat="1"/>
    <row r="3261" customFormat="1"/>
    <row r="3262" customFormat="1"/>
    <row r="3263" customFormat="1"/>
    <row r="3264" customFormat="1"/>
    <row r="3265" customFormat="1"/>
    <row r="3266" customFormat="1"/>
    <row r="3267" customFormat="1"/>
    <row r="3268" customFormat="1"/>
    <row r="3269" customFormat="1"/>
    <row r="3270" customFormat="1"/>
    <row r="3271" customFormat="1"/>
    <row r="3272" customFormat="1"/>
    <row r="3273" customFormat="1"/>
    <row r="3274" customFormat="1"/>
    <row r="3275" customFormat="1"/>
    <row r="3276" customFormat="1"/>
    <row r="3277" customFormat="1"/>
    <row r="3278" customFormat="1"/>
    <row r="3279" customFormat="1"/>
    <row r="3280" customFormat="1"/>
    <row r="3281" customFormat="1"/>
    <row r="3282" customFormat="1"/>
    <row r="3283" customFormat="1"/>
    <row r="3284" customFormat="1"/>
    <row r="3285" customFormat="1"/>
    <row r="3286" customFormat="1"/>
    <row r="3287" customFormat="1"/>
    <row r="3288" customFormat="1"/>
    <row r="3289" customFormat="1"/>
    <row r="3290" customFormat="1"/>
    <row r="3291" customFormat="1"/>
    <row r="3292" customFormat="1"/>
    <row r="3293" customFormat="1"/>
    <row r="3294" customFormat="1"/>
    <row r="3295" customFormat="1"/>
    <row r="3296" customFormat="1"/>
    <row r="3297" customFormat="1"/>
    <row r="3298" customFormat="1"/>
    <row r="3299" customFormat="1"/>
    <row r="3300" customFormat="1"/>
    <row r="3301" customFormat="1"/>
    <row r="3302" customFormat="1"/>
    <row r="3303" customFormat="1"/>
    <row r="3304" customFormat="1"/>
    <row r="3305" customFormat="1"/>
    <row r="3306" customFormat="1"/>
    <row r="3307" customFormat="1"/>
    <row r="3308" customFormat="1"/>
    <row r="3309" customFormat="1"/>
    <row r="3310" customFormat="1"/>
    <row r="3311" customFormat="1"/>
    <row r="3312" customFormat="1"/>
    <row r="3313" customFormat="1"/>
    <row r="3314" customFormat="1"/>
    <row r="3315" customFormat="1"/>
    <row r="3316" customFormat="1"/>
    <row r="3317" customFormat="1"/>
    <row r="3318" customFormat="1"/>
    <row r="3319" customFormat="1"/>
    <row r="3320" customFormat="1"/>
    <row r="3321" customFormat="1"/>
    <row r="3322" customFormat="1"/>
    <row r="3323" customFormat="1"/>
    <row r="3324" customFormat="1"/>
    <row r="3325" customFormat="1"/>
    <row r="3326" customFormat="1"/>
    <row r="3327" customFormat="1"/>
    <row r="3328" customFormat="1"/>
    <row r="3329" customFormat="1"/>
    <row r="3330" customFormat="1"/>
    <row r="3331" customFormat="1"/>
    <row r="3332" customFormat="1"/>
    <row r="3333" customFormat="1"/>
    <row r="3334" customFormat="1"/>
    <row r="3335" customFormat="1"/>
    <row r="3336" customFormat="1"/>
    <row r="3337" customFormat="1"/>
    <row r="3338" customFormat="1"/>
    <row r="3339" customFormat="1"/>
    <row r="3340" customFormat="1"/>
    <row r="3341" customFormat="1"/>
    <row r="3342" customFormat="1"/>
    <row r="3343" customFormat="1"/>
    <row r="3344" customFormat="1"/>
    <row r="3345" customFormat="1"/>
    <row r="3346" customFormat="1"/>
    <row r="3347" customFormat="1"/>
    <row r="3348" customFormat="1"/>
    <row r="3349" customFormat="1"/>
    <row r="3350" customFormat="1"/>
    <row r="3351" customFormat="1"/>
    <row r="3352" customFormat="1"/>
    <row r="3353" customFormat="1"/>
    <row r="3354" customFormat="1"/>
    <row r="3355" customFormat="1"/>
    <row r="3356" customFormat="1"/>
    <row r="3357" customFormat="1"/>
    <row r="3358" customFormat="1"/>
    <row r="3359" customFormat="1"/>
    <row r="3360" customFormat="1"/>
    <row r="3361" customFormat="1"/>
    <row r="3362" customFormat="1"/>
    <row r="3363" customFormat="1"/>
    <row r="3364" customFormat="1"/>
    <row r="3365" customFormat="1"/>
    <row r="3366" customFormat="1"/>
    <row r="3367" customFormat="1"/>
    <row r="3368" customFormat="1"/>
    <row r="3369" customFormat="1"/>
    <row r="3370" customFormat="1"/>
    <row r="3371" customFormat="1"/>
    <row r="3372" customFormat="1"/>
    <row r="3373" customFormat="1"/>
    <row r="3374" customFormat="1"/>
    <row r="3375" customFormat="1"/>
    <row r="3376" customFormat="1"/>
    <row r="3377" customFormat="1"/>
    <row r="3378" customFormat="1"/>
    <row r="3379" customFormat="1"/>
    <row r="3380" customFormat="1"/>
    <row r="3381" customFormat="1"/>
    <row r="3382" customFormat="1"/>
    <row r="3383" customFormat="1"/>
    <row r="3384" customFormat="1"/>
    <row r="3385" customFormat="1"/>
    <row r="3386" customFormat="1"/>
    <row r="3387" customFormat="1"/>
    <row r="3388" customFormat="1"/>
    <row r="3389" customFormat="1"/>
    <row r="3390" customFormat="1"/>
    <row r="3391" customFormat="1"/>
    <row r="3392" customFormat="1"/>
    <row r="3393" customFormat="1"/>
    <row r="3394" customFormat="1"/>
    <row r="3395" customFormat="1"/>
    <row r="3396" customFormat="1"/>
    <row r="3397" customFormat="1"/>
    <row r="3398" customFormat="1"/>
    <row r="3399" customFormat="1"/>
    <row r="3400" customFormat="1"/>
    <row r="3401" customFormat="1"/>
    <row r="3402" customFormat="1"/>
    <row r="3403" customFormat="1"/>
    <row r="3404" customFormat="1"/>
    <row r="3405" customFormat="1"/>
    <row r="3406" customFormat="1"/>
    <row r="3407" customFormat="1"/>
    <row r="3408" customFormat="1"/>
    <row r="3409" customFormat="1"/>
    <row r="3410" customFormat="1"/>
    <row r="3411" customFormat="1"/>
    <row r="3412" customFormat="1"/>
    <row r="3413" customFormat="1"/>
    <row r="3414" customFormat="1"/>
    <row r="3415" customFormat="1"/>
    <row r="3416" customFormat="1"/>
    <row r="3417" customFormat="1"/>
    <row r="3418" customFormat="1"/>
    <row r="3419" customFormat="1"/>
    <row r="3420" customFormat="1"/>
    <row r="3421" customFormat="1"/>
    <row r="3422" customFormat="1"/>
    <row r="3423" customFormat="1"/>
    <row r="3424" customFormat="1"/>
    <row r="3425" customFormat="1"/>
    <row r="3426" customFormat="1"/>
    <row r="3427" customFormat="1"/>
    <row r="3428" customFormat="1"/>
    <row r="3429" customFormat="1"/>
    <row r="3430" customFormat="1"/>
    <row r="3431" customFormat="1"/>
    <row r="3432" customFormat="1"/>
    <row r="3433" customFormat="1"/>
    <row r="3434" customFormat="1"/>
    <row r="3435" customFormat="1"/>
    <row r="3436" customFormat="1"/>
    <row r="3437" customFormat="1"/>
    <row r="3438" customFormat="1"/>
    <row r="3439" customFormat="1"/>
    <row r="3440" customFormat="1"/>
    <row r="3441" customFormat="1"/>
    <row r="3442" customFormat="1"/>
    <row r="3443" customFormat="1"/>
    <row r="3444" customFormat="1"/>
    <row r="3445" customFormat="1"/>
    <row r="3446" customFormat="1"/>
    <row r="3447" customFormat="1"/>
    <row r="3448" customFormat="1"/>
    <row r="3449" customFormat="1"/>
    <row r="3450" customFormat="1"/>
    <row r="3451" customFormat="1"/>
    <row r="3452" customFormat="1"/>
    <row r="3453" customFormat="1"/>
    <row r="3454" customFormat="1"/>
    <row r="3455" customFormat="1"/>
    <row r="3456" customFormat="1"/>
    <row r="3457" customFormat="1"/>
    <row r="3458" customFormat="1"/>
    <row r="3459" customFormat="1"/>
    <row r="3460" customFormat="1"/>
    <row r="3461" customFormat="1"/>
    <row r="3462" customFormat="1"/>
    <row r="3463" customFormat="1"/>
    <row r="3464" customFormat="1"/>
    <row r="3465" customFormat="1"/>
    <row r="3466" customFormat="1"/>
    <row r="3467" customFormat="1"/>
    <row r="3468" customFormat="1"/>
    <row r="3469" customFormat="1"/>
    <row r="3470" customFormat="1"/>
    <row r="3471" customFormat="1"/>
    <row r="3472" customFormat="1"/>
    <row r="3473" customFormat="1"/>
    <row r="3474" customFormat="1"/>
    <row r="3475" customFormat="1"/>
    <row r="3476" customFormat="1"/>
    <row r="3477" customFormat="1"/>
    <row r="3478" customFormat="1"/>
    <row r="3479" customFormat="1"/>
    <row r="3480" customFormat="1"/>
    <row r="3481" customFormat="1"/>
    <row r="3482" customFormat="1"/>
    <row r="3483" customFormat="1"/>
    <row r="3484" customFormat="1"/>
    <row r="3485" customFormat="1"/>
    <row r="3486" customFormat="1"/>
    <row r="3487" customFormat="1"/>
    <row r="3488" customFormat="1"/>
    <row r="3489" customFormat="1"/>
    <row r="3490" customFormat="1"/>
    <row r="3491" customFormat="1"/>
    <row r="3492" customFormat="1"/>
    <row r="3493" customFormat="1"/>
    <row r="3494" customFormat="1"/>
    <row r="3495" customFormat="1"/>
    <row r="3496" customFormat="1"/>
    <row r="3497" customFormat="1"/>
    <row r="3498" customFormat="1"/>
    <row r="3499" customFormat="1"/>
    <row r="3500" customFormat="1"/>
    <row r="3501" customFormat="1"/>
    <row r="3502" customFormat="1"/>
    <row r="3503" customFormat="1"/>
    <row r="3504" customFormat="1"/>
    <row r="3505" customFormat="1"/>
    <row r="3506" customFormat="1"/>
    <row r="3507" customFormat="1"/>
    <row r="3508" customFormat="1"/>
    <row r="3509" customFormat="1"/>
    <row r="3510" customFormat="1"/>
    <row r="3511" customFormat="1"/>
    <row r="3512" customFormat="1"/>
    <row r="3513" customFormat="1"/>
    <row r="3514" customFormat="1"/>
    <row r="3515" customFormat="1"/>
    <row r="3516" customFormat="1"/>
    <row r="3517" customFormat="1"/>
    <row r="3518" customFormat="1"/>
    <row r="3519" customFormat="1"/>
    <row r="3520" customFormat="1"/>
    <row r="3521" customFormat="1"/>
    <row r="3522" customFormat="1"/>
    <row r="3523" customFormat="1"/>
    <row r="3524" customFormat="1"/>
    <row r="3525" customFormat="1"/>
    <row r="3526" customFormat="1"/>
    <row r="3527" customFormat="1"/>
    <row r="3528" customFormat="1"/>
    <row r="3529" customFormat="1"/>
    <row r="3530" customFormat="1"/>
    <row r="3531" customFormat="1"/>
    <row r="3532" customFormat="1"/>
    <row r="3533" customFormat="1"/>
    <row r="3534" customFormat="1"/>
    <row r="3535" customFormat="1"/>
    <row r="3536" customFormat="1"/>
    <row r="3537" customFormat="1"/>
    <row r="3538" customFormat="1"/>
    <row r="3539" customFormat="1"/>
    <row r="3540" customFormat="1"/>
    <row r="3541" customFormat="1"/>
    <row r="3542" customFormat="1"/>
    <row r="3543" customFormat="1"/>
    <row r="3544" customFormat="1"/>
    <row r="3545" customFormat="1"/>
    <row r="3546" customFormat="1"/>
    <row r="3547" customFormat="1"/>
    <row r="3548" customFormat="1"/>
    <row r="3549" customFormat="1"/>
    <row r="3550" customFormat="1"/>
    <row r="3551" customFormat="1"/>
    <row r="3552" customFormat="1"/>
    <row r="3553" customFormat="1"/>
    <row r="3554" customFormat="1"/>
    <row r="3555" customFormat="1"/>
    <row r="3556" customFormat="1"/>
    <row r="3557" customFormat="1"/>
    <row r="3558" customFormat="1"/>
    <row r="3559" customFormat="1"/>
    <row r="3560" customFormat="1"/>
    <row r="3561" customFormat="1"/>
    <row r="3562" customFormat="1"/>
    <row r="3563" customFormat="1"/>
    <row r="3564" customFormat="1"/>
    <row r="3565" customFormat="1"/>
    <row r="3566" customFormat="1"/>
    <row r="3567" customFormat="1"/>
    <row r="3568" customFormat="1"/>
    <row r="3569" customFormat="1"/>
    <row r="3570" customFormat="1"/>
    <row r="3571" customFormat="1"/>
    <row r="3572" customFormat="1"/>
    <row r="3573" customFormat="1"/>
    <row r="3574" customFormat="1"/>
    <row r="3575" customFormat="1"/>
    <row r="3576" customFormat="1"/>
    <row r="3577" customFormat="1"/>
    <row r="3578" customFormat="1"/>
    <row r="3579" customFormat="1"/>
    <row r="3580" customFormat="1"/>
    <row r="3581" customFormat="1"/>
    <row r="3582" customFormat="1"/>
    <row r="3583" customFormat="1"/>
    <row r="3584" customFormat="1"/>
    <row r="3585" customFormat="1"/>
    <row r="3586" customFormat="1"/>
    <row r="3587" customFormat="1"/>
    <row r="3588" customFormat="1"/>
    <row r="3589" customFormat="1"/>
    <row r="3590" customFormat="1"/>
    <row r="3591" customFormat="1"/>
    <row r="3592" customFormat="1"/>
    <row r="3593" customFormat="1"/>
    <row r="3594" customFormat="1"/>
    <row r="3595" customFormat="1"/>
    <row r="3596" customFormat="1"/>
    <row r="3597" customFormat="1"/>
    <row r="3598" customFormat="1"/>
    <row r="3599" customFormat="1"/>
    <row r="3600" customFormat="1"/>
    <row r="3601" customFormat="1"/>
    <row r="3602" customFormat="1"/>
    <row r="3603" customFormat="1"/>
    <row r="3604" customFormat="1"/>
    <row r="3605" customFormat="1"/>
    <row r="3606" customFormat="1"/>
    <row r="3607" customFormat="1"/>
    <row r="3608" customFormat="1"/>
    <row r="3609" customFormat="1"/>
    <row r="3610" customFormat="1"/>
    <row r="3611" customFormat="1"/>
    <row r="3612" customFormat="1"/>
    <row r="3613" customFormat="1"/>
    <row r="3614" customFormat="1"/>
    <row r="3615" customFormat="1"/>
    <row r="3616" customFormat="1"/>
    <row r="3617" customFormat="1"/>
    <row r="3618" customFormat="1"/>
    <row r="3619" customFormat="1"/>
    <row r="3620" customFormat="1"/>
    <row r="3621" customFormat="1"/>
    <row r="3622" customFormat="1"/>
    <row r="3623" customFormat="1"/>
    <row r="3624" customFormat="1"/>
    <row r="3625" customFormat="1"/>
    <row r="3626" customFormat="1"/>
    <row r="3627" customFormat="1"/>
    <row r="3628" customFormat="1"/>
    <row r="3629" customFormat="1"/>
    <row r="3630" customFormat="1"/>
    <row r="3631" customFormat="1"/>
    <row r="3632" customFormat="1"/>
    <row r="3633" customFormat="1"/>
    <row r="3634" customFormat="1"/>
    <row r="3635" customFormat="1"/>
    <row r="3636" customFormat="1"/>
    <row r="3637" customFormat="1"/>
    <row r="3638" customFormat="1"/>
    <row r="3639" customFormat="1"/>
    <row r="3640" customFormat="1"/>
    <row r="3641" customFormat="1"/>
    <row r="3642" customFormat="1"/>
    <row r="3643" customFormat="1"/>
    <row r="3644" customFormat="1"/>
    <row r="3645" customFormat="1"/>
    <row r="3646" customFormat="1"/>
    <row r="3647" customFormat="1"/>
    <row r="3648" customFormat="1"/>
    <row r="3649" customFormat="1"/>
    <row r="3650" customFormat="1"/>
    <row r="3651" customFormat="1"/>
    <row r="3652" customFormat="1"/>
    <row r="3653" customFormat="1"/>
    <row r="3654" customFormat="1"/>
    <row r="3655" customFormat="1"/>
    <row r="3656" customFormat="1"/>
    <row r="3657" customFormat="1"/>
    <row r="3658" customFormat="1"/>
    <row r="3659" customFormat="1"/>
    <row r="3660" customFormat="1"/>
    <row r="3661" customFormat="1"/>
    <row r="3662" customFormat="1"/>
    <row r="3663" customFormat="1"/>
    <row r="3664" customFormat="1"/>
    <row r="3665" customFormat="1"/>
    <row r="3666" customFormat="1"/>
    <row r="3667" customFormat="1"/>
    <row r="3668" customFormat="1"/>
    <row r="3669" customFormat="1"/>
    <row r="3670" customFormat="1"/>
    <row r="3671" customFormat="1"/>
    <row r="3672" customFormat="1"/>
    <row r="3673" customFormat="1"/>
    <row r="3674" customFormat="1"/>
    <row r="3675" customFormat="1"/>
    <row r="3676" customFormat="1"/>
    <row r="3677" customFormat="1"/>
    <row r="3678" customFormat="1"/>
    <row r="3679" customFormat="1"/>
    <row r="3680" customFormat="1"/>
    <row r="3681" customFormat="1"/>
    <row r="3682" customFormat="1"/>
    <row r="3683" customFormat="1"/>
    <row r="3684" customFormat="1"/>
    <row r="3685" customFormat="1"/>
    <row r="3686" customFormat="1"/>
    <row r="3687" customFormat="1"/>
    <row r="3688" customFormat="1"/>
    <row r="3689" customFormat="1"/>
    <row r="3690" customFormat="1"/>
    <row r="3691" customFormat="1"/>
    <row r="3692" customFormat="1"/>
    <row r="3693" customFormat="1"/>
    <row r="3694" customFormat="1"/>
    <row r="3695" customFormat="1"/>
    <row r="3696" customFormat="1"/>
    <row r="3697" customFormat="1"/>
    <row r="3698" customFormat="1"/>
    <row r="3699" customFormat="1"/>
    <row r="3700" customFormat="1"/>
    <row r="3701" customFormat="1"/>
    <row r="3702" customFormat="1"/>
    <row r="3703" customFormat="1"/>
    <row r="3704" customFormat="1"/>
    <row r="3705" customFormat="1"/>
    <row r="3706" customFormat="1"/>
    <row r="3707" customFormat="1"/>
    <row r="3708" customFormat="1"/>
    <row r="3709" customFormat="1"/>
    <row r="3710" customFormat="1"/>
    <row r="3711" customFormat="1"/>
    <row r="3712" customFormat="1"/>
    <row r="3713" customFormat="1"/>
    <row r="3714" customFormat="1"/>
    <row r="3715" customFormat="1"/>
    <row r="3716" customFormat="1"/>
    <row r="3717" customFormat="1"/>
    <row r="3718" customFormat="1"/>
    <row r="3719" customFormat="1"/>
    <row r="3720" customFormat="1"/>
    <row r="3721" customFormat="1"/>
    <row r="3722" customFormat="1"/>
    <row r="3723" customFormat="1"/>
    <row r="3724" customFormat="1"/>
    <row r="3725" customFormat="1"/>
    <row r="3726" customFormat="1"/>
    <row r="3727" customFormat="1"/>
    <row r="3728" customFormat="1"/>
    <row r="3729" customFormat="1"/>
    <row r="3730" customFormat="1"/>
    <row r="3731" customFormat="1"/>
    <row r="3732" customFormat="1"/>
    <row r="3733" customFormat="1"/>
    <row r="3734" customFormat="1"/>
    <row r="3735" customFormat="1"/>
    <row r="3736" customFormat="1"/>
    <row r="3737" customFormat="1"/>
    <row r="3738" customFormat="1"/>
    <row r="3739" customFormat="1"/>
    <row r="3740" customFormat="1"/>
    <row r="3741" customFormat="1"/>
    <row r="3742" customFormat="1"/>
    <row r="3743" customFormat="1"/>
    <row r="3744" customFormat="1"/>
    <row r="3745" customFormat="1"/>
    <row r="3746" customFormat="1"/>
    <row r="3747" customFormat="1"/>
    <row r="3748" customFormat="1"/>
    <row r="3749" customFormat="1"/>
    <row r="3750" customFormat="1"/>
    <row r="3751" customFormat="1"/>
    <row r="3752" customFormat="1"/>
    <row r="3753" customFormat="1"/>
    <row r="3754" customFormat="1"/>
    <row r="3755" customFormat="1"/>
    <row r="3756" customFormat="1"/>
    <row r="3757" customFormat="1"/>
    <row r="3758" customFormat="1"/>
    <row r="3759" customFormat="1"/>
    <row r="3760" customFormat="1"/>
    <row r="3761" customFormat="1"/>
    <row r="3762" customFormat="1"/>
    <row r="3763" customFormat="1"/>
    <row r="3764" customFormat="1"/>
    <row r="3765" customFormat="1"/>
    <row r="3766" customFormat="1"/>
    <row r="3767" customFormat="1"/>
    <row r="3768" customFormat="1"/>
    <row r="3769" customFormat="1"/>
    <row r="3770" customFormat="1"/>
    <row r="3771" customFormat="1"/>
    <row r="3772" customFormat="1"/>
    <row r="3773" customFormat="1"/>
    <row r="3774" customFormat="1"/>
    <row r="3775" customFormat="1"/>
    <row r="3776" customFormat="1"/>
    <row r="3777" customFormat="1"/>
    <row r="3778" customFormat="1"/>
    <row r="3779" customFormat="1"/>
    <row r="3780" customFormat="1"/>
    <row r="3781" customFormat="1"/>
    <row r="3782" customFormat="1"/>
    <row r="3783" customFormat="1"/>
    <row r="3784" customFormat="1"/>
    <row r="3785" customFormat="1"/>
    <row r="3786" customFormat="1"/>
    <row r="3787" customFormat="1"/>
    <row r="3788" customFormat="1"/>
    <row r="3789" customFormat="1"/>
    <row r="3790" customFormat="1"/>
    <row r="3791" customFormat="1"/>
    <row r="3792" customFormat="1"/>
    <row r="3793" customFormat="1"/>
    <row r="3794" customFormat="1"/>
    <row r="3795" customFormat="1"/>
    <row r="3796" customFormat="1"/>
    <row r="3797" customFormat="1"/>
    <row r="3798" customFormat="1"/>
    <row r="3799" customFormat="1"/>
    <row r="3800" customFormat="1"/>
    <row r="3801" customFormat="1"/>
    <row r="3802" customFormat="1"/>
    <row r="3803" customFormat="1"/>
    <row r="3804" customFormat="1"/>
    <row r="3805" customFormat="1"/>
    <row r="3806" customFormat="1"/>
    <row r="3807" customFormat="1"/>
    <row r="3808" customFormat="1"/>
    <row r="3809" customFormat="1"/>
    <row r="3810" customFormat="1"/>
    <row r="3811" customFormat="1"/>
    <row r="3812" customFormat="1"/>
    <row r="3813" customFormat="1"/>
    <row r="3814" customFormat="1"/>
    <row r="3815" customFormat="1"/>
    <row r="3816" customFormat="1"/>
    <row r="3817" customFormat="1"/>
    <row r="3818" customFormat="1"/>
    <row r="3819" customFormat="1"/>
    <row r="3820" customFormat="1"/>
    <row r="3821" customFormat="1"/>
    <row r="3822" customFormat="1"/>
    <row r="3823" customFormat="1"/>
    <row r="3824" customFormat="1"/>
    <row r="3825" customFormat="1"/>
    <row r="3826" customFormat="1"/>
    <row r="3827" customFormat="1"/>
    <row r="3828" customFormat="1"/>
    <row r="3829" customFormat="1"/>
    <row r="3830" customFormat="1"/>
    <row r="3831" customFormat="1"/>
    <row r="3832" customFormat="1"/>
    <row r="3833" customFormat="1"/>
    <row r="3834" customFormat="1"/>
    <row r="3835" customFormat="1"/>
    <row r="3836" customFormat="1"/>
    <row r="3837" customFormat="1"/>
    <row r="3838" customFormat="1"/>
    <row r="3839" customFormat="1"/>
    <row r="3840" customFormat="1"/>
    <row r="3841" customFormat="1"/>
    <row r="3842" customFormat="1"/>
    <row r="3843" customFormat="1"/>
    <row r="3844" customFormat="1"/>
    <row r="3845" customFormat="1"/>
    <row r="3846" customFormat="1"/>
    <row r="3847" customFormat="1"/>
    <row r="3848" customFormat="1"/>
    <row r="3849" customFormat="1"/>
    <row r="3850" customFormat="1"/>
    <row r="3851" customFormat="1"/>
    <row r="3852" customFormat="1"/>
    <row r="3853" customFormat="1"/>
    <row r="3854" customFormat="1"/>
    <row r="3855" customFormat="1"/>
    <row r="3856" customFormat="1"/>
    <row r="3857" customFormat="1"/>
    <row r="3858" customFormat="1"/>
    <row r="3859" customFormat="1"/>
    <row r="3860" customFormat="1"/>
    <row r="3861" customFormat="1"/>
    <row r="3862" customFormat="1"/>
    <row r="3863" customFormat="1"/>
    <row r="3864" customFormat="1"/>
    <row r="3865" customFormat="1"/>
    <row r="3866" customFormat="1"/>
    <row r="3867" customFormat="1"/>
    <row r="3868" customFormat="1"/>
    <row r="3869" customFormat="1"/>
    <row r="3870" customFormat="1"/>
    <row r="3871" customFormat="1"/>
    <row r="3872" customFormat="1"/>
    <row r="3873" customFormat="1"/>
    <row r="3874" customFormat="1"/>
    <row r="3875" customFormat="1"/>
    <row r="3876" customFormat="1"/>
    <row r="3877" customFormat="1"/>
    <row r="3878" customFormat="1"/>
    <row r="3879" customFormat="1"/>
    <row r="3880" customFormat="1"/>
    <row r="3881" customFormat="1"/>
    <row r="3882" customFormat="1"/>
    <row r="3883" customFormat="1"/>
    <row r="3884" customFormat="1"/>
    <row r="3885" customFormat="1"/>
    <row r="3886" customFormat="1"/>
    <row r="3887" customFormat="1"/>
    <row r="3888" customFormat="1"/>
    <row r="3889" customFormat="1"/>
    <row r="3890" customFormat="1"/>
    <row r="3891" customFormat="1"/>
    <row r="3892" customFormat="1"/>
    <row r="3893" customFormat="1"/>
    <row r="3894" customFormat="1"/>
    <row r="3895" customFormat="1"/>
    <row r="3896" customFormat="1"/>
    <row r="3897" customFormat="1"/>
    <row r="3898" customFormat="1"/>
    <row r="3899" customFormat="1"/>
    <row r="3900" customFormat="1"/>
    <row r="3901" customFormat="1"/>
    <row r="3902" customFormat="1"/>
    <row r="3903" customFormat="1"/>
    <row r="3904" customFormat="1"/>
    <row r="3905" customFormat="1"/>
    <row r="3906" customFormat="1"/>
    <row r="3907" customFormat="1"/>
    <row r="3908" customFormat="1"/>
    <row r="3909" customFormat="1"/>
    <row r="3910" customFormat="1"/>
    <row r="3911" customFormat="1"/>
    <row r="3912" customFormat="1"/>
    <row r="3913" customFormat="1"/>
    <row r="3914" customFormat="1"/>
    <row r="3915" customFormat="1"/>
    <row r="3916" customFormat="1"/>
    <row r="3917" customFormat="1"/>
    <row r="3918" customFormat="1"/>
    <row r="3919" customFormat="1"/>
    <row r="3920" customFormat="1"/>
    <row r="3921" customFormat="1"/>
    <row r="3922" customFormat="1"/>
    <row r="3923" customFormat="1"/>
    <row r="3924" customFormat="1"/>
    <row r="3925" customFormat="1"/>
    <row r="3926" customFormat="1"/>
    <row r="3927" customFormat="1"/>
    <row r="3928" customFormat="1"/>
    <row r="3929" customFormat="1"/>
    <row r="3930" customFormat="1"/>
    <row r="3931" customFormat="1"/>
    <row r="3932" customFormat="1"/>
    <row r="3933" customFormat="1"/>
    <row r="3934" customFormat="1"/>
    <row r="3935" customFormat="1"/>
    <row r="3936" customFormat="1"/>
    <row r="3937" customFormat="1"/>
    <row r="3938" customFormat="1"/>
    <row r="3939" customFormat="1"/>
    <row r="3940" customFormat="1"/>
    <row r="3941" customFormat="1"/>
    <row r="3942" customFormat="1"/>
    <row r="3943" customFormat="1"/>
    <row r="3944" customFormat="1"/>
    <row r="3945" customFormat="1"/>
    <row r="3946" customFormat="1"/>
    <row r="3947" customFormat="1"/>
    <row r="3948" customFormat="1"/>
    <row r="3949" customFormat="1"/>
    <row r="3950" customFormat="1"/>
    <row r="3951" customFormat="1"/>
    <row r="3952" customFormat="1"/>
    <row r="3953" customFormat="1"/>
    <row r="3954" customFormat="1"/>
    <row r="3955" customFormat="1"/>
    <row r="3956" customFormat="1"/>
    <row r="3957" customFormat="1"/>
    <row r="3958" customFormat="1"/>
    <row r="3959" customFormat="1"/>
    <row r="3960" customFormat="1"/>
    <row r="3961" customFormat="1"/>
    <row r="3962" customFormat="1"/>
    <row r="3963" customFormat="1"/>
    <row r="3964" customFormat="1"/>
    <row r="3965" customFormat="1"/>
    <row r="3966" customFormat="1"/>
    <row r="3967" customFormat="1"/>
    <row r="3968" customFormat="1"/>
    <row r="3969" customFormat="1"/>
    <row r="3970" customFormat="1"/>
    <row r="3971" customFormat="1"/>
    <row r="3972" customFormat="1"/>
    <row r="3973" customFormat="1"/>
    <row r="3974" customFormat="1"/>
    <row r="3975" customFormat="1"/>
    <row r="3976" customFormat="1"/>
    <row r="3977" customFormat="1"/>
    <row r="3978" customFormat="1"/>
    <row r="3979" customFormat="1"/>
    <row r="3980" customFormat="1"/>
    <row r="3981" customFormat="1"/>
    <row r="3982" customFormat="1"/>
    <row r="3983" customFormat="1"/>
    <row r="3984" customFormat="1"/>
    <row r="3985" customFormat="1"/>
    <row r="3986" customFormat="1"/>
    <row r="3987" customFormat="1"/>
    <row r="3988" customFormat="1"/>
    <row r="3989" customFormat="1"/>
    <row r="3990" customFormat="1"/>
    <row r="3991" customFormat="1"/>
    <row r="3992" customFormat="1"/>
    <row r="3993" customFormat="1"/>
    <row r="3994" customFormat="1"/>
    <row r="3995" customFormat="1"/>
    <row r="3996" customFormat="1"/>
    <row r="3997" customFormat="1"/>
    <row r="3998" customFormat="1"/>
    <row r="3999" customFormat="1"/>
    <row r="4000" customFormat="1"/>
    <row r="4001" customFormat="1"/>
    <row r="4002" customFormat="1"/>
    <row r="4003" customFormat="1"/>
    <row r="4004" customFormat="1"/>
    <row r="4005" customFormat="1"/>
    <row r="4006" customFormat="1"/>
    <row r="4007" customFormat="1"/>
    <row r="4008" customFormat="1"/>
    <row r="4009" customFormat="1"/>
    <row r="4010" customFormat="1"/>
    <row r="4011" customFormat="1"/>
    <row r="4012" customFormat="1"/>
    <row r="4013" customFormat="1"/>
    <row r="4014" customFormat="1"/>
    <row r="4015" customFormat="1"/>
    <row r="4016" customFormat="1"/>
    <row r="4017" customFormat="1"/>
    <row r="4018" customFormat="1"/>
    <row r="4019" customFormat="1"/>
    <row r="4020" customFormat="1"/>
    <row r="4021" customFormat="1"/>
    <row r="4022" customFormat="1"/>
    <row r="4023" customFormat="1"/>
    <row r="4024" customFormat="1"/>
    <row r="4025" customFormat="1"/>
    <row r="4026" customFormat="1"/>
    <row r="4027" customFormat="1"/>
    <row r="4028" customFormat="1"/>
    <row r="4029" customFormat="1"/>
    <row r="4030" customFormat="1"/>
    <row r="4031" customFormat="1"/>
    <row r="4032" customFormat="1"/>
    <row r="4033" customFormat="1"/>
    <row r="4034" customFormat="1"/>
    <row r="4035" customFormat="1"/>
    <row r="4036" customFormat="1"/>
    <row r="4037" customFormat="1"/>
    <row r="4038" customFormat="1"/>
    <row r="4039" customFormat="1"/>
    <row r="4040" customFormat="1"/>
    <row r="4041" customFormat="1"/>
    <row r="4042" customFormat="1"/>
    <row r="4043" customFormat="1"/>
    <row r="4044" customFormat="1"/>
    <row r="4045" customFormat="1"/>
    <row r="4046" customFormat="1"/>
    <row r="4047" customFormat="1"/>
    <row r="4048" customFormat="1"/>
    <row r="4049" customFormat="1"/>
    <row r="4050" customFormat="1"/>
    <row r="4051" customFormat="1"/>
    <row r="4052" customFormat="1"/>
    <row r="4053" customFormat="1"/>
    <row r="4054" customFormat="1"/>
    <row r="4055" customFormat="1"/>
    <row r="4056" customFormat="1"/>
    <row r="4057" customFormat="1"/>
    <row r="4058" customFormat="1"/>
    <row r="4059" customFormat="1"/>
    <row r="4060" customFormat="1"/>
    <row r="4061" customFormat="1"/>
    <row r="4062" customFormat="1"/>
    <row r="4063" customFormat="1"/>
    <row r="4064" customFormat="1"/>
    <row r="4065" customFormat="1"/>
    <row r="4066" customFormat="1"/>
    <row r="4067" customFormat="1"/>
    <row r="4068" customFormat="1"/>
    <row r="4069" customFormat="1"/>
    <row r="4070" customFormat="1"/>
    <row r="4071" customFormat="1"/>
    <row r="4072" customFormat="1"/>
    <row r="4073" customFormat="1"/>
    <row r="4074" customFormat="1"/>
    <row r="4075" customFormat="1"/>
    <row r="4076" customFormat="1"/>
    <row r="4077" customFormat="1"/>
    <row r="4078" customFormat="1"/>
    <row r="4079" customFormat="1"/>
    <row r="4080" customFormat="1"/>
    <row r="4081" customFormat="1"/>
    <row r="4082" customFormat="1"/>
    <row r="4083" customFormat="1"/>
    <row r="4084" customFormat="1"/>
    <row r="4085" customFormat="1"/>
    <row r="4086" customFormat="1"/>
    <row r="4087" customFormat="1"/>
    <row r="4088" customFormat="1"/>
    <row r="4089" customFormat="1"/>
    <row r="4090" customFormat="1"/>
    <row r="4091" customFormat="1"/>
    <row r="4092" customFormat="1"/>
    <row r="4093" customFormat="1"/>
    <row r="4094" customFormat="1"/>
    <row r="4095" customFormat="1"/>
    <row r="4096" customFormat="1"/>
    <row r="4097" customFormat="1"/>
    <row r="4098" customFormat="1"/>
    <row r="4099" customFormat="1"/>
    <row r="4100" customFormat="1"/>
    <row r="4101" customFormat="1"/>
    <row r="4102" customFormat="1"/>
    <row r="4103" customFormat="1"/>
    <row r="4104" customFormat="1"/>
    <row r="4105" customFormat="1"/>
    <row r="4106" customFormat="1"/>
    <row r="4107" customFormat="1"/>
    <row r="4108" customFormat="1"/>
    <row r="4109" customFormat="1"/>
    <row r="4110" customFormat="1"/>
    <row r="4111" customFormat="1"/>
    <row r="4112" customFormat="1"/>
    <row r="4113" customFormat="1"/>
    <row r="4114" customFormat="1"/>
    <row r="4115" customFormat="1"/>
    <row r="4116" customFormat="1"/>
    <row r="4117" customFormat="1"/>
    <row r="4118" customFormat="1"/>
    <row r="4119" customFormat="1"/>
    <row r="4120" customFormat="1"/>
    <row r="4121" customFormat="1"/>
    <row r="4122" customFormat="1"/>
    <row r="4123" customFormat="1"/>
    <row r="4124" customFormat="1"/>
    <row r="4125" customFormat="1"/>
    <row r="4126" customFormat="1"/>
    <row r="4127" customFormat="1"/>
    <row r="4128" customFormat="1"/>
    <row r="4129" customFormat="1"/>
    <row r="4130" customFormat="1"/>
    <row r="4131" customFormat="1"/>
    <row r="4132" customFormat="1"/>
    <row r="4133" customFormat="1"/>
    <row r="4134" customFormat="1"/>
    <row r="4135" customFormat="1"/>
    <row r="4136" customFormat="1"/>
    <row r="4137" customFormat="1"/>
    <row r="4138" customFormat="1"/>
    <row r="4139" customFormat="1"/>
    <row r="4140" customFormat="1"/>
    <row r="4141" customFormat="1"/>
    <row r="4142" customFormat="1"/>
    <row r="4143" customFormat="1"/>
    <row r="4144" customFormat="1"/>
    <row r="4145" customFormat="1"/>
    <row r="4146" customFormat="1"/>
    <row r="4147" customFormat="1"/>
    <row r="4148" customFormat="1"/>
    <row r="4149" customFormat="1"/>
    <row r="4150" customFormat="1"/>
    <row r="4151" customFormat="1"/>
    <row r="4152" customFormat="1"/>
    <row r="4153" customFormat="1"/>
    <row r="4154" customFormat="1"/>
    <row r="4155" customFormat="1"/>
    <row r="4156" customFormat="1"/>
    <row r="4157" customFormat="1"/>
    <row r="4158" customFormat="1"/>
    <row r="4159" customFormat="1"/>
    <row r="4160" customFormat="1"/>
    <row r="4161" customFormat="1"/>
    <row r="4162" customFormat="1"/>
    <row r="4163" customFormat="1"/>
    <row r="4164" customFormat="1"/>
    <row r="4165" customFormat="1"/>
    <row r="4166" customFormat="1"/>
    <row r="4167" customFormat="1"/>
    <row r="4168" customFormat="1"/>
    <row r="4169" customFormat="1"/>
    <row r="4170" customFormat="1"/>
    <row r="4171" customFormat="1"/>
    <row r="4172" customFormat="1"/>
    <row r="4173" customFormat="1"/>
    <row r="4174" customFormat="1"/>
    <row r="4175" customFormat="1"/>
    <row r="4176" customFormat="1"/>
    <row r="4177" customFormat="1"/>
    <row r="4178" customFormat="1"/>
    <row r="4179" customFormat="1"/>
    <row r="4180" customFormat="1"/>
    <row r="4181" customFormat="1"/>
    <row r="4182" customFormat="1"/>
    <row r="4183" customFormat="1"/>
    <row r="4184" customFormat="1"/>
    <row r="4185" customFormat="1"/>
    <row r="4186" customFormat="1"/>
    <row r="4187" customFormat="1"/>
    <row r="4188" customFormat="1"/>
    <row r="4189" customFormat="1"/>
    <row r="4190" customFormat="1"/>
    <row r="4191" customFormat="1"/>
    <row r="4192" customFormat="1"/>
    <row r="4193" customFormat="1"/>
    <row r="4194" customFormat="1"/>
    <row r="4195" customFormat="1"/>
    <row r="4196" customFormat="1"/>
    <row r="4197" customFormat="1"/>
    <row r="4198" customFormat="1"/>
    <row r="4199" customFormat="1"/>
    <row r="4200" customFormat="1"/>
    <row r="4201" customFormat="1"/>
    <row r="4202" customFormat="1"/>
    <row r="4203" customFormat="1"/>
    <row r="4204" customFormat="1"/>
    <row r="4205" customFormat="1"/>
    <row r="4206" customFormat="1"/>
    <row r="4207" customFormat="1"/>
    <row r="4208" customFormat="1"/>
    <row r="4209" customFormat="1"/>
    <row r="4210" customFormat="1"/>
    <row r="4211" customFormat="1"/>
    <row r="4212" customFormat="1"/>
    <row r="4213" customFormat="1"/>
    <row r="4214" customFormat="1"/>
    <row r="4215" customFormat="1"/>
    <row r="4216" customFormat="1"/>
    <row r="4217" customFormat="1"/>
    <row r="4218" customFormat="1"/>
    <row r="4219" customFormat="1"/>
    <row r="4220" customFormat="1"/>
    <row r="4221" customFormat="1"/>
    <row r="4222" customFormat="1"/>
    <row r="4223" customFormat="1"/>
    <row r="4224" customFormat="1"/>
    <row r="4225" customFormat="1"/>
    <row r="4226" customFormat="1"/>
    <row r="4227" customFormat="1"/>
    <row r="4228" customFormat="1"/>
    <row r="4229" customFormat="1"/>
    <row r="4230" customFormat="1"/>
    <row r="4231" customFormat="1"/>
    <row r="4232" customFormat="1"/>
    <row r="4233" customFormat="1"/>
    <row r="4234" customFormat="1"/>
    <row r="4235" customFormat="1"/>
    <row r="4236" customFormat="1"/>
    <row r="4237" customFormat="1"/>
    <row r="4238" customFormat="1"/>
    <row r="4239" customFormat="1"/>
    <row r="4240" customFormat="1"/>
    <row r="4241" customFormat="1"/>
    <row r="4242" customFormat="1"/>
    <row r="4243" customFormat="1"/>
    <row r="4244" customFormat="1"/>
    <row r="4245" customFormat="1"/>
    <row r="4246" customFormat="1"/>
    <row r="4247" customFormat="1"/>
    <row r="4248" customFormat="1"/>
    <row r="4249" customFormat="1"/>
    <row r="4250" customFormat="1"/>
    <row r="4251" customFormat="1"/>
    <row r="4252" customFormat="1"/>
    <row r="4253" customFormat="1"/>
    <row r="4254" customFormat="1"/>
    <row r="4255" customFormat="1"/>
    <row r="4256" customFormat="1"/>
    <row r="4257" customFormat="1"/>
    <row r="4258" customFormat="1"/>
    <row r="4259" customFormat="1"/>
    <row r="4260" customFormat="1"/>
    <row r="4261" customFormat="1"/>
    <row r="4262" customFormat="1"/>
    <row r="4263" customFormat="1"/>
    <row r="4264" customFormat="1"/>
    <row r="4265" customFormat="1"/>
    <row r="4266" customFormat="1"/>
    <row r="4267" customFormat="1"/>
    <row r="4268" customFormat="1"/>
    <row r="4269" customFormat="1"/>
    <row r="4270" customFormat="1"/>
    <row r="4271" customFormat="1"/>
    <row r="4272" customFormat="1"/>
    <row r="4273" customFormat="1"/>
    <row r="4274" customFormat="1"/>
    <row r="4275" customFormat="1"/>
    <row r="4276" customFormat="1"/>
    <row r="4277" customFormat="1"/>
    <row r="4278" customFormat="1"/>
    <row r="4279" customFormat="1"/>
    <row r="4280" customFormat="1"/>
    <row r="4281" customFormat="1"/>
    <row r="4282" customFormat="1"/>
    <row r="4283" customFormat="1"/>
    <row r="4284" customFormat="1"/>
    <row r="4285" customFormat="1"/>
    <row r="4286" customFormat="1"/>
    <row r="4287" customFormat="1"/>
    <row r="4288" customFormat="1"/>
    <row r="4289" customFormat="1"/>
    <row r="4290" customFormat="1"/>
    <row r="4291" customFormat="1"/>
    <row r="4292" customFormat="1"/>
    <row r="4293" customFormat="1"/>
    <row r="4294" customFormat="1"/>
    <row r="4295" customFormat="1"/>
    <row r="4296" customFormat="1"/>
    <row r="4297" customFormat="1"/>
    <row r="4298" customFormat="1"/>
    <row r="4299" customFormat="1"/>
    <row r="4300" customFormat="1"/>
    <row r="4301" customFormat="1"/>
    <row r="4302" customFormat="1"/>
    <row r="4303" customFormat="1"/>
    <row r="4304" customFormat="1"/>
    <row r="4305" customFormat="1"/>
    <row r="4306" customFormat="1"/>
    <row r="4307" customFormat="1"/>
    <row r="4308" customFormat="1"/>
    <row r="4309" customFormat="1"/>
    <row r="4310" customFormat="1"/>
    <row r="4311" customFormat="1"/>
    <row r="4312" customFormat="1"/>
    <row r="4313" customFormat="1"/>
    <row r="4314" customFormat="1"/>
    <row r="4315" customFormat="1"/>
    <row r="4316" customFormat="1"/>
    <row r="4317" customFormat="1"/>
    <row r="4318" customFormat="1"/>
    <row r="4319" customFormat="1"/>
    <row r="4320" customFormat="1"/>
    <row r="4321" customFormat="1"/>
    <row r="4322" customFormat="1"/>
    <row r="4323" customFormat="1"/>
    <row r="4324" customFormat="1"/>
    <row r="4325" customFormat="1"/>
    <row r="4326" customFormat="1"/>
    <row r="4327" customFormat="1"/>
    <row r="4328" customFormat="1"/>
    <row r="4329" customFormat="1"/>
    <row r="4330" customFormat="1"/>
    <row r="4331" customFormat="1"/>
    <row r="4332" customFormat="1"/>
    <row r="4333" customFormat="1"/>
    <row r="4334" customFormat="1"/>
    <row r="4335" customFormat="1"/>
    <row r="4336" customFormat="1"/>
    <row r="4337" customFormat="1"/>
    <row r="4338" customFormat="1"/>
    <row r="4339" customFormat="1"/>
    <row r="4340" customFormat="1"/>
    <row r="4341" customFormat="1"/>
    <row r="4342" customFormat="1"/>
    <row r="4343" customFormat="1"/>
    <row r="4344" customFormat="1"/>
    <row r="4345" customFormat="1"/>
    <row r="4346" customFormat="1"/>
    <row r="4347" customFormat="1"/>
    <row r="4348" customFormat="1"/>
    <row r="4349" customFormat="1"/>
    <row r="4350" customFormat="1"/>
    <row r="4351" customFormat="1"/>
    <row r="4352" customFormat="1"/>
    <row r="4353" customFormat="1"/>
    <row r="4354" customFormat="1"/>
    <row r="4355" customFormat="1"/>
    <row r="4356" customFormat="1"/>
    <row r="4357" customFormat="1"/>
    <row r="4358" customFormat="1"/>
    <row r="4359" customFormat="1"/>
    <row r="4360" customFormat="1"/>
    <row r="4361" customFormat="1"/>
    <row r="4362" customFormat="1"/>
    <row r="4363" customFormat="1"/>
    <row r="4364" customFormat="1"/>
    <row r="4365" customFormat="1"/>
    <row r="4366" customFormat="1"/>
    <row r="4367" customFormat="1"/>
    <row r="4368" customFormat="1"/>
    <row r="4369" customFormat="1"/>
    <row r="4370" customFormat="1"/>
    <row r="4371" customFormat="1"/>
    <row r="4372" customFormat="1"/>
    <row r="4373" customFormat="1"/>
    <row r="4374" customFormat="1"/>
    <row r="4375" customFormat="1"/>
    <row r="4376" customFormat="1"/>
    <row r="4377" customFormat="1"/>
    <row r="4378" customFormat="1"/>
    <row r="4379" customFormat="1"/>
    <row r="4380" customFormat="1"/>
    <row r="4381" customFormat="1"/>
    <row r="4382" customFormat="1"/>
    <row r="4383" customFormat="1"/>
    <row r="4384" customFormat="1"/>
    <row r="4385" customFormat="1"/>
    <row r="4386" customFormat="1"/>
    <row r="4387" customFormat="1"/>
    <row r="4388" customFormat="1"/>
    <row r="4389" customFormat="1"/>
    <row r="4390" customFormat="1"/>
    <row r="4391" customFormat="1"/>
    <row r="4392" customFormat="1"/>
    <row r="4393" customFormat="1"/>
    <row r="4394" customFormat="1"/>
    <row r="4395" customFormat="1"/>
    <row r="4396" customFormat="1"/>
    <row r="4397" customFormat="1"/>
    <row r="4398" customFormat="1"/>
    <row r="4399" customFormat="1"/>
    <row r="4400" customFormat="1"/>
    <row r="4401" customFormat="1"/>
    <row r="4402" customFormat="1"/>
    <row r="4403" customFormat="1"/>
    <row r="4404" customFormat="1"/>
    <row r="4405" customFormat="1"/>
    <row r="4406" customFormat="1"/>
    <row r="4407" customFormat="1"/>
    <row r="4408" customFormat="1"/>
    <row r="4409" customFormat="1"/>
    <row r="4410" customFormat="1"/>
    <row r="4411" customFormat="1"/>
    <row r="4412" customFormat="1"/>
    <row r="4413" customFormat="1"/>
    <row r="4414" customFormat="1"/>
    <row r="4415" customFormat="1"/>
    <row r="4416" customFormat="1"/>
    <row r="4417" customFormat="1"/>
    <row r="4418" customFormat="1"/>
    <row r="4419" customFormat="1"/>
    <row r="4420" customFormat="1"/>
    <row r="4421" customFormat="1"/>
    <row r="4422" customFormat="1"/>
    <row r="4423" customFormat="1"/>
    <row r="4424" customFormat="1"/>
    <row r="4425" customFormat="1"/>
    <row r="4426" customFormat="1"/>
    <row r="4427" customFormat="1"/>
    <row r="4428" customFormat="1"/>
    <row r="4429" customFormat="1"/>
    <row r="4430" customFormat="1"/>
    <row r="4431" customFormat="1"/>
    <row r="4432" customFormat="1"/>
    <row r="4433" customFormat="1"/>
    <row r="4434" customFormat="1"/>
    <row r="4435" customFormat="1"/>
    <row r="4436" customFormat="1"/>
    <row r="4437" customFormat="1"/>
    <row r="4438" customFormat="1"/>
    <row r="4439" customFormat="1"/>
    <row r="4440" customFormat="1"/>
    <row r="4441" customFormat="1"/>
    <row r="4442" customFormat="1"/>
    <row r="4443" customFormat="1"/>
    <row r="4444" customFormat="1"/>
    <row r="4445" customFormat="1"/>
    <row r="4446" customFormat="1"/>
    <row r="4447" customFormat="1"/>
    <row r="4448" customFormat="1"/>
    <row r="4449" customFormat="1"/>
    <row r="4450" customFormat="1"/>
    <row r="4451" customFormat="1"/>
    <row r="4452" customFormat="1"/>
    <row r="4453" customFormat="1"/>
    <row r="4454" customFormat="1"/>
    <row r="4455" customFormat="1"/>
    <row r="4456" customFormat="1"/>
    <row r="4457" customFormat="1"/>
    <row r="4458" customFormat="1"/>
    <row r="4459" customFormat="1"/>
    <row r="4460" customFormat="1"/>
    <row r="4461" customFormat="1"/>
    <row r="4462" customFormat="1"/>
    <row r="4463" customFormat="1"/>
    <row r="4464" customFormat="1"/>
    <row r="4465" customFormat="1"/>
    <row r="4466" customFormat="1"/>
    <row r="4467" customFormat="1"/>
    <row r="4468" customFormat="1"/>
    <row r="4469" customFormat="1"/>
    <row r="4470" customFormat="1"/>
    <row r="4471" customFormat="1"/>
    <row r="4472" customFormat="1"/>
    <row r="4473" customFormat="1"/>
    <row r="4474" customFormat="1"/>
    <row r="4475" customFormat="1"/>
    <row r="4476" customFormat="1"/>
    <row r="4477" customFormat="1"/>
    <row r="4478" customFormat="1"/>
    <row r="4479" customFormat="1"/>
    <row r="4480" customFormat="1"/>
    <row r="4481" customFormat="1"/>
    <row r="4482" customFormat="1"/>
    <row r="4483" customFormat="1"/>
    <row r="4484" customFormat="1"/>
    <row r="4485" customFormat="1"/>
    <row r="4486" customFormat="1"/>
    <row r="4487" customFormat="1"/>
    <row r="4488" customFormat="1"/>
    <row r="4489" customFormat="1"/>
    <row r="4490" customFormat="1"/>
    <row r="4491" customFormat="1"/>
    <row r="4492" customFormat="1"/>
    <row r="4493" customFormat="1"/>
    <row r="4494" customFormat="1"/>
    <row r="4495" customFormat="1"/>
    <row r="4496" customFormat="1"/>
    <row r="4497" customFormat="1"/>
    <row r="4498" customFormat="1"/>
    <row r="4499" customFormat="1"/>
    <row r="4500" customFormat="1"/>
    <row r="4501" customFormat="1"/>
    <row r="4502" customFormat="1"/>
    <row r="4503" customFormat="1"/>
    <row r="4504" customFormat="1"/>
    <row r="4505" customFormat="1"/>
    <row r="4506" customFormat="1"/>
    <row r="4507" customFormat="1"/>
    <row r="4508" customFormat="1"/>
    <row r="4509" customFormat="1"/>
    <row r="4510" customFormat="1"/>
    <row r="4511" customFormat="1"/>
    <row r="4512" customFormat="1"/>
    <row r="4513" customFormat="1"/>
    <row r="4514" customFormat="1"/>
    <row r="4515" customFormat="1"/>
    <row r="4516" customFormat="1"/>
    <row r="4517" customFormat="1"/>
    <row r="4518" customFormat="1"/>
    <row r="4519" customFormat="1"/>
    <row r="4520" customFormat="1"/>
    <row r="4521" customFormat="1"/>
    <row r="4522" customFormat="1"/>
    <row r="4523" customFormat="1"/>
    <row r="4524" customFormat="1"/>
    <row r="4525" customFormat="1"/>
    <row r="4526" customFormat="1"/>
    <row r="4527" customFormat="1"/>
    <row r="4528" customFormat="1"/>
    <row r="4529" customFormat="1"/>
    <row r="4530" customFormat="1"/>
    <row r="4531" customFormat="1"/>
    <row r="4532" customFormat="1"/>
    <row r="4533" customFormat="1"/>
    <row r="4534" customFormat="1"/>
    <row r="4535" customFormat="1"/>
    <row r="4536" customFormat="1"/>
    <row r="4537" customFormat="1"/>
    <row r="4538" customFormat="1"/>
    <row r="4539" customFormat="1"/>
    <row r="4540" customFormat="1"/>
    <row r="4541" customFormat="1"/>
    <row r="4542" customFormat="1"/>
    <row r="4543" customFormat="1"/>
    <row r="4544" customFormat="1"/>
    <row r="4545" customFormat="1"/>
    <row r="4546" customFormat="1"/>
    <row r="4547" customFormat="1"/>
    <row r="4548" customFormat="1"/>
    <row r="4549" customFormat="1"/>
    <row r="4550" customFormat="1"/>
    <row r="4551" customFormat="1"/>
    <row r="4552" customFormat="1"/>
    <row r="4553" customFormat="1"/>
    <row r="4554" customFormat="1"/>
    <row r="4555" customFormat="1"/>
    <row r="4556" customFormat="1"/>
    <row r="4557" customFormat="1"/>
    <row r="4558" customFormat="1"/>
    <row r="4559" customFormat="1"/>
    <row r="4560" customFormat="1"/>
    <row r="4561" customFormat="1"/>
    <row r="4562" customFormat="1"/>
    <row r="4563" customFormat="1"/>
    <row r="4564" customFormat="1"/>
    <row r="4565" customFormat="1"/>
    <row r="4566" customFormat="1"/>
    <row r="4567" customFormat="1"/>
    <row r="4568" customFormat="1"/>
    <row r="4569" customFormat="1"/>
    <row r="4570" customFormat="1"/>
    <row r="4571" customFormat="1"/>
    <row r="4572" customFormat="1"/>
    <row r="4573" customFormat="1"/>
    <row r="4574" customFormat="1"/>
    <row r="4575" customFormat="1"/>
    <row r="4576" customFormat="1"/>
    <row r="4577" customFormat="1"/>
    <row r="4578" customFormat="1"/>
    <row r="4579" customFormat="1"/>
    <row r="4580" customFormat="1"/>
    <row r="4581" customFormat="1"/>
    <row r="4582" customFormat="1"/>
    <row r="4583" customFormat="1"/>
    <row r="4584" customFormat="1"/>
    <row r="4585" customFormat="1"/>
    <row r="4586" customFormat="1"/>
    <row r="4587" customFormat="1"/>
    <row r="4588" customFormat="1"/>
    <row r="4589" customFormat="1"/>
    <row r="4590" customFormat="1"/>
    <row r="4591" customFormat="1"/>
    <row r="4592" customFormat="1"/>
    <row r="4593" customFormat="1"/>
    <row r="4594" customFormat="1"/>
    <row r="4595" customFormat="1"/>
    <row r="4596" customFormat="1"/>
    <row r="4597" customFormat="1"/>
    <row r="4598" customFormat="1"/>
    <row r="4599" customFormat="1"/>
    <row r="4600" customFormat="1"/>
    <row r="4601" customFormat="1"/>
    <row r="4602" customFormat="1"/>
    <row r="4603" customFormat="1"/>
    <row r="4604" customFormat="1"/>
    <row r="4605" customFormat="1"/>
    <row r="4606" customFormat="1"/>
    <row r="4607" customFormat="1"/>
    <row r="4608" customFormat="1"/>
    <row r="4609" customFormat="1"/>
    <row r="4610" customFormat="1"/>
    <row r="4611" customFormat="1"/>
    <row r="4612" customFormat="1"/>
    <row r="4613" customFormat="1"/>
    <row r="4614" customFormat="1"/>
    <row r="4615" customFormat="1"/>
    <row r="4616" customFormat="1"/>
    <row r="4617" customFormat="1"/>
    <row r="4618" customFormat="1"/>
    <row r="4619" customFormat="1"/>
    <row r="4620" customFormat="1"/>
    <row r="4621" customFormat="1"/>
    <row r="4622" customFormat="1"/>
    <row r="4623" customFormat="1"/>
    <row r="4624" customFormat="1"/>
    <row r="4625" customFormat="1"/>
    <row r="4626" customFormat="1"/>
    <row r="4627" customFormat="1"/>
    <row r="4628" customFormat="1"/>
    <row r="4629" customFormat="1"/>
    <row r="4630" customFormat="1"/>
    <row r="4631" customFormat="1"/>
    <row r="4632" customFormat="1"/>
    <row r="4633" customFormat="1"/>
    <row r="4634" customFormat="1"/>
    <row r="4635" customFormat="1"/>
    <row r="4636" customFormat="1"/>
    <row r="4637" customFormat="1"/>
    <row r="4638" customFormat="1"/>
    <row r="4639" customFormat="1"/>
    <row r="4640" customFormat="1"/>
    <row r="4641" customFormat="1"/>
    <row r="4642" customFormat="1"/>
    <row r="4643" customFormat="1"/>
    <row r="4644" customFormat="1"/>
    <row r="4645" customFormat="1"/>
    <row r="4646" customFormat="1"/>
    <row r="4647" customFormat="1"/>
    <row r="4648" customFormat="1"/>
    <row r="4649" customFormat="1"/>
    <row r="4650" customFormat="1"/>
    <row r="4651" customFormat="1"/>
    <row r="4652" customFormat="1"/>
    <row r="4653" customFormat="1"/>
    <row r="4654" customFormat="1"/>
    <row r="4655" customFormat="1"/>
    <row r="4656" customFormat="1"/>
    <row r="4657" customFormat="1"/>
    <row r="4658" customFormat="1"/>
    <row r="4659" customFormat="1"/>
    <row r="4660" customFormat="1"/>
    <row r="4661" customFormat="1"/>
    <row r="4662" customFormat="1"/>
    <row r="4663" customFormat="1"/>
    <row r="4664" customFormat="1"/>
    <row r="4665" customFormat="1"/>
    <row r="4666" customFormat="1"/>
    <row r="4667" customFormat="1"/>
    <row r="4668" customFormat="1"/>
    <row r="4669" customFormat="1"/>
    <row r="4670" customFormat="1"/>
    <row r="4671" customFormat="1"/>
    <row r="4672" customFormat="1"/>
    <row r="4673" customFormat="1"/>
    <row r="4674" customFormat="1"/>
    <row r="4675" customFormat="1"/>
    <row r="4676" customFormat="1"/>
    <row r="4677" customFormat="1"/>
    <row r="4678" customFormat="1"/>
    <row r="4679" customFormat="1"/>
    <row r="4680" customFormat="1"/>
    <row r="4681" customFormat="1"/>
    <row r="4682" customFormat="1"/>
    <row r="4683" customFormat="1"/>
    <row r="4684" customFormat="1"/>
    <row r="4685" customFormat="1"/>
    <row r="4686" customFormat="1"/>
    <row r="4687" customFormat="1"/>
    <row r="4688" customFormat="1"/>
    <row r="4689" customFormat="1"/>
    <row r="4690" customFormat="1"/>
    <row r="4691" customFormat="1"/>
    <row r="4692" customFormat="1"/>
    <row r="4693" customFormat="1"/>
    <row r="4694" customFormat="1"/>
    <row r="4695" customFormat="1"/>
    <row r="4696" customFormat="1"/>
    <row r="4697" customFormat="1"/>
    <row r="4698" customFormat="1"/>
    <row r="4699" customFormat="1"/>
    <row r="4700" customFormat="1"/>
    <row r="4701" customFormat="1"/>
    <row r="4702" customFormat="1"/>
    <row r="4703" customFormat="1"/>
    <row r="4704" customFormat="1"/>
    <row r="4705" customFormat="1"/>
    <row r="4706" customFormat="1"/>
    <row r="4707" customFormat="1"/>
    <row r="4708" customFormat="1"/>
    <row r="4709" customFormat="1"/>
    <row r="4710" customFormat="1"/>
    <row r="4711" customFormat="1"/>
    <row r="4712" customFormat="1"/>
    <row r="4713" customFormat="1"/>
    <row r="4714" customFormat="1"/>
    <row r="4715" customFormat="1"/>
    <row r="4716" customFormat="1"/>
    <row r="4717" customFormat="1"/>
    <row r="4718" customFormat="1"/>
    <row r="4719" customFormat="1"/>
    <row r="4720" customFormat="1"/>
    <row r="4721" customFormat="1"/>
    <row r="4722" customFormat="1"/>
    <row r="4723" customFormat="1"/>
    <row r="4724" customFormat="1"/>
    <row r="4725" customFormat="1"/>
    <row r="4726" customFormat="1"/>
    <row r="4727" customFormat="1"/>
    <row r="4728" customFormat="1"/>
    <row r="4729" customFormat="1"/>
    <row r="4730" customFormat="1"/>
    <row r="4731" customFormat="1"/>
    <row r="4732" customFormat="1"/>
    <row r="4733" customFormat="1"/>
    <row r="4734" customFormat="1"/>
    <row r="4735" customFormat="1"/>
    <row r="4736" customFormat="1"/>
    <row r="4737" customFormat="1"/>
    <row r="4738" customFormat="1"/>
    <row r="4739" customFormat="1"/>
    <row r="4740" customFormat="1"/>
    <row r="4741" customFormat="1"/>
    <row r="4742" customFormat="1"/>
    <row r="4743" customFormat="1"/>
    <row r="4744" customFormat="1"/>
    <row r="4745" customFormat="1"/>
    <row r="4746" customFormat="1"/>
    <row r="4747" customFormat="1"/>
    <row r="4748" customFormat="1"/>
    <row r="4749" customFormat="1"/>
    <row r="4750" customFormat="1"/>
    <row r="4751" customFormat="1"/>
    <row r="4752" customFormat="1"/>
    <row r="4753" customFormat="1"/>
    <row r="4754" customFormat="1"/>
    <row r="4755" customFormat="1"/>
    <row r="4756" customFormat="1"/>
    <row r="4757" customFormat="1"/>
    <row r="4758" customFormat="1"/>
    <row r="4759" customFormat="1"/>
    <row r="4760" customFormat="1"/>
    <row r="4761" customFormat="1"/>
    <row r="4762" customFormat="1"/>
    <row r="4763" customFormat="1"/>
    <row r="4764" customFormat="1"/>
    <row r="4765" customFormat="1"/>
    <row r="4766" customFormat="1"/>
    <row r="4767" customFormat="1"/>
    <row r="4768" customFormat="1"/>
    <row r="4769" customFormat="1"/>
    <row r="4770" customFormat="1"/>
    <row r="4771" customFormat="1"/>
    <row r="4772" customFormat="1"/>
    <row r="4773" customFormat="1"/>
    <row r="4774" customFormat="1"/>
    <row r="4775" customFormat="1"/>
    <row r="4776" customFormat="1"/>
    <row r="4777" customFormat="1"/>
    <row r="4778" customFormat="1"/>
    <row r="4779" customFormat="1"/>
    <row r="4780" customFormat="1"/>
    <row r="4781" customFormat="1"/>
    <row r="4782" customFormat="1"/>
    <row r="4783" customFormat="1"/>
    <row r="4784" customFormat="1"/>
    <row r="4785" customFormat="1"/>
    <row r="4786" customFormat="1"/>
    <row r="4787" customFormat="1"/>
    <row r="4788" customFormat="1"/>
    <row r="4789" customFormat="1"/>
    <row r="4790" customFormat="1"/>
    <row r="4791" customFormat="1"/>
    <row r="4792" customFormat="1"/>
    <row r="4793" customFormat="1"/>
    <row r="4794" customFormat="1"/>
    <row r="4795" customFormat="1"/>
    <row r="4796" customFormat="1"/>
    <row r="4797" customFormat="1"/>
    <row r="4798" customFormat="1"/>
    <row r="4799" customFormat="1"/>
    <row r="4800" customFormat="1"/>
    <row r="4801" customFormat="1"/>
    <row r="4802" customFormat="1"/>
    <row r="4803" customFormat="1"/>
    <row r="4804" customFormat="1"/>
    <row r="4805" customFormat="1"/>
    <row r="4806" customFormat="1"/>
    <row r="4807" customFormat="1"/>
    <row r="4808" customFormat="1"/>
    <row r="4809" customFormat="1"/>
    <row r="4810" customFormat="1"/>
    <row r="4811" customFormat="1"/>
    <row r="4812" customFormat="1"/>
    <row r="4813" customFormat="1"/>
    <row r="4814" customFormat="1"/>
    <row r="4815" customFormat="1"/>
    <row r="4816" customFormat="1"/>
    <row r="4817" customFormat="1"/>
    <row r="4818" customFormat="1"/>
    <row r="4819" customFormat="1"/>
    <row r="4820" customFormat="1"/>
    <row r="4821" customFormat="1"/>
    <row r="4822" customFormat="1"/>
    <row r="4823" customFormat="1"/>
    <row r="4824" customFormat="1"/>
    <row r="4825" customFormat="1"/>
    <row r="4826" customFormat="1"/>
    <row r="4827" customFormat="1"/>
    <row r="4828" customFormat="1"/>
    <row r="4829" customFormat="1"/>
    <row r="4830" customFormat="1"/>
    <row r="4831" customFormat="1"/>
    <row r="4832" customFormat="1"/>
    <row r="4833" customFormat="1"/>
    <row r="4834" customFormat="1"/>
    <row r="4835" customFormat="1"/>
    <row r="4836" customFormat="1"/>
    <row r="4837" customFormat="1"/>
    <row r="4838" customFormat="1"/>
    <row r="4839" customFormat="1"/>
    <row r="4840" customFormat="1"/>
    <row r="4841" customFormat="1"/>
    <row r="4842" customFormat="1"/>
    <row r="4843" customFormat="1"/>
    <row r="4844" customFormat="1"/>
    <row r="4845" customFormat="1"/>
    <row r="4846" customFormat="1"/>
    <row r="4847" customFormat="1"/>
    <row r="4848" customFormat="1"/>
    <row r="4849" customFormat="1"/>
    <row r="4850" customFormat="1"/>
    <row r="4851" customFormat="1"/>
    <row r="4852" customFormat="1"/>
    <row r="4853" customFormat="1"/>
    <row r="4854" customFormat="1"/>
    <row r="4855" customFormat="1"/>
    <row r="4856" customFormat="1"/>
    <row r="4857" customFormat="1"/>
    <row r="4858" customFormat="1"/>
    <row r="4859" customFormat="1"/>
    <row r="4860" customFormat="1"/>
    <row r="4861" customFormat="1"/>
    <row r="4862" customFormat="1"/>
    <row r="4863" customFormat="1"/>
    <row r="4864" customFormat="1"/>
    <row r="4865" customFormat="1"/>
    <row r="4866" customFormat="1"/>
    <row r="4867" customFormat="1"/>
    <row r="4868" customFormat="1"/>
    <row r="4869" customFormat="1"/>
    <row r="4870" customFormat="1"/>
    <row r="4871" customFormat="1"/>
    <row r="4872" customFormat="1"/>
    <row r="4873" customFormat="1"/>
    <row r="4874" customFormat="1"/>
    <row r="4875" customFormat="1"/>
    <row r="4876" customFormat="1"/>
    <row r="4877" customFormat="1"/>
    <row r="4878" customFormat="1"/>
    <row r="4879" customFormat="1"/>
    <row r="4880" customFormat="1"/>
    <row r="4881" customFormat="1"/>
    <row r="4882" customFormat="1"/>
    <row r="4883" customFormat="1"/>
    <row r="4884" customFormat="1"/>
    <row r="4885" customFormat="1"/>
    <row r="4886" customFormat="1"/>
    <row r="4887" customFormat="1"/>
    <row r="4888" customFormat="1"/>
    <row r="4889" customFormat="1"/>
    <row r="4890" customFormat="1"/>
    <row r="4891" customFormat="1"/>
    <row r="4892" customFormat="1"/>
    <row r="4893" customFormat="1"/>
    <row r="4894" customFormat="1"/>
    <row r="4895" customFormat="1"/>
    <row r="4896" customFormat="1"/>
    <row r="4897" customFormat="1"/>
    <row r="4898" customFormat="1"/>
    <row r="4899" customFormat="1"/>
    <row r="4900" customFormat="1"/>
    <row r="4901" customFormat="1"/>
    <row r="4902" customFormat="1"/>
    <row r="4903" customFormat="1"/>
    <row r="4904" customFormat="1"/>
    <row r="4905" customFormat="1"/>
    <row r="4906" customFormat="1"/>
    <row r="4907" customFormat="1"/>
    <row r="4908" customFormat="1"/>
    <row r="4909" customFormat="1"/>
    <row r="4910" customFormat="1"/>
    <row r="4911" customFormat="1"/>
    <row r="4912" customFormat="1"/>
    <row r="4913" customFormat="1"/>
    <row r="4914" customFormat="1"/>
    <row r="4915" customFormat="1"/>
    <row r="4916" customFormat="1"/>
    <row r="4917" customFormat="1"/>
    <row r="4918" customFormat="1"/>
    <row r="4919" customFormat="1"/>
    <row r="4920" customFormat="1"/>
    <row r="4921" customFormat="1"/>
    <row r="4922" customFormat="1"/>
    <row r="4923" customFormat="1"/>
    <row r="4924" customFormat="1"/>
    <row r="4925" customFormat="1"/>
    <row r="4926" customFormat="1"/>
    <row r="4927" customFormat="1"/>
    <row r="4928" customFormat="1"/>
    <row r="4929" customFormat="1"/>
    <row r="4930" customFormat="1"/>
    <row r="4931" customFormat="1"/>
    <row r="4932" customFormat="1"/>
    <row r="4933" customFormat="1"/>
    <row r="4934" customFormat="1"/>
    <row r="4935" customFormat="1"/>
    <row r="4936" customFormat="1"/>
    <row r="4937" customFormat="1"/>
    <row r="4938" customFormat="1"/>
    <row r="4939" customFormat="1"/>
    <row r="4940" customFormat="1"/>
    <row r="4941" customFormat="1"/>
    <row r="4942" customFormat="1"/>
    <row r="4943" customFormat="1"/>
    <row r="4944" customFormat="1"/>
    <row r="4945" customFormat="1"/>
    <row r="4946" customFormat="1"/>
    <row r="4947" customFormat="1"/>
    <row r="4948" customFormat="1"/>
    <row r="4949" customFormat="1"/>
    <row r="4950" customFormat="1"/>
    <row r="4951" customFormat="1"/>
    <row r="4952" customFormat="1"/>
    <row r="4953" customFormat="1"/>
    <row r="4954" customFormat="1"/>
    <row r="4955" customFormat="1"/>
    <row r="4956" customFormat="1"/>
    <row r="4957" customFormat="1"/>
    <row r="4958" customFormat="1"/>
    <row r="4959" customFormat="1"/>
    <row r="4960" customFormat="1"/>
    <row r="4961" customFormat="1"/>
    <row r="4962" customFormat="1"/>
    <row r="4963" customFormat="1"/>
    <row r="4964" customFormat="1"/>
    <row r="4965" customFormat="1"/>
    <row r="4966" customFormat="1"/>
    <row r="4967" customFormat="1"/>
    <row r="4968" customFormat="1"/>
    <row r="4969" customFormat="1"/>
    <row r="4970" customFormat="1"/>
    <row r="4971" customFormat="1"/>
    <row r="4972" customFormat="1"/>
    <row r="4973" customFormat="1"/>
    <row r="4974" customFormat="1"/>
    <row r="4975" customFormat="1"/>
    <row r="4976" customFormat="1"/>
    <row r="4977" customFormat="1"/>
    <row r="4978" customFormat="1"/>
    <row r="4979" customFormat="1"/>
    <row r="4980" customFormat="1"/>
    <row r="4981" customFormat="1"/>
    <row r="4982" customFormat="1"/>
    <row r="4983" customFormat="1"/>
    <row r="4984" customFormat="1"/>
    <row r="4985" customFormat="1"/>
    <row r="4986" customFormat="1"/>
    <row r="4987" customFormat="1"/>
    <row r="4988" customFormat="1"/>
  </sheetData>
  <sortState ref="A2:AX6">
    <sortCondition descending="1" ref="G1"/>
  </sortState>
  <phoneticPr fontId="2" type="noConversion"/>
  <pageMargins left="0.7" right="0.7" top="0.75" bottom="0.75" header="0.3" footer="0.3"/>
  <pageSetup paperSize="9" orientation="portrait" r:id="rId1"/>
  <legacyDrawing r:id="rId2"/>
  <controls>
    <control shapeId="120851" r:id="rId3" name="CommandButton9"/>
    <control shapeId="120843" r:id="rId4" name="CommandButton7"/>
    <control shapeId="120840" r:id="rId5" name="CommandButton5"/>
    <control shapeId="120833" r:id="rId6" name="CommandButton1"/>
    <control shapeId="120834" r:id="rId7" name="CommandButton2"/>
    <control shapeId="120836" r:id="rId8" name="CommandButton3"/>
    <control shapeId="120841" r:id="rId9" name="CommandButton6"/>
    <control shapeId="120842" r:id="rId10" name="CommandButton4"/>
    <control shapeId="120847" r:id="rId11" name="ComboBox1"/>
    <control shapeId="120849" r:id="rId12" name="CommandButton8"/>
  </controls>
</worksheet>
</file>

<file path=xl/worksheets/sheet7.xml><?xml version="1.0" encoding="utf-8"?>
<worksheet xmlns="http://schemas.openxmlformats.org/spreadsheetml/2006/main" xmlns:r="http://schemas.openxmlformats.org/officeDocument/2006/relationships">
  <sheetPr codeName="工作表9"/>
  <dimension ref="A1:Q113"/>
  <sheetViews>
    <sheetView zoomScale="90" zoomScaleNormal="90" workbookViewId="0">
      <pane xSplit="16" ySplit="17" topLeftCell="Q28" activePane="bottomRight" state="frozen"/>
      <selection pane="topRight" activeCell="Q1" sqref="Q1"/>
      <selection pane="bottomLeft" activeCell="A18" sqref="A18"/>
      <selection pane="bottomRight" activeCell="K2" sqref="K2:K43"/>
    </sheetView>
  </sheetViews>
  <sheetFormatPr defaultColWidth="8.875" defaultRowHeight="16.5"/>
  <cols>
    <col min="1" max="1" width="8.625" style="327" customWidth="1"/>
    <col min="2" max="13" width="8.875" style="327"/>
    <col min="14" max="14" width="8.875" style="103"/>
    <col min="15" max="15" width="8.875" style="415"/>
    <col min="16" max="16384" width="8.875" style="103"/>
  </cols>
  <sheetData>
    <row r="1" spans="1:17">
      <c r="A1" s="424"/>
      <c r="B1" s="420" t="s">
        <v>3152</v>
      </c>
      <c r="C1" s="420" t="s">
        <v>3017</v>
      </c>
      <c r="D1" s="420" t="s">
        <v>3018</v>
      </c>
      <c r="E1" s="420" t="s">
        <v>3019</v>
      </c>
      <c r="F1" s="420" t="s">
        <v>3020</v>
      </c>
      <c r="G1" s="420" t="s">
        <v>3021</v>
      </c>
      <c r="H1" s="420" t="s">
        <v>3022</v>
      </c>
      <c r="I1" s="420" t="s">
        <v>3023</v>
      </c>
      <c r="J1" s="420" t="s">
        <v>3024</v>
      </c>
      <c r="K1" s="420" t="s">
        <v>3025</v>
      </c>
      <c r="L1" s="420" t="s">
        <v>3026</v>
      </c>
      <c r="M1" s="420" t="s">
        <v>3027</v>
      </c>
      <c r="N1" s="420" t="s">
        <v>3247</v>
      </c>
      <c r="O1" s="425" t="s">
        <v>3248</v>
      </c>
      <c r="P1" s="420" t="s">
        <v>3249</v>
      </c>
      <c r="Q1" s="327"/>
    </row>
    <row r="2" spans="1:17">
      <c r="A2" s="103">
        <v>1319</v>
      </c>
      <c r="B2" s="415">
        <v>0.62</v>
      </c>
      <c r="C2" s="103">
        <v>0.27</v>
      </c>
      <c r="D2" s="205">
        <v>0.43</v>
      </c>
      <c r="E2" s="103">
        <v>0.43</v>
      </c>
      <c r="F2" s="103">
        <v>0.4</v>
      </c>
      <c r="G2" s="103">
        <v>0.4</v>
      </c>
      <c r="H2" s="327">
        <v>0.35</v>
      </c>
      <c r="I2" s="327">
        <v>0.34</v>
      </c>
      <c r="J2" s="422">
        <v>0.43</v>
      </c>
      <c r="M2" s="103"/>
      <c r="N2" s="103">
        <f>VLOOKUP(1319,季財報!A:E,3,0)</f>
        <v>72.2</v>
      </c>
      <c r="O2" s="415">
        <f>VLOOKUP(1319,季財報!A:E,4,0)</f>
        <v>23.592824799721356</v>
      </c>
      <c r="P2" s="103">
        <f>VLOOKUP(1319,季財報!A:E,5,0)</f>
        <v>4</v>
      </c>
    </row>
    <row r="3" spans="1:17" s="417" customFormat="1">
      <c r="A3" s="417">
        <v>1477</v>
      </c>
      <c r="B3" s="418">
        <v>1.57</v>
      </c>
      <c r="C3" s="417">
        <v>1.0900000000000001</v>
      </c>
      <c r="D3" s="419">
        <v>1.28</v>
      </c>
      <c r="E3" s="417">
        <v>0.68</v>
      </c>
      <c r="F3" s="417">
        <v>0.56000000000000005</v>
      </c>
      <c r="G3" s="419">
        <v>0.57999999999999996</v>
      </c>
      <c r="H3" s="421">
        <v>0.75</v>
      </c>
      <c r="I3" s="416">
        <v>0.74</v>
      </c>
      <c r="J3" s="421">
        <v>1.01</v>
      </c>
      <c r="K3" s="416"/>
      <c r="L3" s="416"/>
      <c r="N3" s="417">
        <f>VLOOKUP(1477,季財報!A:E,3,0)</f>
        <v>133</v>
      </c>
      <c r="O3" s="418">
        <f>VLOOKUP(1477,季財報!A:E,4,0)</f>
        <v>23.175403225806456</v>
      </c>
      <c r="P3" s="417">
        <f>VLOOKUP(1477,季財報!A:E,5,0)</f>
        <v>0</v>
      </c>
    </row>
    <row r="4" spans="1:17" s="417" customFormat="1">
      <c r="A4" s="417">
        <v>1702</v>
      </c>
      <c r="B4" s="418">
        <v>0.65</v>
      </c>
      <c r="C4" s="417">
        <v>0.22</v>
      </c>
      <c r="D4" s="419">
        <v>0.55000000000000004</v>
      </c>
      <c r="E4" s="417">
        <v>0.54</v>
      </c>
      <c r="F4" s="419">
        <v>0.67</v>
      </c>
      <c r="G4" s="417">
        <v>0.64</v>
      </c>
      <c r="H4" s="416">
        <v>0.53</v>
      </c>
      <c r="I4" s="421">
        <v>0.61</v>
      </c>
      <c r="J4" s="416">
        <v>0.56000000000000005</v>
      </c>
      <c r="K4" s="416"/>
      <c r="L4" s="416"/>
      <c r="N4" s="417">
        <f>VLOOKUP(1702,季財報!A:E,3,0)</f>
        <v>68.3</v>
      </c>
      <c r="O4" s="418">
        <f>VLOOKUP(1702,季財報!A:E,4,0)</f>
        <v>12.373188405797102</v>
      </c>
      <c r="P4" s="417">
        <f>VLOOKUP(1702,季財報!A:E,5,0)</f>
        <v>5</v>
      </c>
    </row>
    <row r="5" spans="1:17" s="417" customFormat="1">
      <c r="A5" s="417">
        <v>1709</v>
      </c>
      <c r="B5" s="418">
        <v>0.27</v>
      </c>
      <c r="C5" s="417">
        <v>0.17</v>
      </c>
      <c r="D5" s="417">
        <v>0.13</v>
      </c>
      <c r="E5" s="419">
        <v>0.21</v>
      </c>
      <c r="F5" s="419">
        <v>0.33</v>
      </c>
      <c r="G5" s="417">
        <v>0.25</v>
      </c>
      <c r="H5" s="416">
        <v>0.2</v>
      </c>
      <c r="I5" s="416">
        <v>0.19</v>
      </c>
      <c r="J5" s="416">
        <v>0.19</v>
      </c>
      <c r="K5" s="416"/>
      <c r="L5" s="416"/>
      <c r="N5" s="417">
        <f>VLOOKUP(1709,季財報!A:E,3,0)</f>
        <v>17.100000000000001</v>
      </c>
      <c r="O5" s="418">
        <f>VLOOKUP(1709,季財報!A:E,4,0)</f>
        <v>7.2028883762912459</v>
      </c>
      <c r="P5" s="417">
        <f>VLOOKUP(1709,季財報!A:E,5,0)</f>
        <v>4</v>
      </c>
    </row>
    <row r="6" spans="1:17" s="417" customFormat="1">
      <c r="A6" s="417">
        <v>1711</v>
      </c>
      <c r="B6" s="418">
        <v>0.13</v>
      </c>
      <c r="C6" s="417">
        <v>0.08</v>
      </c>
      <c r="D6" s="419">
        <v>0.17</v>
      </c>
      <c r="E6" s="417">
        <v>0.14000000000000001</v>
      </c>
      <c r="F6" s="417">
        <v>0.13</v>
      </c>
      <c r="G6" s="417">
        <v>0.05</v>
      </c>
      <c r="H6" s="421">
        <v>0.12</v>
      </c>
      <c r="I6" s="421">
        <v>0.16</v>
      </c>
      <c r="J6" s="416"/>
      <c r="K6" s="416"/>
      <c r="L6" s="416"/>
      <c r="N6" s="417">
        <f>VLOOKUP(1711,季財報!A:E,3,0)</f>
        <v>20.2</v>
      </c>
      <c r="O6" s="418">
        <f>VLOOKUP(1711,季財報!A:E,4,0)</f>
        <v>18.067190226876093</v>
      </c>
      <c r="P6" s="417">
        <f>VLOOKUP(1711,季財報!A:E,5,0)</f>
        <v>4</v>
      </c>
    </row>
    <row r="7" spans="1:17" s="417" customFormat="1">
      <c r="A7" s="417">
        <v>1717</v>
      </c>
      <c r="B7" s="418">
        <v>0.32</v>
      </c>
      <c r="C7" s="417">
        <v>0.04</v>
      </c>
      <c r="D7" s="419">
        <v>0.28999999999999998</v>
      </c>
      <c r="E7" s="419">
        <v>0.33</v>
      </c>
      <c r="F7" s="419">
        <v>0.37</v>
      </c>
      <c r="G7" s="419">
        <v>0.4</v>
      </c>
      <c r="H7" s="416">
        <v>0.35</v>
      </c>
      <c r="I7" s="416">
        <v>0.25</v>
      </c>
      <c r="J7" s="421">
        <v>0.28999999999999998</v>
      </c>
      <c r="K7" s="416"/>
      <c r="L7" s="416"/>
      <c r="N7" s="417">
        <f>VLOOKUP(1717,季財報!A:E,3,0)</f>
        <v>33.450000000000003</v>
      </c>
      <c r="O7" s="418">
        <f>VLOOKUP(1717,季財報!A:E,4,0)</f>
        <v>11.063431058504115</v>
      </c>
      <c r="P7" s="417">
        <f>VLOOKUP(1717,季財報!A:E,5,0)</f>
        <v>4</v>
      </c>
    </row>
    <row r="8" spans="1:17" s="417" customFormat="1">
      <c r="A8" s="417">
        <v>1723</v>
      </c>
      <c r="B8" s="418">
        <v>0.33</v>
      </c>
      <c r="C8" s="419">
        <v>0.37</v>
      </c>
      <c r="D8" s="419">
        <v>0.48</v>
      </c>
      <c r="E8" s="417">
        <v>0.39</v>
      </c>
      <c r="F8" s="419">
        <v>0.4</v>
      </c>
      <c r="G8" s="419">
        <v>0.44</v>
      </c>
      <c r="H8" s="421">
        <v>0.46</v>
      </c>
      <c r="I8" s="416">
        <v>0.4</v>
      </c>
      <c r="J8" s="416">
        <v>0.39</v>
      </c>
      <c r="K8" s="416"/>
      <c r="L8" s="416"/>
      <c r="N8" s="417">
        <f>VLOOKUP(1723,季財報!A:E,3,0)</f>
        <v>112</v>
      </c>
      <c r="O8" s="418">
        <f>VLOOKUP(1723,季財報!A:E,4,0)</f>
        <v>32.109079445145014</v>
      </c>
      <c r="P8" s="417">
        <f>VLOOKUP(1723,季財報!A:E,5,0)</f>
        <v>1</v>
      </c>
    </row>
    <row r="9" spans="1:17" s="417" customFormat="1">
      <c r="A9" s="417">
        <v>1909</v>
      </c>
      <c r="B9" s="418">
        <v>0.13</v>
      </c>
      <c r="C9" s="417">
        <v>0.11</v>
      </c>
      <c r="D9" s="419">
        <v>0.2</v>
      </c>
      <c r="E9" s="419">
        <v>0.25</v>
      </c>
      <c r="F9" s="417">
        <v>0.24</v>
      </c>
      <c r="G9" s="419">
        <v>0.44</v>
      </c>
      <c r="H9" s="416">
        <v>0.15</v>
      </c>
      <c r="I9" s="416">
        <v>0.1</v>
      </c>
      <c r="J9" s="421">
        <v>0.18</v>
      </c>
      <c r="K9" s="416"/>
      <c r="L9" s="416"/>
      <c r="N9" s="417">
        <f>VLOOKUP(1909,季財報!A:E,3,0)</f>
        <v>15.25</v>
      </c>
      <c r="O9" s="418">
        <f>VLOOKUP(1909,季財報!A:E,4,0)</f>
        <v>5.8819406851751603</v>
      </c>
      <c r="P9" s="417">
        <f>VLOOKUP(1909,季財報!A:E,5,0)</f>
        <v>5</v>
      </c>
    </row>
    <row r="10" spans="1:17" s="417" customFormat="1">
      <c r="A10" s="417">
        <v>2002</v>
      </c>
      <c r="B10" s="418">
        <v>-0.02</v>
      </c>
      <c r="C10" s="419">
        <v>0.02</v>
      </c>
      <c r="D10" s="419">
        <v>0.06</v>
      </c>
      <c r="E10" s="419">
        <v>0.1</v>
      </c>
      <c r="F10" s="419">
        <v>0.17</v>
      </c>
      <c r="G10" s="419">
        <v>0.18</v>
      </c>
      <c r="H10" s="421">
        <v>0.2</v>
      </c>
      <c r="I10" s="416">
        <v>0.18</v>
      </c>
      <c r="J10" s="416"/>
      <c r="K10" s="416"/>
      <c r="L10" s="416"/>
      <c r="N10" s="417">
        <f>VLOOKUP(2002,季財報!A:E,3,0)</f>
        <v>22.3</v>
      </c>
      <c r="O10" s="418">
        <f>VLOOKUP(2002,季財報!A:E,4,0)</f>
        <v>13.926486605776281</v>
      </c>
      <c r="P10" s="417">
        <f>VLOOKUP(2002,季財報!A:E,5,0)</f>
        <v>4</v>
      </c>
    </row>
    <row r="11" spans="1:17" s="417" customFormat="1">
      <c r="A11" s="417">
        <v>2015</v>
      </c>
      <c r="B11" s="418">
        <v>0.35</v>
      </c>
      <c r="C11" s="417">
        <v>0.19</v>
      </c>
      <c r="D11" s="419">
        <v>0.43</v>
      </c>
      <c r="E11" s="417">
        <v>0.36</v>
      </c>
      <c r="F11" s="417">
        <v>0.28000000000000003</v>
      </c>
      <c r="G11" s="419">
        <v>0.43</v>
      </c>
      <c r="H11" s="416">
        <v>0.4</v>
      </c>
      <c r="I11" s="416">
        <v>0.36</v>
      </c>
      <c r="J11" s="416">
        <v>0.28999999999999998</v>
      </c>
      <c r="K11" s="416"/>
      <c r="L11" s="416"/>
      <c r="N11" s="417">
        <f>VLOOKUP(2015,季財報!A:E,3,0)</f>
        <v>42.1</v>
      </c>
      <c r="O11" s="418">
        <f>VLOOKUP(2015,季財報!A:E,4,0)</f>
        <v>12.429843548264602</v>
      </c>
      <c r="P11" s="417">
        <f>VLOOKUP(2015,季財報!A:E,5,0)</f>
        <v>3</v>
      </c>
    </row>
    <row r="12" spans="1:17" s="417" customFormat="1">
      <c r="A12" s="417">
        <v>2017</v>
      </c>
      <c r="B12" s="418">
        <v>-0.08</v>
      </c>
      <c r="C12" s="419">
        <v>-0.04</v>
      </c>
      <c r="D12" s="419">
        <v>0.04</v>
      </c>
      <c r="E12" s="419">
        <v>0.14000000000000001</v>
      </c>
      <c r="F12" s="419">
        <v>0.23</v>
      </c>
      <c r="G12" s="417">
        <v>0.18</v>
      </c>
      <c r="H12" s="421">
        <v>0.19</v>
      </c>
      <c r="I12" s="416">
        <v>0.1</v>
      </c>
      <c r="J12" s="416">
        <v>0.01</v>
      </c>
      <c r="K12" s="416"/>
      <c r="L12" s="416"/>
      <c r="N12" s="417">
        <f>VLOOKUP(2017,季財報!A:E,3,0)</f>
        <v>8.35</v>
      </c>
      <c r="O12" s="418">
        <f>VLOOKUP(2017,季財報!A:E,4,0)</f>
        <v>4.9625322997416017</v>
      </c>
      <c r="P12" s="417">
        <f>VLOOKUP(2017,季財報!A:E,5,0)</f>
        <v>2</v>
      </c>
    </row>
    <row r="13" spans="1:17" s="417" customFormat="1">
      <c r="A13" s="417">
        <v>2208</v>
      </c>
      <c r="B13" s="418">
        <v>0.03</v>
      </c>
      <c r="C13" s="417">
        <v>0.03</v>
      </c>
      <c r="D13" s="417">
        <v>0.02</v>
      </c>
      <c r="E13" s="417">
        <v>0.02</v>
      </c>
      <c r="F13" s="417">
        <v>0.02</v>
      </c>
      <c r="G13" s="417">
        <v>-0.06</v>
      </c>
      <c r="H13" s="421">
        <v>0</v>
      </c>
      <c r="I13" s="416">
        <v>-0.59</v>
      </c>
      <c r="J13" s="416">
        <v>-0.78</v>
      </c>
      <c r="K13" s="416"/>
      <c r="L13" s="416"/>
      <c r="N13" s="417">
        <f>VLOOKUP(2208,季財報!A:E,3,0)</f>
        <v>13.4</v>
      </c>
      <c r="O13" s="418">
        <f>VLOOKUP(2208,季財報!A:E,4,0)</f>
        <v>0</v>
      </c>
      <c r="P13" s="417">
        <f>VLOOKUP(2208,季財報!A:E,5,0)</f>
        <v>2</v>
      </c>
    </row>
    <row r="14" spans="1:17" s="417" customFormat="1">
      <c r="A14" s="417">
        <v>2412</v>
      </c>
      <c r="B14" s="418">
        <v>0.68</v>
      </c>
      <c r="C14" s="417">
        <v>0.6</v>
      </c>
      <c r="D14" s="417">
        <v>0.56000000000000005</v>
      </c>
      <c r="E14" s="419">
        <v>0.59</v>
      </c>
      <c r="F14" s="417">
        <v>0.56000000000000005</v>
      </c>
      <c r="G14" s="419">
        <v>0.59</v>
      </c>
      <c r="H14" s="416">
        <v>0.5</v>
      </c>
      <c r="I14" s="421">
        <v>0.54</v>
      </c>
      <c r="J14" s="416">
        <v>0.49</v>
      </c>
      <c r="K14" s="416"/>
      <c r="L14" s="416"/>
      <c r="N14" s="417">
        <f>VLOOKUP(2412,季財報!A:E,3,0)</f>
        <v>112.5</v>
      </c>
      <c r="O14" s="418">
        <f>VLOOKUP(2412,季財報!A:E,4,0)</f>
        <v>20.605704872946255</v>
      </c>
      <c r="P14" s="417">
        <f>VLOOKUP(2412,季財報!A:E,5,0)</f>
        <v>2</v>
      </c>
    </row>
    <row r="15" spans="1:17" s="417" customFormat="1">
      <c r="A15" s="417">
        <v>2442</v>
      </c>
      <c r="B15" s="418">
        <v>-0.36</v>
      </c>
      <c r="C15" s="419">
        <v>-0.25</v>
      </c>
      <c r="D15" s="419">
        <v>0.26</v>
      </c>
      <c r="E15" s="417">
        <v>0.22</v>
      </c>
      <c r="F15" s="417">
        <v>0.02</v>
      </c>
      <c r="G15" s="417">
        <v>-0.12</v>
      </c>
      <c r="H15" s="421">
        <v>0.12</v>
      </c>
      <c r="I15" s="421">
        <v>0.15</v>
      </c>
      <c r="J15" s="416">
        <v>-7.0000000000000007E-2</v>
      </c>
      <c r="K15" s="416"/>
      <c r="L15" s="416"/>
      <c r="N15" s="417">
        <f>VLOOKUP(2442,季財報!A:E,3,0)</f>
        <v>6.6</v>
      </c>
      <c r="O15" s="418">
        <f>VLOOKUP(2442,季財報!A:E,4,0)</f>
        <v>13.75</v>
      </c>
      <c r="P15" s="417">
        <f>VLOOKUP(2442,季財報!A:E,5,0)</f>
        <v>5</v>
      </c>
    </row>
    <row r="16" spans="1:17" s="417" customFormat="1">
      <c r="A16" s="417">
        <v>2476</v>
      </c>
      <c r="B16" s="418">
        <v>0.33</v>
      </c>
      <c r="C16" s="417">
        <v>0.22</v>
      </c>
      <c r="D16" s="417">
        <v>0.15</v>
      </c>
      <c r="E16" s="419">
        <v>0.31</v>
      </c>
      <c r="F16" s="419">
        <v>0.46</v>
      </c>
      <c r="G16" s="417">
        <v>0.35</v>
      </c>
      <c r="H16" s="416">
        <v>0.35</v>
      </c>
      <c r="I16" s="421">
        <v>0.46</v>
      </c>
      <c r="J16" s="416">
        <v>0.32</v>
      </c>
      <c r="K16" s="416"/>
      <c r="L16" s="416"/>
      <c r="N16" s="417">
        <f>VLOOKUP(2476,季財報!A:E,3,0)</f>
        <v>25.15</v>
      </c>
      <c r="O16" s="418">
        <f>VLOOKUP(2476,季財報!A:E,4,0)</f>
        <v>10.683408295852074</v>
      </c>
      <c r="P16" s="417">
        <f>VLOOKUP(2476,季財報!A:E,5,0)</f>
        <v>4</v>
      </c>
    </row>
    <row r="17" spans="1:16" s="417" customFormat="1">
      <c r="A17" s="417">
        <v>2480</v>
      </c>
      <c r="B17" s="418">
        <v>0.21</v>
      </c>
      <c r="C17" s="417">
        <v>0.15</v>
      </c>
      <c r="D17" s="419">
        <v>0.21</v>
      </c>
      <c r="E17" s="417">
        <v>0.19</v>
      </c>
      <c r="F17" s="417">
        <v>0.19</v>
      </c>
      <c r="G17" s="419">
        <v>0.28999999999999998</v>
      </c>
      <c r="H17" s="416">
        <v>0.23</v>
      </c>
      <c r="I17" s="421">
        <v>0.27</v>
      </c>
      <c r="J17" s="416"/>
      <c r="K17" s="416"/>
      <c r="L17" s="416"/>
      <c r="N17" s="417">
        <f>VLOOKUP(2480,季財報!A:E,3,0)</f>
        <v>25.85</v>
      </c>
      <c r="O17" s="418">
        <f>VLOOKUP(2480,季財報!A:E,4,0)</f>
        <v>13.412735849056604</v>
      </c>
      <c r="P17" s="417">
        <f>VLOOKUP(2480,季財報!A:E,5,0)</f>
        <v>1</v>
      </c>
    </row>
    <row r="18" spans="1:16" s="417" customFormat="1">
      <c r="A18" s="417">
        <v>2637</v>
      </c>
      <c r="B18" s="418">
        <v>0.23</v>
      </c>
      <c r="C18" s="419">
        <v>0.8</v>
      </c>
      <c r="D18" s="417">
        <v>0.62</v>
      </c>
      <c r="E18" s="417">
        <v>0.1</v>
      </c>
      <c r="F18" s="417">
        <v>0.09</v>
      </c>
      <c r="G18" s="417">
        <v>-0.18</v>
      </c>
      <c r="H18" s="421">
        <v>0.1</v>
      </c>
      <c r="I18" s="416">
        <v>-0.04</v>
      </c>
      <c r="J18" s="421">
        <v>0</v>
      </c>
      <c r="K18" s="416"/>
      <c r="L18" s="416"/>
      <c r="N18" s="417">
        <f>VLOOKUP(2637,季財報!A:E,3,0)</f>
        <v>28.5</v>
      </c>
      <c r="O18" s="418">
        <f>VLOOKUP(2637,季財報!A:E,4,0)</f>
        <v>0</v>
      </c>
      <c r="P18" s="417">
        <f>VLOOKUP(2637,季財報!A:E,5,0)</f>
        <v>2</v>
      </c>
    </row>
    <row r="19" spans="1:16" s="417" customFormat="1">
      <c r="A19" s="417">
        <v>3003</v>
      </c>
      <c r="B19" s="418">
        <v>0.35</v>
      </c>
      <c r="C19" s="417">
        <v>0.15</v>
      </c>
      <c r="D19" s="419">
        <v>0.16</v>
      </c>
      <c r="E19" s="419">
        <v>0.3</v>
      </c>
      <c r="F19" s="419">
        <v>0.31</v>
      </c>
      <c r="G19" s="417">
        <v>0.31</v>
      </c>
      <c r="H19" s="416">
        <v>0.28000000000000003</v>
      </c>
      <c r="I19" s="421">
        <v>0.31</v>
      </c>
      <c r="J19" s="416">
        <v>0.13</v>
      </c>
      <c r="K19" s="416"/>
      <c r="L19" s="416"/>
      <c r="N19" s="417">
        <f>VLOOKUP(3003,季財報!A:E,3,0)</f>
        <v>35.799999999999997</v>
      </c>
      <c r="O19" s="418">
        <f>VLOOKUP(3003,季財報!A:E,4,0)</f>
        <v>14.916666666666666</v>
      </c>
      <c r="P19" s="417">
        <f>VLOOKUP(3003,季財報!A:E,5,0)</f>
        <v>3</v>
      </c>
    </row>
    <row r="20" spans="1:16" s="417" customFormat="1">
      <c r="A20" s="417">
        <v>3030</v>
      </c>
      <c r="B20" s="418">
        <v>0.27</v>
      </c>
      <c r="C20" s="417">
        <v>0.03</v>
      </c>
      <c r="D20" s="419">
        <v>0.22</v>
      </c>
      <c r="E20" s="419">
        <v>0.37</v>
      </c>
      <c r="F20" s="417">
        <v>0.28000000000000003</v>
      </c>
      <c r="G20" s="419">
        <v>0.35</v>
      </c>
      <c r="H20" s="416">
        <v>0.08</v>
      </c>
      <c r="I20" s="421">
        <v>0.14000000000000001</v>
      </c>
      <c r="J20" s="416">
        <v>0.11</v>
      </c>
      <c r="K20" s="416"/>
      <c r="L20" s="416"/>
      <c r="N20" s="417">
        <f>VLOOKUP(3030,季財報!A:E,3,0)</f>
        <v>41.4</v>
      </c>
      <c r="O20" s="418">
        <f>VLOOKUP(3030,季財報!A:E,4,0)</f>
        <v>12.882911392405063</v>
      </c>
      <c r="P20" s="417">
        <f>VLOOKUP(3030,季財報!A:E,5,0)</f>
        <v>2</v>
      </c>
    </row>
    <row r="21" spans="1:16" s="417" customFormat="1">
      <c r="A21" s="417">
        <v>3042</v>
      </c>
      <c r="B21" s="418">
        <v>0.44</v>
      </c>
      <c r="C21" s="417">
        <v>0.18</v>
      </c>
      <c r="D21" s="419">
        <v>0.2</v>
      </c>
      <c r="E21" s="419">
        <v>0.26</v>
      </c>
      <c r="F21" s="419">
        <v>0.31</v>
      </c>
      <c r="G21" s="417">
        <v>0.25</v>
      </c>
      <c r="H21" s="421">
        <v>0.3</v>
      </c>
      <c r="I21" s="416">
        <v>0.3</v>
      </c>
      <c r="J21" s="421">
        <v>0.39</v>
      </c>
      <c r="K21" s="416"/>
      <c r="L21" s="416"/>
      <c r="N21" s="417">
        <f>VLOOKUP(3042,季財報!A:E,3,0)</f>
        <v>44.4</v>
      </c>
      <c r="O21" s="418">
        <f>VLOOKUP(3042,季財報!A:E,4,0)</f>
        <v>18.823529411764703</v>
      </c>
      <c r="P21" s="417">
        <f>VLOOKUP(3042,季財報!A:E,5,0)</f>
        <v>4</v>
      </c>
    </row>
    <row r="22" spans="1:16" s="417" customFormat="1">
      <c r="A22" s="417">
        <v>3045</v>
      </c>
      <c r="B22" s="418">
        <v>0.47</v>
      </c>
      <c r="C22" s="417">
        <v>0.46</v>
      </c>
      <c r="D22" s="419">
        <v>0.47</v>
      </c>
      <c r="E22" s="417">
        <v>0.46</v>
      </c>
      <c r="F22" s="419">
        <v>0.52</v>
      </c>
      <c r="G22" s="417">
        <v>0.51</v>
      </c>
      <c r="H22" s="416">
        <v>0.49</v>
      </c>
      <c r="I22" s="421">
        <v>0.51</v>
      </c>
      <c r="J22" s="416">
        <v>0.45</v>
      </c>
      <c r="K22" s="416"/>
      <c r="L22" s="416"/>
      <c r="N22" s="417">
        <f>VLOOKUP(3045,季財報!A:E,3,0)</f>
        <v>111.5</v>
      </c>
      <c r="O22" s="418">
        <f>VLOOKUP(3045,季財報!A:E,4,0)</f>
        <v>18.026941888681058</v>
      </c>
      <c r="P22" s="417">
        <f>VLOOKUP(3045,季財報!A:E,5,0)</f>
        <v>3</v>
      </c>
    </row>
    <row r="23" spans="1:16" s="417" customFormat="1">
      <c r="A23" s="417">
        <v>3682</v>
      </c>
      <c r="B23" s="418">
        <v>0.02</v>
      </c>
      <c r="C23" s="417">
        <v>-0.12</v>
      </c>
      <c r="D23" s="417">
        <v>-0.14000000000000001</v>
      </c>
      <c r="E23" s="419">
        <v>-0.13</v>
      </c>
      <c r="F23" s="417">
        <v>-0.14000000000000001</v>
      </c>
      <c r="G23" s="417">
        <v>-0.14000000000000001</v>
      </c>
      <c r="H23" s="421">
        <v>-0.13</v>
      </c>
      <c r="I23" s="416">
        <v>-0.13</v>
      </c>
      <c r="J23" s="421">
        <v>-0.12</v>
      </c>
      <c r="K23" s="416"/>
      <c r="L23" s="416"/>
      <c r="N23" s="417">
        <f>VLOOKUP(3682,季財報!A:E,3,0)</f>
        <v>10.199999999999999</v>
      </c>
      <c r="O23" s="418">
        <f>VLOOKUP(3682,季財報!A:E,4,0)</f>
        <v>0</v>
      </c>
      <c r="P23" s="417">
        <f>VLOOKUP(3682,季財報!A:E,5,0)</f>
        <v>2</v>
      </c>
    </row>
    <row r="24" spans="1:16" s="417" customFormat="1">
      <c r="A24" s="417">
        <v>4119</v>
      </c>
      <c r="B24" s="418">
        <v>0.74</v>
      </c>
      <c r="C24" s="417">
        <v>0.69</v>
      </c>
      <c r="D24" s="419">
        <v>0.95</v>
      </c>
      <c r="E24" s="417">
        <v>0.67</v>
      </c>
      <c r="F24" s="419">
        <v>0.76</v>
      </c>
      <c r="G24" s="417">
        <v>0.61</v>
      </c>
      <c r="H24" s="416">
        <v>0.55000000000000004</v>
      </c>
      <c r="I24" s="416">
        <v>0.5</v>
      </c>
      <c r="J24" s="416">
        <v>0.39</v>
      </c>
      <c r="K24" s="416"/>
      <c r="L24" s="416"/>
      <c r="N24" s="417">
        <f>VLOOKUP(4119,季財報!A:E,3,0)</f>
        <v>82.2</v>
      </c>
      <c r="O24" s="418">
        <f>VLOOKUP(4119,季財報!A:E,4,0)</f>
        <v>11.874375802539593</v>
      </c>
      <c r="P24" s="417">
        <f>VLOOKUP(4119,季財報!A:E,5,0)</f>
        <v>2</v>
      </c>
    </row>
    <row r="25" spans="1:16" s="417" customFormat="1">
      <c r="A25" s="417">
        <v>4720</v>
      </c>
      <c r="B25" s="418">
        <v>0.19</v>
      </c>
      <c r="C25" s="417">
        <v>-7.0000000000000007E-2</v>
      </c>
      <c r="D25" s="419">
        <v>0.14000000000000001</v>
      </c>
      <c r="E25" s="417">
        <v>0.1</v>
      </c>
      <c r="F25" s="419">
        <v>0.13</v>
      </c>
      <c r="G25" s="417">
        <v>0.11</v>
      </c>
      <c r="H25" s="416">
        <v>0.06</v>
      </c>
      <c r="I25" s="421">
        <v>0.11</v>
      </c>
      <c r="J25" s="421">
        <v>0.12</v>
      </c>
      <c r="K25" s="416"/>
      <c r="L25" s="416"/>
      <c r="N25" s="417">
        <f>VLOOKUP(4720,季財報!A:E,3,0)</f>
        <v>15.15</v>
      </c>
      <c r="O25" s="418">
        <f>VLOOKUP(4720,季財報!A:E,4,0)</f>
        <v>16.995192307692307</v>
      </c>
      <c r="P25" s="417">
        <f>VLOOKUP(4720,季財報!A:E,5,0)</f>
        <v>2</v>
      </c>
    </row>
    <row r="26" spans="1:16" s="417" customFormat="1">
      <c r="A26" s="417">
        <v>4904</v>
      </c>
      <c r="B26" s="418">
        <v>0.39</v>
      </c>
      <c r="C26" s="417">
        <v>0.35</v>
      </c>
      <c r="D26" s="419">
        <v>0.37</v>
      </c>
      <c r="E26" s="417">
        <v>0.33</v>
      </c>
      <c r="F26" s="419">
        <v>0.39</v>
      </c>
      <c r="G26" s="419">
        <v>0.4</v>
      </c>
      <c r="H26" s="416">
        <v>0.4</v>
      </c>
      <c r="I26" s="416">
        <v>0.4</v>
      </c>
      <c r="J26" s="416">
        <v>0.39</v>
      </c>
      <c r="K26" s="416"/>
      <c r="L26" s="416"/>
      <c r="N26" s="417">
        <f>VLOOKUP(4904,季財報!A:E,3,0)</f>
        <v>74.599999999999994</v>
      </c>
      <c r="O26" s="418">
        <f>VLOOKUP(4904,季財報!A:E,4,0)</f>
        <v>18.766309876597813</v>
      </c>
      <c r="P26" s="417">
        <f>VLOOKUP(4904,季財報!A:E,5,0)</f>
        <v>3</v>
      </c>
    </row>
    <row r="27" spans="1:16" s="417" customFormat="1">
      <c r="A27" s="417">
        <v>5871</v>
      </c>
      <c r="B27" s="418">
        <v>0.68</v>
      </c>
      <c r="C27" s="417">
        <v>0.65</v>
      </c>
      <c r="D27" s="419">
        <v>0.7</v>
      </c>
      <c r="E27" s="417">
        <v>0.6</v>
      </c>
      <c r="F27" s="419">
        <v>0.82</v>
      </c>
      <c r="G27" s="419">
        <v>0.97</v>
      </c>
      <c r="H27" s="416">
        <v>0.8</v>
      </c>
      <c r="I27" s="416">
        <v>0.77</v>
      </c>
      <c r="J27" s="416"/>
      <c r="K27" s="416"/>
      <c r="L27" s="416"/>
      <c r="N27" s="417">
        <f>VLOOKUP(5871,季財報!A:E,3,0)</f>
        <v>54.8</v>
      </c>
      <c r="O27" s="418">
        <f>VLOOKUP(5871,季財報!A:E,4,0)</f>
        <v>11.322451154314223</v>
      </c>
      <c r="P27" s="417">
        <f>VLOOKUP(5871,季財報!A:E,5,0)</f>
        <v>3</v>
      </c>
    </row>
    <row r="28" spans="1:16" s="417" customFormat="1">
      <c r="A28" s="417">
        <v>6164</v>
      </c>
      <c r="B28" s="418">
        <v>0.11</v>
      </c>
      <c r="C28" s="417">
        <v>0</v>
      </c>
      <c r="D28" s="419">
        <v>0.08</v>
      </c>
      <c r="E28" s="417">
        <v>0.08</v>
      </c>
      <c r="F28" s="419">
        <v>0.1</v>
      </c>
      <c r="G28" s="419">
        <v>0.78</v>
      </c>
      <c r="H28" s="416">
        <v>0.01</v>
      </c>
      <c r="I28" s="421">
        <v>0.04</v>
      </c>
      <c r="J28" s="421">
        <v>0.05</v>
      </c>
      <c r="K28" s="416"/>
      <c r="L28" s="416"/>
      <c r="N28" s="417">
        <f>VLOOKUP(6164,季財報!A:E,3,0)</f>
        <v>12.4</v>
      </c>
      <c r="O28" s="418">
        <f>VLOOKUP(6164,季財報!A:E,4,0)</f>
        <v>45.258397932816543</v>
      </c>
      <c r="P28" s="417">
        <f>VLOOKUP(6164,季財報!A:E,5,0)</f>
        <v>5</v>
      </c>
    </row>
    <row r="29" spans="1:16" s="417" customFormat="1">
      <c r="A29" s="417">
        <v>8404</v>
      </c>
      <c r="B29" s="418">
        <v>0.18</v>
      </c>
      <c r="C29" s="417">
        <v>0.04</v>
      </c>
      <c r="D29" s="419">
        <v>0.4</v>
      </c>
      <c r="E29" s="417">
        <v>0.31</v>
      </c>
      <c r="F29" s="417">
        <v>0.27</v>
      </c>
      <c r="G29" s="417">
        <v>0.18</v>
      </c>
      <c r="H29" s="416">
        <v>0.13</v>
      </c>
      <c r="I29" s="421">
        <v>0.17</v>
      </c>
      <c r="J29" s="421">
        <v>0.3</v>
      </c>
      <c r="K29" s="416"/>
      <c r="L29" s="416"/>
      <c r="N29" s="417">
        <f>VLOOKUP(8404,季財報!A:E,3,0)</f>
        <v>39.200000000000003</v>
      </c>
      <c r="O29" s="418">
        <f>VLOOKUP(8404,季財報!A:E,4,0)</f>
        <v>18.846153846153847</v>
      </c>
      <c r="P29" s="417">
        <f>VLOOKUP(8404,季財報!A:E,5,0)</f>
        <v>1</v>
      </c>
    </row>
    <row r="30" spans="1:16" s="417" customFormat="1">
      <c r="A30" s="417">
        <v>8427</v>
      </c>
      <c r="B30" s="418">
        <v>1.57</v>
      </c>
      <c r="C30" s="419">
        <v>1.66</v>
      </c>
      <c r="D30" s="419">
        <v>1.69</v>
      </c>
      <c r="E30" s="417">
        <v>-0.09</v>
      </c>
      <c r="F30" s="417">
        <v>-0.41</v>
      </c>
      <c r="G30" s="419">
        <v>8.0399999999999991</v>
      </c>
      <c r="H30" s="416">
        <v>-0.44</v>
      </c>
      <c r="I30" s="416">
        <v>-0.51</v>
      </c>
      <c r="J30" s="421">
        <v>-0.39</v>
      </c>
      <c r="K30" s="416"/>
      <c r="L30" s="416"/>
      <c r="N30" s="417">
        <f>VLOOKUP(8427,季財報!A:E,3,0)</f>
        <v>69.5</v>
      </c>
      <c r="O30" s="418">
        <f>VLOOKUP(8427,季財報!A:E,4,0)</f>
        <v>3.5531697341513295</v>
      </c>
      <c r="P30" s="417">
        <f>VLOOKUP(8427,季財報!A:E,5,0)</f>
        <v>2</v>
      </c>
    </row>
    <row r="31" spans="1:16" s="417" customFormat="1">
      <c r="A31" s="417">
        <v>9910</v>
      </c>
      <c r="B31" s="418">
        <v>1.2</v>
      </c>
      <c r="C31" s="417">
        <v>0.51</v>
      </c>
      <c r="D31" s="419">
        <v>0.68</v>
      </c>
      <c r="E31" s="419">
        <v>0.91</v>
      </c>
      <c r="F31" s="419">
        <v>1.18</v>
      </c>
      <c r="G31" s="419">
        <v>1.33</v>
      </c>
      <c r="H31" s="416">
        <v>0.92</v>
      </c>
      <c r="I31" s="421">
        <v>1.04</v>
      </c>
      <c r="J31" s="416">
        <v>0.93</v>
      </c>
      <c r="K31" s="416"/>
      <c r="L31" s="416"/>
      <c r="N31" s="417">
        <f>VLOOKUP(9910,季財報!A:E,3,0)</f>
        <v>130.5</v>
      </c>
      <c r="O31" s="418">
        <f>VLOOKUP(9910,季財報!A:E,4,0)</f>
        <v>15.610047846889954</v>
      </c>
      <c r="P31" s="417">
        <f>VLOOKUP(9910,季財報!A:E,5,0)</f>
        <v>4</v>
      </c>
    </row>
    <row r="32" spans="1:16" s="417" customFormat="1">
      <c r="A32" s="417">
        <v>9930</v>
      </c>
      <c r="B32" s="418">
        <v>0.32</v>
      </c>
      <c r="C32" s="417">
        <v>0.25</v>
      </c>
      <c r="D32" s="417">
        <v>0.22</v>
      </c>
      <c r="E32" s="419">
        <v>0.28000000000000003</v>
      </c>
      <c r="F32" s="419">
        <v>0.32</v>
      </c>
      <c r="G32" s="419">
        <v>0.38</v>
      </c>
      <c r="H32" s="416">
        <v>0.25</v>
      </c>
      <c r="I32" s="421">
        <v>0.26</v>
      </c>
      <c r="J32" s="416">
        <v>0.16</v>
      </c>
      <c r="K32" s="416"/>
      <c r="L32" s="416"/>
      <c r="N32" s="417">
        <f>VLOOKUP(9930,季財報!A:E,3,0)</f>
        <v>53.8</v>
      </c>
      <c r="O32" s="418">
        <f>VLOOKUP(9930,季財報!A:E,4,0)</f>
        <v>16.530476665005811</v>
      </c>
      <c r="P32" s="417">
        <f>VLOOKUP(9930,季財報!A:E,5,0)</f>
        <v>2</v>
      </c>
    </row>
    <row r="33" spans="1:16" s="417" customFormat="1">
      <c r="A33" s="417">
        <v>9938</v>
      </c>
      <c r="B33" s="418">
        <v>0.52</v>
      </c>
      <c r="C33" s="417">
        <v>0.33</v>
      </c>
      <c r="D33" s="419">
        <v>1</v>
      </c>
      <c r="E33" s="417">
        <v>0.82</v>
      </c>
      <c r="F33" s="417">
        <v>0.69</v>
      </c>
      <c r="G33" s="417">
        <v>0.63</v>
      </c>
      <c r="H33" s="416">
        <v>0.41</v>
      </c>
      <c r="I33" s="421">
        <v>0.61</v>
      </c>
      <c r="J33" s="421">
        <v>0.79</v>
      </c>
      <c r="K33" s="416"/>
      <c r="L33" s="416"/>
      <c r="N33" s="417">
        <f>VLOOKUP(9938,季財報!A:E,3,0)</f>
        <v>114.5</v>
      </c>
      <c r="O33" s="418">
        <f>VLOOKUP(9938,季財報!A:E,4,0)</f>
        <v>23.33481012658228</v>
      </c>
      <c r="P33" s="417">
        <f>VLOOKUP(9938,季財報!A:E,5,0)</f>
        <v>3</v>
      </c>
    </row>
    <row r="34" spans="1:16" s="417" customFormat="1">
      <c r="A34" s="417">
        <v>9941</v>
      </c>
      <c r="B34" s="418">
        <v>0.47</v>
      </c>
      <c r="C34" s="419">
        <v>0.83</v>
      </c>
      <c r="D34" s="419">
        <v>1.18</v>
      </c>
      <c r="E34" s="417">
        <v>0.8</v>
      </c>
      <c r="F34" s="417">
        <v>0.31</v>
      </c>
      <c r="G34" s="419">
        <v>0.73</v>
      </c>
      <c r="H34" s="416">
        <v>0.69</v>
      </c>
      <c r="I34" s="421">
        <v>0.73</v>
      </c>
      <c r="J34" s="421">
        <v>0.84</v>
      </c>
      <c r="K34" s="416"/>
      <c r="L34" s="416"/>
      <c r="N34" s="417">
        <f>VLOOKUP(9941,季財報!A:E,3,0)</f>
        <v>72.400000000000006</v>
      </c>
      <c r="O34" s="418">
        <f>VLOOKUP(9941,季財報!A:E,4,0)</f>
        <v>12.569444444444446</v>
      </c>
      <c r="P34" s="417">
        <f>VLOOKUP(9941,季財報!A:E,5,0)</f>
        <v>1</v>
      </c>
    </row>
    <row r="35" spans="1:16" s="417" customFormat="1">
      <c r="A35" s="417">
        <v>4126</v>
      </c>
      <c r="B35" s="416">
        <v>0.68</v>
      </c>
      <c r="C35" s="416">
        <v>0.5</v>
      </c>
      <c r="D35" s="421">
        <v>0.71</v>
      </c>
      <c r="E35" s="416">
        <v>0.68</v>
      </c>
      <c r="F35" s="416">
        <v>0.67</v>
      </c>
      <c r="G35" s="416">
        <v>0.54</v>
      </c>
      <c r="H35" s="416">
        <v>0.5</v>
      </c>
      <c r="I35" s="421">
        <v>0.56999999999999995</v>
      </c>
      <c r="J35" s="416">
        <v>0.36</v>
      </c>
      <c r="K35" s="416"/>
      <c r="L35" s="416"/>
      <c r="N35" s="417">
        <f>VLOOKUP(4126,季財報!A:E,3,0)</f>
        <v>94.5</v>
      </c>
      <c r="O35" s="418">
        <f>VLOOKUP(4126,季財報!A:E,4,0)</f>
        <v>18.908470995005761</v>
      </c>
      <c r="P35" s="417">
        <f>VLOOKUP(4126,季財報!A:E,5,0)</f>
        <v>3</v>
      </c>
    </row>
    <row r="36" spans="1:16" s="417" customFormat="1">
      <c r="A36" s="417">
        <v>4706</v>
      </c>
      <c r="B36" s="416">
        <v>0.23</v>
      </c>
      <c r="C36" s="416">
        <v>0.06</v>
      </c>
      <c r="D36" s="421">
        <v>0.24</v>
      </c>
      <c r="E36" s="416">
        <v>0.17</v>
      </c>
      <c r="F36" s="421">
        <v>0.3</v>
      </c>
      <c r="G36" s="421">
        <v>0.31</v>
      </c>
      <c r="H36" s="417">
        <v>0.21</v>
      </c>
      <c r="I36" s="421">
        <v>0.23</v>
      </c>
      <c r="J36" s="416">
        <v>0.18</v>
      </c>
      <c r="K36" s="416"/>
      <c r="L36" s="416"/>
      <c r="M36" s="416"/>
      <c r="N36" s="417">
        <f>VLOOKUP(4706,季財報!A:E,3,0)</f>
        <v>22.4</v>
      </c>
      <c r="O36" s="418">
        <f>VLOOKUP(4706,季財報!A:E,4,0)</f>
        <v>9.1851851851851833</v>
      </c>
      <c r="P36" s="417">
        <f>VLOOKUP(4706,季財報!A:E,5,0)</f>
        <v>4</v>
      </c>
    </row>
    <row r="37" spans="1:16" s="417" customFormat="1">
      <c r="A37" s="417">
        <v>4712</v>
      </c>
      <c r="B37" s="416">
        <v>-0.08</v>
      </c>
      <c r="C37" s="421">
        <v>-0.02</v>
      </c>
      <c r="D37" s="416">
        <v>-0.09</v>
      </c>
      <c r="E37" s="421">
        <v>-0.02</v>
      </c>
      <c r="F37" s="421">
        <v>0.02</v>
      </c>
      <c r="G37" s="416">
        <v>-0.27</v>
      </c>
      <c r="H37" s="419">
        <v>-0.02</v>
      </c>
      <c r="I37" s="416">
        <v>-0.03</v>
      </c>
      <c r="J37" s="416"/>
      <c r="K37" s="416"/>
      <c r="L37" s="416"/>
      <c r="M37" s="416"/>
      <c r="N37" s="417">
        <f>VLOOKUP(4712,季財報!A:E,3,0)</f>
        <v>7.32</v>
      </c>
      <c r="O37" s="418">
        <f>VLOOKUP(4712,季財報!A:E,4,0)</f>
        <v>0</v>
      </c>
      <c r="P37" s="417">
        <f>VLOOKUP(4712,季財報!A:E,5,0)</f>
        <v>3</v>
      </c>
    </row>
    <row r="38" spans="1:16" s="417" customFormat="1">
      <c r="A38" s="417">
        <v>5209</v>
      </c>
      <c r="B38" s="416">
        <v>0.42</v>
      </c>
      <c r="C38" s="416">
        <v>0.26</v>
      </c>
      <c r="D38" s="416">
        <v>0.18</v>
      </c>
      <c r="E38" s="421">
        <v>0.28000000000000003</v>
      </c>
      <c r="F38" s="421">
        <v>0.35</v>
      </c>
      <c r="G38" s="416">
        <v>0.33</v>
      </c>
      <c r="H38" s="417">
        <v>0.3</v>
      </c>
      <c r="I38" s="416">
        <v>0.25</v>
      </c>
      <c r="J38" s="416"/>
      <c r="K38" s="416"/>
      <c r="L38" s="416"/>
      <c r="M38" s="416"/>
      <c r="N38" s="417">
        <f>VLOOKUP(5209,季財報!A:E,3,0)</f>
        <v>0</v>
      </c>
      <c r="O38" s="418">
        <f>VLOOKUP(5209,季財報!A:E,4,0)</f>
        <v>0</v>
      </c>
      <c r="P38" s="417">
        <f>VLOOKUP(5209,季財報!A:E,5,0)</f>
        <v>4</v>
      </c>
    </row>
    <row r="39" spans="1:16">
      <c r="A39" s="417">
        <v>6151</v>
      </c>
      <c r="B39" s="327">
        <v>0.42</v>
      </c>
      <c r="C39" s="327">
        <v>0.14000000000000001</v>
      </c>
      <c r="D39" s="422">
        <v>0.34</v>
      </c>
      <c r="E39" s="422">
        <v>0.38</v>
      </c>
      <c r="F39" s="327">
        <v>0.32</v>
      </c>
      <c r="G39" s="327">
        <v>0.21</v>
      </c>
      <c r="H39" s="103">
        <v>0.18</v>
      </c>
      <c r="I39" s="422">
        <v>0.23</v>
      </c>
      <c r="J39" s="422">
        <v>0.24</v>
      </c>
      <c r="N39" s="103">
        <f>VLOOKUP(6151,季財報!A:E,3,0)</f>
        <v>22.7</v>
      </c>
      <c r="O39" s="415">
        <f>VLOOKUP(6151,季財報!A:E,4,0)</f>
        <v>8.22463768115942</v>
      </c>
      <c r="P39" s="103">
        <f>VLOOKUP(6151,季財報!A:E,5,0)</f>
        <v>2</v>
      </c>
    </row>
    <row r="40" spans="1:16">
      <c r="A40" s="417">
        <v>6154</v>
      </c>
      <c r="B40" s="327">
        <v>0.11</v>
      </c>
      <c r="C40" s="422">
        <v>0.23</v>
      </c>
      <c r="D40" s="327">
        <v>0.12</v>
      </c>
      <c r="E40" s="422">
        <v>0.14000000000000001</v>
      </c>
      <c r="F40" s="327">
        <v>0.08</v>
      </c>
      <c r="G40" s="327">
        <v>7.0000000000000007E-2</v>
      </c>
      <c r="H40" s="422">
        <v>0.23</v>
      </c>
      <c r="I40" s="327">
        <v>0.1</v>
      </c>
      <c r="J40" s="327">
        <v>0.08</v>
      </c>
      <c r="N40" s="103">
        <f>VLOOKUP(6154,季財報!A:E,3,0)</f>
        <v>16.45</v>
      </c>
      <c r="O40" s="415">
        <f>VLOOKUP(6154,季財報!A:E,4,0)</f>
        <v>17.914299242424242</v>
      </c>
      <c r="P40" s="103">
        <f>VLOOKUP(6154,季財報!A:E,5,0)</f>
        <v>2</v>
      </c>
    </row>
    <row r="41" spans="1:16">
      <c r="A41" s="417">
        <v>6803</v>
      </c>
      <c r="B41" s="327">
        <v>1.26</v>
      </c>
      <c r="C41" s="327">
        <v>1.26</v>
      </c>
      <c r="D41" s="422">
        <v>10.130000000000001</v>
      </c>
      <c r="E41" s="327">
        <v>1.29</v>
      </c>
      <c r="F41" s="422">
        <v>1.65</v>
      </c>
      <c r="G41" s="327">
        <v>1.62</v>
      </c>
      <c r="H41" s="327">
        <v>1.37</v>
      </c>
      <c r="I41" s="422">
        <v>1.58</v>
      </c>
      <c r="J41" s="327">
        <v>1.37</v>
      </c>
      <c r="N41" s="103">
        <f>VLOOKUP(6803,季財報!A:E,3,0)</f>
        <v>174</v>
      </c>
      <c r="O41" s="415">
        <f>VLOOKUP(6803,季財報!A:E,4,0)</f>
        <v>15.541036558508296</v>
      </c>
      <c r="P41" s="103">
        <f>VLOOKUP(6803,季財報!A:E,5,0)</f>
        <v>2</v>
      </c>
    </row>
    <row r="42" spans="1:16">
      <c r="A42" s="417">
        <v>8109</v>
      </c>
      <c r="B42" s="327">
        <v>1.1100000000000001</v>
      </c>
      <c r="C42" s="327">
        <v>0.38</v>
      </c>
      <c r="D42" s="327">
        <v>0.01</v>
      </c>
      <c r="E42" s="422">
        <v>0.6</v>
      </c>
      <c r="F42" s="422">
        <v>0.78</v>
      </c>
      <c r="G42" s="327">
        <v>0.45</v>
      </c>
      <c r="H42" s="327">
        <v>0.3</v>
      </c>
      <c r="I42" s="422">
        <v>0.41</v>
      </c>
      <c r="J42" s="327">
        <v>0.26</v>
      </c>
      <c r="N42" s="103">
        <f>VLOOKUP(8109,季財報!A:E,3,0)</f>
        <v>64.5</v>
      </c>
      <c r="O42" s="415">
        <f>VLOOKUP(8109,季財報!A:E,4,0)</f>
        <v>11.799308539205155</v>
      </c>
      <c r="P42" s="103">
        <f>VLOOKUP(8109,季財報!A:E,5,0)</f>
        <v>2</v>
      </c>
    </row>
    <row r="43" spans="1:16">
      <c r="A43" s="417">
        <v>8299</v>
      </c>
      <c r="B43" s="423"/>
      <c r="C43" s="423"/>
      <c r="D43" s="423"/>
      <c r="E43" s="423"/>
      <c r="F43" s="423"/>
      <c r="G43" s="423"/>
      <c r="H43" s="422">
        <v>2.35</v>
      </c>
      <c r="I43" s="422">
        <v>3</v>
      </c>
      <c r="N43" s="103">
        <f>VLOOKUP(8299,季財報!A:E,3,0)</f>
        <v>224.5</v>
      </c>
      <c r="O43" s="415">
        <f>VLOOKUP(8299,季財報!A:E,4,0)</f>
        <v>11.524640657084189</v>
      </c>
      <c r="P43" s="103">
        <f>VLOOKUP(8299,季財報!A:E,5,0)</f>
        <v>2</v>
      </c>
    </row>
    <row r="44" spans="1:16">
      <c r="A44" s="417"/>
    </row>
    <row r="45" spans="1:16">
      <c r="A45" s="417"/>
    </row>
    <row r="46" spans="1:16">
      <c r="A46" s="417"/>
    </row>
    <row r="47" spans="1:16">
      <c r="A47" s="417"/>
    </row>
    <row r="48" spans="1:16">
      <c r="A48" s="417"/>
    </row>
    <row r="49" spans="1:1">
      <c r="A49" s="417"/>
    </row>
    <row r="50" spans="1:1">
      <c r="A50" s="417"/>
    </row>
    <row r="51" spans="1:1">
      <c r="A51" s="417"/>
    </row>
    <row r="52" spans="1:1">
      <c r="A52" s="417"/>
    </row>
    <row r="53" spans="1:1">
      <c r="A53" s="417"/>
    </row>
    <row r="54" spans="1:1">
      <c r="A54" s="417"/>
    </row>
    <row r="55" spans="1:1">
      <c r="A55" s="417"/>
    </row>
    <row r="56" spans="1:1">
      <c r="A56" s="417"/>
    </row>
    <row r="57" spans="1:1">
      <c r="A57" s="417"/>
    </row>
    <row r="58" spans="1:1">
      <c r="A58" s="417"/>
    </row>
    <row r="59" spans="1:1">
      <c r="A59" s="417"/>
    </row>
    <row r="60" spans="1:1">
      <c r="A60" s="417"/>
    </row>
    <row r="61" spans="1:1">
      <c r="A61" s="417"/>
    </row>
    <row r="62" spans="1:1">
      <c r="A62" s="417"/>
    </row>
    <row r="63" spans="1:1">
      <c r="A63" s="417"/>
    </row>
    <row r="64" spans="1:1">
      <c r="A64" s="417"/>
    </row>
    <row r="65" spans="1:1">
      <c r="A65" s="417"/>
    </row>
    <row r="66" spans="1:1">
      <c r="A66" s="417"/>
    </row>
    <row r="67" spans="1:1">
      <c r="A67" s="417"/>
    </row>
    <row r="68" spans="1:1">
      <c r="A68" s="417"/>
    </row>
    <row r="69" spans="1:1">
      <c r="A69" s="417"/>
    </row>
    <row r="70" spans="1:1">
      <c r="A70" s="417"/>
    </row>
    <row r="71" spans="1:1">
      <c r="A71" s="417"/>
    </row>
    <row r="72" spans="1:1">
      <c r="A72" s="417"/>
    </row>
    <row r="73" spans="1:1">
      <c r="A73" s="417"/>
    </row>
    <row r="74" spans="1:1">
      <c r="A74" s="417"/>
    </row>
    <row r="75" spans="1:1">
      <c r="A75" s="417"/>
    </row>
    <row r="76" spans="1:1">
      <c r="A76" s="417"/>
    </row>
    <row r="77" spans="1:1">
      <c r="A77" s="417"/>
    </row>
    <row r="78" spans="1:1">
      <c r="A78" s="417"/>
    </row>
    <row r="79" spans="1:1">
      <c r="A79" s="417"/>
    </row>
    <row r="80" spans="1:1">
      <c r="A80" s="417"/>
    </row>
    <row r="81" spans="1:1">
      <c r="A81" s="417"/>
    </row>
    <row r="82" spans="1:1">
      <c r="A82" s="417"/>
    </row>
    <row r="83" spans="1:1">
      <c r="A83" s="417"/>
    </row>
    <row r="84" spans="1:1">
      <c r="A84" s="417"/>
    </row>
    <row r="85" spans="1:1">
      <c r="A85" s="417"/>
    </row>
    <row r="86" spans="1:1">
      <c r="A86" s="417"/>
    </row>
    <row r="87" spans="1:1">
      <c r="A87" s="417"/>
    </row>
    <row r="88" spans="1:1">
      <c r="A88" s="417"/>
    </row>
    <row r="89" spans="1:1">
      <c r="A89" s="417"/>
    </row>
    <row r="90" spans="1:1">
      <c r="A90" s="417"/>
    </row>
    <row r="91" spans="1:1">
      <c r="A91" s="417"/>
    </row>
    <row r="92" spans="1:1">
      <c r="A92" s="417"/>
    </row>
    <row r="93" spans="1:1">
      <c r="A93" s="417"/>
    </row>
    <row r="94" spans="1:1">
      <c r="A94" s="417"/>
    </row>
    <row r="95" spans="1:1">
      <c r="A95" s="417"/>
    </row>
    <row r="96" spans="1:1">
      <c r="A96" s="417"/>
    </row>
    <row r="97" spans="1:1">
      <c r="A97" s="417"/>
    </row>
    <row r="98" spans="1:1">
      <c r="A98" s="417"/>
    </row>
    <row r="99" spans="1:1">
      <c r="A99" s="417"/>
    </row>
    <row r="100" spans="1:1">
      <c r="A100" s="417"/>
    </row>
    <row r="101" spans="1:1">
      <c r="A101" s="417"/>
    </row>
    <row r="102" spans="1:1">
      <c r="A102" s="417"/>
    </row>
    <row r="103" spans="1:1">
      <c r="A103" s="417"/>
    </row>
    <row r="104" spans="1:1">
      <c r="A104" s="417"/>
    </row>
    <row r="105" spans="1:1">
      <c r="A105" s="417"/>
    </row>
    <row r="106" spans="1:1">
      <c r="A106" s="417"/>
    </row>
    <row r="107" spans="1:1">
      <c r="A107" s="417"/>
    </row>
    <row r="108" spans="1:1">
      <c r="A108" s="417"/>
    </row>
    <row r="109" spans="1:1">
      <c r="A109" s="417"/>
    </row>
    <row r="110" spans="1:1">
      <c r="A110" s="417"/>
    </row>
    <row r="111" spans="1:1">
      <c r="A111" s="417"/>
    </row>
    <row r="112" spans="1:1">
      <c r="A112" s="417"/>
    </row>
    <row r="113" spans="1:1">
      <c r="A113" s="417"/>
    </row>
  </sheetData>
  <phoneticPr fontId="2" type="noConversion"/>
  <pageMargins left="0.7" right="0.7" top="0.75" bottom="0.75" header="0.3" footer="0.3"/>
  <pageSetup paperSize="9" orientation="portrait" r:id="rId1"/>
  <drawing r:id="rId2"/>
  <legacyDrawing r:id="rId3"/>
  <controls>
    <control shapeId="62476" r:id="rId4" name="CommandButton2"/>
    <control shapeId="62479" r:id="rId5" name="CommandButton1"/>
    <control shapeId="62481" r:id="rId6" name="CommandButton3"/>
  </controls>
</worksheet>
</file>

<file path=xl/worksheets/sheet8.xml><?xml version="1.0" encoding="utf-8"?>
<worksheet xmlns="http://schemas.openxmlformats.org/spreadsheetml/2006/main" xmlns:r="http://schemas.openxmlformats.org/officeDocument/2006/relationships">
  <sheetPr codeName="工作表8"/>
  <dimension ref="A1:AM302"/>
  <sheetViews>
    <sheetView zoomScale="80" zoomScaleNormal="80" workbookViewId="0">
      <pane xSplit="3" ySplit="1" topLeftCell="D119" activePane="bottomRight" state="frozen"/>
      <selection pane="topRight" activeCell="I1" sqref="I1"/>
      <selection pane="bottomLeft" activeCell="A2" sqref="A2"/>
      <selection pane="bottomRight" activeCell="G126" activeCellId="1" sqref="C126:C129 G126:G129"/>
    </sheetView>
  </sheetViews>
  <sheetFormatPr defaultColWidth="9" defaultRowHeight="15.75"/>
  <cols>
    <col min="1" max="1" width="10.5" style="382" customWidth="1"/>
    <col min="2" max="2" width="10.5" style="386" customWidth="1"/>
    <col min="3" max="3" width="10.5" style="382" customWidth="1"/>
    <col min="4" max="4" width="14.875" style="388" customWidth="1"/>
    <col min="5" max="5" width="14.875" style="385" customWidth="1"/>
    <col min="6" max="6" width="17.25" style="384" customWidth="1"/>
    <col min="7" max="7" width="22.25" style="414" bestFit="1" customWidth="1"/>
    <col min="8" max="8" width="10.875" style="385" bestFit="1" customWidth="1"/>
    <col min="9" max="9" width="9" style="436"/>
    <col min="10" max="14" width="9" style="206"/>
    <col min="15" max="15" width="9" style="438"/>
    <col min="16" max="16" width="16.375" style="438" bestFit="1" customWidth="1"/>
    <col min="17" max="17" width="8" style="438" customWidth="1"/>
    <col min="18" max="20" width="9" style="206"/>
    <col min="21" max="21" width="16.5" style="441" customWidth="1"/>
    <col min="22" max="16384" width="9" style="206"/>
  </cols>
  <sheetData>
    <row r="1" spans="1:39" s="207" customFormat="1" ht="49.9" customHeight="1">
      <c r="A1" s="389" t="s">
        <v>2322</v>
      </c>
      <c r="B1" s="389" t="s">
        <v>2323</v>
      </c>
      <c r="C1" s="389" t="s">
        <v>2324</v>
      </c>
      <c r="D1" s="439">
        <f ca="1">TODAY()</f>
        <v>42668</v>
      </c>
      <c r="E1" s="391" t="s">
        <v>2325</v>
      </c>
      <c r="F1" s="390" t="s">
        <v>2326</v>
      </c>
      <c r="G1" s="413" t="s">
        <v>2327</v>
      </c>
      <c r="H1" s="391" t="s">
        <v>3174</v>
      </c>
      <c r="I1" s="435" t="s">
        <v>2333</v>
      </c>
      <c r="J1" s="207" t="s">
        <v>2334</v>
      </c>
      <c r="K1" s="207" t="s">
        <v>2335</v>
      </c>
      <c r="L1" s="207" t="s">
        <v>2336</v>
      </c>
      <c r="M1" s="207" t="s">
        <v>1794</v>
      </c>
      <c r="N1" s="207" t="s">
        <v>2337</v>
      </c>
      <c r="O1" s="437" t="s">
        <v>2338</v>
      </c>
      <c r="P1" s="437" t="s">
        <v>1806</v>
      </c>
      <c r="Q1" s="437" t="s">
        <v>2339</v>
      </c>
      <c r="R1" s="207" t="s">
        <v>2340</v>
      </c>
      <c r="S1" s="207" t="s">
        <v>2341</v>
      </c>
      <c r="T1" s="207" t="s">
        <v>2342</v>
      </c>
      <c r="U1" s="440" t="s">
        <v>2343</v>
      </c>
      <c r="AD1" s="19"/>
      <c r="AE1" s="19"/>
      <c r="AF1" s="19"/>
      <c r="AG1" s="19"/>
      <c r="AH1" s="19"/>
      <c r="AI1" s="19"/>
      <c r="AJ1" s="19"/>
      <c r="AK1" s="19"/>
      <c r="AL1" s="19"/>
      <c r="AM1" s="19"/>
    </row>
    <row r="2" spans="1:39">
      <c r="A2" s="382">
        <v>9944</v>
      </c>
      <c r="B2" s="386" t="s">
        <v>2026</v>
      </c>
      <c r="C2" s="382">
        <v>99442</v>
      </c>
      <c r="D2" s="388">
        <v>41710</v>
      </c>
      <c r="E2" s="388">
        <v>42806</v>
      </c>
      <c r="F2" s="384">
        <v>350000000</v>
      </c>
      <c r="G2" s="414">
        <v>139100000</v>
      </c>
      <c r="H2" s="385">
        <v>0.4</v>
      </c>
      <c r="I2" s="436">
        <v>156</v>
      </c>
      <c r="J2" s="206">
        <v>108.5</v>
      </c>
      <c r="K2" s="206">
        <v>25.1</v>
      </c>
      <c r="L2" s="206">
        <f>VLOOKUP(9944,收盤價!A:C,3,0)</f>
        <v>22.95</v>
      </c>
      <c r="M2" s="206">
        <v>3984</v>
      </c>
      <c r="N2" s="206">
        <v>100</v>
      </c>
      <c r="O2" s="438">
        <v>7.8299999999999995E-2</v>
      </c>
      <c r="P2" s="438">
        <v>-1.6199999999999999E-2</v>
      </c>
      <c r="Q2" s="438">
        <v>-2.3354246479003575E-2</v>
      </c>
      <c r="R2" s="206">
        <f>VLOOKUP(99442,V:AE,9,0)</f>
        <v>10</v>
      </c>
      <c r="S2" s="206">
        <f>VLOOKUP(9944,季財報!A:N,5,0)</f>
        <v>3</v>
      </c>
      <c r="T2" s="206">
        <f>VLOOKUP(9944,季財報!A:N,4,0)</f>
        <v>13.99390243902439</v>
      </c>
      <c r="U2" s="441">
        <v>13910000</v>
      </c>
      <c r="V2" s="206">
        <v>62452</v>
      </c>
      <c r="W2" s="206" t="s">
        <v>2798</v>
      </c>
      <c r="X2" s="206" t="s">
        <v>2799</v>
      </c>
      <c r="Y2" s="206">
        <v>2021</v>
      </c>
      <c r="Z2" s="206">
        <v>2042</v>
      </c>
      <c r="AA2" s="206">
        <v>-21</v>
      </c>
      <c r="AB2" s="206">
        <v>-1.03</v>
      </c>
      <c r="AC2" s="206">
        <v>4000</v>
      </c>
      <c r="AD2" s="206">
        <v>39</v>
      </c>
      <c r="AE2" s="206">
        <v>0</v>
      </c>
    </row>
    <row r="3" spans="1:39">
      <c r="A3" s="382">
        <v>9934</v>
      </c>
      <c r="B3" s="386" t="s">
        <v>2313</v>
      </c>
      <c r="C3" s="382">
        <v>99342</v>
      </c>
      <c r="D3" s="388">
        <v>40836</v>
      </c>
      <c r="E3" s="388">
        <v>43028</v>
      </c>
      <c r="F3" s="384">
        <v>1650000000</v>
      </c>
      <c r="G3" s="414">
        <v>202800000</v>
      </c>
      <c r="H3" s="385">
        <v>0.12</v>
      </c>
      <c r="I3" s="436">
        <v>378</v>
      </c>
      <c r="J3" s="206">
        <v>112.25</v>
      </c>
      <c r="K3" s="206">
        <v>15.7</v>
      </c>
      <c r="L3" s="206">
        <f>VLOOKUP(9934,收盤價!A:C,3,0)</f>
        <v>15.5</v>
      </c>
      <c r="M3" s="206">
        <v>6369</v>
      </c>
      <c r="N3" s="206">
        <v>103.17779999999999</v>
      </c>
      <c r="O3" s="438">
        <v>8.0799999999999997E-2</v>
      </c>
      <c r="P3" s="438">
        <v>3.09E-2</v>
      </c>
      <c r="Q3" s="438">
        <v>-1.2689807009942707E-2</v>
      </c>
      <c r="R3" s="206">
        <f>VLOOKUP(99342,V:AE,9,0)</f>
        <v>18</v>
      </c>
      <c r="S3" s="206">
        <f>VLOOKUP(9934,季財報!A:N,5,0)</f>
        <v>5</v>
      </c>
      <c r="T3" s="206">
        <f>VLOOKUP(9934,季財報!A:N,4,0)</f>
        <v>8.0399343106625025</v>
      </c>
      <c r="U3" s="441">
        <v>11266666.666666666</v>
      </c>
      <c r="V3" s="206">
        <v>26371</v>
      </c>
      <c r="W3" s="206" t="s">
        <v>2504</v>
      </c>
      <c r="X3" s="206" t="s">
        <v>2505</v>
      </c>
      <c r="Y3" s="206">
        <v>142</v>
      </c>
      <c r="Z3" s="206">
        <v>172</v>
      </c>
      <c r="AA3" s="206">
        <v>-30</v>
      </c>
      <c r="AB3" s="206">
        <v>-17.440000000000001</v>
      </c>
      <c r="AC3" s="206">
        <v>6000</v>
      </c>
      <c r="AD3" s="206">
        <v>26</v>
      </c>
      <c r="AE3" s="206">
        <v>0</v>
      </c>
    </row>
    <row r="4" spans="1:39">
      <c r="A4" s="382">
        <v>9802</v>
      </c>
      <c r="B4" s="386" t="s">
        <v>2312</v>
      </c>
      <c r="C4" s="382">
        <v>98023</v>
      </c>
      <c r="D4" s="388">
        <v>42493</v>
      </c>
      <c r="E4" s="388">
        <v>43588</v>
      </c>
      <c r="F4" s="384">
        <v>700000000</v>
      </c>
      <c r="G4" s="414">
        <v>700000000</v>
      </c>
      <c r="H4" s="385">
        <v>1</v>
      </c>
      <c r="I4" s="436">
        <v>938</v>
      </c>
      <c r="J4" s="206">
        <v>111</v>
      </c>
      <c r="K4" s="206">
        <v>56</v>
      </c>
      <c r="L4" s="206">
        <f>VLOOKUP(9802,收盤價!A:C,3,0)</f>
        <v>62.1</v>
      </c>
      <c r="M4" s="206">
        <v>1786</v>
      </c>
      <c r="N4" s="206">
        <v>107.3386</v>
      </c>
      <c r="O4" s="438">
        <v>3.3000000000000002E-2</v>
      </c>
      <c r="P4" s="438">
        <v>6.8199999999999997E-2</v>
      </c>
      <c r="Q4" s="438">
        <v>-1.8468972892265158E-2</v>
      </c>
      <c r="R4" s="206">
        <f>VLOOKUP(98023,V:AE,9,0)</f>
        <v>68</v>
      </c>
      <c r="S4" s="206">
        <f>VLOOKUP(9802,季財報!A:N,5,0)</f>
        <v>2</v>
      </c>
      <c r="T4" s="206">
        <f>VLOOKUP(9802,季財報!A:N,4,0)</f>
        <v>14.385116115411682</v>
      </c>
      <c r="U4" s="441">
        <v>10294117.647058824</v>
      </c>
      <c r="V4" s="206">
        <v>31631</v>
      </c>
      <c r="W4" s="206" t="s">
        <v>2553</v>
      </c>
      <c r="X4" s="206" t="s">
        <v>2554</v>
      </c>
      <c r="Y4" s="206">
        <v>323</v>
      </c>
      <c r="Z4" s="206">
        <v>323</v>
      </c>
      <c r="AA4" s="206">
        <v>0</v>
      </c>
      <c r="AB4" s="206">
        <v>0</v>
      </c>
      <c r="AC4" s="206">
        <v>2000</v>
      </c>
      <c r="AD4" s="206">
        <v>7</v>
      </c>
      <c r="AE4" s="206">
        <v>0</v>
      </c>
    </row>
    <row r="5" spans="1:39" ht="15.6" customHeight="1">
      <c r="A5" s="382">
        <v>9802</v>
      </c>
      <c r="B5" s="386" t="s">
        <v>2312</v>
      </c>
      <c r="C5" s="382">
        <v>98021</v>
      </c>
      <c r="D5" s="388">
        <v>41572</v>
      </c>
      <c r="E5" s="388">
        <v>42668</v>
      </c>
      <c r="F5" s="384">
        <v>100000000</v>
      </c>
      <c r="G5" s="414">
        <v>17500000</v>
      </c>
      <c r="H5" s="385">
        <v>0.18</v>
      </c>
      <c r="I5" s="436">
        <v>18</v>
      </c>
      <c r="J5" s="206">
        <v>195</v>
      </c>
      <c r="K5" s="206">
        <v>31.8</v>
      </c>
      <c r="L5" s="206">
        <f>VLOOKUP(9802,收盤價!A:C,3,0)</f>
        <v>62.1</v>
      </c>
      <c r="M5" s="206">
        <v>3145</v>
      </c>
      <c r="N5" s="206">
        <v>189.0145</v>
      </c>
      <c r="O5" s="438">
        <v>3.0700000000000002E-2</v>
      </c>
      <c r="P5" s="438">
        <v>0.47089999999999999</v>
      </c>
      <c r="Q5" s="438">
        <v>-9.7598956422485679E-3</v>
      </c>
      <c r="R5" s="206">
        <f>VLOOKUP(98021,V:AE,9,0)</f>
        <v>4</v>
      </c>
      <c r="S5" s="206">
        <f>VLOOKUP(9802,季財報!A:N,5,0)</f>
        <v>2</v>
      </c>
      <c r="T5" s="206">
        <f>VLOOKUP(9802,季財報!A:N,4,0)</f>
        <v>14.385116115411682</v>
      </c>
      <c r="U5" s="441">
        <v>4375000</v>
      </c>
      <c r="V5" s="206">
        <v>49742</v>
      </c>
      <c r="W5" s="206" t="s">
        <v>2703</v>
      </c>
      <c r="X5" s="206" t="s">
        <v>2704</v>
      </c>
      <c r="Y5" s="206">
        <v>4500</v>
      </c>
      <c r="Z5" s="206">
        <v>4500</v>
      </c>
      <c r="AA5" s="206">
        <v>0</v>
      </c>
      <c r="AB5" s="206">
        <v>0</v>
      </c>
      <c r="AC5" s="206">
        <v>4500</v>
      </c>
      <c r="AD5" s="206">
        <v>40</v>
      </c>
      <c r="AE5" s="206">
        <v>0</v>
      </c>
    </row>
    <row r="6" spans="1:39" ht="15.6" customHeight="1">
      <c r="A6" s="382">
        <v>8996</v>
      </c>
      <c r="B6" s="386" t="s">
        <v>2025</v>
      </c>
      <c r="C6" s="382">
        <v>89963</v>
      </c>
      <c r="D6" s="388">
        <v>41500</v>
      </c>
      <c r="E6" s="388">
        <v>43326</v>
      </c>
      <c r="F6" s="384">
        <v>100000000</v>
      </c>
      <c r="G6" s="414">
        <v>62100000</v>
      </c>
      <c r="H6" s="385">
        <v>0.62</v>
      </c>
      <c r="I6" s="436">
        <v>676</v>
      </c>
      <c r="J6" s="206">
        <v>112</v>
      </c>
      <c r="K6" s="206">
        <v>64.400000000000006</v>
      </c>
      <c r="L6" s="206">
        <f>VLOOKUP(8996,收盤價!A:C,3,0)</f>
        <v>57</v>
      </c>
      <c r="M6" s="206">
        <v>1553</v>
      </c>
      <c r="N6" s="206">
        <v>100</v>
      </c>
      <c r="O6" s="438">
        <v>0.1071</v>
      </c>
      <c r="P6" s="438">
        <v>-1.7399999999999999E-2</v>
      </c>
      <c r="Q6" s="438">
        <v>-7.8736431791003605E-2</v>
      </c>
      <c r="R6" s="206">
        <f>VLOOKUP(89963,V:AE,9,0)</f>
        <v>11</v>
      </c>
      <c r="S6" s="206">
        <f>VLOOKUP(8996,季財報!A:N,5,0)</f>
        <v>3</v>
      </c>
      <c r="T6" s="206">
        <f>VLOOKUP(8996,季財報!A:N,4,0)</f>
        <v>12.302612160566705</v>
      </c>
      <c r="U6" s="441">
        <v>5645454.5454545459</v>
      </c>
      <c r="V6" s="206">
        <v>27341</v>
      </c>
      <c r="W6" s="206" t="s">
        <v>2517</v>
      </c>
      <c r="X6" s="206" t="s">
        <v>2518</v>
      </c>
      <c r="Y6" s="206">
        <v>3000</v>
      </c>
      <c r="Z6" s="206">
        <v>3000</v>
      </c>
      <c r="AA6" s="206">
        <v>0</v>
      </c>
      <c r="AB6" s="206">
        <v>0</v>
      </c>
      <c r="AC6" s="206">
        <v>3000</v>
      </c>
      <c r="AD6" s="206">
        <v>11</v>
      </c>
      <c r="AE6" s="206">
        <v>0</v>
      </c>
    </row>
    <row r="7" spans="1:39">
      <c r="A7" s="382">
        <v>8942</v>
      </c>
      <c r="B7" s="386" t="s">
        <v>1715</v>
      </c>
      <c r="C7" s="382">
        <v>89424</v>
      </c>
      <c r="D7" s="388">
        <v>41032</v>
      </c>
      <c r="E7" s="388">
        <v>42858</v>
      </c>
      <c r="F7" s="384">
        <v>1200000000</v>
      </c>
      <c r="G7" s="414">
        <v>536300000</v>
      </c>
      <c r="H7" s="385">
        <v>0.45</v>
      </c>
      <c r="I7" s="436">
        <v>208</v>
      </c>
      <c r="J7" s="206">
        <v>166</v>
      </c>
      <c r="K7" s="206">
        <v>51.8</v>
      </c>
      <c r="L7" s="206">
        <f>VLOOKUP(8942,收盤價!A:C,3,0)</f>
        <v>82.4</v>
      </c>
      <c r="M7" s="206">
        <v>1930</v>
      </c>
      <c r="N7" s="206">
        <v>167.91</v>
      </c>
      <c r="O7" s="438">
        <v>-1.15E-2</v>
      </c>
      <c r="P7" s="438">
        <v>0.40460000000000002</v>
      </c>
      <c r="Q7" s="438">
        <v>5.9616705162619816E-3</v>
      </c>
      <c r="R7" s="206">
        <f>VLOOKUP(89424,V:AE,9,0)</f>
        <v>12</v>
      </c>
      <c r="S7" s="206">
        <f>VLOOKUP(8942,季財報!A:N,5,0)</f>
        <v>1</v>
      </c>
      <c r="T7" s="206">
        <f>VLOOKUP(8942,季財報!A:N,4,0)</f>
        <v>10.248756218905475</v>
      </c>
      <c r="U7" s="441">
        <v>44691666.666666664</v>
      </c>
      <c r="V7" s="206">
        <v>24865</v>
      </c>
      <c r="W7" s="206" t="s">
        <v>2472</v>
      </c>
      <c r="X7" s="206" t="s">
        <v>2473</v>
      </c>
      <c r="Y7" s="206">
        <v>11000</v>
      </c>
      <c r="Z7" s="206">
        <v>11000</v>
      </c>
      <c r="AA7" s="206">
        <v>0</v>
      </c>
      <c r="AB7" s="206">
        <v>0</v>
      </c>
      <c r="AC7" s="206">
        <v>11000</v>
      </c>
      <c r="AD7" s="206">
        <v>97</v>
      </c>
      <c r="AE7" s="206">
        <v>0</v>
      </c>
    </row>
    <row r="8" spans="1:39" ht="15.6" customHeight="1">
      <c r="A8" s="382">
        <v>8936</v>
      </c>
      <c r="B8" s="386" t="s">
        <v>1773</v>
      </c>
      <c r="C8" s="382">
        <v>89364</v>
      </c>
      <c r="D8" s="388">
        <v>42025</v>
      </c>
      <c r="E8" s="388">
        <v>43121</v>
      </c>
      <c r="F8" s="384">
        <v>600000000</v>
      </c>
      <c r="G8" s="414">
        <v>600000000</v>
      </c>
      <c r="H8" s="385">
        <v>1</v>
      </c>
      <c r="I8" s="436">
        <v>471</v>
      </c>
      <c r="J8" s="206">
        <v>102.05</v>
      </c>
      <c r="K8" s="206">
        <v>46.5</v>
      </c>
      <c r="L8" s="206">
        <f>VLOOKUP(8936,收盤價!A:C,3,0)</f>
        <v>17.8</v>
      </c>
      <c r="M8" s="206">
        <v>2151</v>
      </c>
      <c r="N8" s="206">
        <v>100</v>
      </c>
      <c r="O8" s="438">
        <v>2.01E-2</v>
      </c>
      <c r="P8" s="438">
        <v>-1.2302</v>
      </c>
      <c r="Q8" s="438">
        <v>-0.26058843453508057</v>
      </c>
      <c r="R8" s="206">
        <f>VLOOKUP(89364,V:AE,9,0)</f>
        <v>22</v>
      </c>
      <c r="S8" s="206">
        <f>VLOOKUP(8936,季財報!A:N,5,0)</f>
        <v>0</v>
      </c>
      <c r="T8" s="206">
        <f>VLOOKUP(8936,季財報!A:N,4,0)</f>
        <v>0</v>
      </c>
      <c r="U8" s="441">
        <v>27272727.272727273</v>
      </c>
      <c r="V8" s="206">
        <v>41411</v>
      </c>
      <c r="W8" s="206" t="s">
        <v>2653</v>
      </c>
      <c r="X8" s="206" t="s">
        <v>2654</v>
      </c>
      <c r="Y8" s="206">
        <v>236</v>
      </c>
      <c r="Z8" s="206">
        <v>236</v>
      </c>
      <c r="AA8" s="206">
        <v>0</v>
      </c>
      <c r="AB8" s="206">
        <v>0</v>
      </c>
      <c r="AC8" s="206">
        <v>4000</v>
      </c>
      <c r="AD8" s="206">
        <v>31</v>
      </c>
      <c r="AE8" s="206">
        <v>0</v>
      </c>
    </row>
    <row r="9" spans="1:39" ht="15.6" customHeight="1">
      <c r="A9" s="382">
        <v>8933</v>
      </c>
      <c r="B9" s="386" t="s">
        <v>1711</v>
      </c>
      <c r="C9" s="382">
        <v>89333</v>
      </c>
      <c r="D9" s="388">
        <v>41684</v>
      </c>
      <c r="E9" s="388">
        <v>43510</v>
      </c>
      <c r="F9" s="384">
        <v>100000000</v>
      </c>
      <c r="G9" s="414">
        <v>55400000</v>
      </c>
      <c r="H9" s="385">
        <v>0.55000000000000004</v>
      </c>
      <c r="I9" s="436">
        <v>860</v>
      </c>
      <c r="J9" s="206">
        <v>103</v>
      </c>
      <c r="K9" s="206">
        <v>17.8</v>
      </c>
      <c r="L9" s="206">
        <f>VLOOKUP(8933,收盤價!A:C,3,0)</f>
        <v>10.55</v>
      </c>
      <c r="M9" s="206">
        <v>5618</v>
      </c>
      <c r="N9" s="206">
        <v>100</v>
      </c>
      <c r="O9" s="438">
        <v>2.9100000000000001E-2</v>
      </c>
      <c r="P9" s="438">
        <v>-0.54110000000000003</v>
      </c>
      <c r="Q9" s="438">
        <v>-6.5863365672750904E-2</v>
      </c>
      <c r="R9" s="206">
        <f>VLOOKUP(89333,V:AE,9,0)</f>
        <v>10</v>
      </c>
      <c r="S9" s="206">
        <f>VLOOKUP(8933,季財報!A:N,5,0)</f>
        <v>1</v>
      </c>
      <c r="T9" s="206">
        <f>VLOOKUP(8933,季財報!A:N,4,0)</f>
        <v>0</v>
      </c>
      <c r="U9" s="441">
        <v>5540000</v>
      </c>
      <c r="V9" s="206">
        <v>28411</v>
      </c>
      <c r="W9" s="206" t="s">
        <v>2519</v>
      </c>
      <c r="X9" s="206" t="s">
        <v>2520</v>
      </c>
      <c r="Y9" s="206">
        <v>1999</v>
      </c>
      <c r="Z9" s="206">
        <v>1999</v>
      </c>
      <c r="AA9" s="206">
        <v>0</v>
      </c>
      <c r="AB9" s="206">
        <v>0</v>
      </c>
      <c r="AC9" s="206">
        <v>2000</v>
      </c>
      <c r="AD9" s="206">
        <v>38</v>
      </c>
      <c r="AE9" s="206">
        <v>0</v>
      </c>
    </row>
    <row r="10" spans="1:39" ht="15.6" customHeight="1">
      <c r="A10" s="382">
        <v>8933</v>
      </c>
      <c r="B10" s="386" t="s">
        <v>1711</v>
      </c>
      <c r="C10" s="382">
        <v>89332</v>
      </c>
      <c r="D10" s="388">
        <v>41683</v>
      </c>
      <c r="E10" s="388">
        <v>43509</v>
      </c>
      <c r="F10" s="384">
        <v>200000000</v>
      </c>
      <c r="G10" s="414">
        <v>200000000</v>
      </c>
      <c r="H10" s="385">
        <v>1</v>
      </c>
      <c r="I10" s="436">
        <v>859</v>
      </c>
      <c r="J10" s="206">
        <v>101</v>
      </c>
      <c r="K10" s="206">
        <v>17.8</v>
      </c>
      <c r="L10" s="206">
        <f>VLOOKUP(8933,收盤價!A:C,3,0)</f>
        <v>10.55</v>
      </c>
      <c r="M10" s="206">
        <v>5618</v>
      </c>
      <c r="N10" s="206">
        <v>100</v>
      </c>
      <c r="O10" s="438">
        <v>9.9000000000000008E-3</v>
      </c>
      <c r="P10" s="438">
        <v>-0.54110000000000003</v>
      </c>
      <c r="Q10" s="438">
        <v>-6.364285235928363E-2</v>
      </c>
      <c r="R10" s="206">
        <f>VLOOKUP(89332,V:AE,9,0)</f>
        <v>12</v>
      </c>
      <c r="S10" s="206">
        <f>VLOOKUP(8933,季財報!A:N,5,0)</f>
        <v>1</v>
      </c>
      <c r="T10" s="206">
        <f>VLOOKUP(8933,季財報!A:N,4,0)</f>
        <v>0</v>
      </c>
      <c r="U10" s="441">
        <v>16666666.666666666</v>
      </c>
      <c r="V10" s="206">
        <v>54755</v>
      </c>
      <c r="W10" s="206" t="s">
        <v>2731</v>
      </c>
      <c r="X10" s="206" t="s">
        <v>2732</v>
      </c>
      <c r="Y10" s="206">
        <v>38</v>
      </c>
      <c r="Z10" s="206">
        <v>38</v>
      </c>
      <c r="AA10" s="206">
        <v>0</v>
      </c>
      <c r="AB10" s="206">
        <v>0</v>
      </c>
      <c r="AC10" s="206">
        <v>2000</v>
      </c>
      <c r="AD10" s="206">
        <v>4</v>
      </c>
      <c r="AE10" s="206">
        <v>0</v>
      </c>
    </row>
    <row r="11" spans="1:39">
      <c r="A11" s="382">
        <v>8450</v>
      </c>
      <c r="B11" s="386" t="s">
        <v>483</v>
      </c>
      <c r="C11" s="382">
        <v>84501</v>
      </c>
      <c r="D11" s="388">
        <v>42198</v>
      </c>
      <c r="E11" s="388">
        <v>43294</v>
      </c>
      <c r="F11" s="384">
        <v>600000000</v>
      </c>
      <c r="G11" s="414">
        <v>256300000</v>
      </c>
      <c r="H11" s="385">
        <v>0.43</v>
      </c>
      <c r="I11" s="436">
        <v>644</v>
      </c>
      <c r="J11" s="206">
        <v>122.1</v>
      </c>
      <c r="K11" s="206">
        <v>83.9</v>
      </c>
      <c r="L11" s="206">
        <f>VLOOKUP(8450,收盤價!A:C,3,0)</f>
        <v>97.3</v>
      </c>
      <c r="M11" s="206">
        <v>1192</v>
      </c>
      <c r="N11" s="206">
        <v>119.2</v>
      </c>
      <c r="O11" s="438">
        <v>2.3800000000000002E-2</v>
      </c>
      <c r="P11" s="438">
        <v>0.161</v>
      </c>
      <c r="Q11" s="438">
        <v>-1.9925355495825303E-2</v>
      </c>
      <c r="R11" s="206">
        <f>VLOOKUP(84501,V:AE,9,0)</f>
        <v>52</v>
      </c>
      <c r="S11" s="206">
        <f>VLOOKUP(8450,季財報!A:N,5,0)</f>
        <v>2</v>
      </c>
      <c r="T11" s="206">
        <f>VLOOKUP(8450,季財報!A:N,4,0)</f>
        <v>22.733644859813083</v>
      </c>
      <c r="U11" s="441">
        <v>4928846.153846154</v>
      </c>
      <c r="V11" s="206">
        <v>37021</v>
      </c>
      <c r="W11" s="206" t="s">
        <v>2633</v>
      </c>
      <c r="X11" s="206" t="s">
        <v>2634</v>
      </c>
      <c r="Y11" s="206">
        <v>48299</v>
      </c>
      <c r="Z11" s="206">
        <v>60000</v>
      </c>
      <c r="AA11" s="206">
        <v>-11701</v>
      </c>
      <c r="AB11" s="206">
        <v>-19.5</v>
      </c>
      <c r="AC11" s="206">
        <v>60000</v>
      </c>
      <c r="AD11" s="206">
        <v>171</v>
      </c>
      <c r="AE11" s="206">
        <v>0</v>
      </c>
    </row>
    <row r="12" spans="1:39" ht="16.149999999999999" customHeight="1">
      <c r="A12" s="382">
        <v>8437</v>
      </c>
      <c r="B12" s="386" t="s">
        <v>2140</v>
      </c>
      <c r="C12" s="382">
        <v>84372</v>
      </c>
      <c r="D12" s="388">
        <v>42443</v>
      </c>
      <c r="E12" s="388">
        <v>43538</v>
      </c>
      <c r="F12" s="384">
        <v>250000000</v>
      </c>
      <c r="G12" s="414">
        <v>223200000</v>
      </c>
      <c r="H12" s="385">
        <v>0.89</v>
      </c>
      <c r="I12" s="436">
        <v>888</v>
      </c>
      <c r="J12" s="206">
        <v>126</v>
      </c>
      <c r="K12" s="206">
        <v>155</v>
      </c>
      <c r="L12" s="206">
        <f>VLOOKUP(8437,收盤價!A:C,3,0)</f>
        <v>189</v>
      </c>
      <c r="M12" s="206">
        <v>645</v>
      </c>
      <c r="N12" s="206">
        <v>128.67750000000001</v>
      </c>
      <c r="O12" s="438">
        <v>-2.1299999999999999E-2</v>
      </c>
      <c r="P12" s="438">
        <v>0.22309999999999999</v>
      </c>
      <c r="Q12" s="438">
        <v>3.2945736434108482E-2</v>
      </c>
      <c r="R12" s="206">
        <f>VLOOKUP(84372,V:AE,9,0)</f>
        <v>30</v>
      </c>
      <c r="S12" s="206">
        <f>VLOOKUP(8437,季財報!A:N,5,0)</f>
        <v>2</v>
      </c>
      <c r="T12" s="206">
        <f>VLOOKUP(8437,季財報!A:N,4,0)</f>
        <v>23.411541824540951</v>
      </c>
      <c r="U12" s="441">
        <v>7440000</v>
      </c>
      <c r="V12" s="206">
        <v>17522</v>
      </c>
      <c r="W12" s="206" t="s">
        <v>2418</v>
      </c>
      <c r="X12" s="206" t="s">
        <v>2419</v>
      </c>
      <c r="Y12" s="206">
        <v>70</v>
      </c>
      <c r="Z12" s="206">
        <v>75</v>
      </c>
      <c r="AA12" s="206">
        <v>-5</v>
      </c>
      <c r="AB12" s="206">
        <v>-6.67</v>
      </c>
      <c r="AC12" s="206">
        <v>4000</v>
      </c>
      <c r="AD12" s="206">
        <v>5</v>
      </c>
      <c r="AE12" s="206">
        <v>0</v>
      </c>
    </row>
    <row r="13" spans="1:39">
      <c r="A13" s="382">
        <v>8437</v>
      </c>
      <c r="B13" s="386" t="s">
        <v>2140</v>
      </c>
      <c r="C13" s="382">
        <v>84371</v>
      </c>
      <c r="D13" s="388">
        <v>42440</v>
      </c>
      <c r="E13" s="388">
        <v>43535</v>
      </c>
      <c r="F13" s="384">
        <v>250000000</v>
      </c>
      <c r="G13" s="414">
        <v>234000000</v>
      </c>
      <c r="H13" s="385">
        <v>0.94</v>
      </c>
      <c r="I13" s="436">
        <v>885</v>
      </c>
      <c r="J13" s="206">
        <v>130</v>
      </c>
      <c r="K13" s="206">
        <v>150.80000000000001</v>
      </c>
      <c r="L13" s="206">
        <f>VLOOKUP(8437,收盤價!A:C,3,0)</f>
        <v>189</v>
      </c>
      <c r="M13" s="206">
        <v>663</v>
      </c>
      <c r="N13" s="206">
        <v>132.26849999999999</v>
      </c>
      <c r="O13" s="438">
        <v>-1.7399999999999999E-2</v>
      </c>
      <c r="P13" s="438">
        <v>0.24410000000000001</v>
      </c>
      <c r="Q13" s="438">
        <v>2.6319758672699742E-2</v>
      </c>
      <c r="R13" s="206">
        <f>VLOOKUP(84371,V:AE,9,0)</f>
        <v>41</v>
      </c>
      <c r="S13" s="206">
        <f>VLOOKUP(8437,季財報!A:N,5,0)</f>
        <v>2</v>
      </c>
      <c r="T13" s="206">
        <f>VLOOKUP(8437,季財報!A:N,4,0)</f>
        <v>23.411541824540951</v>
      </c>
      <c r="U13" s="441">
        <v>5707317.0731707318</v>
      </c>
      <c r="V13" s="206">
        <v>27072</v>
      </c>
      <c r="W13" s="206" t="s">
        <v>3125</v>
      </c>
      <c r="X13" s="206" t="s">
        <v>2512</v>
      </c>
      <c r="Y13" s="206">
        <v>15000</v>
      </c>
      <c r="Z13" s="206">
        <v>15000</v>
      </c>
      <c r="AA13" s="206">
        <v>0</v>
      </c>
      <c r="AB13" s="206">
        <v>0</v>
      </c>
      <c r="AC13" s="206">
        <v>15000</v>
      </c>
      <c r="AD13" s="206">
        <v>76</v>
      </c>
      <c r="AE13" s="206">
        <v>0</v>
      </c>
    </row>
    <row r="14" spans="1:39" ht="15.6" customHeight="1">
      <c r="A14" s="382">
        <v>8431</v>
      </c>
      <c r="B14" s="386" t="s">
        <v>479</v>
      </c>
      <c r="C14" s="382">
        <v>84311</v>
      </c>
      <c r="D14" s="388">
        <v>42293</v>
      </c>
      <c r="E14" s="388">
        <v>43389</v>
      </c>
      <c r="F14" s="384">
        <v>220000000</v>
      </c>
      <c r="G14" s="414">
        <v>83200000</v>
      </c>
      <c r="H14" s="385">
        <v>0.38</v>
      </c>
      <c r="I14" s="436">
        <v>739</v>
      </c>
      <c r="J14" s="206">
        <v>122</v>
      </c>
      <c r="K14" s="206">
        <v>67.5</v>
      </c>
      <c r="L14" s="206">
        <f>VLOOKUP(8431,收盤價!A:C,3,0)</f>
        <v>60.6</v>
      </c>
      <c r="M14" s="206">
        <v>1481</v>
      </c>
      <c r="N14" s="206">
        <v>118.48</v>
      </c>
      <c r="O14" s="438">
        <v>2.8899999999999999E-2</v>
      </c>
      <c r="P14" s="438">
        <v>0.15620000000000001</v>
      </c>
      <c r="Q14" s="438">
        <v>-1.948174140202124E-2</v>
      </c>
      <c r="R14" s="206">
        <f>VLOOKUP(84311,V:AE,9,0)</f>
        <v>11</v>
      </c>
      <c r="S14" s="206">
        <f>VLOOKUP(8431,季財報!A:N,5,0)</f>
        <v>3</v>
      </c>
      <c r="T14" s="206">
        <f>VLOOKUP(8431,季財報!A:N,4,0)</f>
        <v>0</v>
      </c>
      <c r="U14" s="441">
        <v>7563636.3636363633</v>
      </c>
      <c r="V14" s="206">
        <v>17071</v>
      </c>
      <c r="W14" s="206" t="s">
        <v>2402</v>
      </c>
      <c r="X14" s="206" t="s">
        <v>2403</v>
      </c>
      <c r="Y14" s="206">
        <v>4956</v>
      </c>
      <c r="Z14" s="206">
        <v>7006</v>
      </c>
      <c r="AA14" s="206">
        <v>-2050</v>
      </c>
      <c r="AB14" s="206">
        <v>-29.26</v>
      </c>
      <c r="AC14" s="206">
        <v>10000</v>
      </c>
      <c r="AD14" s="206">
        <v>59</v>
      </c>
      <c r="AE14" s="206">
        <v>0</v>
      </c>
    </row>
    <row r="15" spans="1:39" ht="16.149999999999999" customHeight="1">
      <c r="A15" s="382">
        <v>8429</v>
      </c>
      <c r="B15" s="386" t="s">
        <v>2311</v>
      </c>
      <c r="C15" s="382">
        <v>84291</v>
      </c>
      <c r="D15" s="388">
        <v>41694</v>
      </c>
      <c r="E15" s="388">
        <v>42790</v>
      </c>
      <c r="F15" s="384">
        <v>1200000000</v>
      </c>
      <c r="G15" s="414">
        <v>489500000</v>
      </c>
      <c r="H15" s="385">
        <v>0.41</v>
      </c>
      <c r="I15" s="436">
        <v>140</v>
      </c>
      <c r="J15" s="206">
        <v>101.8</v>
      </c>
      <c r="K15" s="206">
        <v>71</v>
      </c>
      <c r="L15" s="206">
        <f>VLOOKUP(8429,收盤價!A:C,3,0)</f>
        <v>39</v>
      </c>
      <c r="M15" s="206">
        <v>1408</v>
      </c>
      <c r="N15" s="206">
        <v>100</v>
      </c>
      <c r="O15" s="438">
        <v>1.77E-2</v>
      </c>
      <c r="P15" s="438">
        <v>-0.6986</v>
      </c>
      <c r="Q15" s="438">
        <v>-0.29961823539917842</v>
      </c>
      <c r="R15" s="206">
        <f>VLOOKUP(84291,V:AE,9,0)</f>
        <v>8</v>
      </c>
      <c r="S15" s="206">
        <f>VLOOKUP(8429,季財報!A:N,5,0)</f>
        <v>4</v>
      </c>
      <c r="T15" s="206">
        <f>VLOOKUP(8429,季財報!A:N,4,0)</f>
        <v>4.3608279592261283</v>
      </c>
      <c r="U15" s="441">
        <v>61187500</v>
      </c>
      <c r="V15" s="206">
        <v>17151</v>
      </c>
      <c r="W15" s="206" t="s">
        <v>2410</v>
      </c>
      <c r="X15" s="206" t="s">
        <v>2411</v>
      </c>
      <c r="Y15" s="206">
        <v>95</v>
      </c>
      <c r="Z15" s="206">
        <v>104</v>
      </c>
      <c r="AA15" s="206">
        <v>-9</v>
      </c>
      <c r="AB15" s="206">
        <v>-8.65</v>
      </c>
      <c r="AC15" s="206">
        <v>10000</v>
      </c>
      <c r="AD15" s="206">
        <v>6</v>
      </c>
      <c r="AE15" s="206">
        <v>0</v>
      </c>
    </row>
    <row r="16" spans="1:39">
      <c r="A16" s="382">
        <v>8421</v>
      </c>
      <c r="B16" s="386" t="s">
        <v>477</v>
      </c>
      <c r="C16" s="382">
        <v>84211</v>
      </c>
      <c r="D16" s="388">
        <v>41716</v>
      </c>
      <c r="E16" s="388">
        <v>42812</v>
      </c>
      <c r="F16" s="384">
        <v>150000000</v>
      </c>
      <c r="G16" s="414">
        <v>119300000</v>
      </c>
      <c r="H16" s="385">
        <v>0.8</v>
      </c>
      <c r="I16" s="436">
        <v>162</v>
      </c>
      <c r="J16" s="206">
        <v>149.5</v>
      </c>
      <c r="K16" s="206">
        <v>16.36</v>
      </c>
      <c r="L16" s="206">
        <f>VLOOKUP(8421,收盤價!A:C,3,0)</f>
        <v>19.899999999999999</v>
      </c>
      <c r="M16" s="206">
        <v>6112</v>
      </c>
      <c r="N16" s="206">
        <v>131.40799999999999</v>
      </c>
      <c r="O16" s="438">
        <v>0.121</v>
      </c>
      <c r="P16" s="438">
        <v>0.23910000000000001</v>
      </c>
      <c r="Q16" s="438">
        <v>-1.9799856414925845E-2</v>
      </c>
      <c r="R16" s="206">
        <f>VLOOKUP(84211,V:AE,9,0)</f>
        <v>7</v>
      </c>
      <c r="S16" s="206">
        <f>VLOOKUP(8421,季財報!A:N,5,0)</f>
        <v>4</v>
      </c>
      <c r="T16" s="206">
        <f>VLOOKUP(8421,季財報!A:N,4,0)</f>
        <v>11.106037544393708</v>
      </c>
      <c r="U16" s="441">
        <v>17042857.142857142</v>
      </c>
      <c r="V16" s="206">
        <v>49911</v>
      </c>
      <c r="W16" s="206" t="s">
        <v>2707</v>
      </c>
      <c r="X16" s="206" t="s">
        <v>2708</v>
      </c>
      <c r="Y16" s="206">
        <v>2235</v>
      </c>
      <c r="Z16" s="206">
        <v>2262</v>
      </c>
      <c r="AA16" s="206">
        <v>-27</v>
      </c>
      <c r="AB16" s="206">
        <v>-1.19</v>
      </c>
      <c r="AC16" s="206">
        <v>3000</v>
      </c>
      <c r="AD16" s="206">
        <v>14</v>
      </c>
      <c r="AE16" s="206">
        <v>0</v>
      </c>
    </row>
    <row r="17" spans="1:31">
      <c r="A17" s="382">
        <v>8406</v>
      </c>
      <c r="B17" s="386" t="s">
        <v>2136</v>
      </c>
      <c r="C17" s="382">
        <v>84061</v>
      </c>
      <c r="D17" s="388">
        <v>41472</v>
      </c>
      <c r="E17" s="388">
        <v>43298</v>
      </c>
      <c r="F17" s="384">
        <v>2000000000</v>
      </c>
      <c r="G17" s="414">
        <v>710500000</v>
      </c>
      <c r="H17" s="385">
        <v>0.36</v>
      </c>
      <c r="I17" s="436">
        <v>648</v>
      </c>
      <c r="J17" s="206">
        <v>101.3</v>
      </c>
      <c r="K17" s="206">
        <v>469.4</v>
      </c>
      <c r="L17" s="206">
        <f>VLOOKUP(8406,收盤價!A:C,3,0)</f>
        <v>304.5</v>
      </c>
      <c r="M17" s="206">
        <v>213</v>
      </c>
      <c r="N17" s="206">
        <v>100</v>
      </c>
      <c r="O17" s="438">
        <v>1.2800000000000001E-2</v>
      </c>
      <c r="P17" s="438">
        <v>-0.49969999999999998</v>
      </c>
      <c r="Q17" s="438">
        <v>-1.6050034991124766</v>
      </c>
      <c r="R17" s="206">
        <f>VLOOKUP(84061,V:AE,9,0)</f>
        <v>39</v>
      </c>
      <c r="S17" s="206">
        <f>VLOOKUP(8406,季財報!A:N,5,0)</f>
        <v>2</v>
      </c>
      <c r="T17" s="206">
        <f>VLOOKUP(8406,季財報!A:N,4,0)</f>
        <v>17.786214953271028</v>
      </c>
      <c r="U17" s="441">
        <v>18217948.717948716</v>
      </c>
      <c r="V17" s="206">
        <v>41371</v>
      </c>
      <c r="W17" s="206" t="s">
        <v>2649</v>
      </c>
      <c r="X17" s="206" t="s">
        <v>2650</v>
      </c>
      <c r="Y17" s="206">
        <v>9000</v>
      </c>
      <c r="Z17" s="206">
        <v>9000</v>
      </c>
      <c r="AA17" s="206">
        <v>0</v>
      </c>
      <c r="AB17" s="206">
        <v>0</v>
      </c>
      <c r="AC17" s="206">
        <v>9000</v>
      </c>
      <c r="AD17" s="206">
        <v>43</v>
      </c>
      <c r="AE17" s="206">
        <v>0</v>
      </c>
    </row>
    <row r="18" spans="1:31">
      <c r="A18" s="382">
        <v>8349</v>
      </c>
      <c r="B18" s="386" t="s">
        <v>2024</v>
      </c>
      <c r="C18" s="382">
        <v>83493</v>
      </c>
      <c r="D18" s="388">
        <v>42524</v>
      </c>
      <c r="E18" s="388">
        <v>44350</v>
      </c>
      <c r="F18" s="384">
        <v>1500000000</v>
      </c>
      <c r="G18" s="414">
        <v>1500000000</v>
      </c>
      <c r="H18" s="385">
        <v>1</v>
      </c>
      <c r="I18" s="436">
        <v>1700</v>
      </c>
      <c r="J18" s="206">
        <v>108.5</v>
      </c>
      <c r="K18" s="206">
        <v>72</v>
      </c>
      <c r="L18" s="206">
        <f>VLOOKUP(8349,收盤價!A:C,3,0)</f>
        <v>73.7</v>
      </c>
      <c r="M18" s="206">
        <v>1389</v>
      </c>
      <c r="N18" s="206">
        <v>104.8695</v>
      </c>
      <c r="O18" s="438">
        <v>3.3500000000000002E-2</v>
      </c>
      <c r="P18" s="438">
        <v>4.6399999999999997E-2</v>
      </c>
      <c r="Q18" s="438">
        <v>-2.4089870045419421E-2</v>
      </c>
      <c r="R18" s="206">
        <f>VLOOKUP(83493,V:AE,9,0)</f>
        <v>76</v>
      </c>
      <c r="S18" s="206">
        <f>VLOOKUP(8349,季財報!A:N,5,0)</f>
        <v>2</v>
      </c>
      <c r="T18" s="206">
        <f>VLOOKUP(8349,季財報!A:N,4,0)</f>
        <v>15.922839506172842</v>
      </c>
      <c r="U18" s="441">
        <v>19736842.105263159</v>
      </c>
      <c r="V18" s="206">
        <v>31492</v>
      </c>
      <c r="W18" s="206" t="s">
        <v>2552</v>
      </c>
      <c r="X18" s="206" t="s">
        <v>2551</v>
      </c>
      <c r="Y18" s="206">
        <v>5000</v>
      </c>
      <c r="Z18" s="206">
        <v>5000</v>
      </c>
      <c r="AA18" s="206">
        <v>0</v>
      </c>
      <c r="AB18" s="206">
        <v>0</v>
      </c>
      <c r="AC18" s="206">
        <v>5000</v>
      </c>
      <c r="AD18" s="206">
        <v>240</v>
      </c>
      <c r="AE18" s="206">
        <v>0</v>
      </c>
    </row>
    <row r="19" spans="1:31">
      <c r="A19" s="382">
        <v>8349</v>
      </c>
      <c r="B19" s="386" t="s">
        <v>2024</v>
      </c>
      <c r="C19" s="382">
        <v>83492</v>
      </c>
      <c r="D19" s="388">
        <v>42138</v>
      </c>
      <c r="E19" s="388">
        <v>43965</v>
      </c>
      <c r="F19" s="384">
        <v>1000000000</v>
      </c>
      <c r="G19" s="414">
        <v>1000000000</v>
      </c>
      <c r="H19" s="385">
        <v>1</v>
      </c>
      <c r="I19" s="436">
        <v>1315</v>
      </c>
      <c r="J19" s="206">
        <v>102.75</v>
      </c>
      <c r="K19" s="206">
        <v>98.4</v>
      </c>
      <c r="L19" s="206">
        <f>VLOOKUP(8349,收盤價!A:C,3,0)</f>
        <v>73.7</v>
      </c>
      <c r="M19" s="206">
        <v>1016</v>
      </c>
      <c r="N19" s="206">
        <v>100</v>
      </c>
      <c r="O19" s="438">
        <v>2.6800000000000001E-2</v>
      </c>
      <c r="P19" s="438">
        <v>-0.30330000000000001</v>
      </c>
      <c r="Q19" s="438">
        <v>-0.24945878115600512</v>
      </c>
      <c r="R19" s="206">
        <f>VLOOKUP(83492,V:AE,9,0)</f>
        <v>38</v>
      </c>
      <c r="S19" s="206">
        <f>VLOOKUP(8349,季財報!A:N,5,0)</f>
        <v>2</v>
      </c>
      <c r="T19" s="206">
        <f>VLOOKUP(8349,季財報!A:N,4,0)</f>
        <v>15.922839506172842</v>
      </c>
      <c r="U19" s="441">
        <v>26315789.47368421</v>
      </c>
      <c r="V19" s="206">
        <v>41531</v>
      </c>
      <c r="W19" s="206" t="s">
        <v>2655</v>
      </c>
      <c r="X19" s="206" t="s">
        <v>2656</v>
      </c>
      <c r="Y19" s="206">
        <v>1311</v>
      </c>
      <c r="Z19" s="206">
        <v>1328</v>
      </c>
      <c r="AA19" s="206">
        <v>-17</v>
      </c>
      <c r="AB19" s="206">
        <v>-1.28</v>
      </c>
      <c r="AC19" s="206">
        <v>2000</v>
      </c>
      <c r="AD19" s="206">
        <v>7</v>
      </c>
      <c r="AE19" s="206">
        <v>0</v>
      </c>
    </row>
    <row r="20" spans="1:31" ht="16.149999999999999" customHeight="1">
      <c r="A20" s="382">
        <v>8277</v>
      </c>
      <c r="B20" s="386" t="s">
        <v>2023</v>
      </c>
      <c r="C20" s="382">
        <v>82773</v>
      </c>
      <c r="D20" s="388">
        <v>41876</v>
      </c>
      <c r="E20" s="388">
        <v>42972</v>
      </c>
      <c r="F20" s="384">
        <v>300000000</v>
      </c>
      <c r="G20" s="414">
        <v>300000000</v>
      </c>
      <c r="H20" s="385">
        <v>1</v>
      </c>
      <c r="I20" s="436">
        <v>322</v>
      </c>
      <c r="J20" s="206">
        <v>100</v>
      </c>
      <c r="K20" s="206">
        <v>22.2</v>
      </c>
      <c r="L20" s="206">
        <f>VLOOKUP(8277,收盤價!A:C,3,0)</f>
        <v>11.5</v>
      </c>
      <c r="M20" s="206">
        <v>4504</v>
      </c>
      <c r="N20" s="206">
        <v>100</v>
      </c>
      <c r="O20" s="438">
        <v>0</v>
      </c>
      <c r="P20" s="438">
        <v>-0.72089999999999999</v>
      </c>
      <c r="Q20" s="438">
        <v>-9.3024866785079915E-2</v>
      </c>
      <c r="R20" s="206">
        <f>VLOOKUP(82773,V:AE,9,0)</f>
        <v>19</v>
      </c>
      <c r="S20" s="206">
        <f>VLOOKUP(8277,季財報!A:N,5,0)</f>
        <v>1</v>
      </c>
      <c r="T20" s="206">
        <f>VLOOKUP(8277,季財報!A:N,4,0)</f>
        <v>0</v>
      </c>
      <c r="U20" s="441">
        <v>15789473.684210526</v>
      </c>
      <c r="V20" s="206">
        <v>55291</v>
      </c>
      <c r="W20" s="206" t="s">
        <v>2743</v>
      </c>
      <c r="X20" s="206" t="s">
        <v>2744</v>
      </c>
      <c r="Y20" s="206">
        <v>4000</v>
      </c>
      <c r="Z20" s="206">
        <v>4000</v>
      </c>
      <c r="AA20" s="206">
        <v>0</v>
      </c>
      <c r="AB20" s="206">
        <v>0</v>
      </c>
      <c r="AC20" s="206">
        <v>4000</v>
      </c>
      <c r="AD20" s="206">
        <v>17</v>
      </c>
      <c r="AE20" s="206">
        <v>0</v>
      </c>
    </row>
    <row r="21" spans="1:31" ht="16.149999999999999" customHeight="1">
      <c r="A21" s="382">
        <v>8171</v>
      </c>
      <c r="B21" s="386" t="s">
        <v>1766</v>
      </c>
      <c r="C21" s="382">
        <v>81712</v>
      </c>
      <c r="D21" s="388">
        <v>41887</v>
      </c>
      <c r="E21" s="388">
        <v>42983</v>
      </c>
      <c r="F21" s="384">
        <v>160000000</v>
      </c>
      <c r="G21" s="414">
        <v>20500000</v>
      </c>
      <c r="H21" s="385">
        <v>0.13</v>
      </c>
      <c r="I21" s="436">
        <v>333</v>
      </c>
      <c r="J21" s="206">
        <v>100.1</v>
      </c>
      <c r="K21" s="206">
        <v>19.600000000000001</v>
      </c>
      <c r="L21" s="206">
        <f>VLOOKUP(8171,收盤價!A:C,3,0)</f>
        <v>9.35</v>
      </c>
      <c r="M21" s="206">
        <v>5102</v>
      </c>
      <c r="N21" s="206">
        <v>100</v>
      </c>
      <c r="O21" s="438">
        <v>1E-3</v>
      </c>
      <c r="P21" s="438">
        <v>-0.79820000000000002</v>
      </c>
      <c r="Q21" s="438">
        <v>-8.711045912143521E-2</v>
      </c>
      <c r="R21" s="206">
        <f>VLOOKUP(81712,V:AE,9,0)</f>
        <v>10</v>
      </c>
      <c r="S21" s="206">
        <f>VLOOKUP(8171,季財報!A:N,5,0)</f>
        <v>1</v>
      </c>
      <c r="T21" s="206">
        <f>VLOOKUP(8171,季財報!A:N,4,0)</f>
        <v>0</v>
      </c>
      <c r="U21" s="441">
        <v>2050000</v>
      </c>
      <c r="V21" s="206">
        <v>33393</v>
      </c>
      <c r="W21" s="206" t="s">
        <v>2585</v>
      </c>
      <c r="X21" s="206" t="s">
        <v>2584</v>
      </c>
      <c r="Y21" s="206">
        <v>2000</v>
      </c>
      <c r="Z21" s="206">
        <v>2000</v>
      </c>
      <c r="AA21" s="206">
        <v>0</v>
      </c>
      <c r="AB21" s="206">
        <v>0</v>
      </c>
      <c r="AC21" s="206">
        <v>2000</v>
      </c>
      <c r="AD21" s="206">
        <v>14</v>
      </c>
      <c r="AE21" s="206">
        <v>0</v>
      </c>
    </row>
    <row r="22" spans="1:31">
      <c r="A22" s="382">
        <v>8147</v>
      </c>
      <c r="B22" s="386" t="s">
        <v>1908</v>
      </c>
      <c r="C22" s="382">
        <v>81471</v>
      </c>
      <c r="D22" s="388">
        <v>42034</v>
      </c>
      <c r="E22" s="388">
        <v>43130</v>
      </c>
      <c r="F22" s="384">
        <v>200000000</v>
      </c>
      <c r="G22" s="414">
        <v>65200000</v>
      </c>
      <c r="H22" s="385">
        <v>0.33</v>
      </c>
      <c r="I22" s="436">
        <v>480</v>
      </c>
      <c r="J22" s="206">
        <v>150</v>
      </c>
      <c r="K22" s="206">
        <v>35.299999999999997</v>
      </c>
      <c r="L22" s="206">
        <f>VLOOKUP(8147,收盤價!A:C,3,0)</f>
        <v>37.200000000000003</v>
      </c>
      <c r="M22" s="206">
        <v>2833</v>
      </c>
      <c r="N22" s="206">
        <v>104.821</v>
      </c>
      <c r="O22" s="438">
        <v>0.30120000000000002</v>
      </c>
      <c r="P22" s="438">
        <v>4.5900000000000003E-2</v>
      </c>
      <c r="Q22" s="438">
        <v>-0.10631603718084483</v>
      </c>
      <c r="R22" s="206">
        <f>VLOOKUP(81471,V:AE,9,0)</f>
        <v>11</v>
      </c>
      <c r="S22" s="206">
        <f>VLOOKUP(8147,季財報!A:N,5,0)</f>
        <v>4</v>
      </c>
      <c r="T22" s="206">
        <f>VLOOKUP(8147,季財報!A:N,4,0)</f>
        <v>17.714285714285715</v>
      </c>
      <c r="U22" s="441">
        <v>5927272.7272727275</v>
      </c>
      <c r="V22" s="206">
        <v>26163</v>
      </c>
      <c r="W22" s="206" t="s">
        <v>2498</v>
      </c>
      <c r="X22" s="206" t="s">
        <v>2499</v>
      </c>
      <c r="Y22" s="206">
        <v>3981</v>
      </c>
      <c r="Z22" s="206">
        <v>4626</v>
      </c>
      <c r="AA22" s="206">
        <v>-645</v>
      </c>
      <c r="AB22" s="206">
        <v>-13.94</v>
      </c>
      <c r="AC22" s="206">
        <v>5000</v>
      </c>
      <c r="AD22" s="206">
        <v>56</v>
      </c>
      <c r="AE22" s="206">
        <v>0</v>
      </c>
    </row>
    <row r="23" spans="1:31">
      <c r="A23" s="382">
        <v>8114</v>
      </c>
      <c r="B23" s="386" t="s">
        <v>2022</v>
      </c>
      <c r="C23" s="382">
        <v>81141</v>
      </c>
      <c r="D23" s="388">
        <v>41848</v>
      </c>
      <c r="E23" s="388">
        <v>42944</v>
      </c>
      <c r="F23" s="384">
        <v>850000000</v>
      </c>
      <c r="G23" s="414">
        <v>850000000</v>
      </c>
      <c r="H23" s="385">
        <v>1</v>
      </c>
      <c r="I23" s="436">
        <v>294</v>
      </c>
      <c r="J23" s="206">
        <v>117</v>
      </c>
      <c r="K23" s="206">
        <v>166.88</v>
      </c>
      <c r="L23" s="206">
        <f>VLOOKUP(8114,收盤價!A:C,3,0)</f>
        <v>197</v>
      </c>
      <c r="M23" s="206">
        <v>599</v>
      </c>
      <c r="N23" s="206">
        <v>116.80500000000001</v>
      </c>
      <c r="O23" s="438">
        <v>1.6999999999999999E-3</v>
      </c>
      <c r="P23" s="438">
        <v>0.14419999999999999</v>
      </c>
      <c r="Q23" s="438">
        <v>-2.7824151363384404E-3</v>
      </c>
      <c r="R23" s="206">
        <f>VLOOKUP(81141,V:AE,9,0)</f>
        <v>59</v>
      </c>
      <c r="S23" s="206">
        <f>VLOOKUP(8114,季財報!A:N,5,0)</f>
        <v>3</v>
      </c>
      <c r="T23" s="206">
        <f>VLOOKUP(8114,季財報!A:N,4,0)</f>
        <v>20.291</v>
      </c>
      <c r="U23" s="441">
        <v>14406779.661016949</v>
      </c>
      <c r="V23" s="206">
        <v>62191</v>
      </c>
      <c r="W23" s="206" t="s">
        <v>2787</v>
      </c>
      <c r="X23" s="206" t="s">
        <v>2788</v>
      </c>
      <c r="Y23" s="206">
        <v>1315</v>
      </c>
      <c r="Z23" s="206">
        <v>1315</v>
      </c>
      <c r="AA23" s="206">
        <v>0</v>
      </c>
      <c r="AB23" s="206">
        <v>0</v>
      </c>
      <c r="AC23" s="206">
        <v>2000</v>
      </c>
      <c r="AD23" s="206">
        <v>9</v>
      </c>
      <c r="AE23" s="206">
        <v>0</v>
      </c>
    </row>
    <row r="24" spans="1:31" ht="15.6" customHeight="1">
      <c r="A24" s="382">
        <v>8112</v>
      </c>
      <c r="B24" s="386" t="s">
        <v>2144</v>
      </c>
      <c r="C24" s="382">
        <v>81128</v>
      </c>
      <c r="D24" s="388">
        <v>42521</v>
      </c>
      <c r="E24" s="388">
        <v>43616</v>
      </c>
      <c r="F24" s="384">
        <v>1000000000</v>
      </c>
      <c r="G24" s="414">
        <v>567100000</v>
      </c>
      <c r="H24" s="385">
        <v>0.56999999999999995</v>
      </c>
      <c r="I24" s="436">
        <v>966</v>
      </c>
      <c r="J24" s="206">
        <v>154</v>
      </c>
      <c r="K24" s="206">
        <v>13</v>
      </c>
      <c r="L24" s="206">
        <f>VLOOKUP(8112,收盤價!A:C,3,0)</f>
        <v>21.2</v>
      </c>
      <c r="M24" s="206">
        <v>7692</v>
      </c>
      <c r="N24" s="206">
        <v>153.84</v>
      </c>
      <c r="O24" s="438">
        <v>1E-3</v>
      </c>
      <c r="P24" s="438">
        <v>0.35</v>
      </c>
      <c r="Q24" s="438">
        <v>-1.3507033787844719E-4</v>
      </c>
      <c r="R24" s="206">
        <f>VLOOKUP(81128,V:AE,9,0)</f>
        <v>56</v>
      </c>
      <c r="S24" s="206">
        <f>VLOOKUP(8112,季財報!A:N,5,0)</f>
        <v>2</v>
      </c>
      <c r="T24" s="206">
        <f>VLOOKUP(8112,季財報!A:N,4,0)</f>
        <v>3.9683612002477058</v>
      </c>
      <c r="U24" s="441">
        <v>10126785.714285715</v>
      </c>
      <c r="V24" s="206">
        <v>33242</v>
      </c>
      <c r="W24" s="206" t="s">
        <v>2577</v>
      </c>
      <c r="X24" s="206" t="s">
        <v>2578</v>
      </c>
      <c r="Y24" s="206">
        <v>2571</v>
      </c>
      <c r="Z24" s="206">
        <v>3000</v>
      </c>
      <c r="AA24" s="206">
        <v>-429</v>
      </c>
      <c r="AB24" s="206">
        <v>-14.3</v>
      </c>
      <c r="AC24" s="206">
        <v>3000</v>
      </c>
      <c r="AD24" s="206">
        <v>13</v>
      </c>
      <c r="AE24" s="206">
        <v>0</v>
      </c>
    </row>
    <row r="25" spans="1:31">
      <c r="A25" s="382">
        <v>8110</v>
      </c>
      <c r="B25" s="386" t="s">
        <v>2021</v>
      </c>
      <c r="C25" s="382">
        <v>81101</v>
      </c>
      <c r="D25" s="388">
        <v>41957</v>
      </c>
      <c r="E25" s="388">
        <v>43053</v>
      </c>
      <c r="F25" s="384">
        <v>600000000</v>
      </c>
      <c r="G25" s="414">
        <v>600000000</v>
      </c>
      <c r="H25" s="385">
        <v>1</v>
      </c>
      <c r="I25" s="436">
        <v>403</v>
      </c>
      <c r="J25" s="206">
        <v>101.5</v>
      </c>
      <c r="K25" s="206">
        <v>14</v>
      </c>
      <c r="L25" s="206">
        <f>VLOOKUP(8110,收盤價!A:C,3,0)</f>
        <v>11.1</v>
      </c>
      <c r="M25" s="206">
        <v>7143</v>
      </c>
      <c r="N25" s="206">
        <v>100</v>
      </c>
      <c r="O25" s="438">
        <v>1.4800000000000001E-2</v>
      </c>
      <c r="P25" s="438">
        <v>-0.2389</v>
      </c>
      <c r="Q25" s="438">
        <v>-2.8667150794915133E-2</v>
      </c>
      <c r="R25" s="206">
        <f>VLOOKUP(81101,V:AE,9,0)</f>
        <v>61</v>
      </c>
      <c r="S25" s="206">
        <f>VLOOKUP(8110,季財報!A:N,5,0)</f>
        <v>1</v>
      </c>
      <c r="T25" s="206">
        <f>VLOOKUP(8110,季財報!A:N,4,0)</f>
        <v>14.605263157894736</v>
      </c>
      <c r="U25" s="441">
        <v>9836065.5737704914</v>
      </c>
      <c r="V25" s="206">
        <v>36632</v>
      </c>
      <c r="W25" s="206" t="s">
        <v>2625</v>
      </c>
      <c r="X25" s="206" t="s">
        <v>2624</v>
      </c>
      <c r="Y25" s="206">
        <v>150</v>
      </c>
      <c r="Z25" s="206">
        <v>150</v>
      </c>
      <c r="AA25" s="206">
        <v>0</v>
      </c>
      <c r="AB25" s="206">
        <v>0</v>
      </c>
      <c r="AC25" s="206">
        <v>1000</v>
      </c>
      <c r="AD25" s="206">
        <v>5</v>
      </c>
      <c r="AE25" s="206">
        <v>0</v>
      </c>
    </row>
    <row r="26" spans="1:31">
      <c r="A26" s="382">
        <v>8074</v>
      </c>
      <c r="B26" s="386" t="s">
        <v>2332</v>
      </c>
      <c r="C26" s="382">
        <v>80745</v>
      </c>
      <c r="D26" s="388">
        <v>42236</v>
      </c>
      <c r="E26" s="388">
        <v>44063</v>
      </c>
      <c r="F26" s="384">
        <v>450000000</v>
      </c>
      <c r="G26" s="414">
        <v>214100000</v>
      </c>
      <c r="H26" s="385">
        <v>0.48</v>
      </c>
      <c r="I26" s="436">
        <v>1413</v>
      </c>
      <c r="J26" s="206">
        <v>171</v>
      </c>
      <c r="K26" s="206">
        <v>19.2</v>
      </c>
      <c r="L26" s="206">
        <f>VLOOKUP(8074,收盤價!A:C,3,0)</f>
        <v>28.15</v>
      </c>
      <c r="M26" s="206">
        <v>5208</v>
      </c>
      <c r="N26" s="206">
        <v>163.27080000000001</v>
      </c>
      <c r="O26" s="438">
        <v>4.5199999999999997E-2</v>
      </c>
      <c r="P26" s="438">
        <v>0.3876</v>
      </c>
      <c r="Q26" s="438">
        <v>-8.6789554531489788E-3</v>
      </c>
      <c r="R26" s="206">
        <f>VLOOKUP(80745,V:AE,9,0)</f>
        <v>16</v>
      </c>
      <c r="S26" s="206">
        <f>VLOOKUP(8074,季財報!A:N,5,0)</f>
        <v>4</v>
      </c>
      <c r="T26" s="206">
        <f>VLOOKUP(8074,季財報!A:N,4,0)</f>
        <v>11.235486211901305</v>
      </c>
      <c r="U26" s="441">
        <v>13381250</v>
      </c>
      <c r="V26" s="206">
        <v>14642</v>
      </c>
      <c r="W26" s="206" t="s">
        <v>2373</v>
      </c>
      <c r="X26" s="206" t="s">
        <v>2372</v>
      </c>
      <c r="Y26" s="206">
        <v>110</v>
      </c>
      <c r="Z26" s="206">
        <v>206</v>
      </c>
      <c r="AA26" s="206">
        <v>-96</v>
      </c>
      <c r="AB26" s="206">
        <v>-46.6</v>
      </c>
      <c r="AC26" s="206">
        <v>2500</v>
      </c>
      <c r="AD26" s="206">
        <v>3</v>
      </c>
      <c r="AE26" s="206">
        <v>0</v>
      </c>
    </row>
    <row r="27" spans="1:31" ht="15.6" customHeight="1">
      <c r="A27" s="382">
        <v>8050</v>
      </c>
      <c r="B27" s="386" t="s">
        <v>1776</v>
      </c>
      <c r="C27" s="382">
        <v>80504</v>
      </c>
      <c r="D27" s="388">
        <v>42048</v>
      </c>
      <c r="E27" s="388">
        <v>43874</v>
      </c>
      <c r="F27" s="384">
        <v>150000000</v>
      </c>
      <c r="G27" s="414">
        <v>45000000</v>
      </c>
      <c r="H27" s="385">
        <v>0.3</v>
      </c>
      <c r="I27" s="436">
        <v>1224</v>
      </c>
      <c r="J27" s="206">
        <v>151</v>
      </c>
      <c r="K27" s="206">
        <v>47.55</v>
      </c>
      <c r="L27" s="206">
        <f>VLOOKUP(8050,收盤價!A:C,3,0)</f>
        <v>67.900000000000006</v>
      </c>
      <c r="M27" s="206">
        <v>2103</v>
      </c>
      <c r="N27" s="206">
        <v>151.20570000000001</v>
      </c>
      <c r="O27" s="438">
        <v>-1.4E-3</v>
      </c>
      <c r="P27" s="438">
        <v>0.3387</v>
      </c>
      <c r="Q27" s="438">
        <v>6.4776588474994064E-4</v>
      </c>
      <c r="R27" s="206">
        <f>VLOOKUP(80504,V:AE,9,0)</f>
        <v>46</v>
      </c>
      <c r="S27" s="206">
        <f>VLOOKUP(8050,季財報!A:N,5,0)</f>
        <v>5</v>
      </c>
      <c r="T27" s="206">
        <f>VLOOKUP(8050,季財報!A:N,4,0)</f>
        <v>9.6584068607240052</v>
      </c>
      <c r="U27" s="441">
        <v>978260.86956521741</v>
      </c>
      <c r="V27" s="206">
        <v>61776</v>
      </c>
      <c r="W27" s="206" t="s">
        <v>2778</v>
      </c>
      <c r="X27" s="206" t="s">
        <v>2777</v>
      </c>
      <c r="Y27" s="206">
        <v>4837</v>
      </c>
      <c r="Z27" s="206">
        <v>4847</v>
      </c>
      <c r="AA27" s="206">
        <v>-10</v>
      </c>
      <c r="AB27" s="206">
        <v>-0.21</v>
      </c>
      <c r="AC27" s="206">
        <v>5000</v>
      </c>
      <c r="AD27" s="206">
        <v>17</v>
      </c>
      <c r="AE27" s="206">
        <v>0</v>
      </c>
    </row>
    <row r="28" spans="1:31">
      <c r="A28" s="382">
        <v>8042</v>
      </c>
      <c r="B28" s="386" t="s">
        <v>1650</v>
      </c>
      <c r="C28" s="382">
        <v>80424</v>
      </c>
      <c r="D28" s="388">
        <v>42185</v>
      </c>
      <c r="E28" s="388">
        <v>43281</v>
      </c>
      <c r="F28" s="384">
        <v>500000000</v>
      </c>
      <c r="G28" s="414">
        <v>397500000</v>
      </c>
      <c r="H28" s="385">
        <v>0.8</v>
      </c>
      <c r="I28" s="436">
        <v>631</v>
      </c>
      <c r="J28" s="206">
        <v>143.55000000000001</v>
      </c>
      <c r="K28" s="206">
        <v>38.200000000000003</v>
      </c>
      <c r="L28" s="206">
        <f>VLOOKUP(8042,收盤價!A:C,3,0)</f>
        <v>52</v>
      </c>
      <c r="M28" s="206">
        <v>2618</v>
      </c>
      <c r="N28" s="206">
        <v>142.94280000000001</v>
      </c>
      <c r="O28" s="438">
        <v>4.1999999999999997E-3</v>
      </c>
      <c r="P28" s="438">
        <v>0.3004</v>
      </c>
      <c r="Q28" s="438">
        <v>-1.6156932992632731E-3</v>
      </c>
      <c r="R28" s="206">
        <f>VLOOKUP(80424,V:AE,9,0)</f>
        <v>39</v>
      </c>
      <c r="S28" s="206">
        <f>VLOOKUP(8042,季財報!A:N,5,0)</f>
        <v>1</v>
      </c>
      <c r="T28" s="206">
        <f>VLOOKUP(8042,季財報!A:N,4,0)</f>
        <v>12.5</v>
      </c>
      <c r="U28" s="441">
        <v>10192307.692307692</v>
      </c>
      <c r="V28" s="206">
        <v>32721</v>
      </c>
      <c r="W28" s="206" t="s">
        <v>2567</v>
      </c>
      <c r="X28" s="206" t="s">
        <v>2568</v>
      </c>
      <c r="Y28" s="206">
        <v>2622</v>
      </c>
      <c r="Z28" s="206">
        <v>2622</v>
      </c>
      <c r="AA28" s="206">
        <v>0</v>
      </c>
      <c r="AB28" s="206">
        <v>0</v>
      </c>
      <c r="AC28" s="206">
        <v>4000</v>
      </c>
      <c r="AD28" s="206">
        <v>42</v>
      </c>
      <c r="AE28" s="206">
        <v>0</v>
      </c>
    </row>
    <row r="29" spans="1:31">
      <c r="A29" s="382">
        <v>8038</v>
      </c>
      <c r="B29" s="386" t="s">
        <v>460</v>
      </c>
      <c r="C29" s="382">
        <v>80381</v>
      </c>
      <c r="D29" s="388">
        <v>41898</v>
      </c>
      <c r="E29" s="388">
        <v>42994</v>
      </c>
      <c r="F29" s="384">
        <v>400000000</v>
      </c>
      <c r="G29" s="414">
        <v>298400000</v>
      </c>
      <c r="H29" s="385">
        <v>0.75</v>
      </c>
      <c r="I29" s="436">
        <v>344</v>
      </c>
      <c r="J29" s="206">
        <v>109.95</v>
      </c>
      <c r="K29" s="206">
        <v>60.6</v>
      </c>
      <c r="L29" s="206">
        <f>VLOOKUP(8038,收盤價!A:C,3,0)</f>
        <v>48.2</v>
      </c>
      <c r="M29" s="206">
        <v>1650</v>
      </c>
      <c r="N29" s="206">
        <v>100</v>
      </c>
      <c r="O29" s="438">
        <v>9.0499999999999997E-2</v>
      </c>
      <c r="P29" s="438">
        <v>-3.2399999999999998E-2</v>
      </c>
      <c r="Q29" s="438">
        <v>-7.2181570135185419E-2</v>
      </c>
      <c r="R29" s="206">
        <f>VLOOKUP(80381,V:AE,9,0)</f>
        <v>35</v>
      </c>
      <c r="S29" s="206">
        <f>VLOOKUP(8038,季財報!A:N,5,0)</f>
        <v>5</v>
      </c>
      <c r="T29" s="206">
        <f>VLOOKUP(8038,季財報!A:N,4,0)</f>
        <v>0</v>
      </c>
      <c r="U29" s="441">
        <v>8525714.2857142854</v>
      </c>
      <c r="V29" s="206">
        <v>49561</v>
      </c>
      <c r="W29" s="206" t="s">
        <v>2701</v>
      </c>
      <c r="X29" s="206" t="s">
        <v>2702</v>
      </c>
      <c r="Y29" s="206">
        <v>8</v>
      </c>
      <c r="Z29" s="206">
        <v>9</v>
      </c>
      <c r="AA29" s="206">
        <v>-1</v>
      </c>
      <c r="AB29" s="206">
        <v>-11.11</v>
      </c>
      <c r="AC29" s="206">
        <v>5000</v>
      </c>
      <c r="AD29" s="206">
        <v>3</v>
      </c>
      <c r="AE29" s="206">
        <v>0</v>
      </c>
    </row>
    <row r="30" spans="1:31" ht="16.149999999999999" customHeight="1">
      <c r="A30" s="387">
        <v>8027</v>
      </c>
      <c r="B30" s="387" t="s">
        <v>1761</v>
      </c>
      <c r="C30" s="387">
        <v>80271</v>
      </c>
      <c r="D30" s="388">
        <v>42335</v>
      </c>
      <c r="E30" s="388">
        <v>43431</v>
      </c>
      <c r="F30" s="384">
        <v>300000000</v>
      </c>
      <c r="G30" s="414">
        <v>300000000</v>
      </c>
      <c r="H30" s="385">
        <v>1</v>
      </c>
      <c r="I30" s="436">
        <v>781</v>
      </c>
      <c r="J30" s="206">
        <v>111</v>
      </c>
      <c r="K30" s="206">
        <v>19.190000000000001</v>
      </c>
      <c r="L30" s="206">
        <f>VLOOKUP(8027,收盤價!A:C,3,0)</f>
        <v>15.7</v>
      </c>
      <c r="M30" s="206">
        <v>5211</v>
      </c>
      <c r="N30" s="206">
        <v>100</v>
      </c>
      <c r="O30" s="438">
        <v>9.9099999999999994E-2</v>
      </c>
      <c r="P30" s="438">
        <v>-6.9099999999999995E-2</v>
      </c>
      <c r="Q30" s="438">
        <v>-3.0190034594179672E-2</v>
      </c>
      <c r="R30" s="206">
        <f>VLOOKUP(80271,V:AE,9,0)</f>
        <v>12</v>
      </c>
      <c r="S30" s="206">
        <f>VLOOKUP(8027,季財報!A:N,5,0)</f>
        <v>1</v>
      </c>
      <c r="T30" s="206">
        <f>VLOOKUP(8027,季財報!A:N,4,0)</f>
        <v>0</v>
      </c>
      <c r="U30" s="441">
        <v>25000000</v>
      </c>
      <c r="V30" s="206">
        <v>12581</v>
      </c>
      <c r="W30" s="206" t="s">
        <v>2361</v>
      </c>
      <c r="X30" s="206" t="s">
        <v>2362</v>
      </c>
      <c r="Y30" s="206">
        <v>1743</v>
      </c>
      <c r="Z30" s="206">
        <v>1932</v>
      </c>
      <c r="AA30" s="206">
        <v>-189</v>
      </c>
      <c r="AB30" s="206">
        <v>-9.7799999999999994</v>
      </c>
      <c r="AC30" s="206">
        <v>2500</v>
      </c>
      <c r="AD30" s="206">
        <v>54</v>
      </c>
      <c r="AE30" s="206">
        <v>0</v>
      </c>
    </row>
    <row r="31" spans="1:31" ht="15.6" customHeight="1">
      <c r="A31" s="383">
        <v>8011</v>
      </c>
      <c r="B31" s="383" t="s">
        <v>3118</v>
      </c>
      <c r="C31" s="383">
        <v>80113</v>
      </c>
      <c r="D31" s="388">
        <v>42543</v>
      </c>
      <c r="E31" s="388">
        <v>43638</v>
      </c>
      <c r="F31" s="384">
        <v>150000000</v>
      </c>
      <c r="G31" s="414">
        <v>150000000</v>
      </c>
      <c r="H31" s="385">
        <v>1</v>
      </c>
      <c r="I31" s="436">
        <v>988</v>
      </c>
      <c r="J31" s="206">
        <v>113.6</v>
      </c>
      <c r="K31" s="206">
        <v>17.8</v>
      </c>
      <c r="L31" s="206">
        <f>VLOOKUP(8011,收盤價!A:C,3,0)</f>
        <v>18.149999999999999</v>
      </c>
      <c r="M31" s="206">
        <v>5618</v>
      </c>
      <c r="N31" s="206">
        <v>110.9555</v>
      </c>
      <c r="O31" s="438">
        <v>2.3300000000000001E-2</v>
      </c>
      <c r="P31" s="438">
        <v>9.8699999999999996E-2</v>
      </c>
      <c r="Q31" s="438">
        <v>-4.1436542000311003E-3</v>
      </c>
      <c r="R31" s="206">
        <f>VLOOKUP(80113,V:AE,9,0)</f>
        <v>21</v>
      </c>
      <c r="S31" s="206">
        <f>VLOOKUP(8011,季財報!A:N,5,0)</f>
        <v>2</v>
      </c>
      <c r="T31" s="206">
        <f>VLOOKUP(8011,季財報!A:N,4,0)</f>
        <v>226.87499999999997</v>
      </c>
      <c r="U31" s="441">
        <v>7142857.1428571427</v>
      </c>
      <c r="V31" s="206">
        <v>22312</v>
      </c>
      <c r="W31" s="206" t="s">
        <v>3119</v>
      </c>
      <c r="X31" s="206" t="s">
        <v>3120</v>
      </c>
      <c r="Y31" s="206">
        <v>7000</v>
      </c>
      <c r="Z31" s="206">
        <v>7000</v>
      </c>
      <c r="AA31" s="206">
        <v>0</v>
      </c>
      <c r="AB31" s="206">
        <v>0</v>
      </c>
      <c r="AC31" s="206">
        <v>7000</v>
      </c>
      <c r="AD31" s="206">
        <v>79</v>
      </c>
      <c r="AE31" s="206">
        <v>0</v>
      </c>
    </row>
    <row r="32" spans="1:31" ht="15.6" customHeight="1">
      <c r="A32" s="383">
        <v>8011</v>
      </c>
      <c r="B32" s="383" t="s">
        <v>3118</v>
      </c>
      <c r="C32" s="383">
        <v>80112</v>
      </c>
      <c r="D32" s="388">
        <v>42542</v>
      </c>
      <c r="E32" s="388">
        <v>43637</v>
      </c>
      <c r="F32" s="384">
        <v>150000000</v>
      </c>
      <c r="G32" s="414">
        <v>150000000</v>
      </c>
      <c r="H32" s="385">
        <v>1</v>
      </c>
      <c r="I32" s="436">
        <v>987</v>
      </c>
      <c r="J32" s="206">
        <v>115.5</v>
      </c>
      <c r="K32" s="206">
        <v>18</v>
      </c>
      <c r="L32" s="206">
        <f>VLOOKUP(8011,收盤價!A:C,3,0)</f>
        <v>18.149999999999999</v>
      </c>
      <c r="M32" s="206">
        <v>5556</v>
      </c>
      <c r="N32" s="206">
        <v>109.73099999999999</v>
      </c>
      <c r="O32" s="438">
        <v>4.99E-2</v>
      </c>
      <c r="P32" s="438">
        <v>8.8599999999999998E-2</v>
      </c>
      <c r="Q32" s="438">
        <v>-8.9899301562368621E-3</v>
      </c>
      <c r="R32" s="206">
        <f>VLOOKUP(80112,V:AE,9,0)</f>
        <v>30</v>
      </c>
      <c r="S32" s="206">
        <f>VLOOKUP(8011,季財報!A:N,5,0)</f>
        <v>2</v>
      </c>
      <c r="T32" s="206">
        <f>VLOOKUP(8011,季財報!A:N,4,0)</f>
        <v>226.87499999999997</v>
      </c>
      <c r="U32" s="441">
        <v>5000000</v>
      </c>
      <c r="V32" s="206">
        <v>36626</v>
      </c>
      <c r="W32" s="206" t="s">
        <v>2622</v>
      </c>
      <c r="X32" s="206" t="s">
        <v>2620</v>
      </c>
      <c r="Y32" s="206">
        <v>1029</v>
      </c>
      <c r="Z32" s="206">
        <v>1029</v>
      </c>
      <c r="AA32" s="206">
        <v>0</v>
      </c>
      <c r="AB32" s="206">
        <v>0</v>
      </c>
      <c r="AC32" s="206">
        <v>10000</v>
      </c>
      <c r="AD32" s="206">
        <v>18</v>
      </c>
      <c r="AE32" s="206">
        <v>0</v>
      </c>
    </row>
    <row r="33" spans="1:31" ht="16.149999999999999" customHeight="1">
      <c r="A33" s="383">
        <v>6702</v>
      </c>
      <c r="B33" s="383" t="s">
        <v>2310</v>
      </c>
      <c r="C33" s="383">
        <v>67021</v>
      </c>
      <c r="D33" s="388">
        <v>41921</v>
      </c>
      <c r="E33" s="388">
        <v>43747</v>
      </c>
      <c r="F33" s="384">
        <v>1000000000</v>
      </c>
      <c r="G33" s="414">
        <v>180400000</v>
      </c>
      <c r="H33" s="385">
        <v>0.18</v>
      </c>
      <c r="I33" s="436">
        <v>1097</v>
      </c>
      <c r="J33" s="206">
        <v>96.1</v>
      </c>
      <c r="K33" s="206">
        <v>11.1</v>
      </c>
      <c r="L33" s="206">
        <f>VLOOKUP(6702,收盤價!A:C,3,0)</f>
        <v>6.17</v>
      </c>
      <c r="M33" s="206">
        <v>9009</v>
      </c>
      <c r="N33" s="206">
        <v>100</v>
      </c>
      <c r="O33" s="438">
        <v>-4.0599999999999997E-2</v>
      </c>
      <c r="P33" s="438">
        <v>-0.77880000000000005</v>
      </c>
      <c r="Q33" s="438">
        <v>-4.6067748877322234E-2</v>
      </c>
      <c r="R33" s="206">
        <f>VLOOKUP(67021,V:AE,9,0)</f>
        <v>111</v>
      </c>
      <c r="S33" s="206">
        <f>VLOOKUP(6702,季財報!A:N,5,0)</f>
        <v>1</v>
      </c>
      <c r="T33" s="206">
        <f>VLOOKUP(6702,季財報!A:N,4,0)</f>
        <v>0</v>
      </c>
      <c r="U33" s="441">
        <v>1625225.2252252253</v>
      </c>
      <c r="V33" s="206">
        <v>41233</v>
      </c>
      <c r="W33" s="206" t="s">
        <v>2645</v>
      </c>
      <c r="X33" s="206" t="s">
        <v>2646</v>
      </c>
      <c r="Y33" s="206">
        <v>23150</v>
      </c>
      <c r="Z33" s="206">
        <v>23150</v>
      </c>
      <c r="AA33" s="206">
        <v>0</v>
      </c>
      <c r="AB33" s="206">
        <v>0</v>
      </c>
      <c r="AC33" s="206">
        <v>34000</v>
      </c>
      <c r="AD33" s="206">
        <v>196</v>
      </c>
      <c r="AE33" s="206">
        <v>0</v>
      </c>
    </row>
    <row r="34" spans="1:31" ht="16.149999999999999" customHeight="1">
      <c r="A34" s="383">
        <v>6603</v>
      </c>
      <c r="B34" s="383" t="s">
        <v>457</v>
      </c>
      <c r="C34" s="383">
        <v>66032</v>
      </c>
      <c r="D34" s="388">
        <v>42157</v>
      </c>
      <c r="E34" s="388">
        <v>43984</v>
      </c>
      <c r="F34" s="384">
        <v>300000000</v>
      </c>
      <c r="G34" s="414">
        <v>300000000</v>
      </c>
      <c r="H34" s="385">
        <v>1</v>
      </c>
      <c r="I34" s="436">
        <v>1334</v>
      </c>
      <c r="J34" s="206">
        <v>108.35</v>
      </c>
      <c r="K34" s="206">
        <v>11.49</v>
      </c>
      <c r="L34" s="206">
        <f>VLOOKUP(6603,收盤價!A:C,3,0)</f>
        <v>10.55</v>
      </c>
      <c r="M34" s="206">
        <v>8703</v>
      </c>
      <c r="N34" s="206">
        <v>100</v>
      </c>
      <c r="O34" s="438">
        <v>7.7100000000000002E-2</v>
      </c>
      <c r="P34" s="438">
        <v>-4.9299999999999997E-2</v>
      </c>
      <c r="Q34" s="438">
        <v>-1.3841531870497905E-2</v>
      </c>
      <c r="R34" s="206">
        <f>VLOOKUP(66032,V:AE,9,0)</f>
        <v>19</v>
      </c>
      <c r="S34" s="206">
        <f>VLOOKUP(6603,季財報!A:N,5,0)</f>
        <v>4</v>
      </c>
      <c r="T34" s="206">
        <f>VLOOKUP(6603,季財報!A:N,4,0)</f>
        <v>20.067934782608699</v>
      </c>
      <c r="U34" s="441">
        <v>15789473.684210526</v>
      </c>
      <c r="V34" s="206">
        <v>55226</v>
      </c>
      <c r="W34" s="206" t="s">
        <v>2741</v>
      </c>
      <c r="X34" s="206" t="s">
        <v>2742</v>
      </c>
      <c r="Y34" s="206">
        <v>9</v>
      </c>
      <c r="Z34" s="206">
        <v>9</v>
      </c>
      <c r="AA34" s="206">
        <v>0</v>
      </c>
      <c r="AB34" s="206">
        <v>0</v>
      </c>
      <c r="AC34" s="206">
        <v>12000</v>
      </c>
      <c r="AD34" s="206">
        <v>4</v>
      </c>
      <c r="AE34" s="206">
        <v>0</v>
      </c>
    </row>
    <row r="35" spans="1:31" ht="16.5">
      <c r="A35" s="383">
        <v>6509</v>
      </c>
      <c r="B35" s="383" t="s">
        <v>456</v>
      </c>
      <c r="C35" s="383">
        <v>65094</v>
      </c>
      <c r="D35" s="388">
        <v>41942</v>
      </c>
      <c r="E35" s="388">
        <v>43038</v>
      </c>
      <c r="F35" s="384">
        <v>300000000</v>
      </c>
      <c r="G35" s="414">
        <v>300000000</v>
      </c>
      <c r="H35" s="385">
        <v>1</v>
      </c>
      <c r="I35" s="436">
        <v>388</v>
      </c>
      <c r="J35" s="206">
        <v>106.8</v>
      </c>
      <c r="K35" s="206">
        <v>19.3</v>
      </c>
      <c r="L35" s="206">
        <f>VLOOKUP(6509,收盤價!A:C,3,0)</f>
        <v>17.899999999999999</v>
      </c>
      <c r="M35" s="206">
        <v>5181</v>
      </c>
      <c r="N35" s="206">
        <v>100</v>
      </c>
      <c r="O35" s="438">
        <v>6.3700000000000007E-2</v>
      </c>
      <c r="P35" s="438">
        <v>-2.93E-2</v>
      </c>
      <c r="Q35" s="438">
        <v>-1.7451134113626077E-2</v>
      </c>
      <c r="R35" s="206">
        <f>VLOOKUP(65094,V:AE,9,0)</f>
        <v>35</v>
      </c>
      <c r="S35" s="206">
        <f>VLOOKUP(6509,季財報!A:N,5,0)</f>
        <v>1</v>
      </c>
      <c r="T35" s="206">
        <f>VLOOKUP(6509,季財報!A:N,4,0)</f>
        <v>20.883333333333329</v>
      </c>
      <c r="U35" s="441">
        <v>8571428.5714285709</v>
      </c>
      <c r="V35" s="206">
        <v>47451</v>
      </c>
      <c r="W35" s="206" t="s">
        <v>2689</v>
      </c>
      <c r="X35" s="206" t="s">
        <v>2690</v>
      </c>
      <c r="Y35" s="206">
        <v>37</v>
      </c>
      <c r="Z35" s="206">
        <v>37</v>
      </c>
      <c r="AA35" s="206">
        <v>0</v>
      </c>
      <c r="AB35" s="206">
        <v>0</v>
      </c>
      <c r="AC35" s="206">
        <v>4000</v>
      </c>
      <c r="AD35" s="206">
        <v>7</v>
      </c>
      <c r="AE35" s="206">
        <v>0</v>
      </c>
    </row>
    <row r="36" spans="1:31" ht="16.149999999999999" customHeight="1">
      <c r="A36" s="382">
        <v>6432</v>
      </c>
      <c r="B36" s="386" t="s">
        <v>1839</v>
      </c>
      <c r="C36" s="382">
        <v>64321</v>
      </c>
      <c r="D36" s="388">
        <v>42440</v>
      </c>
      <c r="E36" s="388">
        <v>43535</v>
      </c>
      <c r="F36" s="384">
        <v>180000000</v>
      </c>
      <c r="G36" s="414">
        <v>180000000</v>
      </c>
      <c r="H36" s="385">
        <v>1</v>
      </c>
      <c r="I36" s="436">
        <v>885</v>
      </c>
      <c r="J36" s="206">
        <v>110</v>
      </c>
      <c r="K36" s="206">
        <v>33</v>
      </c>
      <c r="L36" s="206">
        <f>VLOOKUP(6432,收盤價!A:C,3,0)</f>
        <v>26.45</v>
      </c>
      <c r="M36" s="206">
        <v>3030</v>
      </c>
      <c r="N36" s="206">
        <v>100</v>
      </c>
      <c r="O36" s="438">
        <v>9.0899999999999995E-2</v>
      </c>
      <c r="P36" s="438">
        <v>-0.17019999999999999</v>
      </c>
      <c r="Q36" s="438">
        <v>-7.3669366936693695E-2</v>
      </c>
      <c r="R36" s="206">
        <f>VLOOKUP(64321,V:AE,9,0)</f>
        <v>13</v>
      </c>
      <c r="S36" s="206">
        <f>VLOOKUP(6432,季財報!A:N,5,0)</f>
        <v>2</v>
      </c>
      <c r="T36" s="206">
        <f>VLOOKUP(6432,季財報!A:N,4,0)</f>
        <v>10.686868686868687</v>
      </c>
      <c r="U36" s="441">
        <v>13846153.846153846</v>
      </c>
      <c r="V36" s="206">
        <v>62641</v>
      </c>
      <c r="W36" s="206" t="s">
        <v>2800</v>
      </c>
      <c r="X36" s="206" t="s">
        <v>2801</v>
      </c>
      <c r="Y36" s="206">
        <v>58</v>
      </c>
      <c r="Z36" s="206">
        <v>58</v>
      </c>
      <c r="AA36" s="206">
        <v>0</v>
      </c>
      <c r="AB36" s="206">
        <v>0</v>
      </c>
      <c r="AC36" s="206">
        <v>5000</v>
      </c>
      <c r="AD36" s="206">
        <v>4</v>
      </c>
      <c r="AE36" s="206">
        <v>0</v>
      </c>
    </row>
    <row r="37" spans="1:31" ht="15.6" customHeight="1">
      <c r="A37" s="383">
        <v>6414</v>
      </c>
      <c r="B37" s="383" t="s">
        <v>2020</v>
      </c>
      <c r="C37" s="383">
        <v>64142</v>
      </c>
      <c r="D37" s="388">
        <v>42503</v>
      </c>
      <c r="E37" s="388">
        <v>44329</v>
      </c>
      <c r="F37" s="384">
        <v>1800000000</v>
      </c>
      <c r="G37" s="414">
        <v>1617200000</v>
      </c>
      <c r="H37" s="385">
        <v>0.9</v>
      </c>
      <c r="I37" s="436">
        <v>1679</v>
      </c>
      <c r="J37" s="206">
        <v>123</v>
      </c>
      <c r="K37" s="206">
        <v>423.5</v>
      </c>
      <c r="L37" s="206">
        <f>VLOOKUP(6414,收盤價!A:C,3,0)</f>
        <v>500</v>
      </c>
      <c r="M37" s="206">
        <v>236</v>
      </c>
      <c r="N37" s="206">
        <v>123.664</v>
      </c>
      <c r="O37" s="438">
        <v>-5.4000000000000003E-3</v>
      </c>
      <c r="P37" s="438">
        <v>0.1918</v>
      </c>
      <c r="Q37" s="438">
        <v>2.2874466032796251E-2</v>
      </c>
      <c r="R37" s="206">
        <f>VLOOKUP(64142,V:AE,9,0)</f>
        <v>112</v>
      </c>
      <c r="S37" s="206">
        <f>VLOOKUP(6414,季財報!A:N,5,0)</f>
        <v>3</v>
      </c>
      <c r="T37" s="206">
        <f>VLOOKUP(6414,季財報!A:N,4,0)</f>
        <v>36.505492625585006</v>
      </c>
      <c r="U37" s="441">
        <v>14439285.714285715</v>
      </c>
      <c r="V37" s="206">
        <v>61842</v>
      </c>
      <c r="W37" s="206" t="s">
        <v>2783</v>
      </c>
      <c r="X37" s="206" t="s">
        <v>2784</v>
      </c>
      <c r="Y37" s="206">
        <v>20000</v>
      </c>
      <c r="Z37" s="206">
        <v>20000</v>
      </c>
      <c r="AA37" s="206">
        <v>0</v>
      </c>
      <c r="AB37" s="206">
        <v>0</v>
      </c>
      <c r="AC37" s="206">
        <v>20000</v>
      </c>
      <c r="AD37" s="206">
        <v>50</v>
      </c>
      <c r="AE37" s="206">
        <v>0</v>
      </c>
    </row>
    <row r="38" spans="1:31" ht="15.6" customHeight="1">
      <c r="A38" s="383">
        <v>6290</v>
      </c>
      <c r="B38" s="383" t="s">
        <v>3173</v>
      </c>
      <c r="C38" s="383">
        <v>62908</v>
      </c>
      <c r="D38" s="388">
        <v>42559</v>
      </c>
      <c r="E38" s="388">
        <v>44385</v>
      </c>
      <c r="F38" s="384">
        <v>300000000</v>
      </c>
      <c r="G38" s="414">
        <v>300000000</v>
      </c>
      <c r="H38" s="385">
        <v>1</v>
      </c>
      <c r="I38" s="436">
        <v>1735</v>
      </c>
      <c r="J38" s="206">
        <v>114.8</v>
      </c>
      <c r="K38" s="206">
        <v>30</v>
      </c>
      <c r="L38" s="206">
        <f>VLOOKUP(6290,收盤價!A:C,3,0)</f>
        <v>28.6</v>
      </c>
      <c r="M38" s="206">
        <v>3333</v>
      </c>
      <c r="N38" s="206">
        <v>100</v>
      </c>
      <c r="O38" s="438">
        <v>0.12889999999999999</v>
      </c>
      <c r="P38" s="438">
        <v>0</v>
      </c>
      <c r="Q38" s="438">
        <v>-3.8705961188453368E-2</v>
      </c>
      <c r="R38" s="206">
        <f>VLOOKUP(62908,V:AE,9,0)</f>
        <v>27</v>
      </c>
      <c r="S38" s="206">
        <f>VLOOKUP(6290,季財報!A:N,5,0)</f>
        <v>3</v>
      </c>
      <c r="T38" s="206">
        <f>VLOOKUP(6290,季財報!A:N,4,0)</f>
        <v>21.666666666666668</v>
      </c>
      <c r="U38" s="441">
        <v>11111111.111111112</v>
      </c>
      <c r="V38" s="206">
        <v>27261</v>
      </c>
      <c r="W38" s="206" t="s">
        <v>2513</v>
      </c>
      <c r="X38" s="206" t="s">
        <v>2514</v>
      </c>
      <c r="Y38" s="206">
        <v>1995</v>
      </c>
      <c r="Z38" s="206">
        <v>1995</v>
      </c>
      <c r="AA38" s="206">
        <v>0</v>
      </c>
      <c r="AB38" s="206">
        <v>0</v>
      </c>
      <c r="AC38" s="206">
        <v>2000</v>
      </c>
      <c r="AD38" s="206">
        <v>7</v>
      </c>
      <c r="AE38" s="206">
        <v>0</v>
      </c>
    </row>
    <row r="39" spans="1:31" ht="16.5">
      <c r="A39" s="383">
        <v>6290</v>
      </c>
      <c r="B39" s="383" t="s">
        <v>3173</v>
      </c>
      <c r="C39" s="383">
        <v>62907</v>
      </c>
      <c r="D39" s="388">
        <v>42558</v>
      </c>
      <c r="E39" s="388">
        <v>44384</v>
      </c>
      <c r="F39" s="384">
        <v>200000000</v>
      </c>
      <c r="G39" s="414">
        <v>200000000</v>
      </c>
      <c r="H39" s="385">
        <v>1</v>
      </c>
      <c r="I39" s="436">
        <v>1734</v>
      </c>
      <c r="J39" s="206">
        <v>113</v>
      </c>
      <c r="K39" s="206">
        <v>30</v>
      </c>
      <c r="L39" s="206">
        <f>VLOOKUP(6290,收盤價!A:C,3,0)</f>
        <v>28.6</v>
      </c>
      <c r="M39" s="206">
        <v>3333</v>
      </c>
      <c r="N39" s="206">
        <v>100</v>
      </c>
      <c r="O39" s="438">
        <v>0.115</v>
      </c>
      <c r="P39" s="438">
        <v>0</v>
      </c>
      <c r="Q39" s="438">
        <v>-3.4543277336583231E-2</v>
      </c>
      <c r="R39" s="206">
        <f>VLOOKUP(62907,V:AE,9,0)</f>
        <v>10</v>
      </c>
      <c r="S39" s="206">
        <f>VLOOKUP(6290,季財報!A:N,5,0)</f>
        <v>3</v>
      </c>
      <c r="T39" s="206">
        <f>VLOOKUP(6290,季財報!A:N,4,0)</f>
        <v>21.666666666666668</v>
      </c>
      <c r="U39" s="441">
        <v>20000000</v>
      </c>
      <c r="V39" s="206">
        <v>26363</v>
      </c>
      <c r="W39" s="206" t="s">
        <v>2502</v>
      </c>
      <c r="X39" s="206" t="s">
        <v>2503</v>
      </c>
      <c r="Y39" s="206">
        <v>2995</v>
      </c>
      <c r="Z39" s="206">
        <v>2995</v>
      </c>
      <c r="AA39" s="206">
        <v>0</v>
      </c>
      <c r="AB39" s="206">
        <v>0</v>
      </c>
      <c r="AC39" s="206">
        <v>3000</v>
      </c>
      <c r="AD39" s="206">
        <v>30</v>
      </c>
      <c r="AE39" s="206">
        <v>0</v>
      </c>
    </row>
    <row r="40" spans="1:31">
      <c r="A40" s="382">
        <v>6287</v>
      </c>
      <c r="B40" s="386" t="s">
        <v>2019</v>
      </c>
      <c r="C40" s="382">
        <v>62874</v>
      </c>
      <c r="D40" s="388">
        <v>42044</v>
      </c>
      <c r="E40" s="388">
        <v>43140</v>
      </c>
      <c r="F40" s="384">
        <v>250000000</v>
      </c>
      <c r="G40" s="414">
        <v>250000000</v>
      </c>
      <c r="H40" s="385">
        <v>1</v>
      </c>
      <c r="I40" s="436">
        <v>490</v>
      </c>
      <c r="J40" s="206">
        <v>100</v>
      </c>
      <c r="K40" s="206">
        <v>5.8</v>
      </c>
      <c r="L40" s="206">
        <f>VLOOKUP(6287,收盤價!A:C,3,0)</f>
        <v>2.95</v>
      </c>
      <c r="M40" s="206">
        <v>17241</v>
      </c>
      <c r="N40" s="206">
        <v>100</v>
      </c>
      <c r="O40" s="438">
        <v>0</v>
      </c>
      <c r="P40" s="438">
        <v>-1.0208999999999999</v>
      </c>
      <c r="Q40" s="438">
        <v>-2.9301276028072615E-2</v>
      </c>
      <c r="R40" s="206">
        <f>VLOOKUP(62874,V:AE,9,0)</f>
        <v>8</v>
      </c>
      <c r="S40" s="206">
        <f>VLOOKUP(6287,季財報!A:N,5,0)</f>
        <v>3</v>
      </c>
      <c r="T40" s="206">
        <f>VLOOKUP(6287,季財報!A:N,4,0)</f>
        <v>0</v>
      </c>
      <c r="U40" s="441">
        <v>31250000</v>
      </c>
      <c r="V40" s="206">
        <v>22281</v>
      </c>
      <c r="W40" s="206" t="s">
        <v>2433</v>
      </c>
      <c r="X40" s="206" t="s">
        <v>2434</v>
      </c>
      <c r="Y40" s="206">
        <v>38</v>
      </c>
      <c r="Z40" s="206">
        <v>59</v>
      </c>
      <c r="AA40" s="206">
        <v>-21</v>
      </c>
      <c r="AB40" s="206">
        <v>-35.590000000000003</v>
      </c>
      <c r="AC40" s="206">
        <v>3000</v>
      </c>
      <c r="AD40" s="206">
        <v>8</v>
      </c>
      <c r="AE40" s="206">
        <v>0</v>
      </c>
    </row>
    <row r="41" spans="1:31" ht="16.149999999999999" customHeight="1">
      <c r="A41" s="383">
        <v>6285</v>
      </c>
      <c r="B41" s="383" t="s">
        <v>2018</v>
      </c>
      <c r="C41" s="383">
        <v>62852</v>
      </c>
      <c r="D41" s="388">
        <v>42374</v>
      </c>
      <c r="E41" s="388">
        <v>43470</v>
      </c>
      <c r="F41" s="384">
        <v>1500000000</v>
      </c>
      <c r="G41" s="414">
        <v>1454000000</v>
      </c>
      <c r="H41" s="385">
        <v>0.97</v>
      </c>
      <c r="I41" s="436">
        <v>820</v>
      </c>
      <c r="J41" s="206">
        <v>118</v>
      </c>
      <c r="K41" s="206">
        <v>81.7</v>
      </c>
      <c r="L41" s="206">
        <f>VLOOKUP(6285,收盤價!A:C,3,0)</f>
        <v>89.4</v>
      </c>
      <c r="M41" s="206">
        <v>1224</v>
      </c>
      <c r="N41" s="206">
        <v>118.116</v>
      </c>
      <c r="O41" s="438">
        <v>-1E-3</v>
      </c>
      <c r="P41" s="438">
        <v>0.15340000000000001</v>
      </c>
      <c r="Q41" s="438">
        <v>8.031461172038957E-4</v>
      </c>
      <c r="R41" s="206">
        <f>VLOOKUP(62852,V:AE,9,0)</f>
        <v>85</v>
      </c>
      <c r="S41" s="206">
        <f>VLOOKUP(6285,季財報!A:N,5,0)</f>
        <v>0</v>
      </c>
      <c r="T41" s="206">
        <f>VLOOKUP(6285,季財報!A:N,4,0)</f>
        <v>19.267241379310349</v>
      </c>
      <c r="U41" s="441">
        <v>17105882.352941178</v>
      </c>
      <c r="V41" s="206">
        <v>49272</v>
      </c>
      <c r="W41" s="206" t="s">
        <v>2697</v>
      </c>
      <c r="X41" s="206" t="s">
        <v>2698</v>
      </c>
      <c r="Y41" s="206">
        <v>6166</v>
      </c>
      <c r="Z41" s="206">
        <v>6166</v>
      </c>
      <c r="AA41" s="206">
        <v>0</v>
      </c>
      <c r="AB41" s="206">
        <v>0</v>
      </c>
      <c r="AC41" s="206">
        <v>6500</v>
      </c>
      <c r="AD41" s="206">
        <v>45</v>
      </c>
      <c r="AE41" s="206">
        <v>0</v>
      </c>
    </row>
    <row r="42" spans="1:31" ht="15.6" customHeight="1">
      <c r="A42" s="383">
        <v>6284</v>
      </c>
      <c r="B42" s="383" t="s">
        <v>1778</v>
      </c>
      <c r="C42" s="383">
        <v>62842</v>
      </c>
      <c r="D42" s="388">
        <v>41603</v>
      </c>
      <c r="E42" s="388">
        <v>42699</v>
      </c>
      <c r="F42" s="384">
        <v>300000000</v>
      </c>
      <c r="G42" s="414">
        <v>202500000</v>
      </c>
      <c r="H42" s="385">
        <v>0.68</v>
      </c>
      <c r="I42" s="436">
        <v>49</v>
      </c>
      <c r="J42" s="206">
        <v>105.5</v>
      </c>
      <c r="K42" s="206">
        <v>28.06</v>
      </c>
      <c r="L42" s="206">
        <f>VLOOKUP(6284,收盤價!A:C,3,0)</f>
        <v>20.9</v>
      </c>
      <c r="M42" s="206">
        <v>3564</v>
      </c>
      <c r="N42" s="206">
        <v>100</v>
      </c>
      <c r="O42" s="438">
        <v>5.21E-2</v>
      </c>
      <c r="P42" s="438">
        <v>-0.31740000000000002</v>
      </c>
      <c r="Q42" s="438">
        <v>-7.8687879319790863E-2</v>
      </c>
      <c r="R42" s="206">
        <f>VLOOKUP(62842,V:AE,9,0)</f>
        <v>6</v>
      </c>
      <c r="S42" s="206">
        <f>VLOOKUP(6284,季財報!A:N,5,0)</f>
        <v>3</v>
      </c>
      <c r="T42" s="206">
        <f>VLOOKUP(6284,季財報!A:N,4,0)</f>
        <v>0</v>
      </c>
      <c r="U42" s="441">
        <v>33750000</v>
      </c>
      <c r="V42" s="206">
        <v>17091</v>
      </c>
      <c r="W42" s="206" t="s">
        <v>2404</v>
      </c>
      <c r="X42" s="206" t="s">
        <v>2405</v>
      </c>
      <c r="Y42" s="206">
        <v>5926</v>
      </c>
      <c r="Z42" s="206">
        <v>5943</v>
      </c>
      <c r="AA42" s="206">
        <v>-17</v>
      </c>
      <c r="AB42" s="206">
        <v>-0.28999999999999998</v>
      </c>
      <c r="AC42" s="206">
        <v>7000</v>
      </c>
      <c r="AD42" s="206">
        <v>44</v>
      </c>
      <c r="AE42" s="206">
        <v>0</v>
      </c>
    </row>
    <row r="43" spans="1:31" ht="16.5">
      <c r="A43" s="383">
        <v>6275</v>
      </c>
      <c r="B43" s="383" t="s">
        <v>2331</v>
      </c>
      <c r="C43" s="383">
        <v>62755</v>
      </c>
      <c r="D43" s="388">
        <v>42459</v>
      </c>
      <c r="E43" s="388">
        <v>44285</v>
      </c>
      <c r="F43" s="384">
        <v>200000000</v>
      </c>
      <c r="G43" s="414">
        <v>195100000</v>
      </c>
      <c r="H43" s="385">
        <v>0.98</v>
      </c>
      <c r="I43" s="436">
        <v>1635</v>
      </c>
      <c r="J43" s="206">
        <v>116</v>
      </c>
      <c r="K43" s="206">
        <v>13.2</v>
      </c>
      <c r="L43" s="206">
        <f>VLOOKUP(6275,收盤價!A:C,3,0)</f>
        <v>15.3</v>
      </c>
      <c r="M43" s="206">
        <v>7576</v>
      </c>
      <c r="N43" s="206">
        <v>110.98840000000001</v>
      </c>
      <c r="O43" s="438">
        <v>4.3200000000000002E-2</v>
      </c>
      <c r="P43" s="438">
        <v>9.9000000000000005E-2</v>
      </c>
      <c r="Q43" s="438">
        <v>-5.7026726868878138E-3</v>
      </c>
      <c r="R43" s="206">
        <f>VLOOKUP(62755,V:AE,9,0)</f>
        <v>17</v>
      </c>
      <c r="S43" s="206">
        <f>VLOOKUP(6275,季財報!A:N,5,0)</f>
        <v>4</v>
      </c>
      <c r="T43" s="206">
        <f>VLOOKUP(6275,季財報!A:N,4,0)</f>
        <v>6.1573170731707316</v>
      </c>
      <c r="U43" s="441">
        <v>11476470.588235294</v>
      </c>
      <c r="V43" s="206">
        <v>26012</v>
      </c>
      <c r="W43" s="206" t="s">
        <v>2490</v>
      </c>
      <c r="X43" s="206" t="s">
        <v>2489</v>
      </c>
      <c r="Y43" s="206">
        <v>1000</v>
      </c>
      <c r="Z43" s="206">
        <v>1000</v>
      </c>
      <c r="AA43" s="206">
        <v>0</v>
      </c>
      <c r="AB43" s="206">
        <v>0</v>
      </c>
      <c r="AC43" s="206">
        <v>1000</v>
      </c>
      <c r="AD43" s="206">
        <v>9</v>
      </c>
      <c r="AE43" s="206">
        <v>0</v>
      </c>
    </row>
    <row r="44" spans="1:31" ht="15.6" customHeight="1">
      <c r="A44" s="382">
        <v>6271</v>
      </c>
      <c r="B44" s="386" t="s">
        <v>2017</v>
      </c>
      <c r="C44" s="382">
        <v>62711</v>
      </c>
      <c r="D44" s="388">
        <v>41753</v>
      </c>
      <c r="E44" s="388">
        <v>42849</v>
      </c>
      <c r="F44" s="384">
        <v>2000000000</v>
      </c>
      <c r="G44" s="414">
        <v>2000000000</v>
      </c>
      <c r="H44" s="385">
        <v>1</v>
      </c>
      <c r="I44" s="436">
        <v>199</v>
      </c>
      <c r="J44" s="206">
        <v>104.2</v>
      </c>
      <c r="K44" s="206">
        <v>135.4</v>
      </c>
      <c r="L44" s="206">
        <f>VLOOKUP(6271,收盤價!A:C,3,0)</f>
        <v>109.5</v>
      </c>
      <c r="M44" s="206">
        <v>739</v>
      </c>
      <c r="N44" s="206">
        <v>100</v>
      </c>
      <c r="O44" s="438">
        <v>4.0300000000000002E-2</v>
      </c>
      <c r="P44" s="438">
        <v>-0.10979999999999999</v>
      </c>
      <c r="Q44" s="438">
        <v>-0.18235463704388616</v>
      </c>
      <c r="R44" s="206">
        <f>VLOOKUP(62711,V:AE,9,0)</f>
        <v>77</v>
      </c>
      <c r="S44" s="206">
        <f>VLOOKUP(6271,季財報!A:N,5,0)</f>
        <v>2</v>
      </c>
      <c r="T44" s="206">
        <f>VLOOKUP(6271,季財報!A:N,4,0)</f>
        <v>16.898148148148149</v>
      </c>
      <c r="U44" s="441">
        <v>25974025.974025972</v>
      </c>
      <c r="V44" s="206">
        <v>41642</v>
      </c>
      <c r="W44" s="206" t="s">
        <v>2662</v>
      </c>
      <c r="X44" s="206" t="s">
        <v>2663</v>
      </c>
      <c r="Y44" s="206">
        <v>10000</v>
      </c>
      <c r="Z44" s="206">
        <v>10000</v>
      </c>
      <c r="AA44" s="206">
        <v>0</v>
      </c>
      <c r="AB44" s="206">
        <v>0</v>
      </c>
      <c r="AC44" s="206">
        <v>10000</v>
      </c>
      <c r="AD44" s="206">
        <v>27</v>
      </c>
      <c r="AE44" s="206">
        <v>0</v>
      </c>
    </row>
    <row r="45" spans="1:31" ht="16.5">
      <c r="A45" s="383">
        <v>6269</v>
      </c>
      <c r="B45" s="383" t="s">
        <v>2016</v>
      </c>
      <c r="C45" s="383">
        <v>62694</v>
      </c>
      <c r="D45" s="388">
        <v>42472</v>
      </c>
      <c r="E45" s="388">
        <v>43446</v>
      </c>
      <c r="F45" s="384">
        <v>1600000000</v>
      </c>
      <c r="G45" s="414">
        <v>1600000000</v>
      </c>
      <c r="H45" s="385">
        <v>1</v>
      </c>
      <c r="I45" s="436">
        <v>796</v>
      </c>
      <c r="J45" s="206">
        <v>123.45</v>
      </c>
      <c r="K45" s="206">
        <v>75.5</v>
      </c>
      <c r="L45" s="206">
        <f>VLOOKUP(6269,收盤價!A:C,3,0)</f>
        <v>91.6</v>
      </c>
      <c r="M45" s="206">
        <v>1324</v>
      </c>
      <c r="N45" s="206">
        <v>122.60239999999999</v>
      </c>
      <c r="O45" s="438">
        <v>6.8999999999999999E-3</v>
      </c>
      <c r="P45" s="438">
        <v>0.1847</v>
      </c>
      <c r="Q45" s="438">
        <v>-5.1857534943879121E-3</v>
      </c>
      <c r="R45" s="206">
        <f>VLOOKUP(62694,V:AE,9,0)</f>
        <v>62</v>
      </c>
      <c r="S45" s="206">
        <f>VLOOKUP(6269,季財報!A:N,5,0)</f>
        <v>1</v>
      </c>
      <c r="T45" s="206">
        <f>VLOOKUP(6269,季財報!A:N,4,0)</f>
        <v>53.51248722068059</v>
      </c>
      <c r="U45" s="441">
        <v>25806451.612903226</v>
      </c>
      <c r="V45" s="206">
        <v>47144</v>
      </c>
      <c r="W45" s="206" t="s">
        <v>2683</v>
      </c>
      <c r="X45" s="206" t="s">
        <v>2682</v>
      </c>
      <c r="Y45" s="206">
        <v>369</v>
      </c>
      <c r="Z45" s="206">
        <v>369</v>
      </c>
      <c r="AA45" s="206">
        <v>0</v>
      </c>
      <c r="AB45" s="206">
        <v>0</v>
      </c>
      <c r="AC45" s="206">
        <v>1000</v>
      </c>
      <c r="AD45" s="206">
        <v>13</v>
      </c>
      <c r="AE45" s="206">
        <v>0</v>
      </c>
    </row>
    <row r="46" spans="1:31" ht="16.149999999999999" customHeight="1">
      <c r="A46" s="383">
        <v>6269</v>
      </c>
      <c r="B46" s="383" t="s">
        <v>2016</v>
      </c>
      <c r="C46" s="383">
        <v>62693</v>
      </c>
      <c r="D46" s="388">
        <v>41872</v>
      </c>
      <c r="E46" s="388">
        <v>42968</v>
      </c>
      <c r="F46" s="384">
        <v>2000000000</v>
      </c>
      <c r="G46" s="414">
        <v>531000000</v>
      </c>
      <c r="H46" s="385">
        <v>0.27</v>
      </c>
      <c r="I46" s="436">
        <v>318</v>
      </c>
      <c r="J46" s="206">
        <v>150</v>
      </c>
      <c r="K46" s="206">
        <v>61.2</v>
      </c>
      <c r="L46" s="206">
        <f>VLOOKUP(6269,收盤價!A:C,3,0)</f>
        <v>91.6</v>
      </c>
      <c r="M46" s="206">
        <v>1634</v>
      </c>
      <c r="N46" s="206">
        <v>151.30840000000001</v>
      </c>
      <c r="O46" s="438">
        <v>-8.6999999999999994E-3</v>
      </c>
      <c r="P46" s="438">
        <v>0.33910000000000001</v>
      </c>
      <c r="Q46" s="438">
        <v>5.3382292941656336E-3</v>
      </c>
      <c r="R46" s="206">
        <f>VLOOKUP(62693,V:AE,9,0)</f>
        <v>28</v>
      </c>
      <c r="S46" s="206">
        <f>VLOOKUP(6269,季財報!A:N,5,0)</f>
        <v>1</v>
      </c>
      <c r="T46" s="206">
        <f>VLOOKUP(6269,季財報!A:N,4,0)</f>
        <v>53.51248722068059</v>
      </c>
      <c r="U46" s="441">
        <v>18964285.714285713</v>
      </c>
      <c r="V46" s="206">
        <v>35451</v>
      </c>
      <c r="W46" s="206" t="s">
        <v>2596</v>
      </c>
      <c r="X46" s="206" t="s">
        <v>2597</v>
      </c>
      <c r="Y46" s="206">
        <v>2854</v>
      </c>
      <c r="Z46" s="206">
        <v>2854</v>
      </c>
      <c r="AA46" s="206">
        <v>0</v>
      </c>
      <c r="AB46" s="206">
        <v>0</v>
      </c>
      <c r="AC46" s="206">
        <v>10000</v>
      </c>
      <c r="AD46" s="206">
        <v>23</v>
      </c>
      <c r="AE46" s="206">
        <v>0</v>
      </c>
    </row>
    <row r="47" spans="1:31" ht="15.6" customHeight="1">
      <c r="A47" s="382">
        <v>6245</v>
      </c>
      <c r="B47" s="386" t="s">
        <v>2015</v>
      </c>
      <c r="C47" s="382">
        <v>62452</v>
      </c>
      <c r="D47" s="388">
        <v>41568</v>
      </c>
      <c r="E47" s="388">
        <v>42664</v>
      </c>
      <c r="F47" s="384">
        <v>400000000</v>
      </c>
      <c r="G47" s="414">
        <v>120100000</v>
      </c>
      <c r="H47" s="385">
        <v>0.3</v>
      </c>
      <c r="I47" s="436">
        <v>14</v>
      </c>
      <c r="J47" s="206">
        <v>112.4</v>
      </c>
      <c r="K47" s="206">
        <v>38.1</v>
      </c>
      <c r="L47" s="206">
        <f>VLOOKUP(6245,收盤價!A:C,3,0)</f>
        <v>44.9</v>
      </c>
      <c r="M47" s="206">
        <v>2625</v>
      </c>
      <c r="N47" s="206">
        <v>114.45</v>
      </c>
      <c r="O47" s="438">
        <v>-1.8200000000000001E-2</v>
      </c>
      <c r="P47" s="438">
        <v>0.12609999999999999</v>
      </c>
      <c r="Q47" s="438">
        <v>6.9479749195052072E-3</v>
      </c>
      <c r="R47" s="206">
        <f>VLOOKUP(62452,V:AE,9,0)</f>
        <v>39</v>
      </c>
      <c r="S47" s="206">
        <f>VLOOKUP(6245,季財報!A:N,5,0)</f>
        <v>2</v>
      </c>
      <c r="T47" s="206">
        <f>VLOOKUP(6245,季財報!A:N,4,0)</f>
        <v>19.896862745098037</v>
      </c>
      <c r="U47" s="441">
        <v>3079487.1794871795</v>
      </c>
      <c r="V47" s="206">
        <v>62755</v>
      </c>
      <c r="W47" s="206" t="s">
        <v>2807</v>
      </c>
      <c r="X47" s="206" t="s">
        <v>2808</v>
      </c>
      <c r="Y47" s="206">
        <v>1953</v>
      </c>
      <c r="Z47" s="206">
        <v>2000</v>
      </c>
      <c r="AA47" s="206">
        <v>-47</v>
      </c>
      <c r="AB47" s="206">
        <v>-2.35</v>
      </c>
      <c r="AC47" s="206">
        <v>2000</v>
      </c>
      <c r="AD47" s="206">
        <v>17</v>
      </c>
      <c r="AE47" s="206">
        <v>0</v>
      </c>
    </row>
    <row r="48" spans="1:31" ht="15.6" customHeight="1">
      <c r="A48" s="383">
        <v>6238</v>
      </c>
      <c r="B48" s="383" t="s">
        <v>1780</v>
      </c>
      <c r="C48" s="383">
        <v>62383</v>
      </c>
      <c r="D48" s="388">
        <v>42243</v>
      </c>
      <c r="E48" s="388">
        <v>43339</v>
      </c>
      <c r="F48" s="384">
        <v>200000000</v>
      </c>
      <c r="G48" s="414">
        <v>38900000</v>
      </c>
      <c r="H48" s="385">
        <v>0.19</v>
      </c>
      <c r="I48" s="436">
        <v>689</v>
      </c>
      <c r="J48" s="206">
        <v>435</v>
      </c>
      <c r="K48" s="206">
        <v>57.5</v>
      </c>
      <c r="L48" s="206">
        <f>VLOOKUP(6238,收盤價!A:C,3,0)</f>
        <v>177.5</v>
      </c>
      <c r="M48" s="206">
        <v>1739</v>
      </c>
      <c r="N48" s="206">
        <v>305.19450000000001</v>
      </c>
      <c r="O48" s="438">
        <v>0.2984</v>
      </c>
      <c r="P48" s="438">
        <v>0.6724</v>
      </c>
      <c r="Q48" s="438">
        <v>-0.17159485237254862</v>
      </c>
      <c r="R48" s="206">
        <f>VLOOKUP(62383,V:AE,9,0)</f>
        <v>10</v>
      </c>
      <c r="S48" s="206">
        <f>VLOOKUP(6238,季財報!A:N,5,0)</f>
        <v>2</v>
      </c>
      <c r="T48" s="206">
        <f>VLOOKUP(6238,季財報!A:N,4,0)</f>
        <v>21.240937819499958</v>
      </c>
      <c r="U48" s="441">
        <v>3890000</v>
      </c>
      <c r="V48" s="206">
        <v>55191</v>
      </c>
      <c r="W48" s="206" t="s">
        <v>2738</v>
      </c>
      <c r="X48" s="206" t="s">
        <v>2739</v>
      </c>
      <c r="Y48" s="206">
        <v>2000</v>
      </c>
      <c r="Z48" s="206">
        <v>2000</v>
      </c>
      <c r="AA48" s="206">
        <v>0</v>
      </c>
      <c r="AB48" s="206">
        <v>0</v>
      </c>
      <c r="AC48" s="206">
        <v>2000</v>
      </c>
      <c r="AD48" s="206">
        <v>15</v>
      </c>
      <c r="AE48" s="206">
        <v>0</v>
      </c>
    </row>
    <row r="49" spans="1:31" ht="15.6" customHeight="1">
      <c r="A49" s="382">
        <v>6226</v>
      </c>
      <c r="B49" s="386" t="s">
        <v>2014</v>
      </c>
      <c r="C49" s="382">
        <v>62264</v>
      </c>
      <c r="D49" s="388">
        <v>41971</v>
      </c>
      <c r="E49" s="388">
        <v>43067</v>
      </c>
      <c r="F49" s="384">
        <v>200000000</v>
      </c>
      <c r="G49" s="414">
        <v>200000000</v>
      </c>
      <c r="H49" s="385">
        <v>1</v>
      </c>
      <c r="I49" s="436">
        <v>417</v>
      </c>
      <c r="J49" s="206">
        <v>104</v>
      </c>
      <c r="K49" s="206">
        <v>9.69</v>
      </c>
      <c r="L49" s="206">
        <f>VLOOKUP(6226,收盤價!A:C,3,0)</f>
        <v>6.28</v>
      </c>
      <c r="M49" s="206">
        <v>10320</v>
      </c>
      <c r="N49" s="206">
        <v>100</v>
      </c>
      <c r="O49" s="438">
        <v>3.85E-2</v>
      </c>
      <c r="P49" s="438">
        <v>-0.5212</v>
      </c>
      <c r="Q49" s="438">
        <v>-3.564922480620155E-2</v>
      </c>
      <c r="R49" s="206">
        <f>VLOOKUP(62264,V:AE,9,0)</f>
        <v>8</v>
      </c>
      <c r="S49" s="206">
        <f>VLOOKUP(6226,季財報!A:N,5,0)</f>
        <v>5</v>
      </c>
      <c r="T49" s="206">
        <f>VLOOKUP(6226,季財報!A:N,4,0)</f>
        <v>7.9434523809523823</v>
      </c>
      <c r="U49" s="441">
        <v>25000000</v>
      </c>
      <c r="V49" s="206">
        <v>52151</v>
      </c>
      <c r="W49" s="206" t="s">
        <v>2715</v>
      </c>
      <c r="X49" s="206" t="s">
        <v>2716</v>
      </c>
      <c r="Y49" s="206">
        <v>1500</v>
      </c>
      <c r="Z49" s="206">
        <v>1500</v>
      </c>
      <c r="AA49" s="206">
        <v>0</v>
      </c>
      <c r="AB49" s="206">
        <v>0</v>
      </c>
      <c r="AC49" s="206">
        <v>1500</v>
      </c>
      <c r="AD49" s="206">
        <v>5</v>
      </c>
      <c r="AE49" s="206">
        <v>0</v>
      </c>
    </row>
    <row r="50" spans="1:31" ht="16.5">
      <c r="A50" s="383">
        <v>6223</v>
      </c>
      <c r="B50" s="383" t="s">
        <v>435</v>
      </c>
      <c r="C50" s="383">
        <v>62233</v>
      </c>
      <c r="D50" s="388">
        <v>41961</v>
      </c>
      <c r="E50" s="388">
        <v>43057</v>
      </c>
      <c r="F50" s="384">
        <v>700000000</v>
      </c>
      <c r="G50" s="414">
        <v>600700000</v>
      </c>
      <c r="H50" s="385">
        <v>0.86</v>
      </c>
      <c r="I50" s="436">
        <v>407</v>
      </c>
      <c r="J50" s="206">
        <v>108</v>
      </c>
      <c r="K50" s="206">
        <v>90.2</v>
      </c>
      <c r="L50" s="206">
        <f>VLOOKUP(6223,收盤價!A:C,3,0)</f>
        <v>78.3</v>
      </c>
      <c r="M50" s="206">
        <v>1109</v>
      </c>
      <c r="N50" s="206">
        <v>100</v>
      </c>
      <c r="O50" s="438">
        <v>7.4099999999999999E-2</v>
      </c>
      <c r="P50" s="438">
        <v>-7.2499999999999995E-2</v>
      </c>
      <c r="Q50" s="438">
        <v>-0.12300955148114759</v>
      </c>
      <c r="R50" s="206">
        <f>VLOOKUP(62233,V:AE,9,0)</f>
        <v>36</v>
      </c>
      <c r="S50" s="206">
        <f>VLOOKUP(6223,季財報!A:N,5,0)</f>
        <v>5</v>
      </c>
      <c r="T50" s="206">
        <f>VLOOKUP(6223,季財報!A:N,4,0)</f>
        <v>10.702569710224166</v>
      </c>
      <c r="U50" s="441">
        <v>16686111.111111112</v>
      </c>
      <c r="V50" s="206">
        <v>52302</v>
      </c>
      <c r="W50" s="206" t="s">
        <v>2718</v>
      </c>
      <c r="X50" s="206" t="s">
        <v>2717</v>
      </c>
      <c r="Y50" s="206">
        <v>2000</v>
      </c>
      <c r="Z50" s="206">
        <v>2000</v>
      </c>
      <c r="AA50" s="206">
        <v>0</v>
      </c>
      <c r="AB50" s="206">
        <v>0</v>
      </c>
      <c r="AC50" s="206">
        <v>2000</v>
      </c>
      <c r="AD50" s="206">
        <v>15</v>
      </c>
      <c r="AE50" s="206">
        <v>0</v>
      </c>
    </row>
    <row r="51" spans="1:31" ht="16.149999999999999" customHeight="1">
      <c r="A51" s="383">
        <v>6219</v>
      </c>
      <c r="B51" s="383" t="s">
        <v>1782</v>
      </c>
      <c r="C51" s="383">
        <v>62191</v>
      </c>
      <c r="D51" s="388">
        <v>41561</v>
      </c>
      <c r="E51" s="388">
        <v>42657</v>
      </c>
      <c r="F51" s="384">
        <v>200000000</v>
      </c>
      <c r="G51" s="414">
        <v>131500000</v>
      </c>
      <c r="H51" s="385">
        <v>0.66</v>
      </c>
      <c r="I51" s="436">
        <v>7</v>
      </c>
      <c r="J51" s="206">
        <v>99.9</v>
      </c>
      <c r="K51" s="206">
        <v>14.35</v>
      </c>
      <c r="L51" s="206">
        <f>VLOOKUP(6219,收盤價!A:C,3,0)</f>
        <v>10.95</v>
      </c>
      <c r="M51" s="206">
        <v>6969</v>
      </c>
      <c r="N51" s="206">
        <v>100</v>
      </c>
      <c r="O51" s="438">
        <v>-1E-3</v>
      </c>
      <c r="P51" s="438">
        <v>-0.30449999999999999</v>
      </c>
      <c r="Q51" s="438">
        <v>-3.3382500020468164E-2</v>
      </c>
      <c r="R51" s="206">
        <f>VLOOKUP(62191,V:AE,9,0)</f>
        <v>9</v>
      </c>
      <c r="S51" s="206">
        <f>VLOOKUP(6219,季財報!A:N,5,0)</f>
        <v>0</v>
      </c>
      <c r="T51" s="206">
        <f>VLOOKUP(6219,季財報!A:N,4,0)</f>
        <v>0</v>
      </c>
      <c r="U51" s="441">
        <v>14611111.111111112</v>
      </c>
      <c r="V51" s="206">
        <v>61825</v>
      </c>
      <c r="W51" s="206" t="s">
        <v>2781</v>
      </c>
      <c r="X51" s="206" t="s">
        <v>2782</v>
      </c>
      <c r="Y51" s="206">
        <v>6000</v>
      </c>
      <c r="Z51" s="206">
        <v>6000</v>
      </c>
      <c r="AA51" s="206">
        <v>0</v>
      </c>
      <c r="AB51" s="206">
        <v>0</v>
      </c>
      <c r="AC51" s="206">
        <v>6000</v>
      </c>
      <c r="AD51" s="206">
        <v>24</v>
      </c>
      <c r="AE51" s="206">
        <v>0</v>
      </c>
    </row>
    <row r="52" spans="1:31" ht="16.5">
      <c r="A52" s="383">
        <v>6190</v>
      </c>
      <c r="B52" s="383" t="s">
        <v>428</v>
      </c>
      <c r="C52" s="383">
        <v>61904</v>
      </c>
      <c r="D52" s="388">
        <v>41835</v>
      </c>
      <c r="E52" s="388">
        <v>42931</v>
      </c>
      <c r="F52" s="384">
        <v>200000000</v>
      </c>
      <c r="G52" s="414">
        <v>179400000</v>
      </c>
      <c r="H52" s="385">
        <v>0.9</v>
      </c>
      <c r="I52" s="436">
        <v>281</v>
      </c>
      <c r="J52" s="206">
        <v>125.6</v>
      </c>
      <c r="K52" s="206">
        <v>10.199999999999999</v>
      </c>
      <c r="L52" s="206">
        <f>VLOOKUP(6190,收盤價!A:C,3,0)</f>
        <v>12.2</v>
      </c>
      <c r="M52" s="206">
        <v>9804</v>
      </c>
      <c r="N52" s="206">
        <v>126.96179999999998</v>
      </c>
      <c r="O52" s="438">
        <v>-1.0800000000000001E-2</v>
      </c>
      <c r="P52" s="438">
        <v>0.21240000000000001</v>
      </c>
      <c r="Q52" s="438">
        <v>1.1059115348733143E-3</v>
      </c>
      <c r="R52" s="206">
        <f>VLOOKUP(61904,V:AE,9,0)</f>
        <v>38</v>
      </c>
      <c r="S52" s="206">
        <f>VLOOKUP(6190,季財報!A:N,5,0)</f>
        <v>3</v>
      </c>
      <c r="T52" s="206">
        <f>VLOOKUP(6190,季財報!A:N,4,0)</f>
        <v>9.4888888888888872</v>
      </c>
      <c r="U52" s="441">
        <v>4721052.6315789474</v>
      </c>
      <c r="V52" s="206">
        <v>41532</v>
      </c>
      <c r="W52" s="206" t="s">
        <v>2657</v>
      </c>
      <c r="X52" s="206" t="s">
        <v>2656</v>
      </c>
      <c r="Y52" s="206">
        <v>3000</v>
      </c>
      <c r="Z52" s="206">
        <v>3000</v>
      </c>
      <c r="AA52" s="206">
        <v>0</v>
      </c>
      <c r="AB52" s="206">
        <v>0</v>
      </c>
      <c r="AC52" s="206">
        <v>3000</v>
      </c>
      <c r="AD52" s="206">
        <v>39</v>
      </c>
      <c r="AE52" s="206">
        <v>0</v>
      </c>
    </row>
    <row r="53" spans="1:31" ht="16.5">
      <c r="A53" s="383">
        <v>6184</v>
      </c>
      <c r="B53" s="383" t="s">
        <v>2013</v>
      </c>
      <c r="C53" s="383">
        <v>61842</v>
      </c>
      <c r="D53" s="388">
        <v>42388</v>
      </c>
      <c r="E53" s="388">
        <v>43484</v>
      </c>
      <c r="F53" s="384">
        <v>2000000000</v>
      </c>
      <c r="G53" s="414">
        <v>2000000000</v>
      </c>
      <c r="H53" s="385">
        <v>1</v>
      </c>
      <c r="I53" s="436">
        <v>834</v>
      </c>
      <c r="J53" s="206">
        <v>99.85</v>
      </c>
      <c r="K53" s="206">
        <v>48.23</v>
      </c>
      <c r="L53" s="206">
        <f>VLOOKUP(6184,收盤價!A:C,3,0)</f>
        <v>33.4</v>
      </c>
      <c r="M53" s="206">
        <v>2073</v>
      </c>
      <c r="N53" s="206">
        <v>100</v>
      </c>
      <c r="O53" s="438">
        <v>-1.5E-3</v>
      </c>
      <c r="P53" s="438">
        <v>-0.47939999999999999</v>
      </c>
      <c r="Q53" s="438">
        <v>-0.15590293302954913</v>
      </c>
      <c r="R53" s="206">
        <f>VLOOKUP(61842,V:AE,9,0)</f>
        <v>50</v>
      </c>
      <c r="S53" s="206">
        <f>VLOOKUP(6184,季財報!A:N,5,0)</f>
        <v>3</v>
      </c>
      <c r="T53" s="206">
        <f>VLOOKUP(6184,季財報!A:N,4,0)</f>
        <v>0</v>
      </c>
      <c r="U53" s="441">
        <v>40000000</v>
      </c>
      <c r="V53" s="206">
        <v>32523</v>
      </c>
      <c r="W53" s="206" t="s">
        <v>2566</v>
      </c>
      <c r="X53" s="206" t="s">
        <v>2565</v>
      </c>
      <c r="Y53" s="206">
        <v>1706</v>
      </c>
      <c r="Z53" s="206">
        <v>1706</v>
      </c>
      <c r="AA53" s="206">
        <v>0</v>
      </c>
      <c r="AB53" s="206">
        <v>0</v>
      </c>
      <c r="AC53" s="206">
        <v>2000</v>
      </c>
      <c r="AD53" s="206">
        <v>5</v>
      </c>
      <c r="AE53" s="206">
        <v>0</v>
      </c>
    </row>
    <row r="54" spans="1:31" ht="16.5">
      <c r="A54" s="387">
        <v>6182</v>
      </c>
      <c r="B54" s="387" t="s">
        <v>426</v>
      </c>
      <c r="C54" s="387">
        <v>61825</v>
      </c>
      <c r="D54" s="388">
        <v>42109</v>
      </c>
      <c r="E54" s="388">
        <v>43205</v>
      </c>
      <c r="F54" s="384">
        <v>600000000</v>
      </c>
      <c r="G54" s="414">
        <v>600000000</v>
      </c>
      <c r="H54" s="385">
        <v>1</v>
      </c>
      <c r="I54" s="436">
        <v>555</v>
      </c>
      <c r="J54" s="206">
        <v>101.1</v>
      </c>
      <c r="K54" s="206">
        <v>14.02</v>
      </c>
      <c r="L54" s="206">
        <f>VLOOKUP(6182,收盤價!A:C,3,0)</f>
        <v>8.83</v>
      </c>
      <c r="M54" s="206">
        <v>7133</v>
      </c>
      <c r="N54" s="206">
        <v>100</v>
      </c>
      <c r="O54" s="438">
        <v>1.09E-2</v>
      </c>
      <c r="P54" s="438">
        <v>-0.52059999999999995</v>
      </c>
      <c r="Q54" s="438">
        <v>-4.8996632167425662E-2</v>
      </c>
      <c r="R54" s="206">
        <f>VLOOKUP(61825,V:AE,9,0)</f>
        <v>24</v>
      </c>
      <c r="S54" s="206">
        <f>VLOOKUP(6182,季財報!A:N,5,0)</f>
        <v>2</v>
      </c>
      <c r="T54" s="206">
        <f>VLOOKUP(6182,季財報!A:N,4,0)</f>
        <v>0</v>
      </c>
      <c r="U54" s="441">
        <v>25000000</v>
      </c>
      <c r="V54" s="206">
        <v>61053</v>
      </c>
      <c r="W54" s="206" t="s">
        <v>2750</v>
      </c>
      <c r="X54" s="206" t="s">
        <v>2751</v>
      </c>
      <c r="Y54" s="206">
        <v>2747</v>
      </c>
      <c r="Z54" s="206">
        <v>3227</v>
      </c>
      <c r="AA54" s="206">
        <v>-480</v>
      </c>
      <c r="AB54" s="206">
        <v>-14.87</v>
      </c>
      <c r="AC54" s="206">
        <v>6000</v>
      </c>
      <c r="AD54" s="206">
        <v>26</v>
      </c>
      <c r="AE54" s="206">
        <v>0</v>
      </c>
    </row>
    <row r="55" spans="1:31" ht="16.5">
      <c r="A55" s="383">
        <v>6180</v>
      </c>
      <c r="B55" s="383" t="s">
        <v>1774</v>
      </c>
      <c r="C55" s="383">
        <v>61801</v>
      </c>
      <c r="D55" s="388">
        <v>42200</v>
      </c>
      <c r="E55" s="388">
        <v>43296</v>
      </c>
      <c r="F55" s="384">
        <v>700000000</v>
      </c>
      <c r="G55" s="414">
        <v>700000000</v>
      </c>
      <c r="H55" s="385">
        <v>1</v>
      </c>
      <c r="I55" s="436">
        <v>646</v>
      </c>
      <c r="J55" s="206">
        <v>102</v>
      </c>
      <c r="K55" s="206">
        <v>39.1</v>
      </c>
      <c r="L55" s="206">
        <f>VLOOKUP(6180,收盤價!A:C,3,0)</f>
        <v>29.35</v>
      </c>
      <c r="M55" s="206">
        <v>2558</v>
      </c>
      <c r="N55" s="206">
        <v>100</v>
      </c>
      <c r="O55" s="438">
        <v>1.9599999999999999E-2</v>
      </c>
      <c r="P55" s="438">
        <v>-0.36470000000000002</v>
      </c>
      <c r="Q55" s="438">
        <v>-0.11004806144506277</v>
      </c>
      <c r="R55" s="206">
        <f>VLOOKUP(61801,V:AE,9,0)</f>
        <v>19</v>
      </c>
      <c r="S55" s="206">
        <f>VLOOKUP(6180,季財報!A:N,5,0)</f>
        <v>2</v>
      </c>
      <c r="T55" s="206">
        <f>VLOOKUP(6180,季財報!A:N,4,0)</f>
        <v>0</v>
      </c>
      <c r="U55" s="441">
        <v>36842105.263157897</v>
      </c>
      <c r="V55" s="206">
        <v>14321</v>
      </c>
      <c r="W55" s="206" t="s">
        <v>2366</v>
      </c>
      <c r="X55" s="206" t="s">
        <v>2367</v>
      </c>
      <c r="Y55" s="206">
        <v>2184</v>
      </c>
      <c r="Z55" s="206">
        <v>2184</v>
      </c>
      <c r="AA55" s="206">
        <v>0</v>
      </c>
      <c r="AB55" s="206">
        <v>0</v>
      </c>
      <c r="AC55" s="206">
        <v>2500</v>
      </c>
      <c r="AD55" s="206">
        <v>21</v>
      </c>
      <c r="AE55" s="206">
        <v>0</v>
      </c>
    </row>
    <row r="56" spans="1:31" ht="16.5">
      <c r="A56" s="387">
        <v>6177</v>
      </c>
      <c r="B56" s="387" t="s">
        <v>2012</v>
      </c>
      <c r="C56" s="387">
        <v>61776</v>
      </c>
      <c r="D56" s="388">
        <v>42255</v>
      </c>
      <c r="E56" s="388">
        <v>44082</v>
      </c>
      <c r="F56" s="384">
        <v>500000000</v>
      </c>
      <c r="G56" s="414">
        <v>483700000</v>
      </c>
      <c r="H56" s="385">
        <v>0.97</v>
      </c>
      <c r="I56" s="436">
        <v>1432</v>
      </c>
      <c r="J56" s="206">
        <v>130</v>
      </c>
      <c r="K56" s="206">
        <v>15.87</v>
      </c>
      <c r="L56" s="206">
        <f>VLOOKUP(6177,收盤價!A:C,3,0)</f>
        <v>19.95</v>
      </c>
      <c r="M56" s="206">
        <v>6301</v>
      </c>
      <c r="N56" s="206">
        <v>127.91030000000001</v>
      </c>
      <c r="O56" s="438">
        <v>1.61E-2</v>
      </c>
      <c r="P56" s="438">
        <v>0.21820000000000001</v>
      </c>
      <c r="Q56" s="438">
        <v>-2.5511213116355034E-3</v>
      </c>
      <c r="R56" s="206">
        <f>VLOOKUP(61776,V:AE,9,0)</f>
        <v>17</v>
      </c>
      <c r="S56" s="206">
        <f>VLOOKUP(6177,季財報!A:N,5,0)</f>
        <v>1</v>
      </c>
      <c r="T56" s="206">
        <f>VLOOKUP(6177,季財報!A:N,4,0)</f>
        <v>7.2555226293103443</v>
      </c>
      <c r="U56" s="441">
        <v>28452941.176470589</v>
      </c>
      <c r="V56" s="206">
        <v>30365</v>
      </c>
      <c r="W56" s="206" t="s">
        <v>3179</v>
      </c>
      <c r="X56" s="206" t="s">
        <v>3180</v>
      </c>
      <c r="Y56" s="206">
        <v>14463</v>
      </c>
      <c r="Z56" s="206">
        <v>15000</v>
      </c>
      <c r="AA56" s="206">
        <v>-537</v>
      </c>
      <c r="AB56" s="206">
        <v>-3.58</v>
      </c>
      <c r="AC56" s="206">
        <v>15000</v>
      </c>
      <c r="AD56" s="206">
        <v>70</v>
      </c>
      <c r="AE56" s="206">
        <v>0</v>
      </c>
    </row>
    <row r="57" spans="1:31" ht="15.6" customHeight="1">
      <c r="A57" s="383">
        <v>6177</v>
      </c>
      <c r="B57" s="383" t="s">
        <v>2012</v>
      </c>
      <c r="C57" s="383">
        <v>61775</v>
      </c>
      <c r="D57" s="388">
        <v>42254</v>
      </c>
      <c r="E57" s="388">
        <v>44081</v>
      </c>
      <c r="F57" s="384">
        <v>500000000</v>
      </c>
      <c r="G57" s="414">
        <v>485500000</v>
      </c>
      <c r="H57" s="385">
        <v>0.97</v>
      </c>
      <c r="I57" s="436">
        <v>1431</v>
      </c>
      <c r="J57" s="206">
        <v>130</v>
      </c>
      <c r="K57" s="206">
        <v>15.79</v>
      </c>
      <c r="L57" s="206">
        <f>VLOOKUP(6177,收盤價!A:C,3,0)</f>
        <v>19.95</v>
      </c>
      <c r="M57" s="206">
        <v>6333</v>
      </c>
      <c r="N57" s="206">
        <v>128.5599</v>
      </c>
      <c r="O57" s="438">
        <v>1.11E-2</v>
      </c>
      <c r="P57" s="438">
        <v>0.22220000000000001</v>
      </c>
      <c r="Q57" s="438">
        <v>-1.7492013749711569E-3</v>
      </c>
      <c r="R57" s="206">
        <f>VLOOKUP(61775,V:AE,9,0)</f>
        <v>22</v>
      </c>
      <c r="S57" s="206">
        <f>VLOOKUP(6177,季財報!A:N,5,0)</f>
        <v>1</v>
      </c>
      <c r="T57" s="206">
        <f>VLOOKUP(6177,季財報!A:N,4,0)</f>
        <v>7.2555226293103443</v>
      </c>
      <c r="U57" s="441">
        <v>22068181.818181816</v>
      </c>
      <c r="V57" s="206">
        <v>15931</v>
      </c>
      <c r="W57" s="206" t="s">
        <v>2396</v>
      </c>
      <c r="X57" s="206" t="s">
        <v>2397</v>
      </c>
      <c r="Y57" s="206">
        <v>600</v>
      </c>
      <c r="Z57" s="206">
        <v>600</v>
      </c>
      <c r="AA57" s="206">
        <v>0</v>
      </c>
      <c r="AB57" s="206">
        <v>0</v>
      </c>
      <c r="AC57" s="206">
        <v>600</v>
      </c>
      <c r="AD57" s="206">
        <v>17</v>
      </c>
      <c r="AE57" s="206">
        <v>0</v>
      </c>
    </row>
    <row r="58" spans="1:31" ht="16.149999999999999" customHeight="1">
      <c r="A58" s="383">
        <v>6177</v>
      </c>
      <c r="B58" s="383" t="s">
        <v>2012</v>
      </c>
      <c r="C58" s="383">
        <v>61774</v>
      </c>
      <c r="D58" s="388">
        <v>41144</v>
      </c>
      <c r="E58" s="388">
        <v>42970</v>
      </c>
      <c r="F58" s="384">
        <v>500000000</v>
      </c>
      <c r="G58" s="414">
        <v>277100000</v>
      </c>
      <c r="H58" s="385">
        <v>0.55000000000000004</v>
      </c>
      <c r="I58" s="436">
        <v>320</v>
      </c>
      <c r="J58" s="206">
        <v>183</v>
      </c>
      <c r="K58" s="206">
        <v>14.81</v>
      </c>
      <c r="L58" s="206">
        <f>VLOOKUP(6177,收盤價!A:C,3,0)</f>
        <v>19.95</v>
      </c>
      <c r="M58" s="206">
        <v>6752</v>
      </c>
      <c r="N58" s="206">
        <v>137.06560000000002</v>
      </c>
      <c r="O58" s="438">
        <v>0.251</v>
      </c>
      <c r="P58" s="438">
        <v>0.27039999999999997</v>
      </c>
      <c r="Q58" s="438">
        <v>-3.7175303654209721E-2</v>
      </c>
      <c r="R58" s="206">
        <f>VLOOKUP(61774,V:AE,9,0)</f>
        <v>10</v>
      </c>
      <c r="S58" s="206">
        <f>VLOOKUP(6177,季財報!A:N,5,0)</f>
        <v>1</v>
      </c>
      <c r="T58" s="206">
        <f>VLOOKUP(6177,季財報!A:N,4,0)</f>
        <v>7.2555226293103443</v>
      </c>
      <c r="U58" s="441">
        <v>27710000</v>
      </c>
      <c r="V58" s="206">
        <v>32341</v>
      </c>
      <c r="W58" s="206" t="s">
        <v>2561</v>
      </c>
      <c r="X58" s="206" t="s">
        <v>2562</v>
      </c>
      <c r="Y58" s="206">
        <v>5000</v>
      </c>
      <c r="Z58" s="206">
        <v>5000</v>
      </c>
      <c r="AA58" s="206">
        <v>0</v>
      </c>
      <c r="AB58" s="206">
        <v>0</v>
      </c>
      <c r="AC58" s="206">
        <v>5000</v>
      </c>
      <c r="AD58" s="206">
        <v>25</v>
      </c>
      <c r="AE58" s="206">
        <v>0</v>
      </c>
    </row>
    <row r="59" spans="1:31" ht="15.6" customHeight="1">
      <c r="A59" s="382">
        <v>6176</v>
      </c>
      <c r="B59" s="386" t="s">
        <v>2011</v>
      </c>
      <c r="C59" s="382">
        <v>61761</v>
      </c>
      <c r="D59" s="388">
        <v>41663</v>
      </c>
      <c r="E59" s="388">
        <v>43489</v>
      </c>
      <c r="F59" s="384">
        <v>3000000000</v>
      </c>
      <c r="G59" s="414">
        <v>3000000000</v>
      </c>
      <c r="H59" s="385">
        <v>1</v>
      </c>
      <c r="I59" s="436">
        <v>839</v>
      </c>
      <c r="J59" s="206">
        <v>99.6</v>
      </c>
      <c r="K59" s="206">
        <v>124.64</v>
      </c>
      <c r="L59" s="206">
        <f>VLOOKUP(6176,收盤價!A:C,3,0)</f>
        <v>48.65</v>
      </c>
      <c r="M59" s="206">
        <v>802</v>
      </c>
      <c r="N59" s="206">
        <v>100</v>
      </c>
      <c r="O59" s="438">
        <v>-4.0000000000000001E-3</v>
      </c>
      <c r="P59" s="438">
        <v>-1.4632000000000001</v>
      </c>
      <c r="Q59" s="438">
        <v>-0.73885066450340009</v>
      </c>
      <c r="R59" s="206">
        <f>VLOOKUP(61761,V:AE,9,0)</f>
        <v>79</v>
      </c>
      <c r="S59" s="206">
        <f>VLOOKUP(6176,季財報!A:N,5,0)</f>
        <v>2</v>
      </c>
      <c r="T59" s="206">
        <f>VLOOKUP(6176,季財報!A:N,4,0)</f>
        <v>32.880073461891641</v>
      </c>
      <c r="U59" s="441">
        <v>37974683.544303797</v>
      </c>
      <c r="V59" s="206">
        <v>61262</v>
      </c>
      <c r="W59" s="206" t="s">
        <v>2756</v>
      </c>
      <c r="X59" s="206" t="s">
        <v>2757</v>
      </c>
      <c r="Y59" s="206">
        <v>2500</v>
      </c>
      <c r="Z59" s="206">
        <v>2500</v>
      </c>
      <c r="AA59" s="206">
        <v>0</v>
      </c>
      <c r="AB59" s="206">
        <v>0</v>
      </c>
      <c r="AC59" s="206">
        <v>2500</v>
      </c>
      <c r="AD59" s="206">
        <v>8</v>
      </c>
      <c r="AE59" s="206">
        <v>0</v>
      </c>
    </row>
    <row r="60" spans="1:31" ht="16.149999999999999" customHeight="1">
      <c r="A60" s="383">
        <v>6168</v>
      </c>
      <c r="B60" s="383" t="s">
        <v>2010</v>
      </c>
      <c r="C60" s="383">
        <v>61684</v>
      </c>
      <c r="D60" s="388">
        <v>41849</v>
      </c>
      <c r="E60" s="388">
        <v>42945</v>
      </c>
      <c r="F60" s="384">
        <v>600000000</v>
      </c>
      <c r="G60" s="414">
        <v>600000000</v>
      </c>
      <c r="H60" s="385">
        <v>1</v>
      </c>
      <c r="I60" s="436">
        <v>295</v>
      </c>
      <c r="J60" s="206">
        <v>99</v>
      </c>
      <c r="K60" s="206">
        <v>20</v>
      </c>
      <c r="L60" s="206">
        <f>VLOOKUP(6168,收盤價!A:C,3,0)</f>
        <v>9.32</v>
      </c>
      <c r="M60" s="206">
        <v>5000</v>
      </c>
      <c r="N60" s="206">
        <v>100</v>
      </c>
      <c r="O60" s="438">
        <v>-1.01E-2</v>
      </c>
      <c r="P60" s="438">
        <v>-1.1254</v>
      </c>
      <c r="Q60" s="438">
        <v>-0.10494949494949496</v>
      </c>
      <c r="R60" s="206">
        <f>VLOOKUP(61684,V:AE,9,0)</f>
        <v>17</v>
      </c>
      <c r="S60" s="206">
        <f>VLOOKUP(6168,季財報!A:N,5,0)</f>
        <v>0</v>
      </c>
      <c r="T60" s="206">
        <f>VLOOKUP(6168,季財報!A:N,4,0)</f>
        <v>0</v>
      </c>
      <c r="U60" s="441">
        <v>35294117.647058822</v>
      </c>
      <c r="V60" s="206">
        <v>15822</v>
      </c>
      <c r="W60" s="206" t="s">
        <v>2387</v>
      </c>
      <c r="X60" s="206" t="s">
        <v>2388</v>
      </c>
      <c r="Y60" s="206">
        <v>8000</v>
      </c>
      <c r="Z60" s="206">
        <v>8000</v>
      </c>
      <c r="AA60" s="206">
        <v>0</v>
      </c>
      <c r="AB60" s="206">
        <v>0</v>
      </c>
      <c r="AC60" s="206">
        <v>8000</v>
      </c>
      <c r="AD60" s="206">
        <v>67</v>
      </c>
      <c r="AE60" s="206">
        <v>0</v>
      </c>
    </row>
    <row r="61" spans="1:31" ht="16.149999999999999" customHeight="1">
      <c r="A61" s="382">
        <v>6153</v>
      </c>
      <c r="B61" s="386" t="s">
        <v>2009</v>
      </c>
      <c r="C61" s="382">
        <v>61534</v>
      </c>
      <c r="D61" s="388">
        <v>41928</v>
      </c>
      <c r="E61" s="388">
        <v>43024</v>
      </c>
      <c r="F61" s="384">
        <v>1500000000</v>
      </c>
      <c r="G61" s="414">
        <v>1435700000</v>
      </c>
      <c r="H61" s="385">
        <v>0.96</v>
      </c>
      <c r="I61" s="436">
        <v>374</v>
      </c>
      <c r="J61" s="206">
        <v>97.85</v>
      </c>
      <c r="K61" s="206">
        <v>43.4</v>
      </c>
      <c r="L61" s="206">
        <f>VLOOKUP(6153,收盤價!A:C,3,0)</f>
        <v>20.55</v>
      </c>
      <c r="M61" s="206">
        <v>2304</v>
      </c>
      <c r="N61" s="206">
        <v>100</v>
      </c>
      <c r="O61" s="438">
        <v>-2.1999999999999999E-2</v>
      </c>
      <c r="P61" s="438">
        <v>-1.0471999999999999</v>
      </c>
      <c r="Q61" s="438">
        <v>-0.21736962754783401</v>
      </c>
      <c r="R61" s="206">
        <f>VLOOKUP(61534,V:AE,9,0)</f>
        <v>77</v>
      </c>
      <c r="S61" s="206">
        <f>VLOOKUP(6153,季財報!A:N,5,0)</f>
        <v>2</v>
      </c>
      <c r="T61" s="206">
        <f>VLOOKUP(6153,季財報!A:N,4,0)</f>
        <v>42.8125</v>
      </c>
      <c r="U61" s="441">
        <v>18645454.545454547</v>
      </c>
      <c r="V61" s="206">
        <v>36911</v>
      </c>
      <c r="W61" s="206" t="s">
        <v>2626</v>
      </c>
      <c r="X61" s="206" t="s">
        <v>2627</v>
      </c>
      <c r="Y61" s="206">
        <v>17417</v>
      </c>
      <c r="Z61" s="206">
        <v>17417</v>
      </c>
      <c r="AA61" s="206">
        <v>0</v>
      </c>
      <c r="AB61" s="206">
        <v>0</v>
      </c>
      <c r="AC61" s="206">
        <v>18000</v>
      </c>
      <c r="AD61" s="206">
        <v>84</v>
      </c>
      <c r="AE61" s="206">
        <v>0</v>
      </c>
    </row>
    <row r="62" spans="1:31" ht="16.5">
      <c r="A62" s="383">
        <v>6146</v>
      </c>
      <c r="B62" s="383" t="s">
        <v>417</v>
      </c>
      <c r="C62" s="383">
        <v>61462</v>
      </c>
      <c r="D62" s="388">
        <v>41919</v>
      </c>
      <c r="E62" s="388">
        <v>43015</v>
      </c>
      <c r="F62" s="384">
        <v>600000000</v>
      </c>
      <c r="G62" s="414">
        <v>66400000</v>
      </c>
      <c r="H62" s="385">
        <v>0.11</v>
      </c>
      <c r="I62" s="436">
        <v>365</v>
      </c>
      <c r="J62" s="206">
        <v>111</v>
      </c>
      <c r="K62" s="206">
        <v>142.1</v>
      </c>
      <c r="L62" s="206">
        <f>VLOOKUP(6146,收盤價!A:C,3,0)</f>
        <v>158</v>
      </c>
      <c r="M62" s="206">
        <v>704</v>
      </c>
      <c r="N62" s="206">
        <v>110.52800000000001</v>
      </c>
      <c r="O62" s="438">
        <v>4.3E-3</v>
      </c>
      <c r="P62" s="438">
        <v>9.4899999999999998E-2</v>
      </c>
      <c r="Q62" s="438">
        <v>-6.0401310401309236E-3</v>
      </c>
      <c r="R62" s="206">
        <f>VLOOKUP(61462,V:AE,9,0)</f>
        <v>14</v>
      </c>
      <c r="S62" s="206">
        <f>VLOOKUP(6146,季財報!A:N,5,0)</f>
        <v>2</v>
      </c>
      <c r="T62" s="206">
        <f>VLOOKUP(6146,季財報!A:N,4,0)</f>
        <v>18.361678004535147</v>
      </c>
      <c r="U62" s="441">
        <v>4742857.1428571427</v>
      </c>
      <c r="V62" s="206">
        <v>41134</v>
      </c>
      <c r="W62" s="206" t="s">
        <v>2641</v>
      </c>
      <c r="X62" s="206" t="s">
        <v>2642</v>
      </c>
      <c r="Y62" s="206">
        <v>4</v>
      </c>
      <c r="Z62" s="206">
        <v>1572</v>
      </c>
      <c r="AA62" s="206">
        <v>-1568</v>
      </c>
      <c r="AB62" s="206">
        <v>-99.75</v>
      </c>
      <c r="AC62" s="206">
        <v>6000</v>
      </c>
      <c r="AD62" s="206">
        <v>2</v>
      </c>
      <c r="AE62" s="206">
        <v>0</v>
      </c>
    </row>
    <row r="63" spans="1:31" ht="16.149999999999999" customHeight="1">
      <c r="A63" s="383">
        <v>6139</v>
      </c>
      <c r="B63" s="383" t="s">
        <v>2008</v>
      </c>
      <c r="C63" s="383">
        <v>61393</v>
      </c>
      <c r="D63" s="388">
        <v>42236</v>
      </c>
      <c r="E63" s="388">
        <v>43332</v>
      </c>
      <c r="F63" s="384">
        <v>700000000</v>
      </c>
      <c r="G63" s="414">
        <v>204000000</v>
      </c>
      <c r="H63" s="385">
        <v>0.28999999999999998</v>
      </c>
      <c r="I63" s="436">
        <v>682</v>
      </c>
      <c r="J63" s="206">
        <v>160</v>
      </c>
      <c r="K63" s="206">
        <v>18.329999999999998</v>
      </c>
      <c r="L63" s="206">
        <f>VLOOKUP(6139,收盤價!A:C,3,0)</f>
        <v>24.8</v>
      </c>
      <c r="M63" s="206">
        <v>5456</v>
      </c>
      <c r="N63" s="206">
        <v>155.49600000000001</v>
      </c>
      <c r="O63" s="438">
        <v>2.81E-2</v>
      </c>
      <c r="P63" s="438">
        <v>0.35680000000000001</v>
      </c>
      <c r="Q63" s="438">
        <v>-5.1594574780058581E-3</v>
      </c>
      <c r="R63" s="206">
        <f>VLOOKUP(61393,V:AE,9,0)</f>
        <v>11</v>
      </c>
      <c r="S63" s="206">
        <f>VLOOKUP(6139,季財報!A:N,5,0)</f>
        <v>1</v>
      </c>
      <c r="T63" s="206">
        <f>VLOOKUP(6139,季財報!A:N,4,0)</f>
        <v>7.3597329129184832</v>
      </c>
      <c r="U63" s="441">
        <v>18545454.545454547</v>
      </c>
      <c r="V63" s="206">
        <v>36931</v>
      </c>
      <c r="W63" s="206" t="s">
        <v>2628</v>
      </c>
      <c r="X63" s="206" t="s">
        <v>2629</v>
      </c>
      <c r="Y63" s="206">
        <v>5000</v>
      </c>
      <c r="Z63" s="206">
        <v>5000</v>
      </c>
      <c r="AA63" s="206">
        <v>0</v>
      </c>
      <c r="AB63" s="206">
        <v>0</v>
      </c>
      <c r="AC63" s="206">
        <v>5000</v>
      </c>
      <c r="AD63" s="206">
        <v>33</v>
      </c>
      <c r="AE63" s="206">
        <v>0</v>
      </c>
    </row>
    <row r="64" spans="1:31" ht="16.5">
      <c r="A64" s="383">
        <v>6134</v>
      </c>
      <c r="B64" s="383" t="s">
        <v>2007</v>
      </c>
      <c r="C64" s="383">
        <v>61341</v>
      </c>
      <c r="D64" s="388">
        <v>41687</v>
      </c>
      <c r="E64" s="388">
        <v>42783</v>
      </c>
      <c r="F64" s="384">
        <v>100000000</v>
      </c>
      <c r="G64" s="414">
        <v>69400000</v>
      </c>
      <c r="H64" s="385">
        <v>0.69</v>
      </c>
      <c r="I64" s="436">
        <v>133</v>
      </c>
      <c r="J64" s="206">
        <v>108</v>
      </c>
      <c r="K64" s="206">
        <v>10.199999999999999</v>
      </c>
      <c r="L64" s="206">
        <f>VLOOKUP(6134,收盤價!A:C,3,0)</f>
        <v>9.9600000000000009</v>
      </c>
      <c r="M64" s="206">
        <v>9804</v>
      </c>
      <c r="N64" s="206">
        <v>103.9224</v>
      </c>
      <c r="O64" s="438">
        <v>3.78E-2</v>
      </c>
      <c r="P64" s="438">
        <v>3.7699999999999997E-2</v>
      </c>
      <c r="Q64" s="438">
        <v>-3.8510358583798039E-3</v>
      </c>
      <c r="R64" s="206">
        <f>VLOOKUP(61341,V:AE,9,0)</f>
        <v>24</v>
      </c>
      <c r="S64" s="206">
        <f>VLOOKUP(6134,季財報!A:N,5,0)</f>
        <v>5</v>
      </c>
      <c r="T64" s="206">
        <f>VLOOKUP(6134,季財報!A:N,4,0)</f>
        <v>0</v>
      </c>
      <c r="U64" s="441">
        <v>2891666.6666666665</v>
      </c>
      <c r="V64" s="206">
        <v>18153</v>
      </c>
      <c r="W64" s="206" t="s">
        <v>2422</v>
      </c>
      <c r="X64" s="206" t="s">
        <v>2423</v>
      </c>
      <c r="Y64" s="206">
        <v>15</v>
      </c>
      <c r="Z64" s="206">
        <v>15</v>
      </c>
      <c r="AA64" s="206">
        <v>0</v>
      </c>
      <c r="AB64" s="206">
        <v>0</v>
      </c>
      <c r="AC64" s="206">
        <v>7500</v>
      </c>
      <c r="AD64" s="206">
        <v>3</v>
      </c>
      <c r="AE64" s="206">
        <v>0</v>
      </c>
    </row>
    <row r="65" spans="1:31" ht="16.149999999999999" customHeight="1">
      <c r="A65" s="387">
        <v>6127</v>
      </c>
      <c r="B65" s="387" t="s">
        <v>2006</v>
      </c>
      <c r="C65" s="387">
        <v>61274</v>
      </c>
      <c r="D65" s="388">
        <v>42165</v>
      </c>
      <c r="E65" s="388">
        <v>43261</v>
      </c>
      <c r="F65" s="384">
        <v>400000000</v>
      </c>
      <c r="G65" s="414">
        <v>400000000</v>
      </c>
      <c r="H65" s="385">
        <v>1</v>
      </c>
      <c r="I65" s="436">
        <v>611</v>
      </c>
      <c r="J65" s="206">
        <v>106.5</v>
      </c>
      <c r="K65" s="206">
        <v>16.7</v>
      </c>
      <c r="L65" s="206">
        <f>VLOOKUP(6127,收盤價!A:C,3,0)</f>
        <v>12</v>
      </c>
      <c r="M65" s="206">
        <v>5988</v>
      </c>
      <c r="N65" s="206">
        <v>100</v>
      </c>
      <c r="O65" s="438">
        <v>6.0999999999999999E-2</v>
      </c>
      <c r="P65" s="438">
        <v>-0.22789999999999999</v>
      </c>
      <c r="Q65" s="438">
        <v>-3.9301137486240104E-2</v>
      </c>
      <c r="R65" s="206">
        <f>VLOOKUP(61274,V:AE,9,0)</f>
        <v>22</v>
      </c>
      <c r="S65" s="206">
        <f>VLOOKUP(6127,季財報!A:N,5,0)</f>
        <v>0</v>
      </c>
      <c r="T65" s="206">
        <f>VLOOKUP(6127,季財報!A:N,4,0)</f>
        <v>24.137931034482758</v>
      </c>
      <c r="U65" s="441">
        <v>18181818.181818184</v>
      </c>
      <c r="V65" s="206">
        <v>45411</v>
      </c>
      <c r="W65" s="206" t="s">
        <v>2676</v>
      </c>
      <c r="X65" s="206" t="s">
        <v>2677</v>
      </c>
      <c r="Y65" s="206">
        <v>3000</v>
      </c>
      <c r="Z65" s="206">
        <v>3000</v>
      </c>
      <c r="AA65" s="206">
        <v>0</v>
      </c>
      <c r="AB65" s="206">
        <v>0</v>
      </c>
      <c r="AC65" s="206">
        <v>3000</v>
      </c>
      <c r="AD65" s="206">
        <v>22</v>
      </c>
      <c r="AE65" s="206">
        <v>0</v>
      </c>
    </row>
    <row r="66" spans="1:31" ht="16.5">
      <c r="A66" s="383">
        <v>6126</v>
      </c>
      <c r="B66" s="383" t="s">
        <v>1838</v>
      </c>
      <c r="C66" s="383">
        <v>61262</v>
      </c>
      <c r="D66" s="388">
        <v>42453</v>
      </c>
      <c r="E66" s="388">
        <v>43548</v>
      </c>
      <c r="F66" s="384">
        <v>250000000</v>
      </c>
      <c r="G66" s="414">
        <v>227300000</v>
      </c>
      <c r="H66" s="385">
        <v>0.91</v>
      </c>
      <c r="I66" s="436">
        <v>898</v>
      </c>
      <c r="J66" s="206">
        <v>126.5</v>
      </c>
      <c r="K66" s="206">
        <v>9.15</v>
      </c>
      <c r="L66" s="206">
        <f>VLOOKUP(6126,收盤價!A:C,3,0)</f>
        <v>11.2</v>
      </c>
      <c r="M66" s="206">
        <v>10929</v>
      </c>
      <c r="N66" s="206">
        <v>123.49770000000001</v>
      </c>
      <c r="O66" s="438">
        <v>2.3699999999999999E-2</v>
      </c>
      <c r="P66" s="438">
        <v>0.1903</v>
      </c>
      <c r="Q66" s="438">
        <v>-2.171616510014145E-3</v>
      </c>
      <c r="R66" s="206">
        <f>VLOOKUP(61262,V:AE,9,0)</f>
        <v>8</v>
      </c>
      <c r="S66" s="206">
        <f>VLOOKUP(6126,季財報!A:N,5,0)</f>
        <v>5</v>
      </c>
      <c r="T66" s="206">
        <f>VLOOKUP(6126,季財報!A:N,4,0)</f>
        <v>0</v>
      </c>
      <c r="U66" s="441">
        <v>28412500</v>
      </c>
      <c r="V66" s="206">
        <v>30392</v>
      </c>
      <c r="W66" s="206" t="s">
        <v>2538</v>
      </c>
      <c r="X66" s="206" t="s">
        <v>2539</v>
      </c>
      <c r="Y66" s="206">
        <v>1808</v>
      </c>
      <c r="Z66" s="206">
        <v>1808</v>
      </c>
      <c r="AA66" s="206">
        <v>0</v>
      </c>
      <c r="AB66" s="206">
        <v>0</v>
      </c>
      <c r="AC66" s="206">
        <v>1808</v>
      </c>
      <c r="AD66" s="206">
        <v>12</v>
      </c>
      <c r="AE66" s="206">
        <v>0</v>
      </c>
    </row>
    <row r="67" spans="1:31">
      <c r="A67" s="382">
        <v>6115</v>
      </c>
      <c r="B67" s="386" t="s">
        <v>2005</v>
      </c>
      <c r="C67" s="382">
        <v>61153</v>
      </c>
      <c r="D67" s="388">
        <v>41082</v>
      </c>
      <c r="E67" s="388">
        <v>42908</v>
      </c>
      <c r="F67" s="384">
        <v>800000000</v>
      </c>
      <c r="G67" s="414">
        <v>227000000</v>
      </c>
      <c r="H67" s="385">
        <v>0.28000000000000003</v>
      </c>
      <c r="I67" s="436">
        <v>258</v>
      </c>
      <c r="J67" s="206">
        <v>149</v>
      </c>
      <c r="K67" s="206">
        <v>28.6</v>
      </c>
      <c r="L67" s="206">
        <f>VLOOKUP(6115,收盤價!A:C,3,0)</f>
        <v>45</v>
      </c>
      <c r="M67" s="206">
        <v>3496</v>
      </c>
      <c r="N67" s="206">
        <v>148.2304</v>
      </c>
      <c r="O67" s="438">
        <v>5.1999999999999998E-3</v>
      </c>
      <c r="P67" s="438">
        <v>0.32550000000000001</v>
      </c>
      <c r="Q67" s="438">
        <v>-1.4774315420883709E-3</v>
      </c>
      <c r="R67" s="206">
        <f>VLOOKUP(61153,V:AE,9,0)</f>
        <v>22</v>
      </c>
      <c r="S67" s="206">
        <f>VLOOKUP(6115,季財報!A:N,5,0)</f>
        <v>3</v>
      </c>
      <c r="T67" s="206">
        <f>VLOOKUP(6115,季財報!A:N,4,0)</f>
        <v>11.838461538461539</v>
      </c>
      <c r="U67" s="441">
        <v>10318181.818181818</v>
      </c>
      <c r="V67" s="206">
        <v>31491</v>
      </c>
      <c r="W67" s="206" t="s">
        <v>2550</v>
      </c>
      <c r="X67" s="206" t="s">
        <v>2551</v>
      </c>
      <c r="Y67" s="206">
        <v>4800</v>
      </c>
      <c r="Z67" s="206">
        <v>4800</v>
      </c>
      <c r="AA67" s="206">
        <v>0</v>
      </c>
      <c r="AB67" s="206">
        <v>0</v>
      </c>
      <c r="AC67" s="206">
        <v>4800</v>
      </c>
      <c r="AD67" s="206">
        <v>42</v>
      </c>
      <c r="AE67" s="206">
        <v>0</v>
      </c>
    </row>
    <row r="68" spans="1:31" ht="16.149999999999999" customHeight="1">
      <c r="A68" s="383">
        <v>6107</v>
      </c>
      <c r="B68" s="383" t="s">
        <v>2004</v>
      </c>
      <c r="C68" s="383">
        <v>61071</v>
      </c>
      <c r="D68" s="388">
        <v>42136</v>
      </c>
      <c r="E68" s="388">
        <v>43232</v>
      </c>
      <c r="F68" s="384">
        <v>400000000</v>
      </c>
      <c r="G68" s="414">
        <v>397700000</v>
      </c>
      <c r="H68" s="385">
        <v>0.99</v>
      </c>
      <c r="I68" s="436">
        <v>582</v>
      </c>
      <c r="J68" s="206">
        <v>117</v>
      </c>
      <c r="K68" s="206">
        <v>69.06</v>
      </c>
      <c r="L68" s="206">
        <f>VLOOKUP(6107,收盤價!A:C,3,0)</f>
        <v>69.099999999999994</v>
      </c>
      <c r="M68" s="206">
        <v>1448</v>
      </c>
      <c r="N68" s="206">
        <v>104.83520000000001</v>
      </c>
      <c r="O68" s="438">
        <v>0.104</v>
      </c>
      <c r="P68" s="438">
        <v>4.6100000000000002E-2</v>
      </c>
      <c r="Q68" s="438">
        <v>-7.1804316003211036E-2</v>
      </c>
      <c r="R68" s="206">
        <f>VLOOKUP(61071,V:AE,9,0)</f>
        <v>21</v>
      </c>
      <c r="S68" s="206">
        <f>VLOOKUP(6107,季財報!A:N,5,0)</f>
        <v>1</v>
      </c>
      <c r="T68" s="206">
        <f>VLOOKUP(6107,季財報!A:N,4,0)</f>
        <v>8.2606856470242054</v>
      </c>
      <c r="U68" s="441">
        <v>18938095.238095239</v>
      </c>
      <c r="V68" s="206">
        <v>35941</v>
      </c>
      <c r="W68" s="206" t="s">
        <v>2607</v>
      </c>
      <c r="X68" s="206" t="s">
        <v>2608</v>
      </c>
      <c r="Y68" s="206">
        <v>2961</v>
      </c>
      <c r="Z68" s="206">
        <v>2961</v>
      </c>
      <c r="AA68" s="206">
        <v>0</v>
      </c>
      <c r="AB68" s="206">
        <v>0</v>
      </c>
      <c r="AC68" s="206">
        <v>3000</v>
      </c>
      <c r="AD68" s="206">
        <v>37</v>
      </c>
      <c r="AE68" s="206">
        <v>0</v>
      </c>
    </row>
    <row r="69" spans="1:31" ht="15.6" customHeight="1">
      <c r="A69" s="383">
        <v>6105</v>
      </c>
      <c r="B69" s="383" t="s">
        <v>1775</v>
      </c>
      <c r="C69" s="383">
        <v>61053</v>
      </c>
      <c r="D69" s="388">
        <v>41920</v>
      </c>
      <c r="E69" s="388">
        <v>43016</v>
      </c>
      <c r="F69" s="384">
        <v>600000000</v>
      </c>
      <c r="G69" s="414">
        <v>271500000</v>
      </c>
      <c r="H69" s="385">
        <v>0.45</v>
      </c>
      <c r="I69" s="436">
        <v>366</v>
      </c>
      <c r="J69" s="206">
        <v>126</v>
      </c>
      <c r="K69" s="206">
        <v>35.9</v>
      </c>
      <c r="L69" s="206">
        <f>VLOOKUP(6105,收盤價!A:C,3,0)</f>
        <v>42.65</v>
      </c>
      <c r="M69" s="206">
        <v>2786</v>
      </c>
      <c r="N69" s="206">
        <v>126.20579999999998</v>
      </c>
      <c r="O69" s="438">
        <v>-1.6000000000000001E-3</v>
      </c>
      <c r="P69" s="438">
        <v>0.20749999999999999</v>
      </c>
      <c r="Q69" s="438">
        <v>5.8626465661639653E-4</v>
      </c>
      <c r="R69" s="206">
        <f>VLOOKUP(61053,V:AE,9,0)</f>
        <v>26</v>
      </c>
      <c r="S69" s="206">
        <f>VLOOKUP(6105,季財報!A:N,5,0)</f>
        <v>4</v>
      </c>
      <c r="T69" s="206">
        <f>VLOOKUP(6105,季財報!A:N,4,0)</f>
        <v>8.8687147556390968</v>
      </c>
      <c r="U69" s="441">
        <v>10442307.692307692</v>
      </c>
      <c r="V69" s="206">
        <v>30181</v>
      </c>
      <c r="W69" s="206" t="s">
        <v>2531</v>
      </c>
      <c r="X69" s="206" t="s">
        <v>2532</v>
      </c>
      <c r="Y69" s="206">
        <v>671</v>
      </c>
      <c r="Z69" s="206">
        <v>671</v>
      </c>
      <c r="AA69" s="206">
        <v>0</v>
      </c>
      <c r="AB69" s="206">
        <v>0</v>
      </c>
      <c r="AC69" s="206">
        <v>750</v>
      </c>
      <c r="AD69" s="206">
        <v>6</v>
      </c>
      <c r="AE69" s="206">
        <v>0</v>
      </c>
    </row>
    <row r="70" spans="1:31" ht="16.5">
      <c r="A70" s="383">
        <v>5608</v>
      </c>
      <c r="B70" s="383" t="s">
        <v>2003</v>
      </c>
      <c r="C70" s="383">
        <v>56085</v>
      </c>
      <c r="D70" s="388">
        <v>42047</v>
      </c>
      <c r="E70" s="388">
        <v>43143</v>
      </c>
      <c r="F70" s="384">
        <v>250000000</v>
      </c>
      <c r="G70" s="414">
        <v>249200000</v>
      </c>
      <c r="H70" s="385">
        <v>1</v>
      </c>
      <c r="I70" s="436">
        <v>493</v>
      </c>
      <c r="J70" s="206">
        <v>100.5</v>
      </c>
      <c r="K70" s="206">
        <v>16.98</v>
      </c>
      <c r="L70" s="206">
        <f>VLOOKUP(5608,收盤價!A:C,3,0)</f>
        <v>9</v>
      </c>
      <c r="M70" s="206">
        <v>5889</v>
      </c>
      <c r="N70" s="206">
        <v>100</v>
      </c>
      <c r="O70" s="438">
        <v>5.0000000000000001E-3</v>
      </c>
      <c r="P70" s="438">
        <v>-0.82969999999999999</v>
      </c>
      <c r="Q70" s="438">
        <v>-7.7469808370272938E-2</v>
      </c>
      <c r="R70" s="206">
        <f>VLOOKUP(56085,V:AE,9,0)</f>
        <v>164</v>
      </c>
      <c r="S70" s="206">
        <f>VLOOKUP(5608,季財報!A:N,5,0)</f>
        <v>3</v>
      </c>
      <c r="T70" s="206">
        <f>VLOOKUP(5608,季財報!A:N,4,0)</f>
        <v>0</v>
      </c>
      <c r="U70" s="441">
        <v>1519512.1951219512</v>
      </c>
      <c r="V70" s="206">
        <v>41301</v>
      </c>
      <c r="W70" s="206" t="s">
        <v>2647</v>
      </c>
      <c r="X70" s="206" t="s">
        <v>2648</v>
      </c>
      <c r="Y70" s="206">
        <v>2500</v>
      </c>
      <c r="Z70" s="206">
        <v>2500</v>
      </c>
      <c r="AA70" s="206">
        <v>0</v>
      </c>
      <c r="AB70" s="206">
        <v>0</v>
      </c>
      <c r="AC70" s="206">
        <v>2500</v>
      </c>
      <c r="AD70" s="206">
        <v>47</v>
      </c>
      <c r="AE70" s="206">
        <v>0</v>
      </c>
    </row>
    <row r="71" spans="1:31" ht="16.149999999999999" customHeight="1">
      <c r="A71" s="387">
        <v>5608</v>
      </c>
      <c r="B71" s="387" t="s">
        <v>2003</v>
      </c>
      <c r="C71" s="387">
        <v>56084</v>
      </c>
      <c r="D71" s="388">
        <v>42046</v>
      </c>
      <c r="E71" s="388">
        <v>43142</v>
      </c>
      <c r="F71" s="384">
        <v>400000000</v>
      </c>
      <c r="G71" s="414">
        <v>400000000</v>
      </c>
      <c r="H71" s="385">
        <v>1</v>
      </c>
      <c r="I71" s="436">
        <v>492</v>
      </c>
      <c r="J71" s="206">
        <v>99.5</v>
      </c>
      <c r="K71" s="206">
        <v>16.98</v>
      </c>
      <c r="L71" s="206">
        <f>VLOOKUP(5608,收盤價!A:C,3,0)</f>
        <v>9</v>
      </c>
      <c r="M71" s="206">
        <v>5889</v>
      </c>
      <c r="N71" s="206">
        <v>100</v>
      </c>
      <c r="O71" s="438">
        <v>-5.0000000000000001E-3</v>
      </c>
      <c r="P71" s="438">
        <v>-0.82969999999999999</v>
      </c>
      <c r="Q71" s="438">
        <v>-7.6541785169692927E-2</v>
      </c>
      <c r="R71" s="206">
        <f>VLOOKUP(56084,V:AE,9,0)</f>
        <v>39</v>
      </c>
      <c r="S71" s="206">
        <f>VLOOKUP(5608,季財報!A:N,5,0)</f>
        <v>3</v>
      </c>
      <c r="T71" s="206">
        <f>VLOOKUP(5608,季財報!A:N,4,0)</f>
        <v>0</v>
      </c>
      <c r="U71" s="441">
        <v>10256410.256410256</v>
      </c>
      <c r="V71" s="206">
        <v>32522</v>
      </c>
      <c r="W71" s="206" t="s">
        <v>2564</v>
      </c>
      <c r="X71" s="206" t="s">
        <v>2565</v>
      </c>
      <c r="Y71" s="206">
        <v>1578</v>
      </c>
      <c r="Z71" s="206">
        <v>1578</v>
      </c>
      <c r="AA71" s="206">
        <v>0</v>
      </c>
      <c r="AB71" s="206">
        <v>0</v>
      </c>
      <c r="AC71" s="206">
        <v>2000</v>
      </c>
      <c r="AD71" s="206">
        <v>6</v>
      </c>
      <c r="AE71" s="206">
        <v>0</v>
      </c>
    </row>
    <row r="72" spans="1:31" ht="16.5">
      <c r="A72" s="383">
        <v>5529</v>
      </c>
      <c r="B72" s="383" t="s">
        <v>2002</v>
      </c>
      <c r="C72" s="383">
        <v>55291</v>
      </c>
      <c r="D72" s="388">
        <v>42027</v>
      </c>
      <c r="E72" s="388">
        <v>43123</v>
      </c>
      <c r="F72" s="384">
        <v>400000000</v>
      </c>
      <c r="G72" s="414">
        <v>400000000</v>
      </c>
      <c r="H72" s="385">
        <v>1</v>
      </c>
      <c r="I72" s="436">
        <v>473</v>
      </c>
      <c r="J72" s="206">
        <v>101</v>
      </c>
      <c r="K72" s="206">
        <v>14.8</v>
      </c>
      <c r="L72" s="206">
        <f>VLOOKUP(5529,收盤價!A:C,3,0)</f>
        <v>8.7799999999999994</v>
      </c>
      <c r="M72" s="206">
        <v>6757</v>
      </c>
      <c r="N72" s="206">
        <v>100</v>
      </c>
      <c r="O72" s="438">
        <v>9.9000000000000008E-3</v>
      </c>
      <c r="P72" s="438">
        <v>-0.55789999999999995</v>
      </c>
      <c r="Q72" s="438">
        <v>-5.393526625120703E-2</v>
      </c>
      <c r="R72" s="206">
        <f>VLOOKUP(55291,V:AE,9,0)</f>
        <v>17</v>
      </c>
      <c r="S72" s="206">
        <f>VLOOKUP(5529,季財報!A:N,5,0)</f>
        <v>0</v>
      </c>
      <c r="T72" s="206">
        <f>VLOOKUP(5529,季財報!A:N,4,0)</f>
        <v>0</v>
      </c>
      <c r="U72" s="441">
        <v>23529411.764705881</v>
      </c>
      <c r="V72" s="206">
        <v>14774</v>
      </c>
      <c r="W72" s="206" t="s">
        <v>2377</v>
      </c>
      <c r="X72" s="206" t="s">
        <v>2378</v>
      </c>
      <c r="Y72" s="206">
        <v>1703</v>
      </c>
      <c r="Z72" s="206">
        <v>2185</v>
      </c>
      <c r="AA72" s="206">
        <v>-482</v>
      </c>
      <c r="AB72" s="206">
        <v>-22.06</v>
      </c>
      <c r="AC72" s="206">
        <v>7000</v>
      </c>
      <c r="AD72" s="206">
        <v>63</v>
      </c>
      <c r="AE72" s="206">
        <v>0</v>
      </c>
    </row>
    <row r="73" spans="1:31" ht="16.5">
      <c r="A73" s="383">
        <v>5519</v>
      </c>
      <c r="B73" s="383" t="s">
        <v>2001</v>
      </c>
      <c r="C73" s="383">
        <v>55192</v>
      </c>
      <c r="D73" s="388">
        <v>42264</v>
      </c>
      <c r="E73" s="388">
        <v>43360</v>
      </c>
      <c r="F73" s="384">
        <v>100000000</v>
      </c>
      <c r="G73" s="414">
        <v>99100000</v>
      </c>
      <c r="H73" s="385">
        <v>0.99</v>
      </c>
      <c r="I73" s="436">
        <v>710</v>
      </c>
      <c r="J73" s="206">
        <v>99.8</v>
      </c>
      <c r="K73" s="206">
        <v>13.42</v>
      </c>
      <c r="L73" s="206">
        <f>VLOOKUP(5519,收盤價!A:C,3,0)</f>
        <v>10.3</v>
      </c>
      <c r="M73" s="206">
        <v>7452</v>
      </c>
      <c r="N73" s="206">
        <v>100</v>
      </c>
      <c r="O73" s="438">
        <v>-2E-3</v>
      </c>
      <c r="P73" s="438">
        <v>-0.24260000000000001</v>
      </c>
      <c r="Q73" s="438">
        <v>-2.5975730311938963E-2</v>
      </c>
      <c r="R73" s="206">
        <f>VLOOKUP(55192,V:AE,9,0)</f>
        <v>66</v>
      </c>
      <c r="S73" s="206">
        <f>VLOOKUP(5519,季財報!A:N,5,0)</f>
        <v>4</v>
      </c>
      <c r="T73" s="206">
        <f>VLOOKUP(5519,季財報!A:N,4,0)</f>
        <v>3.7762426674899667</v>
      </c>
      <c r="U73" s="441">
        <v>1501515.1515151516</v>
      </c>
      <c r="V73" s="206">
        <v>41611</v>
      </c>
      <c r="W73" s="206" t="s">
        <v>2658</v>
      </c>
      <c r="X73" s="206" t="s">
        <v>2659</v>
      </c>
      <c r="Y73" s="206">
        <v>384</v>
      </c>
      <c r="Z73" s="206">
        <v>384</v>
      </c>
      <c r="AA73" s="206">
        <v>0</v>
      </c>
      <c r="AB73" s="206">
        <v>0</v>
      </c>
      <c r="AC73" s="206">
        <v>2500</v>
      </c>
      <c r="AD73" s="206">
        <v>4</v>
      </c>
      <c r="AE73" s="206">
        <v>0</v>
      </c>
    </row>
    <row r="74" spans="1:31" ht="16.5">
      <c r="A74" s="383">
        <v>5519</v>
      </c>
      <c r="B74" s="383" t="s">
        <v>2001</v>
      </c>
      <c r="C74" s="383">
        <v>55191</v>
      </c>
      <c r="D74" s="388">
        <v>42263</v>
      </c>
      <c r="E74" s="388">
        <v>43359</v>
      </c>
      <c r="F74" s="384">
        <v>200000000</v>
      </c>
      <c r="G74" s="414">
        <v>200000000</v>
      </c>
      <c r="H74" s="385">
        <v>1</v>
      </c>
      <c r="I74" s="436">
        <v>709</v>
      </c>
      <c r="J74" s="206">
        <v>103</v>
      </c>
      <c r="K74" s="206">
        <v>13.39</v>
      </c>
      <c r="L74" s="206">
        <f>VLOOKUP(5519,收盤價!A:C,3,0)</f>
        <v>10.3</v>
      </c>
      <c r="M74" s="206">
        <v>7468</v>
      </c>
      <c r="N74" s="206">
        <v>100</v>
      </c>
      <c r="O74" s="438">
        <v>2.9100000000000001E-2</v>
      </c>
      <c r="P74" s="438">
        <v>-0.23980000000000001</v>
      </c>
      <c r="Q74" s="438">
        <v>-2.9050290950125065E-2</v>
      </c>
      <c r="R74" s="206">
        <f>VLOOKUP(55191,V:AE,9,0)</f>
        <v>15</v>
      </c>
      <c r="S74" s="206">
        <f>VLOOKUP(5519,季財報!A:N,5,0)</f>
        <v>4</v>
      </c>
      <c r="T74" s="206">
        <f>VLOOKUP(5519,季財報!A:N,4,0)</f>
        <v>3.7762426674899667</v>
      </c>
      <c r="U74" s="441">
        <v>13333333.333333334</v>
      </c>
      <c r="V74" s="206">
        <v>15695</v>
      </c>
      <c r="W74" s="206" t="s">
        <v>2385</v>
      </c>
      <c r="X74" s="206" t="s">
        <v>2386</v>
      </c>
      <c r="Y74" s="206">
        <v>2000</v>
      </c>
      <c r="Z74" s="206">
        <v>2000</v>
      </c>
      <c r="AA74" s="206">
        <v>0</v>
      </c>
      <c r="AB74" s="206">
        <v>0</v>
      </c>
      <c r="AC74" s="206">
        <v>2000</v>
      </c>
      <c r="AD74" s="206">
        <v>11</v>
      </c>
      <c r="AE74" s="206">
        <v>0</v>
      </c>
    </row>
    <row r="75" spans="1:31" ht="16.149999999999999" customHeight="1">
      <c r="A75" s="383">
        <v>5491</v>
      </c>
      <c r="B75" s="383" t="s">
        <v>2309</v>
      </c>
      <c r="C75" s="383">
        <v>54913</v>
      </c>
      <c r="D75" s="388">
        <v>41634</v>
      </c>
      <c r="E75" s="388">
        <v>42730</v>
      </c>
      <c r="F75" s="384">
        <v>300000000</v>
      </c>
      <c r="G75" s="414">
        <v>45900000</v>
      </c>
      <c r="H75" s="385">
        <v>0.15</v>
      </c>
      <c r="I75" s="436">
        <v>80</v>
      </c>
      <c r="J75" s="206">
        <v>100</v>
      </c>
      <c r="K75" s="206">
        <v>10.1</v>
      </c>
      <c r="L75" s="206">
        <f>VLOOKUP(5491,收盤價!A:C,3,0)</f>
        <v>8.6</v>
      </c>
      <c r="M75" s="206">
        <v>9901</v>
      </c>
      <c r="N75" s="206">
        <v>100</v>
      </c>
      <c r="O75" s="438">
        <v>0</v>
      </c>
      <c r="P75" s="438">
        <v>-0.28170000000000001</v>
      </c>
      <c r="Q75" s="438">
        <v>-2.2199899000100994E-2</v>
      </c>
      <c r="R75" s="206">
        <f>VLOOKUP(54913,V:AE,9,0)</f>
        <v>5</v>
      </c>
      <c r="S75" s="206">
        <f>VLOOKUP(5491,季財報!A:N,5,0)</f>
        <v>4</v>
      </c>
      <c r="T75" s="206">
        <f>VLOOKUP(5491,季財報!A:N,4,0)</f>
        <v>0</v>
      </c>
      <c r="U75" s="441">
        <v>9180000</v>
      </c>
      <c r="V75" s="206">
        <v>45343</v>
      </c>
      <c r="W75" s="206" t="s">
        <v>2674</v>
      </c>
      <c r="X75" s="206" t="s">
        <v>2675</v>
      </c>
      <c r="Y75" s="206">
        <v>2274</v>
      </c>
      <c r="Z75" s="206">
        <v>2322</v>
      </c>
      <c r="AA75" s="206">
        <v>-48</v>
      </c>
      <c r="AB75" s="206">
        <v>-2.0699999999999998</v>
      </c>
      <c r="AC75" s="206">
        <v>2500</v>
      </c>
      <c r="AD75" s="206">
        <v>6</v>
      </c>
      <c r="AE75" s="206">
        <v>0</v>
      </c>
    </row>
    <row r="76" spans="1:31">
      <c r="A76" s="382">
        <v>5475</v>
      </c>
      <c r="B76" s="386" t="s">
        <v>1771</v>
      </c>
      <c r="C76" s="382">
        <v>54759</v>
      </c>
      <c r="D76" s="388">
        <v>42243</v>
      </c>
      <c r="E76" s="388">
        <v>43339</v>
      </c>
      <c r="F76" s="384">
        <v>200000000</v>
      </c>
      <c r="G76" s="414">
        <v>200000000</v>
      </c>
      <c r="H76" s="385">
        <v>1</v>
      </c>
      <c r="I76" s="436">
        <v>689</v>
      </c>
      <c r="J76" s="206">
        <v>104</v>
      </c>
      <c r="K76" s="206">
        <v>4.8</v>
      </c>
      <c r="L76" s="206">
        <f>VLOOKUP(5475,收盤價!A:C,3,0)</f>
        <v>3.87</v>
      </c>
      <c r="M76" s="206">
        <v>20833</v>
      </c>
      <c r="N76" s="206">
        <v>100</v>
      </c>
      <c r="O76" s="438">
        <v>3.85E-2</v>
      </c>
      <c r="P76" s="438">
        <v>-0.30790000000000001</v>
      </c>
      <c r="Q76" s="438">
        <v>-1.2712306473826655E-2</v>
      </c>
      <c r="R76" s="206">
        <f>VLOOKUP(54759,V:AE,9,0)</f>
        <v>21</v>
      </c>
      <c r="S76" s="206">
        <f>VLOOKUP(5475,季財報!A:N,5,0)</f>
        <v>3</v>
      </c>
      <c r="T76" s="206">
        <f>VLOOKUP(5475,季財報!A:N,4,0)</f>
        <v>0</v>
      </c>
      <c r="U76" s="441">
        <v>9523809.5238095243</v>
      </c>
      <c r="V76" s="206">
        <v>41045</v>
      </c>
      <c r="W76" s="206" t="s">
        <v>2637</v>
      </c>
      <c r="X76" s="206" t="s">
        <v>2638</v>
      </c>
      <c r="Y76" s="206">
        <v>205</v>
      </c>
      <c r="Z76" s="206">
        <v>346</v>
      </c>
      <c r="AA76" s="206">
        <v>-141</v>
      </c>
      <c r="AB76" s="206">
        <v>-40.75</v>
      </c>
      <c r="AC76" s="206">
        <v>2517</v>
      </c>
      <c r="AD76" s="206">
        <v>7</v>
      </c>
      <c r="AE76" s="206">
        <v>0</v>
      </c>
    </row>
    <row r="77" spans="1:31" ht="16.5">
      <c r="A77" s="383">
        <v>5475</v>
      </c>
      <c r="B77" s="383" t="s">
        <v>1771</v>
      </c>
      <c r="C77" s="383">
        <v>54758</v>
      </c>
      <c r="D77" s="388">
        <v>42039</v>
      </c>
      <c r="E77" s="388">
        <v>43135</v>
      </c>
      <c r="F77" s="384">
        <v>200000000</v>
      </c>
      <c r="G77" s="414">
        <v>200000000</v>
      </c>
      <c r="H77" s="385">
        <v>1</v>
      </c>
      <c r="I77" s="436">
        <v>485</v>
      </c>
      <c r="J77" s="206">
        <v>101.7</v>
      </c>
      <c r="K77" s="206">
        <v>8.15</v>
      </c>
      <c r="L77" s="206">
        <f>VLOOKUP(5475,收盤價!A:C,3,0)</f>
        <v>3.87</v>
      </c>
      <c r="M77" s="206">
        <v>12270</v>
      </c>
      <c r="N77" s="206">
        <v>100</v>
      </c>
      <c r="O77" s="438">
        <v>1.67E-2</v>
      </c>
      <c r="P77" s="438">
        <v>-1.2206999999999999</v>
      </c>
      <c r="Q77" s="438">
        <v>-4.5413063495154504E-2</v>
      </c>
      <c r="R77" s="206">
        <f>VLOOKUP(54758,V:AE,9,0)</f>
        <v>12</v>
      </c>
      <c r="S77" s="206">
        <f>VLOOKUP(5475,季財報!A:N,5,0)</f>
        <v>3</v>
      </c>
      <c r="T77" s="206">
        <f>VLOOKUP(5475,季財報!A:N,4,0)</f>
        <v>0</v>
      </c>
      <c r="U77" s="441">
        <v>16666666.666666666</v>
      </c>
      <c r="V77" s="206">
        <v>52841</v>
      </c>
      <c r="W77" s="206" t="s">
        <v>2721</v>
      </c>
      <c r="X77" s="206" t="s">
        <v>2722</v>
      </c>
      <c r="Y77" s="206">
        <v>595</v>
      </c>
      <c r="Z77" s="206">
        <v>620</v>
      </c>
      <c r="AA77" s="206">
        <v>-25</v>
      </c>
      <c r="AB77" s="206">
        <v>-4.03</v>
      </c>
      <c r="AC77" s="206">
        <v>2000</v>
      </c>
      <c r="AD77" s="206">
        <v>31</v>
      </c>
      <c r="AE77" s="206">
        <v>0</v>
      </c>
    </row>
    <row r="78" spans="1:31" ht="16.5">
      <c r="A78" s="383">
        <v>5475</v>
      </c>
      <c r="B78" s="383" t="s">
        <v>1771</v>
      </c>
      <c r="C78" s="383">
        <v>54757</v>
      </c>
      <c r="D78" s="388">
        <v>41694</v>
      </c>
      <c r="E78" s="388">
        <v>42790</v>
      </c>
      <c r="F78" s="384">
        <v>200000000</v>
      </c>
      <c r="G78" s="414">
        <v>98200000</v>
      </c>
      <c r="H78" s="385">
        <v>0.49</v>
      </c>
      <c r="I78" s="436">
        <v>140</v>
      </c>
      <c r="J78" s="206">
        <v>102.95</v>
      </c>
      <c r="K78" s="206">
        <v>7.5</v>
      </c>
      <c r="L78" s="206">
        <f>VLOOKUP(5475,收盤價!A:C,3,0)</f>
        <v>3.87</v>
      </c>
      <c r="M78" s="206">
        <v>13333</v>
      </c>
      <c r="N78" s="206">
        <v>100</v>
      </c>
      <c r="O78" s="438">
        <v>2.87E-2</v>
      </c>
      <c r="P78" s="438">
        <v>-1.0436000000000001</v>
      </c>
      <c r="Q78" s="438">
        <v>-3.9353502050275879E-2</v>
      </c>
      <c r="R78" s="206">
        <f>VLOOKUP(54757,V:AE,9,0)</f>
        <v>7</v>
      </c>
      <c r="S78" s="206">
        <f>VLOOKUP(5475,季財報!A:N,5,0)</f>
        <v>3</v>
      </c>
      <c r="T78" s="206">
        <f>VLOOKUP(5475,季財報!A:N,4,0)</f>
        <v>0</v>
      </c>
      <c r="U78" s="441">
        <v>14028571.428571429</v>
      </c>
      <c r="V78" s="206">
        <v>62384</v>
      </c>
      <c r="W78" s="206" t="s">
        <v>2797</v>
      </c>
      <c r="X78" s="206" t="s">
        <v>2796</v>
      </c>
      <c r="Y78" s="206">
        <v>52</v>
      </c>
      <c r="Z78" s="206">
        <v>131</v>
      </c>
      <c r="AA78" s="206">
        <v>-79</v>
      </c>
      <c r="AB78" s="206">
        <v>-60.31</v>
      </c>
      <c r="AC78" s="206">
        <v>1000</v>
      </c>
      <c r="AD78" s="206">
        <v>2</v>
      </c>
      <c r="AE78" s="206">
        <v>0</v>
      </c>
    </row>
    <row r="79" spans="1:31" ht="15.6" customHeight="1">
      <c r="A79" s="382">
        <v>5392</v>
      </c>
      <c r="B79" s="386" t="s">
        <v>2000</v>
      </c>
      <c r="C79" s="382">
        <v>53924</v>
      </c>
      <c r="D79" s="388">
        <v>42305</v>
      </c>
      <c r="E79" s="388">
        <v>44132</v>
      </c>
      <c r="F79" s="384">
        <v>1500000000</v>
      </c>
      <c r="G79" s="414">
        <v>1258600000</v>
      </c>
      <c r="H79" s="385">
        <v>0.84</v>
      </c>
      <c r="I79" s="436">
        <v>1482</v>
      </c>
      <c r="J79" s="206">
        <v>108</v>
      </c>
      <c r="K79" s="206">
        <v>53.2</v>
      </c>
      <c r="L79" s="206">
        <f>VLOOKUP(5392,收盤價!A:C,3,0)</f>
        <v>50.1</v>
      </c>
      <c r="M79" s="206">
        <v>1880</v>
      </c>
      <c r="N79" s="206">
        <v>102.836</v>
      </c>
      <c r="O79" s="438">
        <v>4.7800000000000002E-2</v>
      </c>
      <c r="P79" s="438">
        <v>2.7400000000000001E-2</v>
      </c>
      <c r="Q79" s="438">
        <v>-2.5433412135539776E-2</v>
      </c>
      <c r="R79" s="206">
        <f>VLOOKUP(53924,V:AE,9,0)</f>
        <v>100</v>
      </c>
      <c r="S79" s="206">
        <f>VLOOKUP(5392,季財報!A:N,5,0)</f>
        <v>2</v>
      </c>
      <c r="T79" s="206">
        <f>VLOOKUP(5392,季財報!A:N,4,0)</f>
        <v>0</v>
      </c>
      <c r="U79" s="441">
        <v>12586000</v>
      </c>
      <c r="V79" s="206">
        <v>17332</v>
      </c>
      <c r="W79" s="206" t="s">
        <v>2416</v>
      </c>
      <c r="X79" s="206" t="s">
        <v>2417</v>
      </c>
      <c r="Y79" s="206">
        <v>3447</v>
      </c>
      <c r="Z79" s="206">
        <v>3447</v>
      </c>
      <c r="AA79" s="206">
        <v>0</v>
      </c>
      <c r="AB79" s="206">
        <v>0</v>
      </c>
      <c r="AC79" s="206">
        <v>4000</v>
      </c>
      <c r="AD79" s="206">
        <v>56</v>
      </c>
      <c r="AE79" s="206">
        <v>0</v>
      </c>
    </row>
    <row r="80" spans="1:31" ht="16.5">
      <c r="A80" s="383">
        <v>5309</v>
      </c>
      <c r="B80" s="383" t="s">
        <v>1777</v>
      </c>
      <c r="C80" s="383">
        <v>53093</v>
      </c>
      <c r="D80" s="388">
        <v>42016</v>
      </c>
      <c r="E80" s="388">
        <v>43112</v>
      </c>
      <c r="F80" s="384">
        <v>400000000</v>
      </c>
      <c r="G80" s="414">
        <v>82700000</v>
      </c>
      <c r="H80" s="385">
        <v>0.21</v>
      </c>
      <c r="I80" s="436">
        <v>462</v>
      </c>
      <c r="J80" s="206">
        <v>109</v>
      </c>
      <c r="K80" s="206">
        <v>14.85</v>
      </c>
      <c r="L80" s="206">
        <f>VLOOKUP(5309,收盤價!A:C,3,0)</f>
        <v>12.2</v>
      </c>
      <c r="M80" s="206">
        <v>6734</v>
      </c>
      <c r="N80" s="206">
        <v>100</v>
      </c>
      <c r="O80" s="438">
        <v>8.2600000000000007E-2</v>
      </c>
      <c r="P80" s="438">
        <v>-0.15559999999999999</v>
      </c>
      <c r="Q80" s="438">
        <v>-3.0610240243267771E-2</v>
      </c>
      <c r="R80" s="206">
        <f>VLOOKUP(53093,V:AE,9,0)</f>
        <v>19</v>
      </c>
      <c r="S80" s="206">
        <f>VLOOKUP(5309,季財報!A:N,5,0)</f>
        <v>1</v>
      </c>
      <c r="T80" s="206">
        <f>VLOOKUP(5309,季財報!A:N,4,0)</f>
        <v>0</v>
      </c>
      <c r="U80" s="441">
        <v>4352631.5789473681</v>
      </c>
      <c r="V80" s="206">
        <v>49791</v>
      </c>
      <c r="W80" s="206" t="s">
        <v>2705</v>
      </c>
      <c r="X80" s="206" t="s">
        <v>2706</v>
      </c>
      <c r="Y80" s="206">
        <v>8000</v>
      </c>
      <c r="Z80" s="206">
        <v>8000</v>
      </c>
      <c r="AA80" s="206">
        <v>0</v>
      </c>
      <c r="AB80" s="206">
        <v>0</v>
      </c>
      <c r="AC80" s="206">
        <v>8000</v>
      </c>
      <c r="AD80" s="206">
        <v>46</v>
      </c>
      <c r="AE80" s="206">
        <v>0</v>
      </c>
    </row>
    <row r="81" spans="1:31" ht="16.149999999999999" customHeight="1">
      <c r="A81" s="383">
        <v>5289</v>
      </c>
      <c r="B81" s="383" t="s">
        <v>1793</v>
      </c>
      <c r="C81" s="383">
        <v>52891</v>
      </c>
      <c r="D81" s="388">
        <v>42292</v>
      </c>
      <c r="E81" s="388">
        <v>43388</v>
      </c>
      <c r="F81" s="384">
        <v>500000000</v>
      </c>
      <c r="G81" s="414">
        <v>500000000</v>
      </c>
      <c r="H81" s="385">
        <v>1</v>
      </c>
      <c r="I81" s="436">
        <v>738</v>
      </c>
      <c r="J81" s="206">
        <v>109.9</v>
      </c>
      <c r="K81" s="206">
        <v>91.9</v>
      </c>
      <c r="L81" s="206">
        <f>VLOOKUP(5289,收盤價!A:C,3,0)</f>
        <v>83.6</v>
      </c>
      <c r="M81" s="206">
        <v>1088</v>
      </c>
      <c r="N81" s="206">
        <v>100.096</v>
      </c>
      <c r="O81" s="438">
        <v>8.9200000000000002E-2</v>
      </c>
      <c r="P81" s="438">
        <v>1.1000000000000001E-3</v>
      </c>
      <c r="Q81" s="438">
        <v>-8.1992988278113826E-2</v>
      </c>
      <c r="R81" s="206">
        <f>VLOOKUP(52891,V:AE,9,0)</f>
        <v>72</v>
      </c>
      <c r="S81" s="206">
        <f>VLOOKUP(5289,季財報!A:N,5,0)</f>
        <v>0</v>
      </c>
      <c r="T81" s="206">
        <f>VLOOKUP(5289,季財報!A:N,4,0)</f>
        <v>13.476502732240437</v>
      </c>
      <c r="U81" s="441">
        <v>6944444.444444444</v>
      </c>
      <c r="V81" s="206">
        <v>23935</v>
      </c>
      <c r="W81" s="206" t="s">
        <v>2443</v>
      </c>
      <c r="X81" s="206" t="s">
        <v>2444</v>
      </c>
      <c r="Y81" s="206">
        <v>38154</v>
      </c>
      <c r="Z81" s="206">
        <v>38154</v>
      </c>
      <c r="AA81" s="206">
        <v>0</v>
      </c>
      <c r="AB81" s="206">
        <v>0</v>
      </c>
      <c r="AC81" s="206">
        <v>40000</v>
      </c>
      <c r="AD81" s="206">
        <v>98</v>
      </c>
      <c r="AE81" s="206">
        <v>0</v>
      </c>
    </row>
    <row r="82" spans="1:31" ht="15.6" customHeight="1">
      <c r="A82" s="383">
        <v>5285</v>
      </c>
      <c r="B82" s="383" t="s">
        <v>1999</v>
      </c>
      <c r="C82" s="383">
        <v>52851</v>
      </c>
      <c r="D82" s="388">
        <v>41891</v>
      </c>
      <c r="E82" s="388">
        <v>43717</v>
      </c>
      <c r="F82" s="384">
        <v>720000000</v>
      </c>
      <c r="G82" s="414">
        <v>720000000</v>
      </c>
      <c r="H82" s="385">
        <v>1</v>
      </c>
      <c r="I82" s="436">
        <v>1067</v>
      </c>
      <c r="J82" s="206">
        <v>99.5</v>
      </c>
      <c r="K82" s="206">
        <v>40.1</v>
      </c>
      <c r="L82" s="206">
        <f>VLOOKUP(5285,收盤價!A:C,3,0)</f>
        <v>33.35</v>
      </c>
      <c r="M82" s="206">
        <v>2494</v>
      </c>
      <c r="N82" s="206">
        <v>100</v>
      </c>
      <c r="O82" s="438">
        <v>-5.0000000000000001E-3</v>
      </c>
      <c r="P82" s="438">
        <v>-0.34560000000000002</v>
      </c>
      <c r="Q82" s="438">
        <v>-0.10146482210571704</v>
      </c>
      <c r="R82" s="206">
        <f>VLOOKUP(52851,V:AE,9,0)</f>
        <v>65</v>
      </c>
      <c r="S82" s="206">
        <f>VLOOKUP(5285,季財報!A:N,5,0)</f>
        <v>0</v>
      </c>
      <c r="T82" s="206">
        <f>VLOOKUP(5285,季財報!A:N,4,0)</f>
        <v>22.026029526029525</v>
      </c>
      <c r="U82" s="441">
        <v>11076923.076923076</v>
      </c>
      <c r="V82" s="206">
        <v>288602</v>
      </c>
      <c r="W82" s="206" t="s">
        <v>2521</v>
      </c>
      <c r="X82" s="206" t="s">
        <v>2522</v>
      </c>
      <c r="Y82" s="206">
        <v>58000</v>
      </c>
      <c r="Z82" s="206">
        <v>58000</v>
      </c>
      <c r="AA82" s="206">
        <v>0</v>
      </c>
      <c r="AB82" s="206">
        <v>0</v>
      </c>
      <c r="AC82" s="206">
        <v>58000</v>
      </c>
      <c r="AD82" s="206">
        <v>83</v>
      </c>
      <c r="AE82" s="206">
        <v>0</v>
      </c>
    </row>
    <row r="83" spans="1:31" ht="16.5">
      <c r="A83" s="383">
        <v>5284</v>
      </c>
      <c r="B83" s="383" t="s">
        <v>2132</v>
      </c>
      <c r="C83" s="383">
        <v>52841</v>
      </c>
      <c r="D83" s="388">
        <v>42300</v>
      </c>
      <c r="E83" s="388">
        <v>43396</v>
      </c>
      <c r="F83" s="384">
        <v>200000000</v>
      </c>
      <c r="G83" s="414">
        <v>53800000</v>
      </c>
      <c r="H83" s="385">
        <v>0.27</v>
      </c>
      <c r="I83" s="436">
        <v>746</v>
      </c>
      <c r="J83" s="206">
        <v>118.5</v>
      </c>
      <c r="K83" s="206">
        <v>56</v>
      </c>
      <c r="L83" s="206">
        <f>VLOOKUP(5284,收盤價!A:C,3,0)</f>
        <v>63.9</v>
      </c>
      <c r="M83" s="206">
        <v>1786</v>
      </c>
      <c r="N83" s="206">
        <v>116.80440000000002</v>
      </c>
      <c r="O83" s="438">
        <v>1.43E-2</v>
      </c>
      <c r="P83" s="438">
        <v>0.14369999999999999</v>
      </c>
      <c r="Q83" s="438">
        <v>-8.0116801564913843E-3</v>
      </c>
      <c r="R83" s="206">
        <f>VLOOKUP(52841,V:AE,9,0)</f>
        <v>31</v>
      </c>
      <c r="S83" s="206">
        <f>VLOOKUP(5284,季財報!A:N,5,0)</f>
        <v>3</v>
      </c>
      <c r="T83" s="206">
        <f>VLOOKUP(5284,季財報!A:N,4,0)</f>
        <v>15.279621315635369</v>
      </c>
      <c r="U83" s="441">
        <v>1735483.8709677418</v>
      </c>
      <c r="V83" s="206">
        <v>34841</v>
      </c>
      <c r="W83" s="206" t="s">
        <v>2592</v>
      </c>
      <c r="X83" s="206" t="s">
        <v>2593</v>
      </c>
      <c r="Y83" s="206">
        <v>1148</v>
      </c>
      <c r="Z83" s="206">
        <v>1151</v>
      </c>
      <c r="AA83" s="206">
        <v>-3</v>
      </c>
      <c r="AB83" s="206">
        <v>-0.26</v>
      </c>
      <c r="AC83" s="206">
        <v>2000</v>
      </c>
      <c r="AD83" s="206">
        <v>11</v>
      </c>
      <c r="AE83" s="206">
        <v>0</v>
      </c>
    </row>
    <row r="84" spans="1:31" ht="16.149999999999999" customHeight="1">
      <c r="A84" s="383">
        <v>5259</v>
      </c>
      <c r="B84" s="383" t="s">
        <v>1998</v>
      </c>
      <c r="C84" s="383">
        <v>52591</v>
      </c>
      <c r="D84" s="388">
        <v>42171</v>
      </c>
      <c r="E84" s="388">
        <v>43267</v>
      </c>
      <c r="F84" s="384">
        <v>300000000</v>
      </c>
      <c r="G84" s="414">
        <v>300000000</v>
      </c>
      <c r="H84" s="385">
        <v>1</v>
      </c>
      <c r="I84" s="436">
        <v>617</v>
      </c>
      <c r="J84" s="206">
        <v>95</v>
      </c>
      <c r="K84" s="206">
        <v>20.69</v>
      </c>
      <c r="L84" s="206">
        <f>VLOOKUP(5259,收盤價!A:C,3,0)</f>
        <v>1.85</v>
      </c>
      <c r="M84" s="206">
        <v>4833</v>
      </c>
      <c r="N84" s="206">
        <v>100</v>
      </c>
      <c r="O84" s="438">
        <v>-5.2600000000000001E-2</v>
      </c>
      <c r="P84" s="438">
        <v>-8.4045000000000005</v>
      </c>
      <c r="Q84" s="438">
        <v>-0.183752926699119</v>
      </c>
      <c r="R84" s="206">
        <f>VLOOKUP(52591,V:AE,9,0)</f>
        <v>12</v>
      </c>
      <c r="S84" s="206">
        <f>VLOOKUP(5259,季財報!A:N,5,0)</f>
        <v>2</v>
      </c>
      <c r="T84" s="206">
        <f>VLOOKUP(5259,季財報!A:N,4,0)</f>
        <v>0</v>
      </c>
      <c r="U84" s="441">
        <v>25000000</v>
      </c>
      <c r="V84" s="206">
        <v>61684</v>
      </c>
      <c r="W84" s="206" t="s">
        <v>2770</v>
      </c>
      <c r="X84" s="206" t="s">
        <v>2771</v>
      </c>
      <c r="Y84" s="206">
        <v>6000</v>
      </c>
      <c r="Z84" s="206">
        <v>6000</v>
      </c>
      <c r="AA84" s="206">
        <v>0</v>
      </c>
      <c r="AB84" s="206">
        <v>0</v>
      </c>
      <c r="AC84" s="206">
        <v>6000</v>
      </c>
      <c r="AD84" s="206">
        <v>17</v>
      </c>
      <c r="AE84" s="206">
        <v>0</v>
      </c>
    </row>
    <row r="85" spans="1:31" ht="15.6" customHeight="1">
      <c r="A85" s="383">
        <v>5230</v>
      </c>
      <c r="B85" s="383" t="s">
        <v>2129</v>
      </c>
      <c r="C85" s="383">
        <v>52302</v>
      </c>
      <c r="D85" s="388">
        <v>42304</v>
      </c>
      <c r="E85" s="388">
        <v>43400</v>
      </c>
      <c r="F85" s="384">
        <v>200000000</v>
      </c>
      <c r="G85" s="414">
        <v>200000000</v>
      </c>
      <c r="H85" s="385">
        <v>1</v>
      </c>
      <c r="I85" s="436">
        <v>750</v>
      </c>
      <c r="J85" s="206">
        <v>125</v>
      </c>
      <c r="K85" s="206">
        <v>51.9</v>
      </c>
      <c r="L85" s="206">
        <f>VLOOKUP(5230,收盤價!A:C,3,0)</f>
        <v>38.700000000000003</v>
      </c>
      <c r="M85" s="206">
        <v>1927</v>
      </c>
      <c r="N85" s="206">
        <v>100</v>
      </c>
      <c r="O85" s="438">
        <v>0.2</v>
      </c>
      <c r="P85" s="438">
        <v>-0.32229999999999998</v>
      </c>
      <c r="Q85" s="438">
        <v>-0.2049413596263622</v>
      </c>
      <c r="R85" s="206">
        <f>VLOOKUP(52302,V:AE,9,0)</f>
        <v>15</v>
      </c>
      <c r="S85" s="206">
        <f>VLOOKUP(5230,季財報!A:N,5,0)</f>
        <v>1</v>
      </c>
      <c r="T85" s="206">
        <f>VLOOKUP(5230,季財報!A:N,4,0)</f>
        <v>18.97058823529412</v>
      </c>
      <c r="U85" s="441">
        <v>13333333.333333334</v>
      </c>
      <c r="V85" s="206">
        <v>15831</v>
      </c>
      <c r="W85" s="206" t="s">
        <v>2389</v>
      </c>
      <c r="X85" s="206" t="s">
        <v>2390</v>
      </c>
      <c r="Y85" s="206">
        <v>6000</v>
      </c>
      <c r="Z85" s="206">
        <v>6000</v>
      </c>
      <c r="AA85" s="206">
        <v>0</v>
      </c>
      <c r="AB85" s="206">
        <v>0</v>
      </c>
      <c r="AC85" s="206">
        <v>6000</v>
      </c>
      <c r="AD85" s="206">
        <v>57</v>
      </c>
      <c r="AE85" s="206">
        <v>0</v>
      </c>
    </row>
    <row r="86" spans="1:31" ht="16.5">
      <c r="A86" s="383">
        <v>5215</v>
      </c>
      <c r="B86" s="383" t="s">
        <v>2308</v>
      </c>
      <c r="C86" s="383">
        <v>52151</v>
      </c>
      <c r="D86" s="388">
        <v>42164</v>
      </c>
      <c r="E86" s="388">
        <v>43260</v>
      </c>
      <c r="F86" s="384">
        <v>150000000</v>
      </c>
      <c r="G86" s="414">
        <v>150000000</v>
      </c>
      <c r="H86" s="385">
        <v>1</v>
      </c>
      <c r="I86" s="436">
        <v>610</v>
      </c>
      <c r="J86" s="206">
        <v>104</v>
      </c>
      <c r="K86" s="206">
        <v>37.6</v>
      </c>
      <c r="L86" s="206">
        <f>VLOOKUP(5215,收盤價!A:C,3,0)</f>
        <v>27.7</v>
      </c>
      <c r="M86" s="206">
        <v>2660</v>
      </c>
      <c r="N86" s="206">
        <v>100</v>
      </c>
      <c r="O86" s="438">
        <v>3.85E-2</v>
      </c>
      <c r="P86" s="438">
        <v>-0.26390000000000002</v>
      </c>
      <c r="Q86" s="438">
        <v>-8.9882157316367825E-2</v>
      </c>
      <c r="R86" s="206">
        <f>VLOOKUP(52151,V:AE,9,0)</f>
        <v>5</v>
      </c>
      <c r="S86" s="206">
        <f>VLOOKUP(5215,季財報!A:N,5,0)</f>
        <v>3</v>
      </c>
      <c r="T86" s="206">
        <f>VLOOKUP(5215,季財報!A:N,4,0)</f>
        <v>0</v>
      </c>
      <c r="U86" s="441">
        <v>30000000</v>
      </c>
      <c r="V86" s="206">
        <v>24662</v>
      </c>
      <c r="W86" s="206" t="s">
        <v>2466</v>
      </c>
      <c r="X86" s="206" t="s">
        <v>2467</v>
      </c>
      <c r="Y86" s="206">
        <v>2000</v>
      </c>
      <c r="Z86" s="206">
        <v>2000</v>
      </c>
      <c r="AA86" s="206">
        <v>0</v>
      </c>
      <c r="AB86" s="206">
        <v>0</v>
      </c>
      <c r="AC86" s="206">
        <v>2000</v>
      </c>
      <c r="AD86" s="206">
        <v>11</v>
      </c>
      <c r="AE86" s="206">
        <v>0</v>
      </c>
    </row>
    <row r="87" spans="1:31" ht="16.5">
      <c r="A87" s="383">
        <v>5213</v>
      </c>
      <c r="B87" s="383" t="s">
        <v>1997</v>
      </c>
      <c r="C87" s="383">
        <v>52136</v>
      </c>
      <c r="D87" s="388">
        <v>42328</v>
      </c>
      <c r="E87" s="388">
        <v>43424</v>
      </c>
      <c r="F87" s="384">
        <v>500000000</v>
      </c>
      <c r="G87" s="414">
        <v>500000000</v>
      </c>
      <c r="H87" s="385">
        <v>1</v>
      </c>
      <c r="I87" s="436">
        <v>774</v>
      </c>
      <c r="J87" s="206">
        <v>107.2</v>
      </c>
      <c r="K87" s="206">
        <v>13.45</v>
      </c>
      <c r="L87" s="206">
        <f>VLOOKUP(5213,收盤價!A:C,3,0)</f>
        <v>13</v>
      </c>
      <c r="M87" s="206">
        <v>7435</v>
      </c>
      <c r="N87" s="206">
        <v>100</v>
      </c>
      <c r="O87" s="438">
        <v>6.7199999999999996E-2</v>
      </c>
      <c r="P87" s="438">
        <v>-1.5100000000000001E-2</v>
      </c>
      <c r="Q87" s="438">
        <v>-1.0898244988908859E-2</v>
      </c>
      <c r="R87" s="206">
        <f>VLOOKUP(52136,V:AE,9,0)</f>
        <v>23</v>
      </c>
      <c r="S87" s="206">
        <f>VLOOKUP(5213,季財報!A:N,5,0)</f>
        <v>0</v>
      </c>
      <c r="T87" s="206">
        <f>VLOOKUP(5213,季財報!A:N,4,0)</f>
        <v>0</v>
      </c>
      <c r="U87" s="441">
        <v>21739130.434782609</v>
      </c>
      <c r="V87" s="206">
        <v>21151</v>
      </c>
      <c r="W87" s="206" t="s">
        <v>2431</v>
      </c>
      <c r="X87" s="206" t="s">
        <v>2432</v>
      </c>
      <c r="Y87" s="206">
        <v>4000</v>
      </c>
      <c r="Z87" s="206">
        <v>4000</v>
      </c>
      <c r="AA87" s="206">
        <v>0</v>
      </c>
      <c r="AB87" s="206">
        <v>0</v>
      </c>
      <c r="AC87" s="206">
        <v>4000</v>
      </c>
      <c r="AD87" s="206">
        <v>40</v>
      </c>
      <c r="AE87" s="206">
        <v>0</v>
      </c>
    </row>
    <row r="88" spans="1:31" ht="15.6" customHeight="1">
      <c r="A88" s="383">
        <v>5213</v>
      </c>
      <c r="B88" s="383" t="s">
        <v>1997</v>
      </c>
      <c r="C88" s="383">
        <v>52135</v>
      </c>
      <c r="D88" s="388">
        <v>41736</v>
      </c>
      <c r="E88" s="388">
        <v>42832</v>
      </c>
      <c r="F88" s="384">
        <v>400000000</v>
      </c>
      <c r="G88" s="414">
        <v>111200000</v>
      </c>
      <c r="H88" s="385">
        <v>0.28000000000000003</v>
      </c>
      <c r="I88" s="436">
        <v>182</v>
      </c>
      <c r="J88" s="206">
        <v>103</v>
      </c>
      <c r="K88" s="206">
        <v>17.940000000000001</v>
      </c>
      <c r="L88" s="206">
        <f>VLOOKUP(5213,收盤價!A:C,3,0)</f>
        <v>13</v>
      </c>
      <c r="M88" s="206">
        <v>5574</v>
      </c>
      <c r="N88" s="206">
        <v>100</v>
      </c>
      <c r="O88" s="438">
        <v>2.9100000000000001E-2</v>
      </c>
      <c r="P88" s="438">
        <v>-0.35399999999999998</v>
      </c>
      <c r="Q88" s="438">
        <v>-5.076360076778106E-2</v>
      </c>
      <c r="R88" s="206">
        <f>VLOOKUP(52135,V:AE,9,0)</f>
        <v>11</v>
      </c>
      <c r="S88" s="206">
        <f>VLOOKUP(5213,季財報!A:N,5,0)</f>
        <v>0</v>
      </c>
      <c r="T88" s="206">
        <f>VLOOKUP(5213,季財報!A:N,4,0)</f>
        <v>0</v>
      </c>
      <c r="U88" s="441">
        <v>10109090.909090908</v>
      </c>
      <c r="V88" s="206">
        <v>33381</v>
      </c>
      <c r="W88" s="206" t="s">
        <v>2581</v>
      </c>
      <c r="X88" s="206" t="s">
        <v>2582</v>
      </c>
      <c r="Y88" s="206">
        <v>2985</v>
      </c>
      <c r="Z88" s="206">
        <v>2985</v>
      </c>
      <c r="AA88" s="206">
        <v>0</v>
      </c>
      <c r="AB88" s="206">
        <v>0</v>
      </c>
      <c r="AC88" s="206">
        <v>3000</v>
      </c>
      <c r="AD88" s="206">
        <v>21</v>
      </c>
      <c r="AE88" s="206">
        <v>0</v>
      </c>
    </row>
    <row r="89" spans="1:31">
      <c r="A89" s="382">
        <v>4995</v>
      </c>
      <c r="B89" s="386" t="s">
        <v>1996</v>
      </c>
      <c r="C89" s="382">
        <v>49951</v>
      </c>
      <c r="D89" s="388">
        <v>42373</v>
      </c>
      <c r="E89" s="388">
        <v>43469</v>
      </c>
      <c r="F89" s="384">
        <v>320000000</v>
      </c>
      <c r="G89" s="414">
        <v>320000000</v>
      </c>
      <c r="H89" s="385">
        <v>1</v>
      </c>
      <c r="I89" s="436">
        <v>819</v>
      </c>
      <c r="J89" s="206">
        <v>102.95</v>
      </c>
      <c r="K89" s="206">
        <v>36.9</v>
      </c>
      <c r="L89" s="206">
        <f>VLOOKUP(4995,收盤價!A:C,3,0)</f>
        <v>30.1</v>
      </c>
      <c r="M89" s="206">
        <v>2710</v>
      </c>
      <c r="N89" s="206">
        <v>100</v>
      </c>
      <c r="O89" s="438">
        <v>2.87E-2</v>
      </c>
      <c r="P89" s="438">
        <v>-0.18459999999999999</v>
      </c>
      <c r="Q89" s="438">
        <v>-6.642962495676441E-2</v>
      </c>
      <c r="R89" s="206">
        <f>VLOOKUP(49951,V:AE,9,0)</f>
        <v>39</v>
      </c>
      <c r="S89" s="206">
        <f>VLOOKUP(4995,季財報!A:N,5,0)</f>
        <v>1</v>
      </c>
      <c r="T89" s="206">
        <f>VLOOKUP(4995,季財報!A:N,4,0)</f>
        <v>14.72282608695652</v>
      </c>
      <c r="U89" s="441">
        <v>8205128.205128205</v>
      </c>
      <c r="V89" s="206">
        <v>53924</v>
      </c>
      <c r="W89" s="206" t="s">
        <v>2729</v>
      </c>
      <c r="X89" s="206" t="s">
        <v>2730</v>
      </c>
      <c r="Y89" s="206">
        <v>13306</v>
      </c>
      <c r="Z89" s="206">
        <v>14800</v>
      </c>
      <c r="AA89" s="206">
        <v>-1494</v>
      </c>
      <c r="AB89" s="206">
        <v>-10.09</v>
      </c>
      <c r="AC89" s="206">
        <v>15000</v>
      </c>
      <c r="AD89" s="206">
        <v>100</v>
      </c>
      <c r="AE89" s="206">
        <v>0</v>
      </c>
    </row>
    <row r="90" spans="1:31" ht="15.6" customHeight="1">
      <c r="A90" s="382">
        <v>4991</v>
      </c>
      <c r="B90" s="386" t="s">
        <v>2127</v>
      </c>
      <c r="C90" s="382">
        <v>49912</v>
      </c>
      <c r="D90" s="388">
        <v>42138</v>
      </c>
      <c r="E90" s="388">
        <v>43234</v>
      </c>
      <c r="F90" s="384">
        <v>300000000</v>
      </c>
      <c r="G90" s="414">
        <v>159900000</v>
      </c>
      <c r="H90" s="385">
        <v>0.53</v>
      </c>
      <c r="I90" s="436">
        <v>584</v>
      </c>
      <c r="J90" s="206">
        <v>129</v>
      </c>
      <c r="K90" s="206">
        <v>54.9</v>
      </c>
      <c r="L90" s="206">
        <f>VLOOKUP(4991,收盤價!A:C,3,0)</f>
        <v>66.5</v>
      </c>
      <c r="M90" s="206">
        <v>1821</v>
      </c>
      <c r="N90" s="206">
        <v>129.65520000000001</v>
      </c>
      <c r="O90" s="438">
        <v>-5.1000000000000004E-3</v>
      </c>
      <c r="P90" s="438">
        <v>0.22889999999999999</v>
      </c>
      <c r="Q90" s="438">
        <v>2.789165166085569E-3</v>
      </c>
      <c r="R90" s="206">
        <f>VLOOKUP(49912,V:AE,9,0)</f>
        <v>19</v>
      </c>
      <c r="S90" s="206">
        <f>VLOOKUP(4991,季財報!A:N,5,0)</f>
        <v>2</v>
      </c>
      <c r="T90" s="206">
        <f>VLOOKUP(4991,季財報!A:N,4,0)</f>
        <v>15.192980750534709</v>
      </c>
      <c r="U90" s="441">
        <v>8415789.4736842103</v>
      </c>
      <c r="V90" s="206">
        <v>49951</v>
      </c>
      <c r="W90" s="206" t="s">
        <v>2710</v>
      </c>
      <c r="X90" s="206" t="s">
        <v>2711</v>
      </c>
      <c r="Y90" s="206">
        <v>3200</v>
      </c>
      <c r="Z90" s="206">
        <v>3200</v>
      </c>
      <c r="AA90" s="206">
        <v>0</v>
      </c>
      <c r="AB90" s="206">
        <v>0</v>
      </c>
      <c r="AC90" s="206">
        <v>3200</v>
      </c>
      <c r="AD90" s="206">
        <v>39</v>
      </c>
      <c r="AE90" s="206">
        <v>0</v>
      </c>
    </row>
    <row r="91" spans="1:31" ht="16.5">
      <c r="A91" s="383">
        <v>4991</v>
      </c>
      <c r="B91" s="383" t="s">
        <v>2127</v>
      </c>
      <c r="C91" s="383">
        <v>49911</v>
      </c>
      <c r="D91" s="388">
        <v>42137</v>
      </c>
      <c r="E91" s="388">
        <v>43233</v>
      </c>
      <c r="F91" s="384">
        <v>300000000</v>
      </c>
      <c r="G91" s="414">
        <v>218500000</v>
      </c>
      <c r="H91" s="385">
        <v>0.73</v>
      </c>
      <c r="I91" s="436">
        <v>583</v>
      </c>
      <c r="J91" s="206">
        <v>135</v>
      </c>
      <c r="K91" s="206">
        <v>53.6</v>
      </c>
      <c r="L91" s="206">
        <f>VLOOKUP(4991,收盤價!A:C,3,0)</f>
        <v>66.5</v>
      </c>
      <c r="M91" s="206">
        <v>1866</v>
      </c>
      <c r="N91" s="206">
        <v>132.85920000000002</v>
      </c>
      <c r="O91" s="438">
        <v>1.5900000000000001E-2</v>
      </c>
      <c r="P91" s="438">
        <v>0.2472</v>
      </c>
      <c r="Q91" s="438">
        <v>-8.4982731928069672E-3</v>
      </c>
      <c r="R91" s="206">
        <f>VLOOKUP(49911,V:AE,9,0)</f>
        <v>14</v>
      </c>
      <c r="S91" s="206">
        <f>VLOOKUP(4991,季財報!A:N,5,0)</f>
        <v>2</v>
      </c>
      <c r="T91" s="206">
        <f>VLOOKUP(4991,季財報!A:N,4,0)</f>
        <v>15.192980750534709</v>
      </c>
      <c r="U91" s="441">
        <v>15607142.857142856</v>
      </c>
      <c r="V91" s="206">
        <v>59054</v>
      </c>
      <c r="W91" s="206" t="s">
        <v>2748</v>
      </c>
      <c r="X91" s="206" t="s">
        <v>2749</v>
      </c>
      <c r="Y91" s="206">
        <v>7256</v>
      </c>
      <c r="Z91" s="206">
        <v>7256</v>
      </c>
      <c r="AA91" s="206">
        <v>0</v>
      </c>
      <c r="AB91" s="206">
        <v>0</v>
      </c>
      <c r="AC91" s="206">
        <v>10000</v>
      </c>
      <c r="AD91" s="206">
        <v>16</v>
      </c>
      <c r="AE91" s="206">
        <v>0</v>
      </c>
    </row>
    <row r="92" spans="1:31" ht="16.5">
      <c r="A92" s="383">
        <v>4979</v>
      </c>
      <c r="B92" s="383" t="s">
        <v>362</v>
      </c>
      <c r="C92" s="383">
        <v>49791</v>
      </c>
      <c r="D92" s="388">
        <v>42360</v>
      </c>
      <c r="E92" s="388">
        <v>43456</v>
      </c>
      <c r="F92" s="384">
        <v>800000000</v>
      </c>
      <c r="G92" s="414">
        <v>800000000</v>
      </c>
      <c r="H92" s="385">
        <v>1</v>
      </c>
      <c r="I92" s="436">
        <v>806</v>
      </c>
      <c r="J92" s="206">
        <v>99.4</v>
      </c>
      <c r="K92" s="206">
        <v>74.7</v>
      </c>
      <c r="L92" s="206">
        <f>VLOOKUP(4979,收盤價!A:C,3,0)</f>
        <v>32.5</v>
      </c>
      <c r="M92" s="206">
        <v>1339</v>
      </c>
      <c r="N92" s="206">
        <v>100</v>
      </c>
      <c r="O92" s="438">
        <v>-6.0000000000000001E-3</v>
      </c>
      <c r="P92" s="438">
        <v>-1.2299</v>
      </c>
      <c r="Q92" s="438">
        <v>-0.40980385674765546</v>
      </c>
      <c r="R92" s="206">
        <f>VLOOKUP(49791,V:AE,9,0)</f>
        <v>46</v>
      </c>
      <c r="S92" s="206">
        <f>VLOOKUP(4979,季財報!A:N,5,0)</f>
        <v>1</v>
      </c>
      <c r="T92" s="206">
        <f>VLOOKUP(4979,季財報!A:N,4,0)</f>
        <v>0</v>
      </c>
      <c r="U92" s="441">
        <v>17391304.347826086</v>
      </c>
      <c r="V92" s="206">
        <v>47391</v>
      </c>
      <c r="W92" s="206" t="s">
        <v>2686</v>
      </c>
      <c r="X92" s="206" t="s">
        <v>2687</v>
      </c>
      <c r="Y92" s="206">
        <v>2</v>
      </c>
      <c r="Z92" s="206">
        <v>2</v>
      </c>
      <c r="AA92" s="206">
        <v>0</v>
      </c>
      <c r="AB92" s="206">
        <v>0</v>
      </c>
      <c r="AC92" s="206">
        <v>4000</v>
      </c>
      <c r="AD92" s="206">
        <v>1</v>
      </c>
      <c r="AE92" s="206">
        <v>0</v>
      </c>
    </row>
    <row r="93" spans="1:31" ht="16.5">
      <c r="A93" s="383">
        <v>4974</v>
      </c>
      <c r="B93" s="383" t="s">
        <v>361</v>
      </c>
      <c r="C93" s="383">
        <v>49742</v>
      </c>
      <c r="D93" s="388">
        <v>41754</v>
      </c>
      <c r="E93" s="388">
        <v>42850</v>
      </c>
      <c r="F93" s="384">
        <v>450000000</v>
      </c>
      <c r="G93" s="414">
        <v>450000000</v>
      </c>
      <c r="H93" s="385">
        <v>1</v>
      </c>
      <c r="I93" s="436">
        <v>200</v>
      </c>
      <c r="J93" s="206">
        <v>100.8</v>
      </c>
      <c r="K93" s="206">
        <v>41.1</v>
      </c>
      <c r="L93" s="206">
        <f>VLOOKUP(4974,收盤價!A:C,3,0)</f>
        <v>32.799999999999997</v>
      </c>
      <c r="M93" s="206">
        <v>2433</v>
      </c>
      <c r="N93" s="206">
        <v>100</v>
      </c>
      <c r="O93" s="438">
        <v>7.9000000000000008E-3</v>
      </c>
      <c r="P93" s="438">
        <v>-0.2417</v>
      </c>
      <c r="Q93" s="438">
        <v>-8.2642191689663899E-2</v>
      </c>
      <c r="R93" s="206">
        <f>VLOOKUP(49742,V:AE,9,0)</f>
        <v>40</v>
      </c>
      <c r="S93" s="206">
        <f>VLOOKUP(4974,季財報!A:N,5,0)</f>
        <v>4</v>
      </c>
      <c r="T93" s="206">
        <f>VLOOKUP(4974,季財報!A:N,4,0)</f>
        <v>8.1240740740740751</v>
      </c>
      <c r="U93" s="441">
        <v>11250000</v>
      </c>
      <c r="V93" s="206">
        <v>26401</v>
      </c>
      <c r="W93" s="206" t="s">
        <v>2506</v>
      </c>
      <c r="X93" s="206" t="s">
        <v>2507</v>
      </c>
      <c r="Y93" s="206">
        <v>81</v>
      </c>
      <c r="Z93" s="206">
        <v>81</v>
      </c>
      <c r="AA93" s="206">
        <v>0</v>
      </c>
      <c r="AB93" s="206">
        <v>0</v>
      </c>
      <c r="AC93" s="206">
        <v>10000</v>
      </c>
      <c r="AD93" s="206">
        <v>6</v>
      </c>
      <c r="AE93" s="206">
        <v>0</v>
      </c>
    </row>
    <row r="94" spans="1:31" ht="16.149999999999999" customHeight="1">
      <c r="A94" s="382">
        <v>4944</v>
      </c>
      <c r="B94" s="386" t="s">
        <v>2307</v>
      </c>
      <c r="C94" s="382">
        <v>49441</v>
      </c>
      <c r="D94" s="388">
        <v>40977</v>
      </c>
      <c r="E94" s="388">
        <v>42803</v>
      </c>
      <c r="F94" s="384">
        <v>300000000</v>
      </c>
      <c r="G94" s="414">
        <v>48100000</v>
      </c>
      <c r="H94" s="385">
        <v>0.16</v>
      </c>
      <c r="I94" s="436">
        <v>153</v>
      </c>
      <c r="J94" s="206">
        <v>98.9</v>
      </c>
      <c r="K94" s="206">
        <v>27.46</v>
      </c>
      <c r="L94" s="206">
        <f>VLOOKUP(4944,收盤價!A:C,3,0)</f>
        <v>8.08</v>
      </c>
      <c r="M94" s="206">
        <v>3642</v>
      </c>
      <c r="N94" s="206">
        <v>100</v>
      </c>
      <c r="O94" s="438">
        <v>-1.11E-2</v>
      </c>
      <c r="P94" s="438">
        <v>-1.8664000000000001</v>
      </c>
      <c r="Q94" s="438">
        <v>-0.17770888893701112</v>
      </c>
      <c r="R94" s="206">
        <f>VLOOKUP(49441,V:AE,9,0)</f>
        <v>35</v>
      </c>
      <c r="S94" s="206">
        <f>VLOOKUP(4944,季財報!A:N,5,0)</f>
        <v>2</v>
      </c>
      <c r="T94" s="206">
        <f>VLOOKUP(4944,季財報!A:N,4,0)</f>
        <v>0</v>
      </c>
      <c r="U94" s="441">
        <v>1374285.7142857143</v>
      </c>
      <c r="V94" s="206">
        <v>52135</v>
      </c>
      <c r="W94" s="206" t="s">
        <v>2712</v>
      </c>
      <c r="X94" s="206" t="s">
        <v>2713</v>
      </c>
      <c r="Y94" s="206">
        <v>1112</v>
      </c>
      <c r="Z94" s="206">
        <v>1112</v>
      </c>
      <c r="AA94" s="206">
        <v>0</v>
      </c>
      <c r="AB94" s="206">
        <v>0</v>
      </c>
      <c r="AC94" s="206">
        <v>4000</v>
      </c>
      <c r="AD94" s="206">
        <v>11</v>
      </c>
      <c r="AE94" s="206">
        <v>0</v>
      </c>
    </row>
    <row r="95" spans="1:31" ht="16.5">
      <c r="A95" s="383">
        <v>4927</v>
      </c>
      <c r="B95" s="383" t="s">
        <v>2306</v>
      </c>
      <c r="C95" s="383">
        <v>49272</v>
      </c>
      <c r="D95" s="388">
        <v>41841</v>
      </c>
      <c r="E95" s="388">
        <v>43667</v>
      </c>
      <c r="F95" s="384">
        <v>650000000</v>
      </c>
      <c r="G95" s="414">
        <v>616600000</v>
      </c>
      <c r="H95" s="385">
        <v>0.95</v>
      </c>
      <c r="I95" s="436">
        <v>1017</v>
      </c>
      <c r="J95" s="206">
        <v>105.35</v>
      </c>
      <c r="K95" s="206">
        <v>38.200000000000003</v>
      </c>
      <c r="L95" s="206">
        <f>VLOOKUP(4927,收盤價!A:C,3,0)</f>
        <v>34.5</v>
      </c>
      <c r="M95" s="206">
        <v>2618</v>
      </c>
      <c r="N95" s="206">
        <v>100</v>
      </c>
      <c r="O95" s="438">
        <v>5.0799999999999998E-2</v>
      </c>
      <c r="P95" s="438">
        <v>-3.5200000000000002E-2</v>
      </c>
      <c r="Q95" s="438">
        <v>-3.1709935559847649E-2</v>
      </c>
      <c r="R95" s="206">
        <f>VLOOKUP(49272,V:AE,9,0)</f>
        <v>45</v>
      </c>
      <c r="S95" s="206">
        <f>VLOOKUP(4927,季財報!A:N,5,0)</f>
        <v>1</v>
      </c>
      <c r="T95" s="206">
        <f>VLOOKUP(4927,季財報!A:N,4,0)</f>
        <v>7.484169793621013</v>
      </c>
      <c r="U95" s="441">
        <v>13702222.222222222</v>
      </c>
      <c r="V95" s="206">
        <v>62693</v>
      </c>
      <c r="W95" s="206" t="s">
        <v>2802</v>
      </c>
      <c r="X95" s="206" t="s">
        <v>2803</v>
      </c>
      <c r="Y95" s="206">
        <v>7495</v>
      </c>
      <c r="Z95" s="206">
        <v>7517</v>
      </c>
      <c r="AA95" s="206">
        <v>-22</v>
      </c>
      <c r="AB95" s="206">
        <v>-0.28999999999999998</v>
      </c>
      <c r="AC95" s="206">
        <v>20000</v>
      </c>
      <c r="AD95" s="206">
        <v>28</v>
      </c>
      <c r="AE95" s="206">
        <v>0</v>
      </c>
    </row>
    <row r="96" spans="1:31" ht="16.5">
      <c r="A96" s="387">
        <v>4916</v>
      </c>
      <c r="B96" s="387" t="s">
        <v>1995</v>
      </c>
      <c r="C96" s="387">
        <v>49161</v>
      </c>
      <c r="D96" s="388">
        <v>41934</v>
      </c>
      <c r="E96" s="388">
        <v>43760</v>
      </c>
      <c r="F96" s="384">
        <v>280000000</v>
      </c>
      <c r="G96" s="414">
        <v>230100000</v>
      </c>
      <c r="H96" s="385">
        <v>0.82</v>
      </c>
      <c r="I96" s="436">
        <v>1110</v>
      </c>
      <c r="J96" s="206">
        <v>124</v>
      </c>
      <c r="K96" s="206">
        <v>33.1</v>
      </c>
      <c r="L96" s="206">
        <f>VLOOKUP(4916,收盤價!A:C,3,0)</f>
        <v>38.799999999999997</v>
      </c>
      <c r="M96" s="206">
        <v>3021</v>
      </c>
      <c r="N96" s="206">
        <v>124.31415</v>
      </c>
      <c r="O96" s="438">
        <v>-2.5000000000000001E-3</v>
      </c>
      <c r="P96" s="438">
        <v>0.1956</v>
      </c>
      <c r="Q96" s="438">
        <v>8.3861891490746225E-4</v>
      </c>
      <c r="R96" s="206">
        <f>VLOOKUP(49161,V:AE,9,0)</f>
        <v>10</v>
      </c>
      <c r="S96" s="206">
        <f>VLOOKUP(4916,季財報!A:N,5,0)</f>
        <v>5</v>
      </c>
      <c r="T96" s="206">
        <f>VLOOKUP(4916,季財報!A:N,4,0)</f>
        <v>18.456659619450313</v>
      </c>
      <c r="U96" s="441">
        <v>23010000</v>
      </c>
      <c r="V96" s="206">
        <v>15302</v>
      </c>
      <c r="W96" s="206" t="s">
        <v>2381</v>
      </c>
      <c r="X96" s="206" t="s">
        <v>2382</v>
      </c>
      <c r="Y96" s="206">
        <v>4000</v>
      </c>
      <c r="Z96" s="206">
        <v>4000</v>
      </c>
      <c r="AA96" s="206">
        <v>0</v>
      </c>
      <c r="AB96" s="206">
        <v>0</v>
      </c>
      <c r="AC96" s="206">
        <v>4000</v>
      </c>
      <c r="AD96" s="206">
        <v>26</v>
      </c>
      <c r="AE96" s="206">
        <v>0</v>
      </c>
    </row>
    <row r="97" spans="1:31" ht="16.149999999999999" customHeight="1">
      <c r="A97" s="387">
        <v>4906</v>
      </c>
      <c r="B97" s="387" t="s">
        <v>1994</v>
      </c>
      <c r="C97" s="387">
        <v>49064</v>
      </c>
      <c r="D97" s="388">
        <v>42444</v>
      </c>
      <c r="E97" s="388">
        <v>43539</v>
      </c>
      <c r="F97" s="384">
        <v>1000000000</v>
      </c>
      <c r="G97" s="414">
        <v>1000000000</v>
      </c>
      <c r="H97" s="385">
        <v>1</v>
      </c>
      <c r="I97" s="436">
        <v>889</v>
      </c>
      <c r="J97" s="206">
        <v>109.05</v>
      </c>
      <c r="K97" s="206">
        <v>19.3</v>
      </c>
      <c r="L97" s="206">
        <f>VLOOKUP(4906,收盤價!A:C,3,0)</f>
        <v>18.350000000000001</v>
      </c>
      <c r="M97" s="206">
        <v>5181</v>
      </c>
      <c r="N97" s="206">
        <v>100</v>
      </c>
      <c r="O97" s="438">
        <v>8.3000000000000004E-2</v>
      </c>
      <c r="P97" s="438">
        <v>-4.6100000000000002E-2</v>
      </c>
      <c r="Q97" s="438">
        <v>-2.3824486199309883E-2</v>
      </c>
      <c r="R97" s="206">
        <f>VLOOKUP(49064,V:AE,9,0)</f>
        <v>25</v>
      </c>
      <c r="S97" s="206">
        <f>VLOOKUP(4906,季財報!A:N,5,0)</f>
        <v>5</v>
      </c>
      <c r="T97" s="206">
        <f>VLOOKUP(4906,季財報!A:N,4,0)</f>
        <v>22.576737696600709</v>
      </c>
      <c r="U97" s="441">
        <v>40000000</v>
      </c>
      <c r="V97" s="206">
        <v>27321</v>
      </c>
      <c r="W97" s="206" t="s">
        <v>2515</v>
      </c>
      <c r="X97" s="206" t="s">
        <v>2516</v>
      </c>
      <c r="Y97" s="206">
        <v>2500</v>
      </c>
      <c r="Z97" s="206">
        <v>2655</v>
      </c>
      <c r="AA97" s="206">
        <v>-155</v>
      </c>
      <c r="AB97" s="206">
        <v>-5.84</v>
      </c>
      <c r="AC97" s="206">
        <v>3000</v>
      </c>
      <c r="AD97" s="206">
        <v>29</v>
      </c>
      <c r="AE97" s="206">
        <v>0</v>
      </c>
    </row>
    <row r="98" spans="1:31" ht="16.5">
      <c r="A98" s="387">
        <v>4746</v>
      </c>
      <c r="B98" s="387" t="s">
        <v>1993</v>
      </c>
      <c r="C98" s="387">
        <v>47462</v>
      </c>
      <c r="D98" s="388">
        <v>41851</v>
      </c>
      <c r="E98" s="388">
        <v>42947</v>
      </c>
      <c r="F98" s="384">
        <v>500000000</v>
      </c>
      <c r="G98" s="414">
        <v>405000000</v>
      </c>
      <c r="H98" s="385">
        <v>0.81</v>
      </c>
      <c r="I98" s="436">
        <v>297</v>
      </c>
      <c r="J98" s="206">
        <v>117.8</v>
      </c>
      <c r="K98" s="206">
        <v>80.099999999999994</v>
      </c>
      <c r="L98" s="206">
        <f>VLOOKUP(4746,收盤價!A:C,3,0)</f>
        <v>89.3</v>
      </c>
      <c r="M98" s="206">
        <v>1248</v>
      </c>
      <c r="N98" s="206">
        <v>116.18879999999999</v>
      </c>
      <c r="O98" s="438">
        <v>1.37E-2</v>
      </c>
      <c r="P98" s="438">
        <v>0.1396</v>
      </c>
      <c r="Q98" s="438">
        <v>-1.0959470636889991E-2</v>
      </c>
      <c r="R98" s="206">
        <f>VLOOKUP(47462,V:AE,9,0)</f>
        <v>43</v>
      </c>
      <c r="S98" s="206">
        <f>VLOOKUP(4746,季財報!A:N,5,0)</f>
        <v>5</v>
      </c>
      <c r="T98" s="206">
        <f>VLOOKUP(4746,季財報!A:N,4,0)</f>
        <v>13.368263473053892</v>
      </c>
      <c r="U98" s="441">
        <v>9418604.6511627901</v>
      </c>
      <c r="V98" s="206">
        <v>45322</v>
      </c>
      <c r="W98" s="206" t="s">
        <v>2672</v>
      </c>
      <c r="X98" s="206" t="s">
        <v>2673</v>
      </c>
      <c r="Y98" s="206">
        <v>7789</v>
      </c>
      <c r="Z98" s="206">
        <v>10000</v>
      </c>
      <c r="AA98" s="206">
        <v>-2211</v>
      </c>
      <c r="AB98" s="206">
        <v>-22.11</v>
      </c>
      <c r="AC98" s="206">
        <v>10000</v>
      </c>
      <c r="AD98" s="206">
        <v>75</v>
      </c>
      <c r="AE98" s="206">
        <v>0</v>
      </c>
    </row>
    <row r="99" spans="1:31" ht="16.5">
      <c r="A99" s="383">
        <v>4739</v>
      </c>
      <c r="B99" s="383" t="s">
        <v>1762</v>
      </c>
      <c r="C99" s="383">
        <v>47392</v>
      </c>
      <c r="D99" s="388">
        <v>42179</v>
      </c>
      <c r="E99" s="388">
        <v>44006</v>
      </c>
      <c r="F99" s="384">
        <v>600000000</v>
      </c>
      <c r="G99" s="414">
        <v>600000000</v>
      </c>
      <c r="H99" s="385">
        <v>1</v>
      </c>
      <c r="I99" s="436">
        <v>1356</v>
      </c>
      <c r="J99" s="206">
        <v>106</v>
      </c>
      <c r="K99" s="206">
        <v>55.3</v>
      </c>
      <c r="L99" s="206">
        <f>VLOOKUP(4739,收盤價!A:C,3,0)</f>
        <v>42.1</v>
      </c>
      <c r="M99" s="206">
        <v>1808</v>
      </c>
      <c r="N99" s="206">
        <v>100</v>
      </c>
      <c r="O99" s="438">
        <v>5.6599999999999998E-2</v>
      </c>
      <c r="P99" s="438">
        <v>-0.2303</v>
      </c>
      <c r="Q99" s="438">
        <v>-0.12904074135915844</v>
      </c>
      <c r="R99" s="206">
        <f>VLOOKUP(47392,V:AE,9,0)</f>
        <v>15</v>
      </c>
      <c r="S99" s="206">
        <f>VLOOKUP(4739,季財報!A:N,5,0)</f>
        <v>2</v>
      </c>
      <c r="T99" s="206">
        <f>VLOOKUP(4739,季財報!A:N,4,0)</f>
        <v>18.464912280701757</v>
      </c>
      <c r="U99" s="441">
        <v>40000000</v>
      </c>
      <c r="V99" s="206">
        <v>33252</v>
      </c>
      <c r="W99" s="206" t="s">
        <v>2579</v>
      </c>
      <c r="X99" s="206" t="s">
        <v>2580</v>
      </c>
      <c r="Y99" s="206">
        <v>896</v>
      </c>
      <c r="Z99" s="206">
        <v>990</v>
      </c>
      <c r="AA99" s="206">
        <v>-94</v>
      </c>
      <c r="AB99" s="206">
        <v>-9.49</v>
      </c>
      <c r="AC99" s="206">
        <v>1000</v>
      </c>
      <c r="AD99" s="206">
        <v>4</v>
      </c>
      <c r="AE99" s="206">
        <v>0</v>
      </c>
    </row>
    <row r="100" spans="1:31" ht="16.5">
      <c r="A100" s="383">
        <v>4736</v>
      </c>
      <c r="B100" s="383" t="s">
        <v>354</v>
      </c>
      <c r="C100" s="383">
        <v>47362</v>
      </c>
      <c r="D100" s="388">
        <v>42079</v>
      </c>
      <c r="E100" s="388">
        <v>43906</v>
      </c>
      <c r="F100" s="384">
        <v>600000000</v>
      </c>
      <c r="G100" s="414">
        <v>599800000</v>
      </c>
      <c r="H100" s="385">
        <v>1</v>
      </c>
      <c r="I100" s="436">
        <v>1256</v>
      </c>
      <c r="J100" s="206">
        <v>120</v>
      </c>
      <c r="K100" s="206">
        <v>116</v>
      </c>
      <c r="L100" s="206">
        <f>VLOOKUP(4736,收盤價!A:C,3,0)</f>
        <v>109</v>
      </c>
      <c r="M100" s="206">
        <v>862</v>
      </c>
      <c r="N100" s="206">
        <v>105.164</v>
      </c>
      <c r="O100" s="438">
        <v>0.1236</v>
      </c>
      <c r="P100" s="438">
        <v>4.9200000000000001E-2</v>
      </c>
      <c r="Q100" s="438">
        <v>-0.14342614075792734</v>
      </c>
      <c r="R100" s="206">
        <f>VLOOKUP(47362,V:AE,9,0)</f>
        <v>15</v>
      </c>
      <c r="S100" s="206">
        <f>VLOOKUP(4736,季財報!A:N,5,0)</f>
        <v>3</v>
      </c>
      <c r="T100" s="206">
        <f>VLOOKUP(4736,季財報!A:N,4,0)</f>
        <v>13.625</v>
      </c>
      <c r="U100" s="441">
        <v>39986666.666666664</v>
      </c>
      <c r="V100" s="206">
        <v>36982</v>
      </c>
      <c r="W100" s="206" t="s">
        <v>2632</v>
      </c>
      <c r="X100" s="206" t="s">
        <v>2631</v>
      </c>
      <c r="Y100" s="206">
        <v>19980</v>
      </c>
      <c r="Z100" s="206">
        <v>19980</v>
      </c>
      <c r="AA100" s="206">
        <v>0</v>
      </c>
      <c r="AB100" s="206">
        <v>0</v>
      </c>
      <c r="AC100" s="206">
        <v>20000</v>
      </c>
      <c r="AD100" s="206">
        <v>121</v>
      </c>
      <c r="AE100" s="206">
        <v>0</v>
      </c>
    </row>
    <row r="101" spans="1:31" ht="15.6" customHeight="1">
      <c r="A101" s="387">
        <v>4714</v>
      </c>
      <c r="B101" s="387" t="s">
        <v>350</v>
      </c>
      <c r="C101" s="387">
        <v>47144</v>
      </c>
      <c r="D101" s="388">
        <v>41981</v>
      </c>
      <c r="E101" s="388">
        <v>43077</v>
      </c>
      <c r="F101" s="384">
        <v>100000000</v>
      </c>
      <c r="G101" s="414">
        <v>36900000</v>
      </c>
      <c r="H101" s="385">
        <v>0.37</v>
      </c>
      <c r="I101" s="436">
        <v>427</v>
      </c>
      <c r="J101" s="206">
        <v>103.7</v>
      </c>
      <c r="K101" s="206">
        <v>10</v>
      </c>
      <c r="L101" s="206">
        <f>VLOOKUP(4714,收盤價!A:C,3,0)</f>
        <v>9.5500000000000007</v>
      </c>
      <c r="M101" s="206">
        <v>10000</v>
      </c>
      <c r="N101" s="206">
        <v>100</v>
      </c>
      <c r="O101" s="438">
        <v>3.5700000000000003E-2</v>
      </c>
      <c r="P101" s="438">
        <v>-2.5600000000000001E-2</v>
      </c>
      <c r="Q101" s="438">
        <v>-5.9787849566055856E-3</v>
      </c>
      <c r="R101" s="206">
        <f>VLOOKUP(47144,V:AE,9,0)</f>
        <v>13</v>
      </c>
      <c r="S101" s="206">
        <f>VLOOKUP(4714,季財報!A:N,5,0)</f>
        <v>2</v>
      </c>
      <c r="T101" s="206">
        <f>VLOOKUP(4714,季財報!A:N,4,0)</f>
        <v>28.422619047619047</v>
      </c>
      <c r="U101" s="441">
        <v>2838461.5384615385</v>
      </c>
      <c r="V101" s="206">
        <v>19093</v>
      </c>
      <c r="W101" s="206" t="s">
        <v>2425</v>
      </c>
      <c r="X101" s="206" t="s">
        <v>2426</v>
      </c>
      <c r="Y101" s="206">
        <v>15990</v>
      </c>
      <c r="Z101" s="206">
        <v>16000</v>
      </c>
      <c r="AA101" s="206">
        <v>-10</v>
      </c>
      <c r="AB101" s="206">
        <v>-0.06</v>
      </c>
      <c r="AC101" s="206">
        <v>16000</v>
      </c>
      <c r="AD101" s="206">
        <v>131</v>
      </c>
      <c r="AE101" s="206">
        <v>0</v>
      </c>
    </row>
    <row r="102" spans="1:31" ht="15.6" customHeight="1">
      <c r="A102" s="383">
        <v>4714</v>
      </c>
      <c r="B102" s="383" t="s">
        <v>350</v>
      </c>
      <c r="C102" s="383">
        <v>47143</v>
      </c>
      <c r="D102" s="388">
        <v>41978</v>
      </c>
      <c r="E102" s="388">
        <v>43074</v>
      </c>
      <c r="F102" s="384">
        <v>150000000</v>
      </c>
      <c r="G102" s="414">
        <v>134600000</v>
      </c>
      <c r="H102" s="385">
        <v>0.9</v>
      </c>
      <c r="I102" s="436">
        <v>424</v>
      </c>
      <c r="J102" s="206">
        <v>106.05</v>
      </c>
      <c r="K102" s="206">
        <v>9.9</v>
      </c>
      <c r="L102" s="206">
        <f>VLOOKUP(4714,收盤價!A:C,3,0)</f>
        <v>9.5500000000000007</v>
      </c>
      <c r="M102" s="206">
        <v>10101</v>
      </c>
      <c r="N102" s="206">
        <v>100</v>
      </c>
      <c r="O102" s="438">
        <v>5.7000000000000002E-2</v>
      </c>
      <c r="P102" s="438">
        <v>-1.54E-2</v>
      </c>
      <c r="Q102" s="438">
        <v>-7.0623337950070546E-3</v>
      </c>
      <c r="R102" s="206">
        <f>VLOOKUP(47143,V:AE,9,0)</f>
        <v>13</v>
      </c>
      <c r="S102" s="206">
        <f>VLOOKUP(4714,季財報!A:N,5,0)</f>
        <v>2</v>
      </c>
      <c r="T102" s="206">
        <f>VLOOKUP(4714,季財報!A:N,4,0)</f>
        <v>28.422619047619047</v>
      </c>
      <c r="U102" s="441">
        <v>10353846.153846154</v>
      </c>
      <c r="V102" s="206">
        <v>31281</v>
      </c>
      <c r="W102" s="206" t="s">
        <v>2548</v>
      </c>
      <c r="X102" s="206" t="s">
        <v>2549</v>
      </c>
      <c r="Y102" s="206">
        <v>1000</v>
      </c>
      <c r="Z102" s="206">
        <v>1000</v>
      </c>
      <c r="AA102" s="206">
        <v>0</v>
      </c>
      <c r="AB102" s="206">
        <v>0</v>
      </c>
      <c r="AC102" s="206">
        <v>1000</v>
      </c>
      <c r="AD102" s="206">
        <v>12</v>
      </c>
      <c r="AE102" s="206">
        <v>0</v>
      </c>
    </row>
    <row r="103" spans="1:31" ht="16.149999999999999" customHeight="1">
      <c r="A103" s="383">
        <v>4550</v>
      </c>
      <c r="B103" s="383" t="s">
        <v>346</v>
      </c>
      <c r="C103" s="383">
        <v>45501</v>
      </c>
      <c r="D103" s="388">
        <v>42443</v>
      </c>
      <c r="E103" s="388">
        <v>43538</v>
      </c>
      <c r="F103" s="384">
        <v>150000000</v>
      </c>
      <c r="G103" s="414">
        <v>126400000</v>
      </c>
      <c r="H103" s="385">
        <v>0.84</v>
      </c>
      <c r="I103" s="436">
        <v>888</v>
      </c>
      <c r="J103" s="206">
        <v>117</v>
      </c>
      <c r="K103" s="206">
        <v>19.100000000000001</v>
      </c>
      <c r="L103" s="206">
        <f>VLOOKUP(4550,收盤價!A:C,3,0)</f>
        <v>23.75</v>
      </c>
      <c r="M103" s="206">
        <v>5236</v>
      </c>
      <c r="N103" s="206">
        <v>118.3336</v>
      </c>
      <c r="O103" s="438">
        <v>-1.14E-2</v>
      </c>
      <c r="P103" s="438">
        <v>0.15490000000000001</v>
      </c>
      <c r="Q103" s="438">
        <v>2.1769080592610201E-3</v>
      </c>
      <c r="R103" s="206">
        <f>VLOOKUP(45501,V:AE,9,0)</f>
        <v>36</v>
      </c>
      <c r="S103" s="206">
        <f>VLOOKUP(4550,季財報!A:N,5,0)</f>
        <v>2</v>
      </c>
      <c r="T103" s="206">
        <f>VLOOKUP(4550,季財報!A:N,4,0)</f>
        <v>16.787574404761905</v>
      </c>
      <c r="U103" s="441">
        <v>3511111.111111111</v>
      </c>
      <c r="V103" s="206">
        <v>61774</v>
      </c>
      <c r="W103" s="206" t="s">
        <v>2774</v>
      </c>
      <c r="X103" s="206" t="s">
        <v>2775</v>
      </c>
      <c r="Y103" s="206">
        <v>2781</v>
      </c>
      <c r="Z103" s="206">
        <v>2801</v>
      </c>
      <c r="AA103" s="206">
        <v>-20</v>
      </c>
      <c r="AB103" s="206">
        <v>-0.71</v>
      </c>
      <c r="AC103" s="206">
        <v>5000</v>
      </c>
      <c r="AD103" s="206">
        <v>10</v>
      </c>
      <c r="AE103" s="206">
        <v>0</v>
      </c>
    </row>
    <row r="104" spans="1:31" ht="16.149999999999999" customHeight="1">
      <c r="A104" s="383">
        <v>4541</v>
      </c>
      <c r="B104" s="383" t="s">
        <v>1772</v>
      </c>
      <c r="C104" s="383">
        <v>45412</v>
      </c>
      <c r="D104" s="388">
        <v>42000</v>
      </c>
      <c r="E104" s="388">
        <v>43096</v>
      </c>
      <c r="F104" s="384">
        <v>100000000</v>
      </c>
      <c r="G104" s="414">
        <v>100000000</v>
      </c>
      <c r="H104" s="385">
        <v>1</v>
      </c>
      <c r="I104" s="436">
        <v>446</v>
      </c>
      <c r="J104" s="206">
        <v>103.7</v>
      </c>
      <c r="K104" s="206">
        <v>45.5</v>
      </c>
      <c r="L104" s="206">
        <f>VLOOKUP(4541,收盤價!A:C,3,0)</f>
        <v>29.3</v>
      </c>
      <c r="M104" s="206">
        <v>2198</v>
      </c>
      <c r="N104" s="206">
        <v>100</v>
      </c>
      <c r="O104" s="438">
        <v>3.5700000000000003E-2</v>
      </c>
      <c r="P104" s="438">
        <v>-0.51919999999999999</v>
      </c>
      <c r="Q104" s="438">
        <v>-0.16614516747494654</v>
      </c>
      <c r="R104" s="206">
        <f>VLOOKUP(45412,V:AE,9,0)</f>
        <v>12</v>
      </c>
      <c r="S104" s="206">
        <f>VLOOKUP(4541,季財報!A:N,5,0)</f>
        <v>2</v>
      </c>
      <c r="T104" s="206">
        <f>VLOOKUP(4541,季財報!A:N,4,0)</f>
        <v>36.484674329501921</v>
      </c>
      <c r="U104" s="441">
        <v>8333333.333333333</v>
      </c>
      <c r="V104" s="206">
        <v>52591</v>
      </c>
      <c r="W104" s="206" t="s">
        <v>2719</v>
      </c>
      <c r="X104" s="206" t="s">
        <v>2720</v>
      </c>
      <c r="Y104" s="206">
        <v>3000</v>
      </c>
      <c r="Z104" s="206">
        <v>3000</v>
      </c>
      <c r="AA104" s="206">
        <v>0</v>
      </c>
      <c r="AB104" s="206">
        <v>0</v>
      </c>
      <c r="AC104" s="206">
        <v>3000</v>
      </c>
      <c r="AD104" s="206">
        <v>12</v>
      </c>
      <c r="AE104" s="206">
        <v>0</v>
      </c>
    </row>
    <row r="105" spans="1:31" ht="16.149999999999999" customHeight="1">
      <c r="A105" s="383">
        <v>4541</v>
      </c>
      <c r="B105" s="383" t="s">
        <v>1772</v>
      </c>
      <c r="C105" s="383">
        <v>45411</v>
      </c>
      <c r="D105" s="388">
        <v>41999</v>
      </c>
      <c r="E105" s="388">
        <v>43095</v>
      </c>
      <c r="F105" s="384">
        <v>300000000</v>
      </c>
      <c r="G105" s="414">
        <v>300000000</v>
      </c>
      <c r="H105" s="385">
        <v>1</v>
      </c>
      <c r="I105" s="436">
        <v>445</v>
      </c>
      <c r="J105" s="206">
        <v>100.9</v>
      </c>
      <c r="K105" s="206">
        <v>46.5</v>
      </c>
      <c r="L105" s="206">
        <f>VLOOKUP(4541,收盤價!A:C,3,0)</f>
        <v>29.3</v>
      </c>
      <c r="M105" s="206">
        <v>2151</v>
      </c>
      <c r="N105" s="206">
        <v>100</v>
      </c>
      <c r="O105" s="438">
        <v>8.8999999999999999E-3</v>
      </c>
      <c r="P105" s="438">
        <v>-0.55259999999999998</v>
      </c>
      <c r="Q105" s="438">
        <v>-0.16807150337801258</v>
      </c>
      <c r="R105" s="206">
        <f>VLOOKUP(45411,V:AE,9,0)</f>
        <v>22</v>
      </c>
      <c r="S105" s="206">
        <f>VLOOKUP(4541,季財報!A:N,5,0)</f>
        <v>2</v>
      </c>
      <c r="T105" s="206">
        <f>VLOOKUP(4541,季財報!A:N,4,0)</f>
        <v>36.484674329501921</v>
      </c>
      <c r="U105" s="441">
        <v>13636363.636363637</v>
      </c>
      <c r="V105" s="206">
        <v>14322</v>
      </c>
      <c r="W105" s="206" t="s">
        <v>2368</v>
      </c>
      <c r="X105" s="206" t="s">
        <v>2367</v>
      </c>
      <c r="Y105" s="206">
        <v>1319</v>
      </c>
      <c r="Z105" s="206">
        <v>1319</v>
      </c>
      <c r="AA105" s="206">
        <v>0</v>
      </c>
      <c r="AB105" s="206">
        <v>0</v>
      </c>
      <c r="AC105" s="206">
        <v>2500</v>
      </c>
      <c r="AD105" s="206">
        <v>88</v>
      </c>
      <c r="AE105" s="206">
        <v>0</v>
      </c>
    </row>
    <row r="106" spans="1:31">
      <c r="A106" s="382">
        <v>4534</v>
      </c>
      <c r="B106" s="386" t="s">
        <v>1992</v>
      </c>
      <c r="C106" s="382">
        <v>45343</v>
      </c>
      <c r="D106" s="388">
        <v>42482</v>
      </c>
      <c r="E106" s="388">
        <v>43577</v>
      </c>
      <c r="F106" s="384">
        <v>250000000</v>
      </c>
      <c r="G106" s="414">
        <v>227000000</v>
      </c>
      <c r="H106" s="385">
        <v>0.91</v>
      </c>
      <c r="I106" s="436">
        <v>927</v>
      </c>
      <c r="J106" s="206">
        <v>194</v>
      </c>
      <c r="K106" s="206">
        <v>17.2</v>
      </c>
      <c r="L106" s="206">
        <f>VLOOKUP(4534,收盤價!A:C,3,0)</f>
        <v>34.5</v>
      </c>
      <c r="M106" s="206">
        <v>5814</v>
      </c>
      <c r="N106" s="206">
        <v>180.23400000000001</v>
      </c>
      <c r="O106" s="438">
        <v>7.0999999999999994E-2</v>
      </c>
      <c r="P106" s="438">
        <v>0.44519999999999998</v>
      </c>
      <c r="Q106" s="438">
        <v>-1.2204809578018221E-2</v>
      </c>
      <c r="R106" s="206">
        <f>VLOOKUP(45343,V:AE,9,0)</f>
        <v>6</v>
      </c>
      <c r="S106" s="206">
        <f>VLOOKUP(4534,季財報!A:N,5,0)</f>
        <v>3</v>
      </c>
      <c r="T106" s="206">
        <f>VLOOKUP(4534,季財報!A:N,4,0)</f>
        <v>23.465073529411764</v>
      </c>
      <c r="U106" s="441">
        <v>37833333.333333336</v>
      </c>
      <c r="V106" s="206">
        <v>61312</v>
      </c>
      <c r="W106" s="206" t="s">
        <v>2760</v>
      </c>
      <c r="X106" s="206" t="s">
        <v>2761</v>
      </c>
      <c r="Y106" s="206">
        <v>1</v>
      </c>
      <c r="Z106" s="206">
        <v>1</v>
      </c>
      <c r="AA106" s="206">
        <v>0</v>
      </c>
      <c r="AB106" s="206">
        <v>0</v>
      </c>
      <c r="AC106" s="206">
        <v>2000</v>
      </c>
      <c r="AD106" s="206">
        <v>1</v>
      </c>
      <c r="AE106" s="206">
        <v>0</v>
      </c>
    </row>
    <row r="107" spans="1:31" ht="16.149999999999999" customHeight="1">
      <c r="A107" s="387">
        <v>4532</v>
      </c>
      <c r="B107" s="387" t="s">
        <v>1991</v>
      </c>
      <c r="C107" s="387">
        <v>45322</v>
      </c>
      <c r="D107" s="388">
        <v>42194</v>
      </c>
      <c r="E107" s="388">
        <v>43290</v>
      </c>
      <c r="F107" s="384">
        <v>1000000000</v>
      </c>
      <c r="G107" s="414">
        <v>579000000</v>
      </c>
      <c r="H107" s="385">
        <v>0.57999999999999996</v>
      </c>
      <c r="I107" s="436">
        <v>640</v>
      </c>
      <c r="J107" s="206">
        <v>138.5</v>
      </c>
      <c r="K107" s="206">
        <v>27.2</v>
      </c>
      <c r="L107" s="206">
        <f>VLOOKUP(4532,收盤價!A:C,3,0)</f>
        <v>37.450000000000003</v>
      </c>
      <c r="M107" s="206">
        <v>3676</v>
      </c>
      <c r="N107" s="206">
        <v>138.03379999999999</v>
      </c>
      <c r="O107" s="438">
        <v>3.3999999999999998E-3</v>
      </c>
      <c r="P107" s="438">
        <v>0.27560000000000001</v>
      </c>
      <c r="Q107" s="438">
        <v>-9.1568688301131411E-4</v>
      </c>
      <c r="R107" s="206">
        <f>VLOOKUP(45322,V:AE,9,0)</f>
        <v>75</v>
      </c>
      <c r="S107" s="206">
        <f>VLOOKUP(4532,季財報!A:N,5,0)</f>
        <v>4</v>
      </c>
      <c r="T107" s="206">
        <f>VLOOKUP(4532,季財報!A:N,4,0)</f>
        <v>8.8601900149031305</v>
      </c>
      <c r="U107" s="441">
        <v>7720000</v>
      </c>
      <c r="V107" s="206">
        <v>62842</v>
      </c>
      <c r="W107" s="206" t="s">
        <v>2809</v>
      </c>
      <c r="X107" s="206" t="s">
        <v>2810</v>
      </c>
      <c r="Y107" s="206">
        <v>2025</v>
      </c>
      <c r="Z107" s="206">
        <v>2025</v>
      </c>
      <c r="AA107" s="206">
        <v>0</v>
      </c>
      <c r="AB107" s="206">
        <v>0</v>
      </c>
      <c r="AC107" s="206">
        <v>3000</v>
      </c>
      <c r="AD107" s="206">
        <v>6</v>
      </c>
      <c r="AE107" s="206">
        <v>0</v>
      </c>
    </row>
    <row r="108" spans="1:31" ht="16.149999999999999" customHeight="1">
      <c r="A108" s="383">
        <v>4416</v>
      </c>
      <c r="B108" s="383" t="s">
        <v>340</v>
      </c>
      <c r="C108" s="383">
        <v>44161</v>
      </c>
      <c r="D108" s="388">
        <v>41565</v>
      </c>
      <c r="E108" s="388">
        <v>43391</v>
      </c>
      <c r="F108" s="384">
        <v>1000000000</v>
      </c>
      <c r="G108" s="414">
        <v>997900000</v>
      </c>
      <c r="H108" s="385">
        <v>1</v>
      </c>
      <c r="I108" s="436">
        <v>741</v>
      </c>
      <c r="J108" s="206">
        <v>100.7</v>
      </c>
      <c r="K108" s="206">
        <v>116.8</v>
      </c>
      <c r="L108" s="206">
        <f>VLOOKUP(4416,收盤價!A:C,3,0)</f>
        <v>76</v>
      </c>
      <c r="M108" s="206">
        <v>856</v>
      </c>
      <c r="N108" s="206">
        <v>100</v>
      </c>
      <c r="O108" s="438">
        <v>7.0000000000000001E-3</v>
      </c>
      <c r="P108" s="438">
        <v>-0.55110000000000003</v>
      </c>
      <c r="Q108" s="438">
        <v>-0.4204586585490353</v>
      </c>
      <c r="R108" s="206">
        <f>VLOOKUP(44161,V:AE,9,0)</f>
        <v>50</v>
      </c>
      <c r="S108" s="206">
        <f>VLOOKUP(4416,季財報!A:N,5,0)</f>
        <v>0</v>
      </c>
      <c r="T108" s="206">
        <f>VLOOKUP(4416,季財報!A:N,4,0)</f>
        <v>0</v>
      </c>
      <c r="U108" s="441">
        <v>19958000</v>
      </c>
      <c r="V108" s="206">
        <v>30481</v>
      </c>
      <c r="W108" s="206" t="s">
        <v>2542</v>
      </c>
      <c r="X108" s="206" t="s">
        <v>2543</v>
      </c>
      <c r="Y108" s="206">
        <v>1113</v>
      </c>
      <c r="Z108" s="206">
        <v>1113</v>
      </c>
      <c r="AA108" s="206">
        <v>0</v>
      </c>
      <c r="AB108" s="206">
        <v>0</v>
      </c>
      <c r="AC108" s="206">
        <v>3000</v>
      </c>
      <c r="AD108" s="206">
        <v>14</v>
      </c>
      <c r="AE108" s="206">
        <v>0</v>
      </c>
    </row>
    <row r="109" spans="1:31" ht="16.149999999999999" customHeight="1">
      <c r="A109" s="383">
        <v>4414</v>
      </c>
      <c r="B109" s="383" t="s">
        <v>1990</v>
      </c>
      <c r="C109" s="383">
        <v>44144</v>
      </c>
      <c r="D109" s="388">
        <v>42027</v>
      </c>
      <c r="E109" s="388">
        <v>43123</v>
      </c>
      <c r="F109" s="384">
        <v>990000000</v>
      </c>
      <c r="G109" s="414">
        <v>859600000</v>
      </c>
      <c r="H109" s="385">
        <v>0.87</v>
      </c>
      <c r="I109" s="436">
        <v>473</v>
      </c>
      <c r="J109" s="206">
        <v>138</v>
      </c>
      <c r="K109" s="206">
        <v>16.899999999999999</v>
      </c>
      <c r="L109" s="206">
        <f>VLOOKUP(4414,收盤價!A:C,3,0)</f>
        <v>21.35</v>
      </c>
      <c r="M109" s="206">
        <v>5917</v>
      </c>
      <c r="N109" s="206">
        <v>115.08565</v>
      </c>
      <c r="O109" s="438">
        <v>0.16600000000000001</v>
      </c>
      <c r="P109" s="438">
        <v>0.13109999999999999</v>
      </c>
      <c r="Q109" s="438">
        <v>-2.8062534137697083E-2</v>
      </c>
      <c r="R109" s="206">
        <f>VLOOKUP(44144,V:AE,9,0)</f>
        <v>28</v>
      </c>
      <c r="S109" s="206">
        <f>VLOOKUP(4414,季財報!A:N,5,0)</f>
        <v>3</v>
      </c>
      <c r="T109" s="206">
        <f>VLOOKUP(4414,季財報!A:N,4,0)</f>
        <v>0</v>
      </c>
      <c r="U109" s="441">
        <v>30700000</v>
      </c>
      <c r="V109" s="206">
        <v>240602</v>
      </c>
      <c r="W109" s="206" t="s">
        <v>2448</v>
      </c>
      <c r="X109" s="206" t="s">
        <v>2449</v>
      </c>
      <c r="Y109" s="206">
        <v>4146</v>
      </c>
      <c r="Z109" s="206">
        <v>4146</v>
      </c>
      <c r="AA109" s="206">
        <v>0</v>
      </c>
      <c r="AB109" s="206">
        <v>0</v>
      </c>
      <c r="AC109" s="206">
        <v>4500</v>
      </c>
      <c r="AD109" s="206">
        <v>8</v>
      </c>
      <c r="AE109" s="206">
        <v>0</v>
      </c>
    </row>
    <row r="110" spans="1:31" ht="16.5">
      <c r="A110" s="383">
        <v>4164</v>
      </c>
      <c r="B110" s="383" t="s">
        <v>1989</v>
      </c>
      <c r="C110" s="383">
        <v>41642</v>
      </c>
      <c r="D110" s="388">
        <v>42318</v>
      </c>
      <c r="E110" s="388">
        <v>43414</v>
      </c>
      <c r="F110" s="384">
        <v>1000000000</v>
      </c>
      <c r="G110" s="414">
        <v>1000000000</v>
      </c>
      <c r="H110" s="385">
        <v>1</v>
      </c>
      <c r="I110" s="436">
        <v>764</v>
      </c>
      <c r="J110" s="206">
        <v>108.5</v>
      </c>
      <c r="K110" s="206">
        <v>56.2</v>
      </c>
      <c r="L110" s="206">
        <f>VLOOKUP(4164,收盤價!A:C,3,0)</f>
        <v>43.9</v>
      </c>
      <c r="M110" s="206">
        <v>1779</v>
      </c>
      <c r="N110" s="206">
        <v>100</v>
      </c>
      <c r="O110" s="438">
        <v>7.8299999999999995E-2</v>
      </c>
      <c r="P110" s="438">
        <v>-0.17449999999999999</v>
      </c>
      <c r="Q110" s="438">
        <v>-0.12109972205168849</v>
      </c>
      <c r="R110" s="206">
        <f>VLOOKUP(41642,V:AE,9,0)</f>
        <v>27</v>
      </c>
      <c r="S110" s="206">
        <f>VLOOKUP(4164,季財報!A:N,5,0)</f>
        <v>3</v>
      </c>
      <c r="T110" s="206">
        <f>VLOOKUP(4164,季財報!A:N,4,0)</f>
        <v>99.772727272727266</v>
      </c>
      <c r="U110" s="441">
        <v>37037037.037037037</v>
      </c>
      <c r="V110" s="206">
        <v>13162</v>
      </c>
      <c r="W110" s="206" t="s">
        <v>3175</v>
      </c>
      <c r="X110" s="206" t="s">
        <v>2363</v>
      </c>
      <c r="Y110" s="206">
        <v>2000</v>
      </c>
      <c r="Z110" s="206">
        <v>2000</v>
      </c>
      <c r="AA110" s="206">
        <v>0</v>
      </c>
      <c r="AB110" s="206">
        <v>0</v>
      </c>
      <c r="AC110" s="206">
        <v>2000</v>
      </c>
      <c r="AD110" s="206">
        <v>7</v>
      </c>
      <c r="AE110" s="206">
        <v>0</v>
      </c>
    </row>
    <row r="111" spans="1:31" ht="16.5">
      <c r="A111" s="383">
        <v>4163</v>
      </c>
      <c r="B111" s="383" t="s">
        <v>1763</v>
      </c>
      <c r="C111" s="383">
        <v>41631</v>
      </c>
      <c r="D111" s="388">
        <v>41871</v>
      </c>
      <c r="E111" s="388">
        <v>43697</v>
      </c>
      <c r="F111" s="384">
        <v>500000000</v>
      </c>
      <c r="G111" s="414">
        <v>500000000</v>
      </c>
      <c r="H111" s="385">
        <v>1</v>
      </c>
      <c r="I111" s="436">
        <v>1047</v>
      </c>
      <c r="J111" s="206">
        <v>105</v>
      </c>
      <c r="K111" s="206">
        <v>177.2</v>
      </c>
      <c r="L111" s="206">
        <f>VLOOKUP(4163,收盤價!A:C,3,0)</f>
        <v>155.5</v>
      </c>
      <c r="M111" s="206">
        <v>564</v>
      </c>
      <c r="N111" s="206">
        <v>100</v>
      </c>
      <c r="O111" s="438">
        <v>4.7600000000000003E-2</v>
      </c>
      <c r="P111" s="438">
        <v>-0.1075</v>
      </c>
      <c r="Q111" s="438">
        <v>-0.24924012158054709</v>
      </c>
      <c r="R111" s="206">
        <f>VLOOKUP(41631,V:AE,9,0)</f>
        <v>53</v>
      </c>
      <c r="S111" s="206">
        <f>VLOOKUP(4163,季財報!A:N,5,0)</f>
        <v>5</v>
      </c>
      <c r="T111" s="206">
        <f>VLOOKUP(4163,季財報!A:N,4,0)</f>
        <v>13.438930860805861</v>
      </c>
      <c r="U111" s="441">
        <v>9433962.2641509436</v>
      </c>
      <c r="V111" s="206">
        <v>44144</v>
      </c>
      <c r="W111" s="206" t="s">
        <v>2666</v>
      </c>
      <c r="X111" s="206" t="s">
        <v>2667</v>
      </c>
      <c r="Y111" s="206">
        <v>8596</v>
      </c>
      <c r="Z111" s="206">
        <v>8596</v>
      </c>
      <c r="AA111" s="206">
        <v>0</v>
      </c>
      <c r="AB111" s="206">
        <v>0</v>
      </c>
      <c r="AC111" s="206">
        <v>9900</v>
      </c>
      <c r="AD111" s="206">
        <v>28</v>
      </c>
      <c r="AE111" s="206">
        <v>0</v>
      </c>
    </row>
    <row r="112" spans="1:31" ht="16.5">
      <c r="A112" s="383">
        <v>4161</v>
      </c>
      <c r="B112" s="383" t="s">
        <v>2305</v>
      </c>
      <c r="C112" s="383">
        <v>41611</v>
      </c>
      <c r="D112" s="388">
        <v>41656</v>
      </c>
      <c r="E112" s="388">
        <v>42752</v>
      </c>
      <c r="F112" s="384">
        <v>250000000</v>
      </c>
      <c r="G112" s="414">
        <v>38400000</v>
      </c>
      <c r="H112" s="385">
        <v>0.15</v>
      </c>
      <c r="I112" s="436">
        <v>102</v>
      </c>
      <c r="J112" s="206">
        <v>125</v>
      </c>
      <c r="K112" s="206">
        <v>56.8</v>
      </c>
      <c r="L112" s="206">
        <f>VLOOKUP(4161,收盤價!A:C,3,0)</f>
        <v>59.5</v>
      </c>
      <c r="M112" s="206">
        <v>1761</v>
      </c>
      <c r="N112" s="206">
        <v>104.9556</v>
      </c>
      <c r="O112" s="438">
        <v>0.16039999999999999</v>
      </c>
      <c r="P112" s="438">
        <v>4.7E-2</v>
      </c>
      <c r="Q112" s="438">
        <v>-9.105917092561043E-2</v>
      </c>
      <c r="R112" s="206">
        <f>VLOOKUP(41611,V:AE,9,0)</f>
        <v>4</v>
      </c>
      <c r="S112" s="206">
        <f>VLOOKUP(4161,季財報!A:N,5,0)</f>
        <v>3</v>
      </c>
      <c r="T112" s="206">
        <f>VLOOKUP(4161,季財報!A:N,4,0)</f>
        <v>63.749999999999993</v>
      </c>
      <c r="U112" s="441">
        <v>9600000</v>
      </c>
      <c r="V112" s="206">
        <v>37071</v>
      </c>
      <c r="W112" s="206" t="s">
        <v>2635</v>
      </c>
      <c r="X112" s="206" t="s">
        <v>2636</v>
      </c>
      <c r="Y112" s="206">
        <v>5808</v>
      </c>
      <c r="Z112" s="206">
        <v>5880</v>
      </c>
      <c r="AA112" s="206">
        <v>-72</v>
      </c>
      <c r="AB112" s="206">
        <v>-1.22</v>
      </c>
      <c r="AC112" s="206">
        <v>6500</v>
      </c>
      <c r="AD112" s="206">
        <v>60</v>
      </c>
      <c r="AE112" s="206">
        <v>0</v>
      </c>
    </row>
    <row r="113" spans="1:31" ht="16.5">
      <c r="A113" s="383">
        <v>4153</v>
      </c>
      <c r="B113" s="383" t="s">
        <v>330</v>
      </c>
      <c r="C113" s="383">
        <v>41532</v>
      </c>
      <c r="D113" s="388">
        <v>42116</v>
      </c>
      <c r="E113" s="388">
        <v>43212</v>
      </c>
      <c r="F113" s="384">
        <v>300000000</v>
      </c>
      <c r="G113" s="414">
        <v>300000000</v>
      </c>
      <c r="H113" s="385">
        <v>1</v>
      </c>
      <c r="I113" s="436">
        <v>562</v>
      </c>
      <c r="J113" s="206">
        <v>102.2</v>
      </c>
      <c r="K113" s="206">
        <v>86.4</v>
      </c>
      <c r="L113" s="206">
        <f>VLOOKUP(4153,收盤價!A:C,3,0)</f>
        <v>38.6</v>
      </c>
      <c r="M113" s="206">
        <v>1157</v>
      </c>
      <c r="N113" s="206">
        <v>100</v>
      </c>
      <c r="O113" s="438">
        <v>2.1499999999999998E-2</v>
      </c>
      <c r="P113" s="438">
        <v>-0.9839</v>
      </c>
      <c r="Q113" s="438">
        <v>-0.4381789904723567</v>
      </c>
      <c r="R113" s="206">
        <f>VLOOKUP(41532,V:AE,9,0)</f>
        <v>39</v>
      </c>
      <c r="S113" s="206">
        <f>VLOOKUP(4153,季財報!A:N,5,0)</f>
        <v>1</v>
      </c>
      <c r="T113" s="206">
        <f>VLOOKUP(4153,季財報!A:N,4,0)</f>
        <v>0</v>
      </c>
      <c r="U113" s="441">
        <v>7692307.692307692</v>
      </c>
      <c r="V113" s="206">
        <v>12173</v>
      </c>
      <c r="W113" s="206" t="s">
        <v>2359</v>
      </c>
      <c r="X113" s="206" t="s">
        <v>2360</v>
      </c>
      <c r="Y113" s="206">
        <v>2</v>
      </c>
      <c r="Z113" s="206">
        <v>2</v>
      </c>
      <c r="AA113" s="206">
        <v>0</v>
      </c>
      <c r="AB113" s="206">
        <v>0</v>
      </c>
      <c r="AC113" s="206">
        <v>10000</v>
      </c>
      <c r="AD113" s="206">
        <v>2</v>
      </c>
      <c r="AE113" s="206">
        <v>0</v>
      </c>
    </row>
    <row r="114" spans="1:31" ht="16.149999999999999" customHeight="1">
      <c r="A114" s="383">
        <v>4153</v>
      </c>
      <c r="B114" s="383" t="s">
        <v>330</v>
      </c>
      <c r="C114" s="383">
        <v>41531</v>
      </c>
      <c r="D114" s="388">
        <v>41634</v>
      </c>
      <c r="E114" s="388">
        <v>42730</v>
      </c>
      <c r="F114" s="384">
        <v>200000000</v>
      </c>
      <c r="G114" s="414">
        <v>131100000</v>
      </c>
      <c r="H114" s="385">
        <v>0.66</v>
      </c>
      <c r="I114" s="436">
        <v>80</v>
      </c>
      <c r="J114" s="206">
        <v>268</v>
      </c>
      <c r="K114" s="206">
        <v>26.1</v>
      </c>
      <c r="L114" s="206">
        <f>VLOOKUP(4153,收盤價!A:C,3,0)</f>
        <v>38.6</v>
      </c>
      <c r="M114" s="206">
        <v>3831</v>
      </c>
      <c r="N114" s="206">
        <v>166.84004999999999</v>
      </c>
      <c r="O114" s="438">
        <v>0.3775</v>
      </c>
      <c r="P114" s="438">
        <v>0.4007</v>
      </c>
      <c r="Q114" s="438">
        <v>-9.8528452101279057E-2</v>
      </c>
      <c r="R114" s="206">
        <f>VLOOKUP(41531,V:AE,9,0)</f>
        <v>7</v>
      </c>
      <c r="S114" s="206">
        <f>VLOOKUP(4153,季財報!A:N,5,0)</f>
        <v>1</v>
      </c>
      <c r="T114" s="206">
        <f>VLOOKUP(4153,季財報!A:N,4,0)</f>
        <v>0</v>
      </c>
      <c r="U114" s="441">
        <v>18728571.428571429</v>
      </c>
      <c r="V114" s="206">
        <v>36091</v>
      </c>
      <c r="W114" s="206" t="s">
        <v>2611</v>
      </c>
      <c r="X114" s="206" t="s">
        <v>2612</v>
      </c>
      <c r="Y114" s="206">
        <v>1500</v>
      </c>
      <c r="Z114" s="206">
        <v>1500</v>
      </c>
      <c r="AA114" s="206">
        <v>0</v>
      </c>
      <c r="AB114" s="206">
        <v>0</v>
      </c>
      <c r="AC114" s="206">
        <v>1500</v>
      </c>
      <c r="AD114" s="206">
        <v>15</v>
      </c>
      <c r="AE114" s="206">
        <v>0</v>
      </c>
    </row>
    <row r="115" spans="1:31" ht="16.5">
      <c r="A115" s="383">
        <v>4138</v>
      </c>
      <c r="B115" s="383" t="s">
        <v>2330</v>
      </c>
      <c r="C115" s="383">
        <v>41382</v>
      </c>
      <c r="D115" s="388">
        <v>42033</v>
      </c>
      <c r="E115" s="388">
        <v>43129</v>
      </c>
      <c r="F115" s="384">
        <v>300000000</v>
      </c>
      <c r="G115" s="414">
        <v>300000000</v>
      </c>
      <c r="H115" s="385">
        <v>1</v>
      </c>
      <c r="I115" s="436">
        <v>479</v>
      </c>
      <c r="J115" s="206">
        <v>105.5</v>
      </c>
      <c r="K115" s="206">
        <v>66.11</v>
      </c>
      <c r="L115" s="206">
        <f>VLOOKUP(4138,收盤價!A:C,3,0)</f>
        <v>54</v>
      </c>
      <c r="M115" s="206">
        <v>1513</v>
      </c>
      <c r="N115" s="206">
        <v>100</v>
      </c>
      <c r="O115" s="438">
        <v>5.21E-2</v>
      </c>
      <c r="P115" s="438">
        <v>-0.16189999999999999</v>
      </c>
      <c r="Q115" s="438">
        <v>-0.1216020398254621</v>
      </c>
      <c r="R115" s="206">
        <f>VLOOKUP(41382,V:AE,9,0)</f>
        <v>30</v>
      </c>
      <c r="S115" s="206">
        <f>VLOOKUP(4138,季財報!A:N,5,0)</f>
        <v>2</v>
      </c>
      <c r="T115" s="206">
        <f>VLOOKUP(4138,季財報!A:N,4,0)</f>
        <v>11.741504854368932</v>
      </c>
      <c r="U115" s="441">
        <v>10000000</v>
      </c>
      <c r="V115" s="206">
        <v>35641</v>
      </c>
      <c r="W115" s="206" t="s">
        <v>2600</v>
      </c>
      <c r="X115" s="206" t="s">
        <v>2601</v>
      </c>
      <c r="Y115" s="206">
        <v>2000</v>
      </c>
      <c r="Z115" s="206">
        <v>2000</v>
      </c>
      <c r="AA115" s="206">
        <v>0</v>
      </c>
      <c r="AB115" s="206">
        <v>0</v>
      </c>
      <c r="AC115" s="206">
        <v>2000</v>
      </c>
      <c r="AD115" s="206">
        <v>17</v>
      </c>
      <c r="AE115" s="206">
        <v>0</v>
      </c>
    </row>
    <row r="116" spans="1:31">
      <c r="A116" s="382">
        <v>4137</v>
      </c>
      <c r="B116" s="386" t="s">
        <v>2304</v>
      </c>
      <c r="C116" s="382">
        <v>41371</v>
      </c>
      <c r="D116" s="388">
        <v>42321</v>
      </c>
      <c r="E116" s="388">
        <v>43417</v>
      </c>
      <c r="F116" s="384">
        <v>900000000</v>
      </c>
      <c r="G116" s="414">
        <v>900000000</v>
      </c>
      <c r="H116" s="385">
        <v>1</v>
      </c>
      <c r="I116" s="436">
        <v>767</v>
      </c>
      <c r="J116" s="206">
        <v>102.1</v>
      </c>
      <c r="K116" s="206">
        <v>271.7</v>
      </c>
      <c r="L116" s="206">
        <f>VLOOKUP(4137,收盤價!A:C,3,0)</f>
        <v>141</v>
      </c>
      <c r="M116" s="206">
        <v>368</v>
      </c>
      <c r="N116" s="206">
        <v>100</v>
      </c>
      <c r="O116" s="438">
        <v>2.06E-2</v>
      </c>
      <c r="P116" s="438">
        <v>-0.67200000000000004</v>
      </c>
      <c r="Q116" s="438">
        <v>-1.1258144189413621</v>
      </c>
      <c r="R116" s="206">
        <f>VLOOKUP(41371,V:AE,9,0)</f>
        <v>43</v>
      </c>
      <c r="S116" s="206">
        <f>VLOOKUP(4137,季財報!A:N,5,0)</f>
        <v>1</v>
      </c>
      <c r="T116" s="206">
        <f>VLOOKUP(4137,季財報!A:N,4,0)</f>
        <v>20.958973923384015</v>
      </c>
      <c r="U116" s="441">
        <v>20930232.558139537</v>
      </c>
      <c r="V116" s="206">
        <v>24391</v>
      </c>
      <c r="W116" s="206" t="s">
        <v>2453</v>
      </c>
      <c r="X116" s="206" t="s">
        <v>2454</v>
      </c>
      <c r="Y116" s="206">
        <v>15000</v>
      </c>
      <c r="Z116" s="206">
        <v>15000</v>
      </c>
      <c r="AA116" s="206">
        <v>0</v>
      </c>
      <c r="AB116" s="206">
        <v>0</v>
      </c>
      <c r="AC116" s="206">
        <v>15000</v>
      </c>
      <c r="AD116" s="206">
        <v>78</v>
      </c>
      <c r="AE116" s="206">
        <v>0</v>
      </c>
    </row>
    <row r="117" spans="1:31" ht="16.5">
      <c r="A117" s="383">
        <v>4130</v>
      </c>
      <c r="B117" s="383" t="s">
        <v>328</v>
      </c>
      <c r="C117" s="383">
        <v>41301</v>
      </c>
      <c r="D117" s="388">
        <v>41999</v>
      </c>
      <c r="E117" s="388">
        <v>43095</v>
      </c>
      <c r="F117" s="384">
        <v>250000000</v>
      </c>
      <c r="G117" s="414">
        <v>250000000</v>
      </c>
      <c r="H117" s="385">
        <v>1</v>
      </c>
      <c r="I117" s="436">
        <v>445</v>
      </c>
      <c r="J117" s="206">
        <v>97.6</v>
      </c>
      <c r="K117" s="206">
        <v>69.599999999999994</v>
      </c>
      <c r="L117" s="206">
        <f>VLOOKUP(4130,收盤價!A:C,3,0)</f>
        <v>39</v>
      </c>
      <c r="M117" s="206">
        <v>1437</v>
      </c>
      <c r="N117" s="206">
        <v>100</v>
      </c>
      <c r="O117" s="438">
        <v>-2.46E-2</v>
      </c>
      <c r="P117" s="438">
        <v>-0.59450000000000003</v>
      </c>
      <c r="Q117" s="438">
        <v>-0.24866061752056315</v>
      </c>
      <c r="R117" s="206">
        <f>VLOOKUP(41301,V:AE,9,0)</f>
        <v>47</v>
      </c>
      <c r="S117" s="206">
        <f>VLOOKUP(4130,季財報!A:N,5,0)</f>
        <v>2</v>
      </c>
      <c r="T117" s="206">
        <f>VLOOKUP(4130,季財報!A:N,4,0)</f>
        <v>243.74999999999994</v>
      </c>
      <c r="U117" s="441">
        <v>5319148.9361702129</v>
      </c>
      <c r="V117" s="206">
        <v>32342</v>
      </c>
      <c r="W117" s="206" t="s">
        <v>2563</v>
      </c>
      <c r="X117" s="206" t="s">
        <v>2562</v>
      </c>
      <c r="Y117" s="206">
        <v>5000</v>
      </c>
      <c r="Z117" s="206">
        <v>5000</v>
      </c>
      <c r="AA117" s="206">
        <v>0</v>
      </c>
      <c r="AB117" s="206">
        <v>0</v>
      </c>
      <c r="AC117" s="206">
        <v>5000</v>
      </c>
      <c r="AD117" s="206">
        <v>39</v>
      </c>
      <c r="AE117" s="206">
        <v>0</v>
      </c>
    </row>
    <row r="118" spans="1:31" ht="16.5">
      <c r="A118" s="383">
        <v>4123</v>
      </c>
      <c r="B118" s="383" t="s">
        <v>1441</v>
      </c>
      <c r="C118" s="383">
        <v>41233</v>
      </c>
      <c r="D118" s="388">
        <v>42198</v>
      </c>
      <c r="E118" s="388">
        <v>44025</v>
      </c>
      <c r="F118" s="384">
        <v>3400000000</v>
      </c>
      <c r="G118" s="414">
        <v>2292800000</v>
      </c>
      <c r="H118" s="385">
        <v>0.67</v>
      </c>
      <c r="I118" s="436">
        <v>1375</v>
      </c>
      <c r="J118" s="206">
        <v>117.5</v>
      </c>
      <c r="K118" s="206">
        <v>58.7</v>
      </c>
      <c r="L118" s="206">
        <f>VLOOKUP(4123,收盤價!A:C,3,0)</f>
        <v>66.2</v>
      </c>
      <c r="M118" s="206">
        <v>1704</v>
      </c>
      <c r="N118" s="206">
        <v>117.57599999999999</v>
      </c>
      <c r="O118" s="438">
        <v>-5.9999999999999995E-4</v>
      </c>
      <c r="P118" s="438">
        <v>0.14929999999999999</v>
      </c>
      <c r="Q118" s="438">
        <v>3.7958245929477463E-4</v>
      </c>
      <c r="R118" s="206">
        <f>VLOOKUP(41233,V:AE,9,0)</f>
        <v>196</v>
      </c>
      <c r="S118" s="206">
        <f>VLOOKUP(4123,季財報!A:N,5,0)</f>
        <v>3</v>
      </c>
      <c r="T118" s="206">
        <f>VLOOKUP(4123,季財報!A:N,4,0)</f>
        <v>0</v>
      </c>
      <c r="U118" s="441">
        <v>11697959.183673469</v>
      </c>
      <c r="V118" s="206">
        <v>24571</v>
      </c>
      <c r="W118" s="206" t="s">
        <v>2461</v>
      </c>
      <c r="X118" s="206" t="s">
        <v>2462</v>
      </c>
      <c r="Y118" s="206">
        <v>12216</v>
      </c>
      <c r="Z118" s="206">
        <v>12216</v>
      </c>
      <c r="AA118" s="206">
        <v>0</v>
      </c>
      <c r="AB118" s="206">
        <v>0</v>
      </c>
      <c r="AC118" s="206">
        <v>15000</v>
      </c>
      <c r="AD118" s="206">
        <v>139</v>
      </c>
      <c r="AE118" s="206">
        <v>0</v>
      </c>
    </row>
    <row r="119" spans="1:31" ht="16.5">
      <c r="A119" s="383">
        <v>4114</v>
      </c>
      <c r="B119" s="383" t="s">
        <v>1988</v>
      </c>
      <c r="C119" s="383">
        <v>41145</v>
      </c>
      <c r="D119" s="388">
        <v>41950</v>
      </c>
      <c r="E119" s="388">
        <v>43776</v>
      </c>
      <c r="F119" s="384">
        <v>500000000</v>
      </c>
      <c r="G119" s="414">
        <v>500000000</v>
      </c>
      <c r="H119" s="385">
        <v>1</v>
      </c>
      <c r="I119" s="436">
        <v>1126</v>
      </c>
      <c r="J119" s="206">
        <v>115</v>
      </c>
      <c r="K119" s="206">
        <v>32.93</v>
      </c>
      <c r="L119" s="206">
        <f>VLOOKUP(4114,收盤價!A:C,3,0)</f>
        <v>29.2</v>
      </c>
      <c r="M119" s="206">
        <v>3037</v>
      </c>
      <c r="N119" s="206">
        <v>100</v>
      </c>
      <c r="O119" s="438">
        <v>0.13039999999999999</v>
      </c>
      <c r="P119" s="438">
        <v>-3.8800000000000001E-2</v>
      </c>
      <c r="Q119" s="438">
        <v>-5.3620134285837E-2</v>
      </c>
      <c r="R119" s="206">
        <f>VLOOKUP(41145,V:AE,9,0)</f>
        <v>17</v>
      </c>
      <c r="S119" s="206">
        <f>VLOOKUP(4114,季財報!A:N,5,0)</f>
        <v>3</v>
      </c>
      <c r="T119" s="206">
        <f>VLOOKUP(4114,季財報!A:N,4,0)</f>
        <v>0</v>
      </c>
      <c r="U119" s="441">
        <v>29411764.705882352</v>
      </c>
      <c r="V119" s="206">
        <v>24816</v>
      </c>
      <c r="W119" s="206" t="s">
        <v>2470</v>
      </c>
      <c r="X119" s="206" t="s">
        <v>2471</v>
      </c>
      <c r="Y119" s="206">
        <v>4</v>
      </c>
      <c r="Z119" s="206">
        <v>242</v>
      </c>
      <c r="AA119" s="206">
        <v>-238</v>
      </c>
      <c r="AB119" s="206">
        <v>-98.35</v>
      </c>
      <c r="AC119" s="206">
        <v>3500</v>
      </c>
      <c r="AD119" s="206">
        <v>2</v>
      </c>
      <c r="AE119" s="206">
        <v>0</v>
      </c>
    </row>
    <row r="120" spans="1:31" ht="16.149999999999999" customHeight="1">
      <c r="A120" s="387">
        <v>4109</v>
      </c>
      <c r="B120" s="387" t="s">
        <v>1437</v>
      </c>
      <c r="C120" s="387">
        <v>41093</v>
      </c>
      <c r="D120" s="388">
        <v>42046</v>
      </c>
      <c r="E120" s="388">
        <v>43872</v>
      </c>
      <c r="F120" s="384">
        <v>250000000</v>
      </c>
      <c r="G120" s="414">
        <v>238600000</v>
      </c>
      <c r="H120" s="385">
        <v>0.95</v>
      </c>
      <c r="I120" s="436">
        <v>1222</v>
      </c>
      <c r="J120" s="206">
        <v>109</v>
      </c>
      <c r="K120" s="206">
        <v>21.2</v>
      </c>
      <c r="L120" s="206">
        <f>VLOOKUP(4109,收盤價!A:C,3,0)</f>
        <v>20.75</v>
      </c>
      <c r="M120" s="206">
        <v>4717</v>
      </c>
      <c r="N120" s="206">
        <v>100</v>
      </c>
      <c r="O120" s="438">
        <v>8.2600000000000007E-2</v>
      </c>
      <c r="P120" s="438">
        <v>-4.4299999999999999E-2</v>
      </c>
      <c r="Q120" s="438">
        <v>-2.5760619893300227E-2</v>
      </c>
      <c r="R120" s="206">
        <f>VLOOKUP(41093,V:AE,9,0)</f>
        <v>32</v>
      </c>
      <c r="S120" s="206">
        <f>VLOOKUP(4109,季財報!A:N,5,0)</f>
        <v>0</v>
      </c>
      <c r="T120" s="206">
        <f>VLOOKUP(4109,季財報!A:N,4,0)</f>
        <v>162.109375</v>
      </c>
      <c r="U120" s="441">
        <v>7456250</v>
      </c>
      <c r="V120" s="206">
        <v>171501</v>
      </c>
      <c r="W120" s="206" t="s">
        <v>2408</v>
      </c>
      <c r="X120" s="206" t="s">
        <v>2409</v>
      </c>
      <c r="Y120" s="206">
        <v>2000</v>
      </c>
      <c r="Z120" s="206">
        <v>2000</v>
      </c>
      <c r="AA120" s="206">
        <v>0</v>
      </c>
      <c r="AB120" s="206">
        <v>0</v>
      </c>
      <c r="AC120" s="206">
        <v>2000</v>
      </c>
      <c r="AD120" s="206">
        <v>7</v>
      </c>
      <c r="AE120" s="206">
        <v>0</v>
      </c>
    </row>
    <row r="121" spans="1:31" ht="15.6" customHeight="1">
      <c r="A121" s="383">
        <v>3707</v>
      </c>
      <c r="B121" s="383" t="s">
        <v>324</v>
      </c>
      <c r="C121" s="383">
        <v>37071</v>
      </c>
      <c r="D121" s="388">
        <v>42426</v>
      </c>
      <c r="E121" s="388">
        <v>43522</v>
      </c>
      <c r="F121" s="384">
        <v>650000000</v>
      </c>
      <c r="G121" s="414">
        <v>580800000</v>
      </c>
      <c r="H121" s="385">
        <v>0.89</v>
      </c>
      <c r="I121" s="436">
        <v>872</v>
      </c>
      <c r="J121" s="206">
        <v>111.5</v>
      </c>
      <c r="K121" s="206">
        <v>10</v>
      </c>
      <c r="L121" s="206">
        <f>VLOOKUP(3707,收盤價!A:C,3,0)</f>
        <v>10.050000000000001</v>
      </c>
      <c r="M121" s="206">
        <v>10000</v>
      </c>
      <c r="N121" s="206">
        <v>106.5</v>
      </c>
      <c r="O121" s="438">
        <v>4.48E-2</v>
      </c>
      <c r="P121" s="438">
        <v>6.0999999999999999E-2</v>
      </c>
      <c r="Q121" s="438">
        <v>-4.4843049327354259E-3</v>
      </c>
      <c r="R121" s="206">
        <f>VLOOKUP(37071,V:AE,9,0)</f>
        <v>60</v>
      </c>
      <c r="S121" s="206">
        <f>VLOOKUP(3707,季財報!A:N,5,0)</f>
        <v>2</v>
      </c>
      <c r="T121" s="206">
        <f>VLOOKUP(3707,季財報!A:N,4,0)</f>
        <v>0</v>
      </c>
      <c r="U121" s="441">
        <v>9680000</v>
      </c>
      <c r="V121" s="206">
        <v>36981</v>
      </c>
      <c r="W121" s="206" t="s">
        <v>2630</v>
      </c>
      <c r="X121" s="206" t="s">
        <v>2631</v>
      </c>
      <c r="Y121" s="206">
        <v>244</v>
      </c>
      <c r="Z121" s="206">
        <v>244</v>
      </c>
      <c r="AA121" s="206">
        <v>0</v>
      </c>
      <c r="AB121" s="206">
        <v>0</v>
      </c>
      <c r="AC121" s="206">
        <v>10000</v>
      </c>
      <c r="AD121" s="206">
        <v>7</v>
      </c>
      <c r="AE121" s="206">
        <v>0</v>
      </c>
    </row>
    <row r="122" spans="1:31" ht="16.149999999999999" customHeight="1">
      <c r="A122" s="383">
        <v>3702</v>
      </c>
      <c r="B122" s="383" t="s">
        <v>1987</v>
      </c>
      <c r="C122" s="383">
        <v>37021</v>
      </c>
      <c r="D122" s="388">
        <v>41845</v>
      </c>
      <c r="E122" s="388">
        <v>42941</v>
      </c>
      <c r="F122" s="384">
        <v>6000000000</v>
      </c>
      <c r="G122" s="414">
        <v>4687600000</v>
      </c>
      <c r="H122" s="385">
        <v>0.78</v>
      </c>
      <c r="I122" s="436">
        <v>291</v>
      </c>
      <c r="J122" s="206">
        <v>105</v>
      </c>
      <c r="K122" s="206">
        <v>35.4</v>
      </c>
      <c r="L122" s="206">
        <f>VLOOKUP(3702,收盤價!A:C,3,0)</f>
        <v>36.85</v>
      </c>
      <c r="M122" s="206">
        <v>2825</v>
      </c>
      <c r="N122" s="206">
        <v>104.8075</v>
      </c>
      <c r="O122" s="438">
        <v>1.8E-3</v>
      </c>
      <c r="P122" s="438">
        <v>4.58E-2</v>
      </c>
      <c r="Q122" s="438">
        <v>-6.4896755162243108E-4</v>
      </c>
      <c r="R122" s="206">
        <f>VLOOKUP(37021,V:AE,9,0)</f>
        <v>171</v>
      </c>
      <c r="S122" s="206">
        <f>VLOOKUP(3702,季財報!A:N,5,0)</f>
        <v>4</v>
      </c>
      <c r="T122" s="206">
        <f>VLOOKUP(3702,季財報!A:N,4,0)</f>
        <v>9.8005319148936181</v>
      </c>
      <c r="U122" s="441">
        <v>27412865.497076023</v>
      </c>
      <c r="V122" s="206">
        <v>36625</v>
      </c>
      <c r="W122" s="206" t="s">
        <v>2621</v>
      </c>
      <c r="X122" s="206" t="s">
        <v>2620</v>
      </c>
      <c r="Y122" s="206">
        <v>4999</v>
      </c>
      <c r="Z122" s="206">
        <v>4999</v>
      </c>
      <c r="AA122" s="206">
        <v>0</v>
      </c>
      <c r="AB122" s="206">
        <v>0</v>
      </c>
      <c r="AC122" s="206">
        <v>5000</v>
      </c>
      <c r="AD122" s="206">
        <v>3</v>
      </c>
      <c r="AE122" s="206">
        <v>0</v>
      </c>
    </row>
    <row r="123" spans="1:31" ht="16.5">
      <c r="A123" s="383">
        <v>3698</v>
      </c>
      <c r="B123" s="383" t="s">
        <v>1986</v>
      </c>
      <c r="C123" s="383">
        <v>36982</v>
      </c>
      <c r="D123" s="388">
        <v>41648</v>
      </c>
      <c r="E123" s="388">
        <v>43474</v>
      </c>
      <c r="F123" s="384">
        <v>2000000000</v>
      </c>
      <c r="G123" s="414">
        <v>1998000000</v>
      </c>
      <c r="H123" s="385">
        <v>1</v>
      </c>
      <c r="I123" s="436">
        <v>824</v>
      </c>
      <c r="J123" s="206">
        <v>100.7</v>
      </c>
      <c r="K123" s="206">
        <v>28.91</v>
      </c>
      <c r="L123" s="206">
        <f>VLOOKUP(3698,收盤價!A:C,3,0)</f>
        <v>13.2</v>
      </c>
      <c r="M123" s="206">
        <v>3459</v>
      </c>
      <c r="N123" s="206">
        <v>100</v>
      </c>
      <c r="O123" s="438">
        <v>7.0000000000000001E-3</v>
      </c>
      <c r="P123" s="438">
        <v>-1.0076000000000001</v>
      </c>
      <c r="Q123" s="438">
        <v>-0.14610188926143763</v>
      </c>
      <c r="R123" s="206">
        <f>VLOOKUP(36982,V:AE,9,0)</f>
        <v>121</v>
      </c>
      <c r="S123" s="206">
        <f>VLOOKUP(3698,季財報!A:N,5,0)</f>
        <v>3</v>
      </c>
      <c r="T123" s="206">
        <f>VLOOKUP(3698,季財報!A:N,4,0)</f>
        <v>0</v>
      </c>
      <c r="U123" s="441">
        <v>16512396.694214877</v>
      </c>
      <c r="V123" s="206">
        <v>54759</v>
      </c>
      <c r="W123" s="206" t="s">
        <v>2735</v>
      </c>
      <c r="X123" s="206" t="s">
        <v>2732</v>
      </c>
      <c r="Y123" s="206">
        <v>2000</v>
      </c>
      <c r="Z123" s="206">
        <v>2000</v>
      </c>
      <c r="AA123" s="206">
        <v>0</v>
      </c>
      <c r="AB123" s="206">
        <v>0</v>
      </c>
      <c r="AC123" s="206">
        <v>2000</v>
      </c>
      <c r="AD123" s="206">
        <v>21</v>
      </c>
      <c r="AE123" s="206">
        <v>0</v>
      </c>
    </row>
    <row r="124" spans="1:31" ht="16.5">
      <c r="A124" s="383">
        <v>3693</v>
      </c>
      <c r="B124" s="383" t="s">
        <v>323</v>
      </c>
      <c r="C124" s="383">
        <v>36931</v>
      </c>
      <c r="D124" s="388">
        <v>42192</v>
      </c>
      <c r="E124" s="388">
        <v>44019</v>
      </c>
      <c r="F124" s="384">
        <v>500000000</v>
      </c>
      <c r="G124" s="414">
        <v>500000000</v>
      </c>
      <c r="H124" s="385">
        <v>1</v>
      </c>
      <c r="I124" s="436">
        <v>1369</v>
      </c>
      <c r="J124" s="206">
        <v>106</v>
      </c>
      <c r="K124" s="206">
        <v>112.7</v>
      </c>
      <c r="L124" s="206">
        <f>VLOOKUP(3693,收盤價!A:C,3,0)</f>
        <v>65.099999999999994</v>
      </c>
      <c r="M124" s="206">
        <v>887</v>
      </c>
      <c r="N124" s="206">
        <v>100</v>
      </c>
      <c r="O124" s="438">
        <v>5.6599999999999998E-2</v>
      </c>
      <c r="P124" s="438">
        <v>-0.62160000000000004</v>
      </c>
      <c r="Q124" s="438">
        <v>-0.47173533853778898</v>
      </c>
      <c r="R124" s="206">
        <f>VLOOKUP(36931,V:AE,9,0)</f>
        <v>33</v>
      </c>
      <c r="S124" s="206">
        <f>VLOOKUP(3693,季財報!A:N,5,0)</f>
        <v>2</v>
      </c>
      <c r="T124" s="206">
        <f>VLOOKUP(3693,季財報!A:N,4,0)</f>
        <v>80.599999999999994</v>
      </c>
      <c r="U124" s="441">
        <v>15151515.151515152</v>
      </c>
      <c r="V124" s="206">
        <v>61393</v>
      </c>
      <c r="W124" s="206" t="s">
        <v>2764</v>
      </c>
      <c r="X124" s="206" t="s">
        <v>2765</v>
      </c>
      <c r="Y124" s="206">
        <v>2082</v>
      </c>
      <c r="Z124" s="206">
        <v>2328</v>
      </c>
      <c r="AA124" s="206">
        <v>-246</v>
      </c>
      <c r="AB124" s="206">
        <v>-10.57</v>
      </c>
      <c r="AC124" s="206">
        <v>7000</v>
      </c>
      <c r="AD124" s="206">
        <v>11</v>
      </c>
      <c r="AE124" s="206">
        <v>0</v>
      </c>
    </row>
    <row r="125" spans="1:31" ht="16.149999999999999" customHeight="1">
      <c r="A125" s="382">
        <v>3691</v>
      </c>
      <c r="B125" s="386" t="s">
        <v>1432</v>
      </c>
      <c r="C125" s="382">
        <v>36911</v>
      </c>
      <c r="D125" s="388">
        <v>41845</v>
      </c>
      <c r="E125" s="388">
        <v>43671</v>
      </c>
      <c r="F125" s="384">
        <v>1800000000</v>
      </c>
      <c r="G125" s="414">
        <v>1741700000</v>
      </c>
      <c r="H125" s="385">
        <v>0.97</v>
      </c>
      <c r="I125" s="436">
        <v>1021</v>
      </c>
      <c r="J125" s="206">
        <v>103.4</v>
      </c>
      <c r="K125" s="206">
        <v>583.07000000000005</v>
      </c>
      <c r="L125" s="206">
        <f>VLOOKUP(3691,收盤價!A:C,3,0)</f>
        <v>404</v>
      </c>
      <c r="M125" s="206">
        <v>172</v>
      </c>
      <c r="N125" s="206">
        <v>100</v>
      </c>
      <c r="O125" s="438">
        <v>3.2899999999999999E-2</v>
      </c>
      <c r="P125" s="438">
        <v>-0.45040000000000002</v>
      </c>
      <c r="Q125" s="438">
        <v>-1.9261391750258643</v>
      </c>
      <c r="R125" s="206">
        <f>VLOOKUP(36911,V:AE,9,0)</f>
        <v>84</v>
      </c>
      <c r="S125" s="206">
        <f>VLOOKUP(3691,季財報!A:N,5,0)</f>
        <v>2</v>
      </c>
      <c r="T125" s="206">
        <f>VLOOKUP(3691,季財報!A:N,4,0)</f>
        <v>12.251507442999813</v>
      </c>
      <c r="U125" s="441">
        <v>20734523.80952381</v>
      </c>
      <c r="V125" s="206">
        <v>24564</v>
      </c>
      <c r="W125" s="206" t="s">
        <v>2459</v>
      </c>
      <c r="X125" s="206" t="s">
        <v>2460</v>
      </c>
      <c r="Y125" s="206">
        <v>12755</v>
      </c>
      <c r="Z125" s="206">
        <v>12805</v>
      </c>
      <c r="AA125" s="206">
        <v>-50</v>
      </c>
      <c r="AB125" s="206">
        <v>-0.39</v>
      </c>
      <c r="AC125" s="206">
        <v>15000</v>
      </c>
      <c r="AD125" s="206">
        <v>157</v>
      </c>
      <c r="AE125" s="206">
        <v>0</v>
      </c>
    </row>
    <row r="126" spans="1:31" ht="16.149999999999999" customHeight="1">
      <c r="A126" s="383">
        <v>3663</v>
      </c>
      <c r="B126" s="383" t="s">
        <v>1779</v>
      </c>
      <c r="C126" s="383">
        <v>36632</v>
      </c>
      <c r="D126" s="388">
        <v>41534</v>
      </c>
      <c r="E126" s="388">
        <v>43360</v>
      </c>
      <c r="F126" s="384">
        <v>100000000</v>
      </c>
      <c r="G126" s="414">
        <v>15000000</v>
      </c>
      <c r="H126" s="385">
        <v>0.15</v>
      </c>
      <c r="I126" s="436">
        <v>710</v>
      </c>
      <c r="J126" s="206">
        <v>102</v>
      </c>
      <c r="K126" s="206">
        <v>24.2</v>
      </c>
      <c r="L126" s="206">
        <f>VLOOKUP(3663,收盤價!A:C,3,0)</f>
        <v>17.600000000000001</v>
      </c>
      <c r="M126" s="206">
        <v>4132</v>
      </c>
      <c r="N126" s="206">
        <v>100</v>
      </c>
      <c r="O126" s="438">
        <v>1.9599999999999999E-2</v>
      </c>
      <c r="P126" s="438">
        <v>-0.21299999999999999</v>
      </c>
      <c r="Q126" s="438">
        <v>-4.6425317464836857E-2</v>
      </c>
      <c r="R126" s="206">
        <f>VLOOKUP(36632,V:AE,9,0)</f>
        <v>5</v>
      </c>
      <c r="S126" s="206">
        <f>VLOOKUP(3663,季財報!A:N,5,0)</f>
        <v>3</v>
      </c>
      <c r="T126" s="206">
        <f>VLOOKUP(3663,季財報!A:N,4,0)</f>
        <v>0</v>
      </c>
      <c r="U126" s="441">
        <v>3000000</v>
      </c>
      <c r="V126" s="206">
        <v>14663</v>
      </c>
      <c r="W126" s="206" t="s">
        <v>2376</v>
      </c>
      <c r="X126" s="206" t="s">
        <v>2365</v>
      </c>
      <c r="Y126" s="206">
        <v>4000</v>
      </c>
      <c r="Z126" s="206">
        <v>4000</v>
      </c>
      <c r="AA126" s="206">
        <v>0</v>
      </c>
      <c r="AB126" s="206">
        <v>0</v>
      </c>
      <c r="AC126" s="206">
        <v>4000</v>
      </c>
      <c r="AD126" s="206">
        <v>30</v>
      </c>
      <c r="AE126" s="206">
        <v>0</v>
      </c>
    </row>
    <row r="127" spans="1:31" ht="16.5">
      <c r="A127" s="383">
        <v>3662</v>
      </c>
      <c r="B127" s="383" t="s">
        <v>1985</v>
      </c>
      <c r="C127" s="383">
        <v>36626</v>
      </c>
      <c r="D127" s="388">
        <v>42431</v>
      </c>
      <c r="E127" s="388">
        <v>43526</v>
      </c>
      <c r="F127" s="384">
        <v>1000000000</v>
      </c>
      <c r="G127" s="414">
        <v>102900000</v>
      </c>
      <c r="H127" s="385">
        <v>0.1</v>
      </c>
      <c r="I127" s="436">
        <v>876</v>
      </c>
      <c r="J127" s="206">
        <v>87</v>
      </c>
      <c r="K127" s="206">
        <v>66.900000000000006</v>
      </c>
      <c r="L127" s="206">
        <f>VLOOKUP(3662,收盤價!A:C,3,0)</f>
        <v>17.850000000000001</v>
      </c>
      <c r="M127" s="206">
        <v>1495</v>
      </c>
      <c r="N127" s="206">
        <v>100</v>
      </c>
      <c r="O127" s="438">
        <v>-0.14940000000000001</v>
      </c>
      <c r="P127" s="438">
        <v>-1.7932999999999999</v>
      </c>
      <c r="Q127" s="438">
        <v>-0.39360896474839502</v>
      </c>
      <c r="R127" s="206">
        <f>VLOOKUP(36626,V:AE,9,0)</f>
        <v>18</v>
      </c>
      <c r="S127" s="206">
        <f>VLOOKUP(3662,季財報!A:N,5,0)</f>
        <v>2</v>
      </c>
      <c r="T127" s="206">
        <f>VLOOKUP(3662,季財報!A:N,4,0)</f>
        <v>16.551818181818181</v>
      </c>
      <c r="U127" s="441">
        <v>5716666.666666667</v>
      </c>
      <c r="V127" s="206">
        <v>26411</v>
      </c>
      <c r="W127" s="206" t="s">
        <v>2508</v>
      </c>
      <c r="X127" s="206" t="s">
        <v>2509</v>
      </c>
      <c r="Y127" s="206">
        <v>2500</v>
      </c>
      <c r="Z127" s="206">
        <v>2500</v>
      </c>
      <c r="AA127" s="206">
        <v>0</v>
      </c>
      <c r="AB127" s="206">
        <v>0</v>
      </c>
      <c r="AC127" s="206">
        <v>2500</v>
      </c>
      <c r="AD127" s="206">
        <v>24</v>
      </c>
      <c r="AE127" s="206">
        <v>0</v>
      </c>
    </row>
    <row r="128" spans="1:31" ht="16.5">
      <c r="A128" s="383">
        <v>3662</v>
      </c>
      <c r="B128" s="383" t="s">
        <v>1985</v>
      </c>
      <c r="C128" s="383">
        <v>36625</v>
      </c>
      <c r="D128" s="388">
        <v>42430</v>
      </c>
      <c r="E128" s="388">
        <v>43525</v>
      </c>
      <c r="F128" s="384">
        <v>500000000</v>
      </c>
      <c r="G128" s="414">
        <v>499900000</v>
      </c>
      <c r="H128" s="385">
        <v>1</v>
      </c>
      <c r="I128" s="436">
        <v>875</v>
      </c>
      <c r="J128" s="206">
        <v>128</v>
      </c>
      <c r="K128" s="206">
        <v>65.7</v>
      </c>
      <c r="L128" s="206">
        <f>VLOOKUP(3662,收盤價!A:C,3,0)</f>
        <v>17.850000000000001</v>
      </c>
      <c r="M128" s="206">
        <v>1522</v>
      </c>
      <c r="N128" s="206">
        <v>100</v>
      </c>
      <c r="O128" s="438">
        <v>0.21879999999999999</v>
      </c>
      <c r="P128" s="438">
        <v>-1.7432000000000001</v>
      </c>
      <c r="Q128" s="438">
        <v>-0.46992084839027592</v>
      </c>
      <c r="R128" s="206">
        <f>VLOOKUP(36625,V:AE,9,0)</f>
        <v>3</v>
      </c>
      <c r="S128" s="206">
        <f>VLOOKUP(3662,季財報!A:N,5,0)</f>
        <v>2</v>
      </c>
      <c r="T128" s="206">
        <f>VLOOKUP(3662,季財報!A:N,4,0)</f>
        <v>16.551818181818181</v>
      </c>
      <c r="U128" s="441">
        <v>166633333.33333334</v>
      </c>
      <c r="V128" s="206">
        <v>20314</v>
      </c>
      <c r="W128" s="206" t="s">
        <v>2429</v>
      </c>
      <c r="X128" s="206" t="s">
        <v>2430</v>
      </c>
      <c r="Y128" s="206">
        <v>4790</v>
      </c>
      <c r="Z128" s="206">
        <v>4790</v>
      </c>
      <c r="AA128" s="206">
        <v>0</v>
      </c>
      <c r="AB128" s="206">
        <v>0</v>
      </c>
      <c r="AC128" s="206">
        <v>5000</v>
      </c>
      <c r="AD128" s="206">
        <v>88</v>
      </c>
      <c r="AE128" s="206">
        <v>0</v>
      </c>
    </row>
    <row r="129" spans="1:31" ht="15.6" customHeight="1">
      <c r="A129" s="383">
        <v>3662</v>
      </c>
      <c r="B129" s="383" t="s">
        <v>1985</v>
      </c>
      <c r="C129" s="383">
        <v>36624</v>
      </c>
      <c r="D129" s="388">
        <v>42430</v>
      </c>
      <c r="E129" s="388">
        <v>43525</v>
      </c>
      <c r="F129" s="384">
        <v>500000000</v>
      </c>
      <c r="G129" s="414">
        <v>275500000</v>
      </c>
      <c r="H129" s="385">
        <v>0.55000000000000004</v>
      </c>
      <c r="I129" s="436">
        <v>875</v>
      </c>
      <c r="J129" s="206">
        <v>95.5</v>
      </c>
      <c r="K129" s="206">
        <v>65.7</v>
      </c>
      <c r="L129" s="206">
        <f>VLOOKUP(3662,收盤價!A:C,3,0)</f>
        <v>17.850000000000001</v>
      </c>
      <c r="M129" s="206">
        <v>1522</v>
      </c>
      <c r="N129" s="206">
        <v>100</v>
      </c>
      <c r="O129" s="438">
        <v>-4.7100000000000003E-2</v>
      </c>
      <c r="P129" s="438">
        <v>-1.7432000000000001</v>
      </c>
      <c r="Q129" s="438">
        <v>-0.40624488307613982</v>
      </c>
      <c r="R129" s="206">
        <f>VLOOKUP(36624,V:AE,9,0)</f>
        <v>24</v>
      </c>
      <c r="S129" s="206">
        <f>VLOOKUP(3662,季財報!A:N,5,0)</f>
        <v>2</v>
      </c>
      <c r="T129" s="206">
        <f>VLOOKUP(3662,季財報!A:N,4,0)</f>
        <v>16.551818181818181</v>
      </c>
      <c r="U129" s="441">
        <v>11479166.666666666</v>
      </c>
      <c r="V129" s="206">
        <v>25375</v>
      </c>
      <c r="W129" s="206" t="s">
        <v>2482</v>
      </c>
      <c r="X129" s="206" t="s">
        <v>2483</v>
      </c>
      <c r="Y129" s="206">
        <v>4000</v>
      </c>
      <c r="Z129" s="206">
        <v>4000</v>
      </c>
      <c r="AA129" s="206">
        <v>0</v>
      </c>
      <c r="AB129" s="206">
        <v>0</v>
      </c>
      <c r="AC129" s="206">
        <v>4000</v>
      </c>
      <c r="AD129" s="206">
        <v>150</v>
      </c>
      <c r="AE129" s="206">
        <v>0</v>
      </c>
    </row>
    <row r="130" spans="1:31" ht="16.5">
      <c r="A130" s="383">
        <v>3625</v>
      </c>
      <c r="B130" s="383" t="s">
        <v>315</v>
      </c>
      <c r="C130" s="383">
        <v>36251</v>
      </c>
      <c r="D130" s="388">
        <v>42045</v>
      </c>
      <c r="E130" s="388">
        <v>43141</v>
      </c>
      <c r="F130" s="384">
        <v>200000000</v>
      </c>
      <c r="G130" s="414">
        <v>184400000</v>
      </c>
      <c r="H130" s="385">
        <v>0.92</v>
      </c>
      <c r="I130" s="436">
        <v>491</v>
      </c>
      <c r="J130" s="206">
        <v>157</v>
      </c>
      <c r="K130" s="206">
        <v>11.1</v>
      </c>
      <c r="L130" s="206">
        <f>VLOOKUP(3625,收盤價!A:C,3,0)</f>
        <v>17.8</v>
      </c>
      <c r="M130" s="206">
        <v>9009</v>
      </c>
      <c r="N130" s="206">
        <v>155.85570000000001</v>
      </c>
      <c r="O130" s="438">
        <v>7.3000000000000001E-3</v>
      </c>
      <c r="P130" s="438">
        <v>0.3584</v>
      </c>
      <c r="Q130" s="438">
        <v>-8.0902819756323578E-4</v>
      </c>
      <c r="R130" s="206">
        <f>VLOOKUP(36251,V:AE,9,0)</f>
        <v>6</v>
      </c>
      <c r="S130" s="206">
        <f>VLOOKUP(3625,季財報!A:N,5,0)</f>
        <v>3</v>
      </c>
      <c r="T130" s="206">
        <f>VLOOKUP(3625,季財報!A:N,4,0)</f>
        <v>20.227272727272727</v>
      </c>
      <c r="U130" s="441">
        <v>30733333.333333332</v>
      </c>
      <c r="V130" s="206">
        <v>24022</v>
      </c>
      <c r="W130" s="206" t="s">
        <v>2446</v>
      </c>
      <c r="X130" s="206" t="s">
        <v>2447</v>
      </c>
      <c r="Y130" s="206">
        <v>20000</v>
      </c>
      <c r="Z130" s="206">
        <v>20000</v>
      </c>
      <c r="AA130" s="206">
        <v>0</v>
      </c>
      <c r="AB130" s="206">
        <v>0</v>
      </c>
      <c r="AC130" s="206">
        <v>20000</v>
      </c>
      <c r="AD130" s="206">
        <v>80</v>
      </c>
      <c r="AE130" s="206">
        <v>0</v>
      </c>
    </row>
    <row r="131" spans="1:31" ht="16.149999999999999" customHeight="1">
      <c r="A131" s="387">
        <v>3611</v>
      </c>
      <c r="B131" s="387" t="s">
        <v>312</v>
      </c>
      <c r="C131" s="387">
        <v>36111</v>
      </c>
      <c r="D131" s="388">
        <v>42369</v>
      </c>
      <c r="E131" s="388">
        <v>43465</v>
      </c>
      <c r="F131" s="384">
        <v>1200000000</v>
      </c>
      <c r="G131" s="414">
        <v>1200000000</v>
      </c>
      <c r="H131" s="385">
        <v>1</v>
      </c>
      <c r="I131" s="436">
        <v>815</v>
      </c>
      <c r="J131" s="206">
        <v>101</v>
      </c>
      <c r="K131" s="206">
        <v>326.60000000000002</v>
      </c>
      <c r="L131" s="206">
        <f>VLOOKUP(3611,收盤價!A:C,3,0)</f>
        <v>237.5</v>
      </c>
      <c r="M131" s="206">
        <v>306</v>
      </c>
      <c r="N131" s="206">
        <v>100</v>
      </c>
      <c r="O131" s="438">
        <v>9.9000000000000008E-3</v>
      </c>
      <c r="P131" s="438">
        <v>-0.38979999999999998</v>
      </c>
      <c r="Q131" s="438">
        <v>-0.94124118294182335</v>
      </c>
      <c r="R131" s="206">
        <f>VLOOKUP(36111,V:AE,9,0)</f>
        <v>61</v>
      </c>
      <c r="S131" s="206">
        <f>VLOOKUP(3611,季財報!A:N,5,0)</f>
        <v>2</v>
      </c>
      <c r="T131" s="206">
        <f>VLOOKUP(3611,季財報!A:N,4,0)</f>
        <v>15.687113937985441</v>
      </c>
      <c r="U131" s="441">
        <v>19672131.147540983</v>
      </c>
      <c r="V131" s="206">
        <v>32052</v>
      </c>
      <c r="W131" s="206" t="s">
        <v>2558</v>
      </c>
      <c r="X131" s="206" t="s">
        <v>2557</v>
      </c>
      <c r="Y131" s="206">
        <v>3</v>
      </c>
      <c r="Z131" s="206">
        <v>15</v>
      </c>
      <c r="AA131" s="206">
        <v>-12</v>
      </c>
      <c r="AB131" s="206">
        <v>-80</v>
      </c>
      <c r="AC131" s="206">
        <v>1000</v>
      </c>
      <c r="AD131" s="206">
        <v>2</v>
      </c>
      <c r="AE131" s="206">
        <v>0</v>
      </c>
    </row>
    <row r="132" spans="1:31" ht="16.5">
      <c r="A132" s="383">
        <v>3609</v>
      </c>
      <c r="B132" s="383" t="s">
        <v>311</v>
      </c>
      <c r="C132" s="383">
        <v>36091</v>
      </c>
      <c r="D132" s="388">
        <v>41915</v>
      </c>
      <c r="E132" s="388">
        <v>43011</v>
      </c>
      <c r="F132" s="384">
        <v>150000000</v>
      </c>
      <c r="G132" s="414">
        <v>149900000</v>
      </c>
      <c r="H132" s="385">
        <v>1</v>
      </c>
      <c r="I132" s="436">
        <v>361</v>
      </c>
      <c r="J132" s="206">
        <v>103.5</v>
      </c>
      <c r="K132" s="206">
        <v>18.350000000000001</v>
      </c>
      <c r="L132" s="206">
        <f>VLOOKUP(3609,收盤價!A:C,3,0)</f>
        <v>0</v>
      </c>
      <c r="M132" s="206">
        <v>5450</v>
      </c>
      <c r="N132" s="206">
        <v>100</v>
      </c>
      <c r="O132" s="438">
        <v>3.3799999999999997E-2</v>
      </c>
      <c r="P132" s="438">
        <v>-0.1469</v>
      </c>
      <c r="Q132" s="438">
        <v>-2.889686655143375E-2</v>
      </c>
      <c r="R132" s="206">
        <f>VLOOKUP(36091,V:AE,9,0)</f>
        <v>15</v>
      </c>
      <c r="S132" s="206">
        <f>VLOOKUP(3609,季財報!A:N,5,0)</f>
        <v>6</v>
      </c>
      <c r="T132" s="206">
        <f>VLOOKUP(3609,季財報!A:N,4,0)</f>
        <v>0</v>
      </c>
      <c r="U132" s="441">
        <v>9993333.333333334</v>
      </c>
      <c r="V132" s="206">
        <v>36111</v>
      </c>
      <c r="W132" s="206" t="s">
        <v>2613</v>
      </c>
      <c r="X132" s="206" t="s">
        <v>2614</v>
      </c>
      <c r="Y132" s="206">
        <v>12000</v>
      </c>
      <c r="Z132" s="206">
        <v>12000</v>
      </c>
      <c r="AA132" s="206">
        <v>0</v>
      </c>
      <c r="AB132" s="206">
        <v>0</v>
      </c>
      <c r="AC132" s="206">
        <v>12000</v>
      </c>
      <c r="AD132" s="206">
        <v>61</v>
      </c>
      <c r="AE132" s="206">
        <v>0</v>
      </c>
    </row>
    <row r="133" spans="1:31" ht="16.5">
      <c r="A133" s="383">
        <v>3607</v>
      </c>
      <c r="B133" s="383" t="s">
        <v>1984</v>
      </c>
      <c r="C133" s="383">
        <v>36072</v>
      </c>
      <c r="D133" s="388">
        <v>42184</v>
      </c>
      <c r="E133" s="388">
        <v>44011</v>
      </c>
      <c r="F133" s="384">
        <v>800000000</v>
      </c>
      <c r="G133" s="414">
        <v>800000000</v>
      </c>
      <c r="H133" s="385">
        <v>1</v>
      </c>
      <c r="I133" s="436">
        <v>1361</v>
      </c>
      <c r="J133" s="206">
        <v>100.4</v>
      </c>
      <c r="K133" s="206">
        <v>59.77</v>
      </c>
      <c r="L133" s="206">
        <f>VLOOKUP(3607,收盤價!A:C,3,0)</f>
        <v>30.65</v>
      </c>
      <c r="M133" s="206">
        <v>1673</v>
      </c>
      <c r="N133" s="206">
        <v>100</v>
      </c>
      <c r="O133" s="438">
        <v>4.0000000000000001E-3</v>
      </c>
      <c r="P133" s="438">
        <v>-0.75280000000000002</v>
      </c>
      <c r="Q133" s="438">
        <v>-0.25808719693848631</v>
      </c>
      <c r="R133" s="206">
        <f>VLOOKUP(36072,V:AE,9,0)</f>
        <v>29</v>
      </c>
      <c r="S133" s="206">
        <f>VLOOKUP(3607,季財報!A:N,5,0)</f>
        <v>4</v>
      </c>
      <c r="T133" s="206">
        <f>VLOOKUP(3607,季財報!A:N,4,0)</f>
        <v>0</v>
      </c>
      <c r="U133" s="441">
        <v>27586206.896551725</v>
      </c>
      <c r="V133" s="206">
        <v>32893</v>
      </c>
      <c r="W133" s="206" t="s">
        <v>2571</v>
      </c>
      <c r="X133" s="206" t="s">
        <v>2572</v>
      </c>
      <c r="Y133" s="206">
        <v>1868</v>
      </c>
      <c r="Z133" s="206">
        <v>2103</v>
      </c>
      <c r="AA133" s="206">
        <v>-235</v>
      </c>
      <c r="AB133" s="206">
        <v>-11.17</v>
      </c>
      <c r="AC133" s="206">
        <v>3000</v>
      </c>
      <c r="AD133" s="206">
        <v>31</v>
      </c>
      <c r="AE133" s="206">
        <v>0</v>
      </c>
    </row>
    <row r="134" spans="1:31" ht="16.5">
      <c r="A134" s="383">
        <v>3594</v>
      </c>
      <c r="B134" s="383" t="s">
        <v>310</v>
      </c>
      <c r="C134" s="383">
        <v>35941</v>
      </c>
      <c r="D134" s="388">
        <v>41954</v>
      </c>
      <c r="E134" s="388">
        <v>43780</v>
      </c>
      <c r="F134" s="384">
        <v>300000000</v>
      </c>
      <c r="G134" s="414">
        <v>296100000</v>
      </c>
      <c r="H134" s="385">
        <v>0.99</v>
      </c>
      <c r="I134" s="436">
        <v>1130</v>
      </c>
      <c r="J134" s="206">
        <v>100.4</v>
      </c>
      <c r="K134" s="206">
        <v>46.9</v>
      </c>
      <c r="L134" s="206">
        <f>VLOOKUP(3594,收盤價!A:C,3,0)</f>
        <v>26</v>
      </c>
      <c r="M134" s="206">
        <v>2132</v>
      </c>
      <c r="N134" s="206">
        <v>100</v>
      </c>
      <c r="O134" s="438">
        <v>4.0000000000000001E-3</v>
      </c>
      <c r="P134" s="438">
        <v>-0.67500000000000004</v>
      </c>
      <c r="Q134" s="438">
        <v>-0.1901586898185868</v>
      </c>
      <c r="R134" s="206">
        <f>VLOOKUP(35941,V:AE,9,0)</f>
        <v>37</v>
      </c>
      <c r="S134" s="206">
        <f>VLOOKUP(3594,季財報!A:N,5,0)</f>
        <v>1</v>
      </c>
      <c r="T134" s="206">
        <f>VLOOKUP(3594,季財報!A:N,4,0)</f>
        <v>0</v>
      </c>
      <c r="U134" s="441">
        <v>8002702.702702703</v>
      </c>
      <c r="V134" s="206">
        <v>61274</v>
      </c>
      <c r="W134" s="206" t="s">
        <v>2758</v>
      </c>
      <c r="X134" s="206" t="s">
        <v>2759</v>
      </c>
      <c r="Y134" s="206">
        <v>4000</v>
      </c>
      <c r="Z134" s="206">
        <v>4000</v>
      </c>
      <c r="AA134" s="206">
        <v>0</v>
      </c>
      <c r="AB134" s="206">
        <v>0</v>
      </c>
      <c r="AC134" s="206">
        <v>4000</v>
      </c>
      <c r="AD134" s="206">
        <v>22</v>
      </c>
      <c r="AE134" s="206">
        <v>0</v>
      </c>
    </row>
    <row r="135" spans="1:31" ht="16.5">
      <c r="A135" s="383">
        <v>3580</v>
      </c>
      <c r="B135" s="383" t="s">
        <v>1983</v>
      </c>
      <c r="C135" s="383">
        <v>35801</v>
      </c>
      <c r="D135" s="388">
        <v>42164</v>
      </c>
      <c r="E135" s="388">
        <v>43260</v>
      </c>
      <c r="F135" s="384">
        <v>100000000</v>
      </c>
      <c r="G135" s="414">
        <v>89800000</v>
      </c>
      <c r="H135" s="385">
        <v>0.9</v>
      </c>
      <c r="I135" s="436">
        <v>610</v>
      </c>
      <c r="J135" s="206">
        <v>201</v>
      </c>
      <c r="K135" s="206">
        <v>10</v>
      </c>
      <c r="L135" s="206">
        <f>VLOOKUP(3580,收盤價!A:C,3,0)</f>
        <v>25.5</v>
      </c>
      <c r="M135" s="206">
        <v>10000</v>
      </c>
      <c r="N135" s="206">
        <v>192</v>
      </c>
      <c r="O135" s="438">
        <v>4.48E-2</v>
      </c>
      <c r="P135" s="438">
        <v>0.47920000000000001</v>
      </c>
      <c r="Q135" s="438">
        <v>-4.4776119402985181E-3</v>
      </c>
      <c r="R135" s="206">
        <f>VLOOKUP(35801,V:AE,9,0)</f>
        <v>4</v>
      </c>
      <c r="S135" s="206">
        <f>VLOOKUP(3580,季財報!A:N,5,0)</f>
        <v>2</v>
      </c>
      <c r="T135" s="206">
        <f>VLOOKUP(3580,季財報!A:N,4,0)</f>
        <v>0</v>
      </c>
      <c r="U135" s="441">
        <v>22450000</v>
      </c>
      <c r="V135" s="206">
        <v>15861</v>
      </c>
      <c r="W135" s="206" t="s">
        <v>2391</v>
      </c>
      <c r="X135" s="206" t="s">
        <v>2392</v>
      </c>
      <c r="Y135" s="206">
        <v>1600</v>
      </c>
      <c r="Z135" s="206">
        <v>1908</v>
      </c>
      <c r="AA135" s="206">
        <v>-308</v>
      </c>
      <c r="AB135" s="206">
        <v>-16.14</v>
      </c>
      <c r="AC135" s="206">
        <v>3000</v>
      </c>
      <c r="AD135" s="206">
        <v>24</v>
      </c>
      <c r="AE135" s="206">
        <v>0</v>
      </c>
    </row>
    <row r="136" spans="1:31" ht="16.5">
      <c r="A136" s="383">
        <v>3564</v>
      </c>
      <c r="B136" s="383" t="s">
        <v>1411</v>
      </c>
      <c r="C136" s="383">
        <v>35641</v>
      </c>
      <c r="D136" s="388">
        <v>42307</v>
      </c>
      <c r="E136" s="388">
        <v>43403</v>
      </c>
      <c r="F136" s="384">
        <v>200000000</v>
      </c>
      <c r="G136" s="414">
        <v>200000000</v>
      </c>
      <c r="H136" s="385">
        <v>1</v>
      </c>
      <c r="I136" s="436">
        <v>753</v>
      </c>
      <c r="J136" s="206">
        <v>106</v>
      </c>
      <c r="K136" s="206">
        <v>66</v>
      </c>
      <c r="L136" s="206">
        <f>VLOOKUP(3564,收盤價!A:C,3,0)</f>
        <v>51.8</v>
      </c>
      <c r="M136" s="206">
        <v>1515</v>
      </c>
      <c r="N136" s="206">
        <v>100</v>
      </c>
      <c r="O136" s="438">
        <v>5.6599999999999998E-2</v>
      </c>
      <c r="P136" s="438">
        <v>-0.2268</v>
      </c>
      <c r="Q136" s="438">
        <v>-0.15251883678933931</v>
      </c>
      <c r="R136" s="206">
        <f>VLOOKUP(35641,V:AE,9,0)</f>
        <v>17</v>
      </c>
      <c r="S136" s="206">
        <f>VLOOKUP(3564,季財報!A:N,5,0)</f>
        <v>3</v>
      </c>
      <c r="T136" s="206">
        <f>VLOOKUP(3564,季財報!A:N,4,0)</f>
        <v>8.6879432624113484</v>
      </c>
      <c r="U136" s="441">
        <v>11764705.882352941</v>
      </c>
      <c r="V136" s="206">
        <v>24371</v>
      </c>
      <c r="W136" s="206" t="s">
        <v>2451</v>
      </c>
      <c r="X136" s="206" t="s">
        <v>2452</v>
      </c>
      <c r="Y136" s="206">
        <v>7619</v>
      </c>
      <c r="Z136" s="206">
        <v>7619</v>
      </c>
      <c r="AA136" s="206">
        <v>0</v>
      </c>
      <c r="AB136" s="206">
        <v>0</v>
      </c>
      <c r="AC136" s="206">
        <v>12000</v>
      </c>
      <c r="AD136" s="206">
        <v>96</v>
      </c>
      <c r="AE136" s="206">
        <v>0</v>
      </c>
    </row>
    <row r="137" spans="1:31" ht="16.5">
      <c r="A137" s="383">
        <v>3557</v>
      </c>
      <c r="B137" s="383" t="s">
        <v>1982</v>
      </c>
      <c r="C137" s="383">
        <v>35571</v>
      </c>
      <c r="D137" s="388">
        <v>41696</v>
      </c>
      <c r="E137" s="388">
        <v>42792</v>
      </c>
      <c r="F137" s="384">
        <v>150000000</v>
      </c>
      <c r="G137" s="414">
        <v>150000000</v>
      </c>
      <c r="H137" s="385">
        <v>1</v>
      </c>
      <c r="I137" s="436">
        <v>142</v>
      </c>
      <c r="J137" s="206">
        <v>105.5</v>
      </c>
      <c r="K137" s="206">
        <v>8.1999999999999993</v>
      </c>
      <c r="L137" s="206">
        <f>VLOOKUP(3557,收盤價!A:C,3,0)</f>
        <v>5.61</v>
      </c>
      <c r="M137" s="206">
        <v>12195</v>
      </c>
      <c r="N137" s="206">
        <v>100</v>
      </c>
      <c r="O137" s="438">
        <v>5.21E-2</v>
      </c>
      <c r="P137" s="438">
        <v>-0.64</v>
      </c>
      <c r="Q137" s="438">
        <v>-3.4607455079290118E-2</v>
      </c>
      <c r="R137" s="206">
        <f>VLOOKUP(35571,V:AE,9,0)</f>
        <v>8</v>
      </c>
      <c r="S137" s="206">
        <f>VLOOKUP(3557,季財報!A:N,5,0)</f>
        <v>2</v>
      </c>
      <c r="T137" s="206">
        <f>VLOOKUP(3557,季財報!A:N,4,0)</f>
        <v>0</v>
      </c>
      <c r="U137" s="441">
        <v>18750000</v>
      </c>
      <c r="V137" s="206">
        <v>36072</v>
      </c>
      <c r="W137" s="206" t="s">
        <v>2609</v>
      </c>
      <c r="X137" s="206" t="s">
        <v>2610</v>
      </c>
      <c r="Y137" s="206">
        <v>8000</v>
      </c>
      <c r="Z137" s="206">
        <v>8000</v>
      </c>
      <c r="AA137" s="206">
        <v>0</v>
      </c>
      <c r="AB137" s="206">
        <v>0</v>
      </c>
      <c r="AC137" s="206">
        <v>8000</v>
      </c>
      <c r="AD137" s="206">
        <v>29</v>
      </c>
      <c r="AE137" s="206">
        <v>0</v>
      </c>
    </row>
    <row r="138" spans="1:31" ht="16.5">
      <c r="A138" s="383">
        <v>3535</v>
      </c>
      <c r="B138" s="383" t="s">
        <v>1981</v>
      </c>
      <c r="C138" s="383">
        <v>35352</v>
      </c>
      <c r="D138" s="388">
        <v>41891</v>
      </c>
      <c r="E138" s="388">
        <v>42987</v>
      </c>
      <c r="F138" s="384">
        <v>200000000</v>
      </c>
      <c r="G138" s="414">
        <v>200000000</v>
      </c>
      <c r="H138" s="385">
        <v>1</v>
      </c>
      <c r="I138" s="436">
        <v>337</v>
      </c>
      <c r="J138" s="206">
        <v>107.1</v>
      </c>
      <c r="K138" s="206">
        <v>16.5</v>
      </c>
      <c r="L138" s="206">
        <f>VLOOKUP(3535,收盤價!A:C,3,0)</f>
        <v>14.2</v>
      </c>
      <c r="M138" s="206">
        <v>6061</v>
      </c>
      <c r="N138" s="206">
        <v>100</v>
      </c>
      <c r="O138" s="438">
        <v>6.6299999999999998E-2</v>
      </c>
      <c r="P138" s="438">
        <v>-0.17019999999999999</v>
      </c>
      <c r="Q138" s="438">
        <v>-3.3336614632653937E-2</v>
      </c>
      <c r="R138" s="206">
        <f>VLOOKUP(35352,V:AE,9,0)</f>
        <v>19</v>
      </c>
      <c r="S138" s="206">
        <f>VLOOKUP(3535,季財報!A:N,5,0)</f>
        <v>3</v>
      </c>
      <c r="T138" s="206">
        <f>VLOOKUP(3535,季財報!A:N,4,0)</f>
        <v>0</v>
      </c>
      <c r="U138" s="441">
        <v>10526315.789473685</v>
      </c>
      <c r="V138" s="206">
        <v>28883</v>
      </c>
      <c r="W138" s="206" t="s">
        <v>2523</v>
      </c>
      <c r="X138" s="206" t="s">
        <v>2524</v>
      </c>
      <c r="Y138" s="206">
        <v>40959</v>
      </c>
      <c r="Z138" s="206">
        <v>40959</v>
      </c>
      <c r="AA138" s="206">
        <v>0</v>
      </c>
      <c r="AB138" s="206">
        <v>0</v>
      </c>
      <c r="AC138" s="206">
        <v>50000</v>
      </c>
      <c r="AD138" s="206">
        <v>53</v>
      </c>
      <c r="AE138" s="206">
        <v>0</v>
      </c>
    </row>
    <row r="139" spans="1:31" ht="16.5">
      <c r="A139" s="383">
        <v>3535</v>
      </c>
      <c r="B139" s="383" t="s">
        <v>1981</v>
      </c>
      <c r="C139" s="383">
        <v>35352</v>
      </c>
      <c r="D139" s="388">
        <v>41891</v>
      </c>
      <c r="E139" s="388">
        <v>42987</v>
      </c>
      <c r="F139" s="384">
        <v>200000000</v>
      </c>
      <c r="G139" s="414">
        <v>200000000</v>
      </c>
      <c r="H139" s="385">
        <v>1</v>
      </c>
      <c r="I139" s="436">
        <v>337</v>
      </c>
      <c r="J139" s="206">
        <v>107.1</v>
      </c>
      <c r="K139" s="206">
        <v>16.5</v>
      </c>
      <c r="L139" s="206">
        <f>VLOOKUP(3535,收盤價!A:C,3,0)</f>
        <v>14.2</v>
      </c>
      <c r="M139" s="206">
        <v>6061</v>
      </c>
      <c r="N139" s="206">
        <v>100</v>
      </c>
      <c r="O139" s="438">
        <v>6.6299999999999998E-2</v>
      </c>
      <c r="P139" s="438">
        <v>-0.17019999999999999</v>
      </c>
      <c r="Q139" s="438">
        <v>-3.3336614632653937E-2</v>
      </c>
      <c r="R139" s="206">
        <f>VLOOKUP(35352,V:AE,9,0)</f>
        <v>19</v>
      </c>
      <c r="S139" s="206">
        <f>VLOOKUP(3535,季財報!A:N,5,0)</f>
        <v>3</v>
      </c>
      <c r="T139" s="206">
        <f>VLOOKUP(3535,季財報!A:N,4,0)</f>
        <v>0</v>
      </c>
      <c r="U139" s="441">
        <v>10526315.789473685</v>
      </c>
      <c r="V139" s="206">
        <v>29243</v>
      </c>
      <c r="W139" s="206" t="s">
        <v>2528</v>
      </c>
      <c r="X139" s="206" t="s">
        <v>2527</v>
      </c>
      <c r="Y139" s="206">
        <v>1000</v>
      </c>
      <c r="Z139" s="206">
        <v>1000</v>
      </c>
      <c r="AA139" s="206">
        <v>0</v>
      </c>
      <c r="AB139" s="206">
        <v>0</v>
      </c>
      <c r="AC139" s="206">
        <v>1000</v>
      </c>
      <c r="AD139" s="206">
        <v>36</v>
      </c>
      <c r="AE139" s="206">
        <v>0</v>
      </c>
    </row>
    <row r="140" spans="1:31" ht="15.6" customHeight="1">
      <c r="A140" s="383">
        <v>3484</v>
      </c>
      <c r="B140" s="383" t="s">
        <v>293</v>
      </c>
      <c r="C140" s="383">
        <v>34841</v>
      </c>
      <c r="D140" s="388">
        <v>41935</v>
      </c>
      <c r="E140" s="388">
        <v>43031</v>
      </c>
      <c r="F140" s="384">
        <v>200000000</v>
      </c>
      <c r="G140" s="414">
        <v>111800000</v>
      </c>
      <c r="H140" s="385">
        <v>0.56000000000000005</v>
      </c>
      <c r="I140" s="436">
        <v>381</v>
      </c>
      <c r="J140" s="206">
        <v>148</v>
      </c>
      <c r="K140" s="206">
        <v>32</v>
      </c>
      <c r="L140" s="206">
        <f>VLOOKUP(3484,收盤價!A:C,3,0)</f>
        <v>41.4</v>
      </c>
      <c r="M140" s="206">
        <v>3125</v>
      </c>
      <c r="N140" s="206">
        <v>158.125</v>
      </c>
      <c r="O140" s="438">
        <v>-6.8400000000000002E-2</v>
      </c>
      <c r="P140" s="438">
        <v>0.36759999999999998</v>
      </c>
      <c r="Q140" s="438">
        <v>2.1891891891891904E-2</v>
      </c>
      <c r="R140" s="206">
        <f>VLOOKUP(34841,V:AE,9,0)</f>
        <v>11</v>
      </c>
      <c r="S140" s="206">
        <f>VLOOKUP(3484,季財報!A:N,5,0)</f>
        <v>2</v>
      </c>
      <c r="T140" s="206">
        <f>VLOOKUP(3484,季財報!A:N,4,0)</f>
        <v>22.5</v>
      </c>
      <c r="U140" s="441">
        <v>10163636.363636363</v>
      </c>
      <c r="V140" s="206">
        <v>32994</v>
      </c>
      <c r="W140" s="206" t="s">
        <v>2573</v>
      </c>
      <c r="X140" s="206" t="s">
        <v>2574</v>
      </c>
      <c r="Y140" s="206">
        <v>634</v>
      </c>
      <c r="Z140" s="206">
        <v>930</v>
      </c>
      <c r="AA140" s="206">
        <v>-296</v>
      </c>
      <c r="AB140" s="206">
        <v>-31.83</v>
      </c>
      <c r="AC140" s="206">
        <v>3000</v>
      </c>
      <c r="AD140" s="206">
        <v>45</v>
      </c>
      <c r="AE140" s="206">
        <v>0</v>
      </c>
    </row>
    <row r="141" spans="1:31" ht="16.5">
      <c r="A141" s="383">
        <v>3465</v>
      </c>
      <c r="B141" s="383" t="s">
        <v>1770</v>
      </c>
      <c r="C141" s="383">
        <v>34652</v>
      </c>
      <c r="D141" s="388">
        <v>41697</v>
      </c>
      <c r="E141" s="388">
        <v>42793</v>
      </c>
      <c r="F141" s="384">
        <v>50000000</v>
      </c>
      <c r="G141" s="414">
        <v>10900000</v>
      </c>
      <c r="H141" s="385">
        <v>0.22</v>
      </c>
      <c r="I141" s="436">
        <v>143</v>
      </c>
      <c r="J141" s="206">
        <v>102</v>
      </c>
      <c r="K141" s="206">
        <v>27.72</v>
      </c>
      <c r="L141" s="206">
        <f>VLOOKUP(3465,收盤價!A:C,3,0)</f>
        <v>6</v>
      </c>
      <c r="M141" s="206">
        <v>3608</v>
      </c>
      <c r="N141" s="206">
        <v>100</v>
      </c>
      <c r="O141" s="438">
        <v>1.9599999999999999E-2</v>
      </c>
      <c r="P141" s="438">
        <v>-3.0764999999999998</v>
      </c>
      <c r="Q141" s="438">
        <v>-0.21049519586104951</v>
      </c>
      <c r="R141" s="206">
        <f>VLOOKUP(34652,V:AE,9,0)</f>
        <v>5</v>
      </c>
      <c r="S141" s="206">
        <f>VLOOKUP(3465,季財報!A:N,5,0)</f>
        <v>3</v>
      </c>
      <c r="T141" s="206">
        <f>VLOOKUP(3465,季財報!A:N,4,0)</f>
        <v>0</v>
      </c>
      <c r="U141" s="441">
        <v>2180000</v>
      </c>
      <c r="V141" s="206">
        <v>32881</v>
      </c>
      <c r="W141" s="206" t="s">
        <v>2569</v>
      </c>
      <c r="X141" s="206" t="s">
        <v>2570</v>
      </c>
      <c r="Y141" s="206">
        <v>2000</v>
      </c>
      <c r="Z141" s="206">
        <v>2000</v>
      </c>
      <c r="AA141" s="206">
        <v>0</v>
      </c>
      <c r="AB141" s="206">
        <v>0</v>
      </c>
      <c r="AC141" s="206">
        <v>2000</v>
      </c>
      <c r="AD141" s="206">
        <v>22</v>
      </c>
      <c r="AE141" s="206">
        <v>0</v>
      </c>
    </row>
    <row r="142" spans="1:31" ht="16.5">
      <c r="A142" s="387">
        <v>3438</v>
      </c>
      <c r="B142" s="387" t="s">
        <v>1980</v>
      </c>
      <c r="C142" s="387">
        <v>34382</v>
      </c>
      <c r="D142" s="388">
        <v>41605</v>
      </c>
      <c r="E142" s="388">
        <v>42701</v>
      </c>
      <c r="F142" s="384">
        <v>300000000</v>
      </c>
      <c r="G142" s="414">
        <v>291800000</v>
      </c>
      <c r="H142" s="385">
        <v>0.97</v>
      </c>
      <c r="I142" s="436">
        <v>51</v>
      </c>
      <c r="J142" s="206">
        <v>102.8</v>
      </c>
      <c r="K142" s="206">
        <v>23.58</v>
      </c>
      <c r="L142" s="206">
        <f>VLOOKUP(3438,收盤價!A:C,3,0)</f>
        <v>17.850000000000001</v>
      </c>
      <c r="M142" s="206">
        <v>4241</v>
      </c>
      <c r="N142" s="206">
        <v>100</v>
      </c>
      <c r="O142" s="438">
        <v>2.7199999999999998E-2</v>
      </c>
      <c r="P142" s="438">
        <v>-0.24110000000000001</v>
      </c>
      <c r="Q142" s="438">
        <v>-5.09685422184952E-2</v>
      </c>
      <c r="R142" s="206">
        <f>VLOOKUP(34382,V:AE,9,0)</f>
        <v>16</v>
      </c>
      <c r="S142" s="206">
        <f>VLOOKUP(3438,季財報!A:N,5,0)</f>
        <v>0</v>
      </c>
      <c r="T142" s="206">
        <f>VLOOKUP(3438,季財報!A:N,4,0)</f>
        <v>0</v>
      </c>
      <c r="U142" s="441">
        <v>18237500</v>
      </c>
      <c r="V142" s="206">
        <v>41093</v>
      </c>
      <c r="W142" s="206" t="s">
        <v>2639</v>
      </c>
      <c r="X142" s="206" t="s">
        <v>2640</v>
      </c>
      <c r="Y142" s="206">
        <v>2386</v>
      </c>
      <c r="Z142" s="206">
        <v>2386</v>
      </c>
      <c r="AA142" s="206">
        <v>0</v>
      </c>
      <c r="AB142" s="206">
        <v>0</v>
      </c>
      <c r="AC142" s="206">
        <v>2500</v>
      </c>
      <c r="AD142" s="206">
        <v>32</v>
      </c>
      <c r="AE142" s="206">
        <v>0</v>
      </c>
    </row>
    <row r="143" spans="1:31" ht="16.149999999999999" customHeight="1">
      <c r="A143" s="383">
        <v>3383</v>
      </c>
      <c r="B143" s="383" t="s">
        <v>1979</v>
      </c>
      <c r="C143" s="383">
        <v>33835</v>
      </c>
      <c r="D143" s="388">
        <v>41871</v>
      </c>
      <c r="E143" s="388">
        <v>42967</v>
      </c>
      <c r="F143" s="384">
        <v>600000000</v>
      </c>
      <c r="G143" s="414">
        <v>600000000</v>
      </c>
      <c r="H143" s="385">
        <v>1</v>
      </c>
      <c r="I143" s="436">
        <v>317</v>
      </c>
      <c r="J143" s="206">
        <v>98.55</v>
      </c>
      <c r="K143" s="206">
        <v>21.1</v>
      </c>
      <c r="L143" s="206">
        <f>VLOOKUP(3383,收盤價!A:C,3,0)</f>
        <v>4.75</v>
      </c>
      <c r="M143" s="206">
        <v>4739</v>
      </c>
      <c r="N143" s="206">
        <v>100</v>
      </c>
      <c r="O143" s="438">
        <v>-1.47E-2</v>
      </c>
      <c r="P143" s="438">
        <v>-3.1292</v>
      </c>
      <c r="Q143" s="438">
        <v>-0.1591631302118747</v>
      </c>
      <c r="R143" s="206">
        <f>VLOOKUP(33835,V:AE,9,0)</f>
        <v>14</v>
      </c>
      <c r="S143" s="206">
        <f>VLOOKUP(3383,季財報!A:N,5,0)</f>
        <v>3</v>
      </c>
      <c r="T143" s="206">
        <f>VLOOKUP(3383,季財報!A:N,4,0)</f>
        <v>0</v>
      </c>
      <c r="U143" s="441">
        <v>42857142.857142858</v>
      </c>
      <c r="V143" s="206">
        <v>26011</v>
      </c>
      <c r="W143" s="206" t="s">
        <v>2488</v>
      </c>
      <c r="X143" s="206" t="s">
        <v>2489</v>
      </c>
      <c r="Y143" s="206">
        <v>6970</v>
      </c>
      <c r="Z143" s="206">
        <v>6970</v>
      </c>
      <c r="AA143" s="206">
        <v>0</v>
      </c>
      <c r="AB143" s="206">
        <v>0</v>
      </c>
      <c r="AC143" s="206">
        <v>9000</v>
      </c>
      <c r="AD143" s="206">
        <v>28</v>
      </c>
      <c r="AE143" s="206">
        <v>0</v>
      </c>
    </row>
    <row r="144" spans="1:31" ht="16.149999999999999" customHeight="1">
      <c r="A144" s="383">
        <v>3339</v>
      </c>
      <c r="B144" s="383" t="s">
        <v>1765</v>
      </c>
      <c r="C144" s="383">
        <v>33393</v>
      </c>
      <c r="D144" s="388">
        <v>41768</v>
      </c>
      <c r="E144" s="388">
        <v>42864</v>
      </c>
      <c r="F144" s="384">
        <v>200000000</v>
      </c>
      <c r="G144" s="414">
        <v>106000000</v>
      </c>
      <c r="H144" s="385">
        <v>0.53</v>
      </c>
      <c r="I144" s="436">
        <v>214</v>
      </c>
      <c r="J144" s="206">
        <v>98.9</v>
      </c>
      <c r="K144" s="206">
        <v>45.8</v>
      </c>
      <c r="L144" s="206">
        <f>VLOOKUP(3339,收盤價!A:C,3,0)</f>
        <v>6.11</v>
      </c>
      <c r="M144" s="206">
        <v>2183</v>
      </c>
      <c r="R144" s="206">
        <f>VLOOKUP(33393,V:AE,9,0)</f>
        <v>14</v>
      </c>
      <c r="S144" s="206">
        <f>VLOOKUP(3339,季財報!A:N,5,0)</f>
        <v>3</v>
      </c>
      <c r="T144" s="206">
        <f>VLOOKUP(3339,季財報!A:N,4,0)</f>
        <v>0</v>
      </c>
      <c r="U144" s="441">
        <v>7571428.5714285718</v>
      </c>
      <c r="V144" s="206">
        <v>15661</v>
      </c>
      <c r="W144" s="206" t="s">
        <v>2383</v>
      </c>
      <c r="X144" s="206" t="s">
        <v>2384</v>
      </c>
      <c r="Y144" s="206">
        <v>853</v>
      </c>
      <c r="Z144" s="206">
        <v>853</v>
      </c>
      <c r="AA144" s="206">
        <v>0</v>
      </c>
      <c r="AB144" s="206">
        <v>0</v>
      </c>
      <c r="AC144" s="206">
        <v>5000</v>
      </c>
      <c r="AD144" s="206">
        <v>19</v>
      </c>
      <c r="AE144" s="206">
        <v>0</v>
      </c>
    </row>
    <row r="145" spans="1:31" ht="15.6" customHeight="1">
      <c r="A145" s="383">
        <v>3339</v>
      </c>
      <c r="B145" s="383" t="s">
        <v>1765</v>
      </c>
      <c r="C145" s="383">
        <v>33392</v>
      </c>
      <c r="D145" s="388">
        <v>41768</v>
      </c>
      <c r="E145" s="388">
        <v>42864</v>
      </c>
      <c r="F145" s="384">
        <v>800000000</v>
      </c>
      <c r="G145" s="414">
        <v>800000000</v>
      </c>
      <c r="H145" s="385">
        <v>1</v>
      </c>
      <c r="I145" s="436">
        <v>214</v>
      </c>
      <c r="J145" s="206">
        <v>98.3</v>
      </c>
      <c r="K145" s="206">
        <v>45.8</v>
      </c>
      <c r="L145" s="206">
        <f>VLOOKUP(3339,收盤價!A:C,3,0)</f>
        <v>6.11</v>
      </c>
      <c r="M145" s="206">
        <v>2183</v>
      </c>
      <c r="R145" s="206">
        <f>VLOOKUP(33392,V:AE,9,0)</f>
        <v>29</v>
      </c>
      <c r="S145" s="206">
        <f>VLOOKUP(3339,季財報!A:N,5,0)</f>
        <v>3</v>
      </c>
      <c r="T145" s="206">
        <f>VLOOKUP(3339,季財報!A:N,4,0)</f>
        <v>0</v>
      </c>
      <c r="U145" s="441">
        <v>27586206.896551725</v>
      </c>
      <c r="V145" s="206">
        <v>35571</v>
      </c>
      <c r="W145" s="206" t="s">
        <v>2598</v>
      </c>
      <c r="X145" s="206" t="s">
        <v>2599</v>
      </c>
      <c r="Y145" s="206">
        <v>1500</v>
      </c>
      <c r="Z145" s="206">
        <v>1500</v>
      </c>
      <c r="AA145" s="206">
        <v>0</v>
      </c>
      <c r="AB145" s="206">
        <v>0</v>
      </c>
      <c r="AC145" s="206">
        <v>1500</v>
      </c>
      <c r="AD145" s="206">
        <v>8</v>
      </c>
      <c r="AE145" s="206">
        <v>0</v>
      </c>
    </row>
    <row r="146" spans="1:31" ht="16.5">
      <c r="A146" s="383">
        <v>3338</v>
      </c>
      <c r="B146" s="383" t="s">
        <v>1978</v>
      </c>
      <c r="C146" s="383">
        <v>33381</v>
      </c>
      <c r="D146" s="388">
        <v>42033</v>
      </c>
      <c r="E146" s="388">
        <v>43129</v>
      </c>
      <c r="F146" s="384">
        <v>300000000</v>
      </c>
      <c r="G146" s="414">
        <v>298500000</v>
      </c>
      <c r="H146" s="385">
        <v>1</v>
      </c>
      <c r="I146" s="436">
        <v>479</v>
      </c>
      <c r="J146" s="206">
        <v>113</v>
      </c>
      <c r="K146" s="206">
        <v>32</v>
      </c>
      <c r="L146" s="206">
        <f>VLOOKUP(3338,收盤價!A:C,3,0)</f>
        <v>30.7</v>
      </c>
      <c r="M146" s="206">
        <v>3125</v>
      </c>
      <c r="N146" s="206">
        <v>105.9375</v>
      </c>
      <c r="O146" s="438">
        <v>6.25E-2</v>
      </c>
      <c r="P146" s="438">
        <v>5.6000000000000001E-2</v>
      </c>
      <c r="Q146" s="438">
        <v>-1.9999999999999983E-2</v>
      </c>
      <c r="R146" s="206">
        <f>VLOOKUP(33381,V:AE,9,0)</f>
        <v>21</v>
      </c>
      <c r="S146" s="206">
        <f>VLOOKUP(3338,季財報!A:N,5,0)</f>
        <v>3</v>
      </c>
      <c r="T146" s="206">
        <f>VLOOKUP(3338,季財報!A:N,4,0)</f>
        <v>21.773049645390071</v>
      </c>
      <c r="U146" s="441">
        <v>14214285.714285715</v>
      </c>
      <c r="V146" s="206">
        <v>62383</v>
      </c>
      <c r="W146" s="206" t="s">
        <v>2795</v>
      </c>
      <c r="X146" s="206" t="s">
        <v>2796</v>
      </c>
      <c r="Y146" s="206">
        <v>610</v>
      </c>
      <c r="Z146" s="206">
        <v>1078</v>
      </c>
      <c r="AA146" s="206">
        <v>-468</v>
      </c>
      <c r="AB146" s="206">
        <v>-43.41</v>
      </c>
      <c r="AC146" s="206">
        <v>2000</v>
      </c>
      <c r="AD146" s="206">
        <v>10</v>
      </c>
      <c r="AE146" s="206">
        <v>0</v>
      </c>
    </row>
    <row r="147" spans="1:31" ht="16.5">
      <c r="A147" s="383">
        <v>3325</v>
      </c>
      <c r="B147" s="383" t="s">
        <v>1977</v>
      </c>
      <c r="C147" s="383">
        <v>33252</v>
      </c>
      <c r="D147" s="388">
        <v>41869</v>
      </c>
      <c r="E147" s="388">
        <v>42965</v>
      </c>
      <c r="F147" s="384">
        <v>100000000</v>
      </c>
      <c r="G147" s="414">
        <v>89600000</v>
      </c>
      <c r="H147" s="385">
        <v>0.9</v>
      </c>
      <c r="I147" s="436">
        <v>315</v>
      </c>
      <c r="J147" s="206">
        <v>107.95</v>
      </c>
      <c r="K147" s="206">
        <v>27.08</v>
      </c>
      <c r="L147" s="206">
        <f>VLOOKUP(3325,收盤價!A:C,3,0)</f>
        <v>23.85</v>
      </c>
      <c r="M147" s="206">
        <v>3693</v>
      </c>
      <c r="N147" s="206">
        <v>100</v>
      </c>
      <c r="O147" s="438">
        <v>7.3599999999999999E-2</v>
      </c>
      <c r="P147" s="438">
        <v>-0.14990000000000001</v>
      </c>
      <c r="Q147" s="438">
        <v>-5.2626007642866006E-2</v>
      </c>
      <c r="R147" s="206">
        <f>VLOOKUP(33252,V:AE,9,0)</f>
        <v>4</v>
      </c>
      <c r="S147" s="206">
        <f>VLOOKUP(3325,季財報!A:N,5,0)</f>
        <v>1</v>
      </c>
      <c r="T147" s="206">
        <f>VLOOKUP(3325,季財報!A:N,4,0)</f>
        <v>0</v>
      </c>
      <c r="U147" s="441">
        <v>22400000</v>
      </c>
      <c r="V147" s="206">
        <v>15892</v>
      </c>
      <c r="W147" s="206" t="s">
        <v>2395</v>
      </c>
      <c r="X147" s="206" t="s">
        <v>2394</v>
      </c>
      <c r="Y147" s="206">
        <v>25000</v>
      </c>
      <c r="Z147" s="206">
        <v>25000</v>
      </c>
      <c r="AA147" s="206">
        <v>0</v>
      </c>
      <c r="AB147" s="206">
        <v>0</v>
      </c>
      <c r="AC147" s="206">
        <v>25000</v>
      </c>
      <c r="AD147" s="206">
        <v>132</v>
      </c>
      <c r="AE147" s="206">
        <v>0</v>
      </c>
    </row>
    <row r="148" spans="1:31" ht="15.6" customHeight="1">
      <c r="A148" s="382">
        <v>3324</v>
      </c>
      <c r="B148" s="386" t="s">
        <v>2329</v>
      </c>
      <c r="C148" s="382">
        <v>33242</v>
      </c>
      <c r="D148" s="388">
        <v>42507</v>
      </c>
      <c r="E148" s="388">
        <v>43602</v>
      </c>
      <c r="F148" s="384">
        <v>300000000</v>
      </c>
      <c r="G148" s="414">
        <v>255400000</v>
      </c>
      <c r="H148" s="385">
        <v>0.85</v>
      </c>
      <c r="I148" s="436">
        <v>952</v>
      </c>
      <c r="J148" s="206">
        <v>189</v>
      </c>
      <c r="K148" s="206">
        <v>58.1</v>
      </c>
      <c r="L148" s="206">
        <f>VLOOKUP(3324,收盤價!A:C,3,0)</f>
        <v>96.2</v>
      </c>
      <c r="M148" s="206">
        <v>1721</v>
      </c>
      <c r="N148" s="206">
        <v>187.589</v>
      </c>
      <c r="O148" s="438">
        <v>7.4999999999999997E-3</v>
      </c>
      <c r="P148" s="438">
        <v>0.46700000000000003</v>
      </c>
      <c r="Q148" s="438">
        <v>-4.337947975368097E-3</v>
      </c>
      <c r="R148" s="206">
        <f>VLOOKUP(33242,V:AE,9,0)</f>
        <v>13</v>
      </c>
      <c r="S148" s="206">
        <f>VLOOKUP(3324,季財報!A:N,5,0)</f>
        <v>3</v>
      </c>
      <c r="T148" s="206">
        <f>VLOOKUP(3324,季財報!A:N,4,0)</f>
        <v>13.237748579545455</v>
      </c>
      <c r="U148" s="441">
        <v>19646153.846153848</v>
      </c>
      <c r="V148" s="206">
        <v>33392</v>
      </c>
      <c r="W148" s="206" t="s">
        <v>2583</v>
      </c>
      <c r="X148" s="206" t="s">
        <v>2584</v>
      </c>
      <c r="Y148" s="206">
        <v>8000</v>
      </c>
      <c r="Z148" s="206">
        <v>8000</v>
      </c>
      <c r="AA148" s="206">
        <v>0</v>
      </c>
      <c r="AB148" s="206">
        <v>0</v>
      </c>
      <c r="AC148" s="206">
        <v>8000</v>
      </c>
      <c r="AD148" s="206">
        <v>29</v>
      </c>
      <c r="AE148" s="206">
        <v>0</v>
      </c>
    </row>
    <row r="149" spans="1:31" ht="16.5">
      <c r="A149" s="387">
        <v>3322</v>
      </c>
      <c r="B149" s="387" t="s">
        <v>1976</v>
      </c>
      <c r="C149" s="387">
        <v>33222</v>
      </c>
      <c r="D149" s="388">
        <v>42454</v>
      </c>
      <c r="E149" s="388">
        <v>43549</v>
      </c>
      <c r="F149" s="384">
        <v>200000000</v>
      </c>
      <c r="G149" s="414">
        <v>200000000</v>
      </c>
      <c r="H149" s="385">
        <v>1</v>
      </c>
      <c r="I149" s="436">
        <v>899</v>
      </c>
      <c r="J149" s="206">
        <v>104</v>
      </c>
      <c r="K149" s="206">
        <v>12.29</v>
      </c>
      <c r="L149" s="206">
        <f>VLOOKUP(3322,收盤價!A:C,3,0)</f>
        <v>8</v>
      </c>
      <c r="M149" s="206">
        <v>8137</v>
      </c>
      <c r="N149" s="206">
        <v>100</v>
      </c>
      <c r="O149" s="438">
        <v>3.85E-2</v>
      </c>
      <c r="P149" s="438">
        <v>-0.48970000000000002</v>
      </c>
      <c r="Q149" s="438">
        <v>-4.3568492924060079E-2</v>
      </c>
      <c r="R149" s="206">
        <f>VLOOKUP(33222,V:AE,9,0)</f>
        <v>7</v>
      </c>
      <c r="S149" s="206">
        <f>VLOOKUP(3322,季財報!A:N,5,0)</f>
        <v>1</v>
      </c>
      <c r="T149" s="206">
        <f>VLOOKUP(3322,季財報!A:N,4,0)</f>
        <v>0</v>
      </c>
      <c r="U149" s="441">
        <v>28571428.571428571</v>
      </c>
      <c r="V149" s="206">
        <v>25962</v>
      </c>
      <c r="W149" s="206" t="s">
        <v>2486</v>
      </c>
      <c r="X149" s="206" t="s">
        <v>2487</v>
      </c>
      <c r="Y149" s="206">
        <v>2199</v>
      </c>
      <c r="Z149" s="206">
        <v>2199</v>
      </c>
      <c r="AA149" s="206">
        <v>0</v>
      </c>
      <c r="AB149" s="206">
        <v>0</v>
      </c>
      <c r="AC149" s="206">
        <v>3000</v>
      </c>
      <c r="AD149" s="206">
        <v>6</v>
      </c>
      <c r="AE149" s="206">
        <v>0</v>
      </c>
    </row>
    <row r="150" spans="1:31" ht="16.5">
      <c r="A150" s="387">
        <v>3299</v>
      </c>
      <c r="B150" s="387" t="s">
        <v>277</v>
      </c>
      <c r="C150" s="387">
        <v>32994</v>
      </c>
      <c r="D150" s="388">
        <v>42265</v>
      </c>
      <c r="E150" s="388">
        <v>43361</v>
      </c>
      <c r="F150" s="384">
        <v>300000000</v>
      </c>
      <c r="G150" s="414">
        <v>60400000</v>
      </c>
      <c r="H150" s="385">
        <v>0.2</v>
      </c>
      <c r="I150" s="436">
        <v>711</v>
      </c>
      <c r="J150" s="206">
        <v>114.3</v>
      </c>
      <c r="K150" s="206">
        <v>41.5</v>
      </c>
      <c r="L150" s="206">
        <f>VLOOKUP(3299,收盤價!A:C,3,0)</f>
        <v>48</v>
      </c>
      <c r="M150" s="206">
        <v>2410</v>
      </c>
      <c r="N150" s="206">
        <v>115.68</v>
      </c>
      <c r="O150" s="438">
        <v>-1.21E-2</v>
      </c>
      <c r="P150" s="438">
        <v>0.13539999999999999</v>
      </c>
      <c r="Q150" s="438">
        <v>5.0097472255801875E-3</v>
      </c>
      <c r="R150" s="206">
        <f>VLOOKUP(32994,V:AE,9,0)</f>
        <v>45</v>
      </c>
      <c r="S150" s="206">
        <f>VLOOKUP(3299,季財報!A:N,5,0)</f>
        <v>4</v>
      </c>
      <c r="T150" s="206">
        <f>VLOOKUP(3299,季財報!A:N,4,0)</f>
        <v>9.0909090909090899</v>
      </c>
      <c r="U150" s="441">
        <v>1342222.2222222222</v>
      </c>
      <c r="V150" s="206">
        <v>56085</v>
      </c>
      <c r="W150" s="206" t="s">
        <v>2747</v>
      </c>
      <c r="X150" s="206" t="s">
        <v>2746</v>
      </c>
      <c r="Y150" s="206">
        <v>2492</v>
      </c>
      <c r="Z150" s="206">
        <v>2492</v>
      </c>
      <c r="AA150" s="206">
        <v>0</v>
      </c>
      <c r="AB150" s="206">
        <v>0</v>
      </c>
      <c r="AC150" s="206">
        <v>2500</v>
      </c>
      <c r="AD150" s="206">
        <v>164</v>
      </c>
      <c r="AE150" s="206">
        <v>0</v>
      </c>
    </row>
    <row r="151" spans="1:31" ht="16.149999999999999" customHeight="1">
      <c r="A151" s="383">
        <v>3289</v>
      </c>
      <c r="B151" s="383" t="s">
        <v>2328</v>
      </c>
      <c r="C151" s="383">
        <v>32893</v>
      </c>
      <c r="D151" s="388">
        <v>42360</v>
      </c>
      <c r="E151" s="388">
        <v>43456</v>
      </c>
      <c r="F151" s="384">
        <v>300000000</v>
      </c>
      <c r="G151" s="414">
        <v>186800000</v>
      </c>
      <c r="H151" s="385">
        <v>0.62</v>
      </c>
      <c r="I151" s="436">
        <v>806</v>
      </c>
      <c r="J151" s="206">
        <v>125.25</v>
      </c>
      <c r="K151" s="206">
        <v>89.4</v>
      </c>
      <c r="L151" s="206">
        <f>VLOOKUP(3289,收盤價!A:C,3,0)</f>
        <v>96.7</v>
      </c>
      <c r="M151" s="206">
        <v>1119</v>
      </c>
      <c r="N151" s="206">
        <v>107.5359</v>
      </c>
      <c r="O151" s="438">
        <v>0.1414</v>
      </c>
      <c r="P151" s="438">
        <v>6.9699999999999998E-2</v>
      </c>
      <c r="Q151" s="438">
        <v>-0.12638958008915155</v>
      </c>
      <c r="R151" s="206">
        <f>VLOOKUP(32893,V:AE,9,0)</f>
        <v>31</v>
      </c>
      <c r="S151" s="206">
        <f>VLOOKUP(3289,季財報!A:N,5,0)</f>
        <v>2</v>
      </c>
      <c r="T151" s="206">
        <f>VLOOKUP(3289,季財報!A:N,4,0)</f>
        <v>18.349146110056928</v>
      </c>
      <c r="U151" s="441">
        <v>6025806.4516129028</v>
      </c>
      <c r="V151" s="206">
        <v>26132</v>
      </c>
      <c r="W151" s="206" t="s">
        <v>2497</v>
      </c>
      <c r="X151" s="206" t="s">
        <v>2496</v>
      </c>
      <c r="Y151" s="206">
        <v>1500</v>
      </c>
      <c r="Z151" s="206">
        <v>1500</v>
      </c>
      <c r="AA151" s="206">
        <v>0</v>
      </c>
      <c r="AB151" s="206">
        <v>0</v>
      </c>
      <c r="AC151" s="206">
        <v>1500</v>
      </c>
      <c r="AD151" s="206">
        <v>29</v>
      </c>
      <c r="AE151" s="206">
        <v>0</v>
      </c>
    </row>
    <row r="152" spans="1:31" ht="16.149999999999999" customHeight="1">
      <c r="A152" s="383">
        <v>3288</v>
      </c>
      <c r="B152" s="383" t="s">
        <v>1769</v>
      </c>
      <c r="C152" s="383">
        <v>32881</v>
      </c>
      <c r="D152" s="388">
        <v>41848</v>
      </c>
      <c r="E152" s="388">
        <v>42944</v>
      </c>
      <c r="F152" s="384">
        <v>200000000</v>
      </c>
      <c r="G152" s="414">
        <v>200000000</v>
      </c>
      <c r="H152" s="385">
        <v>1</v>
      </c>
      <c r="I152" s="436">
        <v>294</v>
      </c>
      <c r="J152" s="206">
        <v>98.25</v>
      </c>
      <c r="K152" s="206">
        <v>19.3</v>
      </c>
      <c r="L152" s="206">
        <f>VLOOKUP(3288,收盤價!A:C,3,0)</f>
        <v>6.4</v>
      </c>
      <c r="M152" s="206">
        <v>5181</v>
      </c>
      <c r="N152" s="206">
        <v>100</v>
      </c>
      <c r="O152" s="438">
        <v>-1.78E-2</v>
      </c>
      <c r="P152" s="438">
        <v>-1.7571000000000001</v>
      </c>
      <c r="Q152" s="438">
        <v>-0.12176611252801267</v>
      </c>
      <c r="R152" s="206">
        <f>VLOOKUP(32881,V:AE,9,0)</f>
        <v>22</v>
      </c>
      <c r="S152" s="206">
        <f>VLOOKUP(3288,季財報!A:N,5,0)</f>
        <v>3</v>
      </c>
      <c r="T152" s="206">
        <f>VLOOKUP(3288,季財報!A:N,4,0)</f>
        <v>0</v>
      </c>
      <c r="U152" s="441">
        <v>9090909.0909090918</v>
      </c>
      <c r="V152" s="206">
        <v>45412</v>
      </c>
      <c r="W152" s="206" t="s">
        <v>2678</v>
      </c>
      <c r="X152" s="206" t="s">
        <v>2677</v>
      </c>
      <c r="Y152" s="206">
        <v>1000</v>
      </c>
      <c r="Z152" s="206">
        <v>1000</v>
      </c>
      <c r="AA152" s="206">
        <v>0</v>
      </c>
      <c r="AB152" s="206">
        <v>0</v>
      </c>
      <c r="AC152" s="206">
        <v>1000</v>
      </c>
      <c r="AD152" s="206">
        <v>12</v>
      </c>
      <c r="AE152" s="206">
        <v>0</v>
      </c>
    </row>
    <row r="153" spans="1:31" ht="16.5">
      <c r="A153" s="383">
        <v>3272</v>
      </c>
      <c r="B153" s="383" t="s">
        <v>271</v>
      </c>
      <c r="C153" s="383">
        <v>32721</v>
      </c>
      <c r="D153" s="388">
        <v>42068</v>
      </c>
      <c r="E153" s="388">
        <v>43164</v>
      </c>
      <c r="F153" s="384">
        <v>400000000</v>
      </c>
      <c r="G153" s="414">
        <v>262200000</v>
      </c>
      <c r="H153" s="385">
        <v>0.66</v>
      </c>
      <c r="I153" s="436">
        <v>514</v>
      </c>
      <c r="J153" s="206">
        <v>101.5</v>
      </c>
      <c r="K153" s="206">
        <v>88.6</v>
      </c>
      <c r="L153" s="206">
        <f>VLOOKUP(3272,收盤價!A:C,3,0)</f>
        <v>49.85</v>
      </c>
      <c r="M153" s="206">
        <v>1129</v>
      </c>
      <c r="N153" s="206">
        <v>100</v>
      </c>
      <c r="O153" s="438">
        <v>1.4800000000000001E-2</v>
      </c>
      <c r="P153" s="438">
        <v>-0.65300000000000002</v>
      </c>
      <c r="Q153" s="438">
        <v>-0.35766077482579733</v>
      </c>
      <c r="R153" s="206">
        <f>VLOOKUP(32721,V:AE,9,0)</f>
        <v>42</v>
      </c>
      <c r="S153" s="206">
        <f>VLOOKUP(3272,季財報!A:N,5,0)</f>
        <v>4</v>
      </c>
      <c r="T153" s="206">
        <f>VLOOKUP(3272,季財報!A:N,4,0)</f>
        <v>17.07191780821918</v>
      </c>
      <c r="U153" s="441">
        <v>6242857.1428571427</v>
      </c>
      <c r="V153" s="206">
        <v>25353</v>
      </c>
      <c r="W153" s="206" t="s">
        <v>2481</v>
      </c>
      <c r="X153" s="206" t="s">
        <v>2480</v>
      </c>
      <c r="Y153" s="206">
        <v>6000</v>
      </c>
      <c r="Z153" s="206">
        <v>6000</v>
      </c>
      <c r="AA153" s="206">
        <v>0</v>
      </c>
      <c r="AB153" s="206">
        <v>0</v>
      </c>
      <c r="AC153" s="206">
        <v>6000</v>
      </c>
      <c r="AD153" s="206">
        <v>138</v>
      </c>
      <c r="AE153" s="206">
        <v>0</v>
      </c>
    </row>
    <row r="154" spans="1:31" ht="16.5">
      <c r="A154" s="383">
        <v>3252</v>
      </c>
      <c r="B154" s="383" t="s">
        <v>268</v>
      </c>
      <c r="C154" s="383">
        <v>32523</v>
      </c>
      <c r="D154" s="388">
        <v>41788</v>
      </c>
      <c r="E154" s="388">
        <v>42884</v>
      </c>
      <c r="F154" s="384">
        <v>200000000</v>
      </c>
      <c r="G154" s="414">
        <v>170600000</v>
      </c>
      <c r="H154" s="385">
        <v>0.85</v>
      </c>
      <c r="I154" s="436">
        <v>234</v>
      </c>
      <c r="J154" s="206">
        <v>102.2</v>
      </c>
      <c r="K154" s="206">
        <v>44.8</v>
      </c>
      <c r="L154" s="206">
        <f>VLOOKUP(3252,收盤價!A:C,3,0)</f>
        <v>27.8</v>
      </c>
      <c r="M154" s="206">
        <v>2232</v>
      </c>
      <c r="N154" s="206">
        <v>100</v>
      </c>
      <c r="R154" s="206">
        <f>VLOOKUP(32523,V:AE,9,0)</f>
        <v>5</v>
      </c>
      <c r="S154" s="206">
        <f>VLOOKUP(3252,季財報!A:N,5,0)</f>
        <v>3</v>
      </c>
      <c r="T154" s="206">
        <f>VLOOKUP(3252,季財報!A:N,4,0)</f>
        <v>0</v>
      </c>
      <c r="U154" s="441">
        <v>34120000</v>
      </c>
      <c r="V154" s="206">
        <v>15891</v>
      </c>
      <c r="W154" s="206" t="s">
        <v>2393</v>
      </c>
      <c r="X154" s="206" t="s">
        <v>2394</v>
      </c>
      <c r="Y154" s="206">
        <v>1451</v>
      </c>
      <c r="Z154" s="206">
        <v>1501</v>
      </c>
      <c r="AA154" s="206">
        <v>-50</v>
      </c>
      <c r="AB154" s="206">
        <v>-3.33</v>
      </c>
      <c r="AC154" s="206">
        <v>15000</v>
      </c>
      <c r="AD154" s="206">
        <v>11</v>
      </c>
      <c r="AE154" s="206">
        <v>0</v>
      </c>
    </row>
    <row r="155" spans="1:31" ht="16.5">
      <c r="A155" s="383">
        <v>3252</v>
      </c>
      <c r="B155" s="383" t="s">
        <v>268</v>
      </c>
      <c r="C155" s="383">
        <v>32522</v>
      </c>
      <c r="D155" s="388">
        <v>41582</v>
      </c>
      <c r="E155" s="388">
        <v>42678</v>
      </c>
      <c r="F155" s="384">
        <v>200000000</v>
      </c>
      <c r="G155" s="414">
        <v>107100000</v>
      </c>
      <c r="H155" s="385">
        <v>0.54</v>
      </c>
      <c r="I155" s="436">
        <v>28</v>
      </c>
      <c r="J155" s="206">
        <v>100</v>
      </c>
      <c r="K155" s="206">
        <v>24.7</v>
      </c>
      <c r="L155" s="206">
        <f>VLOOKUP(3252,收盤價!A:C,3,0)</f>
        <v>27.8</v>
      </c>
      <c r="M155" s="206">
        <v>4049</v>
      </c>
      <c r="N155" s="206">
        <v>100</v>
      </c>
      <c r="R155" s="206">
        <f>VLOOKUP(32522,V:AE,9,0)</f>
        <v>6</v>
      </c>
      <c r="S155" s="206">
        <f>VLOOKUP(3252,季財報!A:N,5,0)</f>
        <v>3</v>
      </c>
      <c r="T155" s="206">
        <f>VLOOKUP(3252,季財報!A:N,4,0)</f>
        <v>0</v>
      </c>
      <c r="U155" s="441">
        <v>17850000</v>
      </c>
      <c r="V155" s="206">
        <v>45501</v>
      </c>
      <c r="W155" s="206" t="s">
        <v>2679</v>
      </c>
      <c r="X155" s="206" t="s">
        <v>2680</v>
      </c>
      <c r="Y155" s="206">
        <v>1301</v>
      </c>
      <c r="Z155" s="206">
        <v>1494</v>
      </c>
      <c r="AA155" s="206">
        <v>-193</v>
      </c>
      <c r="AB155" s="206">
        <v>-12.92</v>
      </c>
      <c r="AC155" s="206">
        <v>1500</v>
      </c>
      <c r="AD155" s="206">
        <v>36</v>
      </c>
      <c r="AE155" s="206">
        <v>0</v>
      </c>
    </row>
    <row r="156" spans="1:31" ht="15.6" customHeight="1">
      <c r="A156" s="383">
        <v>3234</v>
      </c>
      <c r="B156" s="383" t="s">
        <v>266</v>
      </c>
      <c r="C156" s="383">
        <v>32342</v>
      </c>
      <c r="D156" s="388">
        <v>42321</v>
      </c>
      <c r="E156" s="388">
        <v>43417</v>
      </c>
      <c r="F156" s="384">
        <v>500000000</v>
      </c>
      <c r="G156" s="414">
        <v>500000000</v>
      </c>
      <c r="H156" s="385">
        <v>1</v>
      </c>
      <c r="I156" s="436">
        <v>767</v>
      </c>
      <c r="J156" s="206">
        <v>100.2</v>
      </c>
      <c r="K156" s="206">
        <v>141.30000000000001</v>
      </c>
      <c r="L156" s="206">
        <f>VLOOKUP(3234,收盤價!A:C,3,0)</f>
        <v>58.4</v>
      </c>
      <c r="M156" s="206">
        <v>708</v>
      </c>
      <c r="N156" s="206">
        <v>100</v>
      </c>
      <c r="O156" s="438">
        <v>2E-3</v>
      </c>
      <c r="P156" s="438">
        <v>-1.2146999999999999</v>
      </c>
      <c r="Q156" s="438">
        <v>-0.77570283162488585</v>
      </c>
      <c r="R156" s="206">
        <f>VLOOKUP(32342,V:AE,9,0)</f>
        <v>39</v>
      </c>
      <c r="S156" s="206">
        <f>VLOOKUP(3234,季財報!A:N,5,0)</f>
        <v>2</v>
      </c>
      <c r="T156" s="206">
        <f>VLOOKUP(3234,季財報!A:N,4,0)</f>
        <v>12.807017543859651</v>
      </c>
      <c r="U156" s="441">
        <v>12820512.82051282</v>
      </c>
      <c r="V156" s="206">
        <v>17152</v>
      </c>
      <c r="W156" s="206" t="s">
        <v>2412</v>
      </c>
      <c r="X156" s="206" t="s">
        <v>2409</v>
      </c>
      <c r="Y156" s="206">
        <v>1284</v>
      </c>
      <c r="Z156" s="206">
        <v>1284</v>
      </c>
      <c r="AA156" s="206">
        <v>0</v>
      </c>
      <c r="AB156" s="206">
        <v>0</v>
      </c>
      <c r="AC156" s="206">
        <v>7000</v>
      </c>
      <c r="AD156" s="206">
        <v>25</v>
      </c>
      <c r="AE156" s="206">
        <v>0</v>
      </c>
    </row>
    <row r="157" spans="1:31" ht="16.5">
      <c r="A157" s="383">
        <v>3234</v>
      </c>
      <c r="B157" s="383" t="s">
        <v>266</v>
      </c>
      <c r="C157" s="383">
        <v>32341</v>
      </c>
      <c r="D157" s="388">
        <v>42320</v>
      </c>
      <c r="E157" s="388">
        <v>43416</v>
      </c>
      <c r="F157" s="384">
        <v>500000000</v>
      </c>
      <c r="G157" s="414">
        <v>500000000</v>
      </c>
      <c r="H157" s="385">
        <v>1</v>
      </c>
      <c r="I157" s="436">
        <v>766</v>
      </c>
      <c r="J157" s="206">
        <v>101.3</v>
      </c>
      <c r="K157" s="206">
        <v>141</v>
      </c>
      <c r="L157" s="206">
        <f>VLOOKUP(3234,收盤價!A:C,3,0)</f>
        <v>58.4</v>
      </c>
      <c r="M157" s="206">
        <v>709</v>
      </c>
      <c r="N157" s="206">
        <v>100</v>
      </c>
      <c r="O157" s="438">
        <v>1.2800000000000001E-2</v>
      </c>
      <c r="P157" s="438">
        <v>-1.21</v>
      </c>
      <c r="Q157" s="438">
        <v>-0.78062479724094536</v>
      </c>
      <c r="R157" s="206">
        <f>VLOOKUP(32341,V:AE,9,0)</f>
        <v>25</v>
      </c>
      <c r="S157" s="206">
        <f>VLOOKUP(3234,季財報!A:N,5,0)</f>
        <v>2</v>
      </c>
      <c r="T157" s="206">
        <f>VLOOKUP(3234,季財報!A:N,4,0)</f>
        <v>12.807017543859651</v>
      </c>
      <c r="U157" s="441">
        <v>20000000</v>
      </c>
      <c r="V157" s="206">
        <v>30235</v>
      </c>
      <c r="W157" s="206" t="s">
        <v>2534</v>
      </c>
      <c r="X157" s="206" t="s">
        <v>2535</v>
      </c>
      <c r="Y157" s="206">
        <v>334</v>
      </c>
      <c r="Z157" s="206">
        <v>353</v>
      </c>
      <c r="AA157" s="206">
        <v>-19</v>
      </c>
      <c r="AB157" s="206">
        <v>-5.38</v>
      </c>
      <c r="AC157" s="206">
        <v>3000</v>
      </c>
      <c r="AD157" s="206">
        <v>7</v>
      </c>
      <c r="AE157" s="206">
        <v>0</v>
      </c>
    </row>
    <row r="158" spans="1:31" ht="16.5">
      <c r="A158" s="383">
        <v>3224</v>
      </c>
      <c r="B158" s="383" t="s">
        <v>1366</v>
      </c>
      <c r="C158" s="383">
        <v>32242</v>
      </c>
      <c r="D158" s="388">
        <v>41844</v>
      </c>
      <c r="E158" s="388">
        <v>42940</v>
      </c>
      <c r="F158" s="384">
        <v>150000000</v>
      </c>
      <c r="G158" s="414">
        <v>150000000</v>
      </c>
      <c r="H158" s="385">
        <v>1</v>
      </c>
      <c r="I158" s="436">
        <v>290</v>
      </c>
      <c r="J158" s="206">
        <v>103</v>
      </c>
      <c r="K158" s="206">
        <v>36.93</v>
      </c>
      <c r="L158" s="206">
        <f>VLOOKUP(3224,收盤價!A:C,3,0)</f>
        <v>29.15</v>
      </c>
      <c r="M158" s="206">
        <v>2708</v>
      </c>
      <c r="N158" s="206">
        <v>100</v>
      </c>
      <c r="O158" s="438">
        <v>2.9100000000000001E-2</v>
      </c>
      <c r="P158" s="438">
        <v>-0.21079999999999999</v>
      </c>
      <c r="Q158" s="438">
        <v>-7.3159713757152495E-2</v>
      </c>
      <c r="R158" s="206">
        <f>VLOOKUP(32242,V:AE,9,0)</f>
        <v>6</v>
      </c>
      <c r="S158" s="206">
        <f>VLOOKUP(3224,季財報!A:N,5,0)</f>
        <v>2</v>
      </c>
      <c r="T158" s="206">
        <f>VLOOKUP(3224,季財報!A:N,4,0)</f>
        <v>0</v>
      </c>
      <c r="U158" s="441">
        <v>25000000</v>
      </c>
      <c r="V158" s="206">
        <v>62264</v>
      </c>
      <c r="W158" s="206" t="s">
        <v>2793</v>
      </c>
      <c r="X158" s="206" t="s">
        <v>2794</v>
      </c>
      <c r="Y158" s="206">
        <v>2000</v>
      </c>
      <c r="Z158" s="206">
        <v>2000</v>
      </c>
      <c r="AA158" s="206">
        <v>0</v>
      </c>
      <c r="AB158" s="206">
        <v>0</v>
      </c>
      <c r="AC158" s="206">
        <v>2000</v>
      </c>
      <c r="AD158" s="206">
        <v>8</v>
      </c>
      <c r="AE158" s="206">
        <v>0</v>
      </c>
    </row>
    <row r="159" spans="1:31" ht="15.6" customHeight="1">
      <c r="A159" s="383">
        <v>3171</v>
      </c>
      <c r="B159" s="383" t="s">
        <v>1975</v>
      </c>
      <c r="C159" s="383">
        <v>31711</v>
      </c>
      <c r="D159" s="388">
        <v>41943</v>
      </c>
      <c r="E159" s="388">
        <v>43039</v>
      </c>
      <c r="F159" s="384">
        <v>200000000</v>
      </c>
      <c r="G159" s="414">
        <v>200000000</v>
      </c>
      <c r="H159" s="385">
        <v>1</v>
      </c>
      <c r="I159" s="436">
        <v>389</v>
      </c>
      <c r="J159" s="206">
        <v>107.5</v>
      </c>
      <c r="K159" s="206">
        <v>22.3</v>
      </c>
      <c r="L159" s="206">
        <f>VLOOKUP(3171,收盤價!A:C,3,0)</f>
        <v>18.8</v>
      </c>
      <c r="M159" s="206">
        <v>4484</v>
      </c>
      <c r="N159" s="206">
        <v>100</v>
      </c>
      <c r="O159" s="438">
        <v>6.9800000000000001E-2</v>
      </c>
      <c r="P159" s="438">
        <v>-0.12909999999999999</v>
      </c>
      <c r="Q159" s="438">
        <v>-3.9294234798663993E-2</v>
      </c>
      <c r="R159" s="206">
        <f>VLOOKUP(31711,V:AE,9,0)</f>
        <v>10</v>
      </c>
      <c r="S159" s="206">
        <f>VLOOKUP(3171,季財報!A:N,5,0)</f>
        <v>3</v>
      </c>
      <c r="T159" s="206">
        <f>VLOOKUP(3171,季財報!A:N,4,0)</f>
        <v>0</v>
      </c>
      <c r="U159" s="441">
        <v>20000000</v>
      </c>
      <c r="V159" s="206">
        <v>29242</v>
      </c>
      <c r="W159" s="206" t="s">
        <v>2526</v>
      </c>
      <c r="X159" s="206" t="s">
        <v>2527</v>
      </c>
      <c r="Y159" s="206">
        <v>1500</v>
      </c>
      <c r="Z159" s="206">
        <v>1500</v>
      </c>
      <c r="AA159" s="206">
        <v>0</v>
      </c>
      <c r="AB159" s="206">
        <v>0</v>
      </c>
      <c r="AC159" s="206">
        <v>1500</v>
      </c>
      <c r="AD159" s="206">
        <v>12</v>
      </c>
      <c r="AE159" s="206">
        <v>0</v>
      </c>
    </row>
    <row r="160" spans="1:31" ht="16.149999999999999" customHeight="1">
      <c r="A160" s="383">
        <v>3163</v>
      </c>
      <c r="B160" s="383" t="s">
        <v>256</v>
      </c>
      <c r="C160" s="383">
        <v>31631</v>
      </c>
      <c r="D160" s="388">
        <v>41463</v>
      </c>
      <c r="E160" s="388">
        <v>43289</v>
      </c>
      <c r="F160" s="384">
        <v>200000000</v>
      </c>
      <c r="G160" s="414">
        <v>32300000</v>
      </c>
      <c r="H160" s="385">
        <v>0.16</v>
      </c>
      <c r="I160" s="436">
        <v>639</v>
      </c>
      <c r="J160" s="206">
        <v>189</v>
      </c>
      <c r="K160" s="206">
        <v>35.79</v>
      </c>
      <c r="L160" s="206">
        <f>VLOOKUP(3163,收盤價!A:C,3,0)</f>
        <v>47.9</v>
      </c>
      <c r="M160" s="206">
        <v>2794</v>
      </c>
      <c r="N160" s="206">
        <v>143.05280000000002</v>
      </c>
      <c r="O160" s="438">
        <v>0.24310000000000001</v>
      </c>
      <c r="P160" s="438">
        <v>0.30099999999999999</v>
      </c>
      <c r="Q160" s="438">
        <v>-8.7010335829233482E-2</v>
      </c>
      <c r="R160" s="206">
        <f>VLOOKUP(31631,V:AE,9,0)</f>
        <v>7</v>
      </c>
      <c r="S160" s="206">
        <f>VLOOKUP(3163,季財報!A:N,5,0)</f>
        <v>6</v>
      </c>
      <c r="T160" s="206">
        <f>VLOOKUP(3163,季財報!A:N,4,0)</f>
        <v>13.384392674387289</v>
      </c>
      <c r="U160" s="441">
        <v>4614285.7142857146</v>
      </c>
      <c r="V160" s="206">
        <v>43067</v>
      </c>
      <c r="W160" s="206" t="s">
        <v>2664</v>
      </c>
      <c r="X160" s="206" t="s">
        <v>2665</v>
      </c>
      <c r="Y160" s="206">
        <v>50</v>
      </c>
      <c r="Z160" s="206">
        <v>50</v>
      </c>
      <c r="AA160" s="206">
        <v>0</v>
      </c>
      <c r="AB160" s="206">
        <v>0</v>
      </c>
      <c r="AC160" s="206">
        <v>3000</v>
      </c>
      <c r="AD160" s="206">
        <v>1</v>
      </c>
      <c r="AE160" s="206">
        <v>0</v>
      </c>
    </row>
    <row r="161" spans="1:31" ht="16.5">
      <c r="A161" s="387">
        <v>3149</v>
      </c>
      <c r="B161" s="387" t="s">
        <v>1974</v>
      </c>
      <c r="C161" s="387">
        <v>31492</v>
      </c>
      <c r="D161" s="388">
        <v>41877</v>
      </c>
      <c r="E161" s="388">
        <v>42973</v>
      </c>
      <c r="F161" s="384">
        <v>500000000</v>
      </c>
      <c r="G161" s="414">
        <v>500000000</v>
      </c>
      <c r="H161" s="385">
        <v>1</v>
      </c>
      <c r="I161" s="436">
        <v>323</v>
      </c>
      <c r="J161" s="206">
        <v>94.9</v>
      </c>
      <c r="K161" s="206">
        <v>52.6</v>
      </c>
      <c r="L161" s="206">
        <f>VLOOKUP(3149,收盤價!A:C,3,0)</f>
        <v>16.55</v>
      </c>
      <c r="M161" s="206">
        <v>1901</v>
      </c>
      <c r="R161" s="206">
        <f>VLOOKUP(31492,V:AE,9,0)</f>
        <v>240</v>
      </c>
      <c r="S161" s="206">
        <f>VLOOKUP(3149,季財報!A:N,5,0)</f>
        <v>1</v>
      </c>
      <c r="T161" s="206">
        <f>VLOOKUP(3149,季財報!A:N,4,0)</f>
        <v>0</v>
      </c>
      <c r="U161" s="441">
        <v>2083333.3333333333</v>
      </c>
      <c r="V161" s="206">
        <v>33222</v>
      </c>
      <c r="W161" s="206" t="s">
        <v>2575</v>
      </c>
      <c r="X161" s="206" t="s">
        <v>2576</v>
      </c>
      <c r="Y161" s="206">
        <v>2000</v>
      </c>
      <c r="Z161" s="206">
        <v>2000</v>
      </c>
      <c r="AA161" s="206">
        <v>0</v>
      </c>
      <c r="AB161" s="206">
        <v>0</v>
      </c>
      <c r="AC161" s="206">
        <v>2000</v>
      </c>
      <c r="AD161" s="206">
        <v>7</v>
      </c>
      <c r="AE161" s="206">
        <v>0</v>
      </c>
    </row>
    <row r="162" spans="1:31" ht="15.6" customHeight="1">
      <c r="A162" s="387">
        <v>3149</v>
      </c>
      <c r="B162" s="387" t="s">
        <v>1974</v>
      </c>
      <c r="C162" s="387">
        <v>31491</v>
      </c>
      <c r="D162" s="388">
        <v>41876</v>
      </c>
      <c r="E162" s="388">
        <v>43702</v>
      </c>
      <c r="F162" s="384">
        <v>480000000</v>
      </c>
      <c r="G162" s="414">
        <v>480000000</v>
      </c>
      <c r="H162" s="385">
        <v>1</v>
      </c>
      <c r="I162" s="436">
        <v>1052</v>
      </c>
      <c r="J162" s="206">
        <v>98.7</v>
      </c>
      <c r="K162" s="206">
        <v>53.4</v>
      </c>
      <c r="L162" s="206">
        <f>VLOOKUP(3149,收盤價!A:C,3,0)</f>
        <v>16.55</v>
      </c>
      <c r="M162" s="206">
        <v>1873</v>
      </c>
      <c r="R162" s="206">
        <f>VLOOKUP(31491,V:AE,9,0)</f>
        <v>42</v>
      </c>
      <c r="S162" s="206">
        <f>VLOOKUP(3149,季財報!A:N,5,0)</f>
        <v>1</v>
      </c>
      <c r="T162" s="206">
        <f>VLOOKUP(3149,季財報!A:N,4,0)</f>
        <v>0</v>
      </c>
      <c r="U162" s="441">
        <v>11428571.428571429</v>
      </c>
      <c r="V162" s="206">
        <v>26094</v>
      </c>
      <c r="W162" s="206" t="s">
        <v>2491</v>
      </c>
      <c r="X162" s="206" t="s">
        <v>2492</v>
      </c>
      <c r="Y162" s="206">
        <v>1492</v>
      </c>
      <c r="Z162" s="206">
        <v>1492</v>
      </c>
      <c r="AA162" s="206">
        <v>0</v>
      </c>
      <c r="AB162" s="206">
        <v>0</v>
      </c>
      <c r="AC162" s="206">
        <v>46092</v>
      </c>
      <c r="AD162" s="206">
        <v>18</v>
      </c>
      <c r="AE162" s="206">
        <v>0</v>
      </c>
    </row>
    <row r="163" spans="1:31" ht="16.149999999999999" customHeight="1">
      <c r="A163" s="387">
        <v>3128</v>
      </c>
      <c r="B163" s="387" t="s">
        <v>1764</v>
      </c>
      <c r="C163" s="387">
        <v>31281</v>
      </c>
      <c r="D163" s="388">
        <v>41702</v>
      </c>
      <c r="E163" s="388">
        <v>42798</v>
      </c>
      <c r="F163" s="384">
        <v>100000000</v>
      </c>
      <c r="G163" s="414">
        <v>100000000</v>
      </c>
      <c r="H163" s="385">
        <v>1</v>
      </c>
      <c r="I163" s="436">
        <v>148</v>
      </c>
      <c r="J163" s="206">
        <v>101</v>
      </c>
      <c r="K163" s="206">
        <v>17.100000000000001</v>
      </c>
      <c r="L163" s="206">
        <f>VLOOKUP(3128,收盤價!A:C,3,0)</f>
        <v>11.75</v>
      </c>
      <c r="M163" s="206">
        <v>5848</v>
      </c>
      <c r="N163" s="206">
        <v>100</v>
      </c>
      <c r="O163" s="438">
        <v>9.9000000000000008E-3</v>
      </c>
      <c r="P163" s="438">
        <v>-0.40160000000000001</v>
      </c>
      <c r="Q163" s="438">
        <v>-5.0206552803023136E-2</v>
      </c>
      <c r="R163" s="206">
        <f>VLOOKUP(31281,V:AE,9,0)</f>
        <v>12</v>
      </c>
      <c r="S163" s="206">
        <f>VLOOKUP(3128,季財報!A:N,5,0)</f>
        <v>1</v>
      </c>
      <c r="T163" s="206">
        <f>VLOOKUP(3128,季財報!A:N,4,0)</f>
        <v>65.277777777777786</v>
      </c>
      <c r="U163" s="441">
        <v>8333333.333333333</v>
      </c>
      <c r="V163" s="206">
        <v>52851</v>
      </c>
      <c r="W163" s="206" t="s">
        <v>2723</v>
      </c>
      <c r="X163" s="206" t="s">
        <v>2724</v>
      </c>
      <c r="Y163" s="206">
        <v>7200</v>
      </c>
      <c r="Z163" s="206">
        <v>7200</v>
      </c>
      <c r="AA163" s="206">
        <v>0</v>
      </c>
      <c r="AB163" s="206">
        <v>0</v>
      </c>
      <c r="AC163" s="206">
        <v>7200</v>
      </c>
      <c r="AD163" s="206">
        <v>65</v>
      </c>
      <c r="AE163" s="206">
        <v>0</v>
      </c>
    </row>
    <row r="164" spans="1:31" ht="15.6" customHeight="1">
      <c r="A164" s="383">
        <v>3086</v>
      </c>
      <c r="B164" s="383" t="s">
        <v>1973</v>
      </c>
      <c r="C164" s="383">
        <v>30861</v>
      </c>
      <c r="D164" s="388">
        <v>41996</v>
      </c>
      <c r="E164" s="388">
        <v>43092</v>
      </c>
      <c r="F164" s="384">
        <v>300000000</v>
      </c>
      <c r="G164" s="414">
        <v>256800000</v>
      </c>
      <c r="H164" s="385">
        <v>0.86</v>
      </c>
      <c r="I164" s="436">
        <v>442</v>
      </c>
      <c r="J164" s="206">
        <v>100.5</v>
      </c>
      <c r="K164" s="206">
        <v>11.77</v>
      </c>
      <c r="L164" s="206">
        <f>VLOOKUP(3086,收盤價!A:C,3,0)</f>
        <v>6.4</v>
      </c>
      <c r="M164" s="206">
        <v>8496</v>
      </c>
      <c r="N164" s="206">
        <v>100</v>
      </c>
      <c r="O164" s="438">
        <v>5.0000000000000001E-3</v>
      </c>
      <c r="P164" s="438">
        <v>-0.83909999999999996</v>
      </c>
      <c r="Q164" s="438">
        <v>-5.4020856171121789E-2</v>
      </c>
      <c r="R164" s="206">
        <f>VLOOKUP(30861,V:AE,9,0)</f>
        <v>18</v>
      </c>
      <c r="S164" s="206">
        <f>VLOOKUP(3086,季財報!A:N,5,0)</f>
        <v>1</v>
      </c>
      <c r="T164" s="206">
        <f>VLOOKUP(3086,季財報!A:N,4,0)</f>
        <v>0</v>
      </c>
      <c r="U164" s="441">
        <v>14266666.666666666</v>
      </c>
      <c r="V164" s="206">
        <v>62207</v>
      </c>
      <c r="W164" s="206" t="s">
        <v>2790</v>
      </c>
      <c r="X164" s="206" t="s">
        <v>2789</v>
      </c>
      <c r="Y164" s="206">
        <v>80</v>
      </c>
      <c r="Z164" s="206">
        <v>82</v>
      </c>
      <c r="AA164" s="206">
        <v>-2</v>
      </c>
      <c r="AB164" s="206">
        <v>-2.44</v>
      </c>
      <c r="AC164" s="206">
        <v>2000</v>
      </c>
      <c r="AD164" s="206">
        <v>3</v>
      </c>
      <c r="AE164" s="206">
        <v>0</v>
      </c>
    </row>
    <row r="165" spans="1:31" ht="16.149999999999999" customHeight="1">
      <c r="A165" s="387">
        <v>3054</v>
      </c>
      <c r="B165" s="387" t="s">
        <v>1972</v>
      </c>
      <c r="C165" s="387">
        <v>30543</v>
      </c>
      <c r="D165" s="388">
        <v>41641</v>
      </c>
      <c r="E165" s="388">
        <v>42737</v>
      </c>
      <c r="F165" s="384">
        <v>350000000</v>
      </c>
      <c r="G165" s="414">
        <v>335900000</v>
      </c>
      <c r="H165" s="385">
        <v>0.96</v>
      </c>
      <c r="I165" s="436">
        <v>87</v>
      </c>
      <c r="J165" s="206">
        <v>105.1</v>
      </c>
      <c r="K165" s="206">
        <v>21.2</v>
      </c>
      <c r="L165" s="206">
        <f>VLOOKUP(3054,收盤價!A:C,3,0)</f>
        <v>20.8</v>
      </c>
      <c r="M165" s="206">
        <v>4717</v>
      </c>
      <c r="N165" s="206">
        <v>102.35889999999999</v>
      </c>
      <c r="O165" s="438">
        <v>2.6100000000000002E-2</v>
      </c>
      <c r="P165" s="438">
        <v>2.3E-2</v>
      </c>
      <c r="Q165" s="438">
        <v>-5.5291234591484046E-3</v>
      </c>
      <c r="R165" s="206">
        <f>VLOOKUP(30543,V:AE,9,0)</f>
        <v>25</v>
      </c>
      <c r="S165" s="206">
        <f>VLOOKUP(3054,季財報!A:N,5,0)</f>
        <v>2</v>
      </c>
      <c r="T165" s="206">
        <f>VLOOKUP(3054,季財報!A:N,4,0)</f>
        <v>0</v>
      </c>
      <c r="U165" s="441">
        <v>13436000</v>
      </c>
      <c r="V165" s="206">
        <v>14423</v>
      </c>
      <c r="W165" s="206" t="s">
        <v>2369</v>
      </c>
      <c r="X165" s="206" t="s">
        <v>2370</v>
      </c>
      <c r="Y165" s="206">
        <v>7987</v>
      </c>
      <c r="Z165" s="206">
        <v>7987</v>
      </c>
      <c r="AA165" s="206">
        <v>0</v>
      </c>
      <c r="AB165" s="206">
        <v>0</v>
      </c>
      <c r="AC165" s="206">
        <v>8000</v>
      </c>
      <c r="AD165" s="206">
        <v>19</v>
      </c>
      <c r="AE165" s="206">
        <v>0</v>
      </c>
    </row>
    <row r="166" spans="1:31" ht="16.5">
      <c r="A166" s="387">
        <v>3048</v>
      </c>
      <c r="B166" s="387" t="s">
        <v>1971</v>
      </c>
      <c r="C166" s="387">
        <v>30481</v>
      </c>
      <c r="D166" s="388">
        <v>41831</v>
      </c>
      <c r="E166" s="388">
        <v>42927</v>
      </c>
      <c r="F166" s="384">
        <v>300000000</v>
      </c>
      <c r="G166" s="414">
        <v>111300000</v>
      </c>
      <c r="H166" s="385">
        <v>0.37</v>
      </c>
      <c r="I166" s="436">
        <v>277</v>
      </c>
      <c r="J166" s="206">
        <v>112</v>
      </c>
      <c r="K166" s="206">
        <v>17.399999999999999</v>
      </c>
      <c r="L166" s="206">
        <f>VLOOKUP(3048,收盤價!A:C,3,0)</f>
        <v>17.399999999999999</v>
      </c>
      <c r="M166" s="206">
        <v>5747</v>
      </c>
      <c r="N166" s="206">
        <v>100.57250000000001</v>
      </c>
      <c r="O166" s="438">
        <v>0.10199999999999999</v>
      </c>
      <c r="P166" s="438">
        <v>5.7000000000000002E-3</v>
      </c>
      <c r="Q166" s="438">
        <v>-1.7753828084217865E-2</v>
      </c>
      <c r="R166" s="206">
        <f>VLOOKUP(30481,V:AE,9,0)</f>
        <v>14</v>
      </c>
      <c r="S166" s="206">
        <f>VLOOKUP(3048,季財報!A:N,5,0)</f>
        <v>2</v>
      </c>
      <c r="T166" s="206">
        <f>VLOOKUP(3048,季財報!A:N,4,0)</f>
        <v>8.6314960629921256</v>
      </c>
      <c r="U166" s="441">
        <v>7950000</v>
      </c>
      <c r="V166" s="206">
        <v>62233</v>
      </c>
      <c r="W166" s="206" t="s">
        <v>2791</v>
      </c>
      <c r="X166" s="206" t="s">
        <v>2792</v>
      </c>
      <c r="Y166" s="206">
        <v>6007</v>
      </c>
      <c r="Z166" s="206">
        <v>6007</v>
      </c>
      <c r="AA166" s="206">
        <v>0</v>
      </c>
      <c r="AB166" s="206">
        <v>0</v>
      </c>
      <c r="AC166" s="206">
        <v>7000</v>
      </c>
      <c r="AD166" s="206">
        <v>36</v>
      </c>
      <c r="AE166" s="206">
        <v>0</v>
      </c>
    </row>
    <row r="167" spans="1:31" ht="16.149999999999999" customHeight="1">
      <c r="A167" s="383">
        <v>3047</v>
      </c>
      <c r="B167" s="383" t="s">
        <v>1970</v>
      </c>
      <c r="C167" s="383">
        <v>30476</v>
      </c>
      <c r="D167" s="388">
        <v>41332</v>
      </c>
      <c r="E167" s="388">
        <v>43158</v>
      </c>
      <c r="F167" s="384">
        <v>400000000</v>
      </c>
      <c r="G167" s="414">
        <v>305500000</v>
      </c>
      <c r="H167" s="385">
        <v>0.76</v>
      </c>
      <c r="I167" s="436">
        <v>508</v>
      </c>
      <c r="J167" s="206">
        <v>109</v>
      </c>
      <c r="K167" s="206">
        <v>10.64</v>
      </c>
      <c r="L167" s="206">
        <f>VLOOKUP(3047,收盤價!A:C,3,0)</f>
        <v>10.4</v>
      </c>
      <c r="M167" s="206">
        <v>9398</v>
      </c>
      <c r="N167" s="206">
        <v>104.31780000000001</v>
      </c>
      <c r="O167" s="438">
        <v>4.2999999999999997E-2</v>
      </c>
      <c r="P167" s="438">
        <v>4.1399999999999999E-2</v>
      </c>
      <c r="Q167" s="438">
        <v>-4.5707558313207415E-3</v>
      </c>
      <c r="R167" s="206">
        <f>VLOOKUP(30476,V:AE,9,0)</f>
        <v>41</v>
      </c>
      <c r="S167" s="206">
        <f>VLOOKUP(3047,季財報!A:N,5,0)</f>
        <v>1</v>
      </c>
      <c r="T167" s="206">
        <f>VLOOKUP(3047,季財報!A:N,4,0)</f>
        <v>0</v>
      </c>
      <c r="U167" s="441">
        <v>7451219.5121951215</v>
      </c>
      <c r="V167" s="206">
        <v>17301</v>
      </c>
      <c r="W167" s="206" t="s">
        <v>2414</v>
      </c>
      <c r="X167" s="206" t="s">
        <v>2415</v>
      </c>
      <c r="Y167" s="206">
        <v>2000</v>
      </c>
      <c r="Z167" s="206">
        <v>2000</v>
      </c>
      <c r="AA167" s="206">
        <v>0</v>
      </c>
      <c r="AB167" s="206">
        <v>0</v>
      </c>
      <c r="AC167" s="206">
        <v>2000</v>
      </c>
      <c r="AD167" s="206">
        <v>22</v>
      </c>
      <c r="AE167" s="206">
        <v>0</v>
      </c>
    </row>
    <row r="168" spans="1:31" ht="16.149999999999999" customHeight="1">
      <c r="A168" s="387">
        <v>3036</v>
      </c>
      <c r="B168" s="387" t="s">
        <v>3172</v>
      </c>
      <c r="C168" s="387">
        <v>30365</v>
      </c>
      <c r="D168" s="388">
        <v>42558</v>
      </c>
      <c r="E168" s="388">
        <v>43653</v>
      </c>
      <c r="F168" s="384">
        <v>1500000000</v>
      </c>
      <c r="G168" s="414">
        <v>1446000000</v>
      </c>
      <c r="H168" s="385">
        <v>0.96</v>
      </c>
      <c r="I168" s="436">
        <v>1003</v>
      </c>
      <c r="J168" s="206">
        <v>123.8</v>
      </c>
      <c r="K168" s="206">
        <v>36</v>
      </c>
      <c r="L168" s="206">
        <f>VLOOKUP(3036,收盤價!A:C,3,0)</f>
        <v>44.7</v>
      </c>
      <c r="M168" s="206">
        <v>2778</v>
      </c>
      <c r="N168" s="206">
        <v>121.2597</v>
      </c>
      <c r="O168" s="438">
        <v>2.0500000000000001E-2</v>
      </c>
      <c r="P168" s="438">
        <v>0.17530000000000001</v>
      </c>
      <c r="Q168" s="438">
        <v>-7.3863880873375094E-3</v>
      </c>
      <c r="R168" s="206">
        <f>VLOOKUP(30365,V:AE,9,0)</f>
        <v>70</v>
      </c>
      <c r="S168" s="206">
        <f>VLOOKUP(3036,季財報!A:N,5,0)</f>
        <v>0</v>
      </c>
      <c r="T168" s="206">
        <f>VLOOKUP(3036,季財報!A:N,4,0)</f>
        <v>10.198874950219036</v>
      </c>
      <c r="U168" s="441">
        <v>20657142.857142858</v>
      </c>
      <c r="V168" s="206">
        <v>25383</v>
      </c>
      <c r="W168" s="206" t="s">
        <v>2484</v>
      </c>
      <c r="X168" s="206" t="s">
        <v>2485</v>
      </c>
      <c r="Y168" s="206">
        <v>10000</v>
      </c>
      <c r="Z168" s="206">
        <v>10000</v>
      </c>
      <c r="AA168" s="206">
        <v>0</v>
      </c>
      <c r="AB168" s="206">
        <v>0</v>
      </c>
      <c r="AC168" s="206">
        <v>10000</v>
      </c>
      <c r="AD168" s="206">
        <v>16</v>
      </c>
      <c r="AE168" s="206">
        <v>0</v>
      </c>
    </row>
    <row r="169" spans="1:31" ht="16.5">
      <c r="A169" s="383">
        <v>3023</v>
      </c>
      <c r="B169" s="383" t="s">
        <v>2303</v>
      </c>
      <c r="C169" s="383">
        <v>30235</v>
      </c>
      <c r="D169" s="388">
        <v>41813</v>
      </c>
      <c r="E169" s="388">
        <v>42909</v>
      </c>
      <c r="F169" s="384">
        <v>300000000</v>
      </c>
      <c r="G169" s="414">
        <v>31000000</v>
      </c>
      <c r="H169" s="385">
        <v>0.1</v>
      </c>
      <c r="I169" s="436">
        <v>259</v>
      </c>
      <c r="J169" s="206">
        <v>189</v>
      </c>
      <c r="K169" s="206">
        <v>38.299999999999997</v>
      </c>
      <c r="L169" s="206">
        <f>VLOOKUP(3023,收盤價!A:C,3,0)</f>
        <v>71</v>
      </c>
      <c r="M169" s="206">
        <v>2611</v>
      </c>
      <c r="N169" s="206">
        <v>186.94759999999997</v>
      </c>
      <c r="O169" s="438">
        <v>1.09E-2</v>
      </c>
      <c r="P169" s="438">
        <v>0.46510000000000001</v>
      </c>
      <c r="Q169" s="438">
        <v>-4.1590422287473726E-3</v>
      </c>
      <c r="R169" s="206">
        <f>VLOOKUP(30235,V:AE,9,0)</f>
        <v>7</v>
      </c>
      <c r="S169" s="206">
        <f>VLOOKUP(3023,季財報!A:N,5,0)</f>
        <v>5</v>
      </c>
      <c r="T169" s="206">
        <f>VLOOKUP(3023,季財報!A:N,4,0)</f>
        <v>14.341085271317832</v>
      </c>
      <c r="U169" s="441">
        <v>4428571.4285714282</v>
      </c>
      <c r="V169" s="206">
        <v>49161</v>
      </c>
      <c r="W169" s="206" t="s">
        <v>2695</v>
      </c>
      <c r="X169" s="206" t="s">
        <v>2696</v>
      </c>
      <c r="Y169" s="206">
        <v>2757</v>
      </c>
      <c r="Z169" s="206">
        <v>2765</v>
      </c>
      <c r="AA169" s="206">
        <v>-8</v>
      </c>
      <c r="AB169" s="206">
        <v>-0.28999999999999998</v>
      </c>
      <c r="AC169" s="206">
        <v>2800</v>
      </c>
      <c r="AD169" s="206">
        <v>10</v>
      </c>
      <c r="AE169" s="206">
        <v>0</v>
      </c>
    </row>
    <row r="170" spans="1:31" ht="16.149999999999999" customHeight="1">
      <c r="A170" s="387">
        <v>3018</v>
      </c>
      <c r="B170" s="387" t="s">
        <v>1969</v>
      </c>
      <c r="C170" s="387">
        <v>30182</v>
      </c>
      <c r="D170" s="388">
        <v>41963</v>
      </c>
      <c r="E170" s="388">
        <v>43059</v>
      </c>
      <c r="F170" s="384">
        <v>115000000</v>
      </c>
      <c r="G170" s="414">
        <v>84300000</v>
      </c>
      <c r="H170" s="385">
        <v>0.73</v>
      </c>
      <c r="I170" s="436">
        <v>409</v>
      </c>
      <c r="J170" s="206">
        <v>102.1</v>
      </c>
      <c r="K170" s="206">
        <v>19.2</v>
      </c>
      <c r="L170" s="206">
        <f>VLOOKUP(3018,收盤價!A:C,3,0)</f>
        <v>17.8</v>
      </c>
      <c r="M170" s="206">
        <v>5208</v>
      </c>
      <c r="N170" s="206">
        <v>100</v>
      </c>
      <c r="O170" s="438">
        <v>2.06E-2</v>
      </c>
      <c r="P170" s="438">
        <v>-0.12939999999999999</v>
      </c>
      <c r="Q170" s="438">
        <v>-2.5508860774729147E-2</v>
      </c>
      <c r="R170" s="206">
        <f>VLOOKUP(30182,V:AE,9,0)</f>
        <v>16</v>
      </c>
      <c r="S170" s="206">
        <f>VLOOKUP(3018,季財報!A:N,5,0)</f>
        <v>1</v>
      </c>
      <c r="T170" s="206">
        <f>VLOOKUP(3018,季財報!A:N,4,0)</f>
        <v>0</v>
      </c>
      <c r="U170" s="441">
        <v>5268750</v>
      </c>
      <c r="V170" s="206">
        <v>34382</v>
      </c>
      <c r="W170" s="206" t="s">
        <v>2588</v>
      </c>
      <c r="X170" s="206" t="s">
        <v>2589</v>
      </c>
      <c r="Y170" s="206">
        <v>2918</v>
      </c>
      <c r="Z170" s="206">
        <v>2918</v>
      </c>
      <c r="AA170" s="206">
        <v>0</v>
      </c>
      <c r="AB170" s="206">
        <v>0</v>
      </c>
      <c r="AC170" s="206">
        <v>3000</v>
      </c>
      <c r="AD170" s="206">
        <v>16</v>
      </c>
      <c r="AE170" s="206">
        <v>0</v>
      </c>
    </row>
    <row r="171" spans="1:31" ht="16.149999999999999" customHeight="1">
      <c r="A171" s="383">
        <v>3018</v>
      </c>
      <c r="B171" s="383" t="s">
        <v>1969</v>
      </c>
      <c r="C171" s="383">
        <v>30181</v>
      </c>
      <c r="D171" s="388">
        <v>41962</v>
      </c>
      <c r="E171" s="388">
        <v>43058</v>
      </c>
      <c r="F171" s="384">
        <v>75000000</v>
      </c>
      <c r="G171" s="414">
        <v>67100000</v>
      </c>
      <c r="H171" s="385">
        <v>0.89</v>
      </c>
      <c r="I171" s="436">
        <v>408</v>
      </c>
      <c r="J171" s="206">
        <v>108.3</v>
      </c>
      <c r="K171" s="206">
        <v>19.3</v>
      </c>
      <c r="L171" s="206">
        <f>VLOOKUP(3018,收盤價!A:C,3,0)</f>
        <v>17.8</v>
      </c>
      <c r="M171" s="206">
        <v>5181</v>
      </c>
      <c r="N171" s="206">
        <v>100</v>
      </c>
      <c r="O171" s="438">
        <v>7.6600000000000001E-2</v>
      </c>
      <c r="P171" s="438">
        <v>-0.1353</v>
      </c>
      <c r="Q171" s="438">
        <v>-3.6041556058494149E-2</v>
      </c>
      <c r="R171" s="206">
        <f>VLOOKUP(30181,V:AE,9,0)</f>
        <v>6</v>
      </c>
      <c r="S171" s="206">
        <f>VLOOKUP(3018,季財報!A:N,5,0)</f>
        <v>1</v>
      </c>
      <c r="T171" s="206">
        <f>VLOOKUP(3018,季財報!A:N,4,0)</f>
        <v>0</v>
      </c>
      <c r="U171" s="441">
        <v>11183333.333333334</v>
      </c>
      <c r="V171" s="206">
        <v>26412</v>
      </c>
      <c r="W171" s="206" t="s">
        <v>2510</v>
      </c>
      <c r="X171" s="206" t="s">
        <v>2509</v>
      </c>
      <c r="Y171" s="206">
        <v>772</v>
      </c>
      <c r="Z171" s="206">
        <v>944</v>
      </c>
      <c r="AA171" s="206">
        <v>-172</v>
      </c>
      <c r="AB171" s="206">
        <v>-18.22</v>
      </c>
      <c r="AC171" s="206">
        <v>1000</v>
      </c>
      <c r="AD171" s="206">
        <v>40</v>
      </c>
      <c r="AE171" s="206">
        <v>0</v>
      </c>
    </row>
    <row r="172" spans="1:31" ht="16.5">
      <c r="A172" s="383">
        <v>3010</v>
      </c>
      <c r="B172" s="383" t="s">
        <v>1968</v>
      </c>
      <c r="C172" s="383">
        <v>30102</v>
      </c>
      <c r="D172" s="388">
        <v>41852</v>
      </c>
      <c r="E172" s="388">
        <v>42948</v>
      </c>
      <c r="F172" s="384">
        <v>1000000000</v>
      </c>
      <c r="G172" s="414">
        <v>1000000000</v>
      </c>
      <c r="H172" s="385">
        <v>1</v>
      </c>
      <c r="I172" s="436">
        <v>298</v>
      </c>
      <c r="J172" s="206">
        <v>101</v>
      </c>
      <c r="K172" s="206">
        <v>61</v>
      </c>
      <c r="L172" s="206">
        <f>VLOOKUP(3010,收盤價!A:C,3,0)</f>
        <v>45.55</v>
      </c>
      <c r="M172" s="206">
        <v>1639</v>
      </c>
      <c r="N172" s="206">
        <v>100</v>
      </c>
      <c r="O172" s="438">
        <v>9.9000000000000008E-3</v>
      </c>
      <c r="P172" s="438">
        <v>-0.32179999999999997</v>
      </c>
      <c r="Q172" s="438">
        <v>-0.15319743383734347</v>
      </c>
      <c r="R172" s="206">
        <f>VLOOKUP(30102,V:AE,9,0)</f>
        <v>48</v>
      </c>
      <c r="S172" s="206">
        <f>VLOOKUP(3010,季財報!A:N,5,0)</f>
        <v>3</v>
      </c>
      <c r="T172" s="206">
        <f>VLOOKUP(3010,季財報!A:N,4,0)</f>
        <v>13.241279069767442</v>
      </c>
      <c r="U172" s="441">
        <v>20833333.333333332</v>
      </c>
      <c r="V172" s="206">
        <v>24422</v>
      </c>
      <c r="W172" s="206" t="s">
        <v>2455</v>
      </c>
      <c r="X172" s="206" t="s">
        <v>2456</v>
      </c>
      <c r="Y172" s="206">
        <v>3019</v>
      </c>
      <c r="Z172" s="206">
        <v>3019</v>
      </c>
      <c r="AA172" s="206">
        <v>0</v>
      </c>
      <c r="AB172" s="206">
        <v>0</v>
      </c>
      <c r="AC172" s="206">
        <v>4000</v>
      </c>
      <c r="AD172" s="206">
        <v>7</v>
      </c>
      <c r="AE172" s="206">
        <v>0</v>
      </c>
    </row>
    <row r="173" spans="1:31" ht="16.5">
      <c r="A173" s="383">
        <v>2924</v>
      </c>
      <c r="B173" s="383" t="s">
        <v>2113</v>
      </c>
      <c r="C173" s="383">
        <v>29243</v>
      </c>
      <c r="D173" s="388">
        <v>42292</v>
      </c>
      <c r="E173" s="388">
        <v>43388</v>
      </c>
      <c r="F173" s="384">
        <v>100000000</v>
      </c>
      <c r="G173" s="414">
        <v>100000000</v>
      </c>
      <c r="H173" s="385">
        <v>1</v>
      </c>
      <c r="I173" s="436">
        <v>738</v>
      </c>
      <c r="J173" s="206">
        <v>98.3</v>
      </c>
      <c r="K173" s="206">
        <v>70.400000000000006</v>
      </c>
      <c r="L173" s="206">
        <f>VLOOKUP(2924,收盤價!A:C,3,0)</f>
        <v>53.5</v>
      </c>
      <c r="M173" s="206">
        <v>1420</v>
      </c>
      <c r="N173" s="206">
        <v>100</v>
      </c>
      <c r="O173" s="438">
        <v>-1.7299999999999999E-2</v>
      </c>
      <c r="P173" s="438">
        <v>-0.31840000000000002</v>
      </c>
      <c r="Q173" s="438">
        <v>-0.16099035719914614</v>
      </c>
      <c r="R173" s="206">
        <f>VLOOKUP(29243,V:AE,9,0)</f>
        <v>36</v>
      </c>
      <c r="S173" s="206">
        <f>VLOOKUP(2924,季財報!A:N,5,0)</f>
        <v>1</v>
      </c>
      <c r="T173" s="206">
        <f>VLOOKUP(2924,季財報!A:N,4,0)</f>
        <v>573.21428571428567</v>
      </c>
      <c r="U173" s="441">
        <v>2777777.777777778</v>
      </c>
      <c r="V173" s="206">
        <v>22302</v>
      </c>
      <c r="W173" s="206" t="s">
        <v>2437</v>
      </c>
      <c r="X173" s="206" t="s">
        <v>2436</v>
      </c>
      <c r="Y173" s="206">
        <v>750</v>
      </c>
      <c r="Z173" s="206">
        <v>750</v>
      </c>
      <c r="AA173" s="206">
        <v>0</v>
      </c>
      <c r="AB173" s="206">
        <v>0</v>
      </c>
      <c r="AC173" s="206">
        <v>750</v>
      </c>
      <c r="AD173" s="206">
        <v>11</v>
      </c>
      <c r="AE173" s="206">
        <v>0</v>
      </c>
    </row>
    <row r="174" spans="1:31" ht="16.5">
      <c r="A174" s="383">
        <v>2924</v>
      </c>
      <c r="B174" s="383" t="s">
        <v>2113</v>
      </c>
      <c r="C174" s="383">
        <v>29242</v>
      </c>
      <c r="D174" s="388">
        <v>42291</v>
      </c>
      <c r="E174" s="388">
        <v>43387</v>
      </c>
      <c r="F174" s="384">
        <v>150000000</v>
      </c>
      <c r="G174" s="414">
        <v>150000000</v>
      </c>
      <c r="H174" s="385">
        <v>1</v>
      </c>
      <c r="I174" s="436">
        <v>737</v>
      </c>
      <c r="J174" s="206">
        <v>101.5</v>
      </c>
      <c r="K174" s="206">
        <v>72</v>
      </c>
      <c r="L174" s="206">
        <f>VLOOKUP(2924,收盤價!A:C,3,0)</f>
        <v>53.5</v>
      </c>
      <c r="M174" s="206">
        <v>1389</v>
      </c>
      <c r="N174" s="206">
        <v>100</v>
      </c>
      <c r="O174" s="438">
        <v>1.4800000000000001E-2</v>
      </c>
      <c r="P174" s="438">
        <v>-0.3483</v>
      </c>
      <c r="Q174" s="438">
        <v>-0.19383403022339493</v>
      </c>
      <c r="R174" s="206">
        <f>VLOOKUP(29242,V:AE,9,0)</f>
        <v>12</v>
      </c>
      <c r="S174" s="206">
        <f>VLOOKUP(2924,季財報!A:N,5,0)</f>
        <v>1</v>
      </c>
      <c r="T174" s="206">
        <f>VLOOKUP(2924,季財報!A:N,4,0)</f>
        <v>573.21428571428567</v>
      </c>
      <c r="U174" s="441">
        <v>12500000</v>
      </c>
      <c r="V174" s="206">
        <v>20066</v>
      </c>
      <c r="W174" s="206" t="s">
        <v>2427</v>
      </c>
      <c r="X174" s="206" t="s">
        <v>2428</v>
      </c>
      <c r="Y174" s="206">
        <v>24822</v>
      </c>
      <c r="Z174" s="206">
        <v>24822</v>
      </c>
      <c r="AA174" s="206">
        <v>0</v>
      </c>
      <c r="AB174" s="206">
        <v>0</v>
      </c>
      <c r="AC174" s="206">
        <v>25000</v>
      </c>
      <c r="AD174" s="206">
        <v>42</v>
      </c>
      <c r="AE174" s="206">
        <v>0</v>
      </c>
    </row>
    <row r="175" spans="1:31" ht="16.149999999999999" customHeight="1">
      <c r="A175" s="383">
        <v>2888</v>
      </c>
      <c r="B175" s="383" t="s">
        <v>3171</v>
      </c>
      <c r="C175" s="383">
        <v>28884</v>
      </c>
      <c r="D175" s="388">
        <v>41878</v>
      </c>
      <c r="E175" s="388">
        <v>43704</v>
      </c>
      <c r="F175" s="384">
        <v>5000000000</v>
      </c>
      <c r="G175" s="414">
        <v>5000000000</v>
      </c>
      <c r="H175" s="385">
        <v>1</v>
      </c>
      <c r="I175" s="436">
        <v>1054</v>
      </c>
      <c r="J175" s="206">
        <v>99.3</v>
      </c>
      <c r="K175" s="206">
        <v>9.41</v>
      </c>
      <c r="L175" s="206">
        <f>VLOOKUP(2888,收盤價!A:C,3,0)</f>
        <v>6.87</v>
      </c>
      <c r="M175" s="206">
        <v>10627</v>
      </c>
      <c r="N175" s="206">
        <v>100</v>
      </c>
      <c r="O175" s="438">
        <v>-7.0000000000000001E-3</v>
      </c>
      <c r="P175" s="438">
        <v>-0.35589999999999999</v>
      </c>
      <c r="Q175" s="438">
        <v>-2.4210709558042082E-2</v>
      </c>
      <c r="R175" s="206">
        <f>VLOOKUP(28884,V:AE,9,0)</f>
        <v>68</v>
      </c>
      <c r="S175" s="206" t="e">
        <f>VLOOKUP(2888,季財報!A:N,5,0)</f>
        <v>#N/A</v>
      </c>
      <c r="T175" s="206" t="e">
        <f>VLOOKUP(2888,季財報!A:N,4,0)</f>
        <v>#N/A</v>
      </c>
      <c r="U175" s="441">
        <v>73529411.764705881</v>
      </c>
      <c r="V175" s="206">
        <v>61341</v>
      </c>
      <c r="W175" s="206" t="s">
        <v>2762</v>
      </c>
      <c r="X175" s="206" t="s">
        <v>2763</v>
      </c>
      <c r="Y175" s="206">
        <v>724</v>
      </c>
      <c r="Z175" s="206">
        <v>967</v>
      </c>
      <c r="AA175" s="206">
        <v>-243</v>
      </c>
      <c r="AB175" s="206">
        <v>-25.13</v>
      </c>
      <c r="AC175" s="206">
        <v>1000</v>
      </c>
      <c r="AD175" s="206">
        <v>24</v>
      </c>
      <c r="AE175" s="206">
        <v>0</v>
      </c>
    </row>
    <row r="176" spans="1:31" ht="16.149999999999999" customHeight="1">
      <c r="A176" s="383">
        <v>2888</v>
      </c>
      <c r="B176" s="383" t="s">
        <v>3171</v>
      </c>
      <c r="C176" s="383">
        <v>28883</v>
      </c>
      <c r="D176" s="388">
        <v>41022</v>
      </c>
      <c r="E176" s="388">
        <v>42848</v>
      </c>
      <c r="F176" s="384">
        <v>5000000000</v>
      </c>
      <c r="G176" s="414">
        <v>4095900000</v>
      </c>
      <c r="H176" s="385">
        <v>0.82</v>
      </c>
      <c r="I176" s="436">
        <v>198</v>
      </c>
      <c r="J176" s="206">
        <v>99.5</v>
      </c>
      <c r="K176" s="206">
        <v>9.1</v>
      </c>
      <c r="L176" s="206">
        <f>VLOOKUP(2888,收盤價!A:C,3,0)</f>
        <v>6.87</v>
      </c>
      <c r="M176" s="206">
        <v>10989</v>
      </c>
      <c r="N176" s="206">
        <v>100</v>
      </c>
      <c r="O176" s="438">
        <v>-5.0000000000000001E-3</v>
      </c>
      <c r="P176" s="438">
        <v>-0.31119999999999998</v>
      </c>
      <c r="Q176" s="438">
        <v>-2.125134728149803E-2</v>
      </c>
      <c r="R176" s="206">
        <f>VLOOKUP(28883,V:AE,9,0)</f>
        <v>53</v>
      </c>
      <c r="S176" s="206" t="e">
        <f>VLOOKUP(2888,季財報!A:N,5,0)</f>
        <v>#N/A</v>
      </c>
      <c r="T176" s="206" t="e">
        <f>VLOOKUP(2888,季財報!A:N,4,0)</f>
        <v>#N/A</v>
      </c>
      <c r="U176" s="441">
        <v>77281132.075471699</v>
      </c>
      <c r="V176" s="206">
        <v>45231</v>
      </c>
      <c r="W176" s="206" t="s">
        <v>2670</v>
      </c>
      <c r="X176" s="206" t="s">
        <v>2671</v>
      </c>
      <c r="Y176" s="206">
        <v>42</v>
      </c>
      <c r="Z176" s="206">
        <v>42</v>
      </c>
      <c r="AA176" s="206">
        <v>0</v>
      </c>
      <c r="AB176" s="206">
        <v>0</v>
      </c>
      <c r="AC176" s="206">
        <v>2000</v>
      </c>
      <c r="AD176" s="206">
        <v>7</v>
      </c>
      <c r="AE176" s="206">
        <v>0</v>
      </c>
    </row>
    <row r="177" spans="1:31" ht="16.149999999999999" customHeight="1">
      <c r="A177" s="383">
        <v>2841</v>
      </c>
      <c r="B177" s="383" t="s">
        <v>1967</v>
      </c>
      <c r="C177" s="383">
        <v>28411</v>
      </c>
      <c r="D177" s="388">
        <v>42234</v>
      </c>
      <c r="E177" s="388">
        <v>43330</v>
      </c>
      <c r="F177" s="384">
        <v>200000000</v>
      </c>
      <c r="G177" s="414">
        <v>199900000</v>
      </c>
      <c r="H177" s="385">
        <v>1</v>
      </c>
      <c r="I177" s="436">
        <v>680</v>
      </c>
      <c r="J177" s="206">
        <v>107.5</v>
      </c>
      <c r="K177" s="206">
        <v>10.08</v>
      </c>
      <c r="L177" s="206">
        <f>VLOOKUP(2841,收盤價!A:C,3,0)</f>
        <v>9.91</v>
      </c>
      <c r="M177" s="206">
        <v>9921</v>
      </c>
      <c r="N177" s="206">
        <v>101.69025000000001</v>
      </c>
      <c r="O177" s="438">
        <v>5.3999999999999999E-2</v>
      </c>
      <c r="P177" s="438">
        <v>1.66E-2</v>
      </c>
      <c r="Q177" s="438">
        <v>-5.447453487200043E-3</v>
      </c>
      <c r="R177" s="206">
        <f>VLOOKUP(28411,V:AE,9,0)</f>
        <v>38</v>
      </c>
      <c r="S177" s="206">
        <f>VLOOKUP(2841,季財報!A:N,5,0)</f>
        <v>2</v>
      </c>
      <c r="T177" s="206">
        <f>VLOOKUP(2841,季財報!A:N,4,0)</f>
        <v>0</v>
      </c>
      <c r="U177" s="441">
        <v>5260526.3157894732</v>
      </c>
      <c r="V177" s="206">
        <v>35762</v>
      </c>
      <c r="W177" s="206" t="s">
        <v>2604</v>
      </c>
      <c r="X177" s="206" t="s">
        <v>2603</v>
      </c>
      <c r="Y177" s="206">
        <v>548</v>
      </c>
      <c r="Z177" s="206">
        <v>548</v>
      </c>
      <c r="AA177" s="206">
        <v>0</v>
      </c>
      <c r="AB177" s="206">
        <v>0</v>
      </c>
      <c r="AC177" s="206">
        <v>5000</v>
      </c>
      <c r="AD177" s="206">
        <v>7</v>
      </c>
      <c r="AE177" s="206">
        <v>0</v>
      </c>
    </row>
    <row r="178" spans="1:31" ht="15.6" customHeight="1">
      <c r="A178" s="383">
        <v>2734</v>
      </c>
      <c r="B178" s="383" t="s">
        <v>244</v>
      </c>
      <c r="C178" s="383">
        <v>27341</v>
      </c>
      <c r="D178" s="388">
        <v>42150</v>
      </c>
      <c r="E178" s="388">
        <v>43246</v>
      </c>
      <c r="F178" s="384">
        <v>300000000</v>
      </c>
      <c r="G178" s="414">
        <v>300000000</v>
      </c>
      <c r="H178" s="385">
        <v>1</v>
      </c>
      <c r="I178" s="436">
        <v>596</v>
      </c>
      <c r="J178" s="206">
        <v>101.3</v>
      </c>
      <c r="K178" s="206">
        <v>35.299999999999997</v>
      </c>
      <c r="L178" s="206">
        <f>VLOOKUP(2734,收盤價!A:C,3,0)</f>
        <v>18.2</v>
      </c>
      <c r="M178" s="206">
        <v>2833</v>
      </c>
      <c r="N178" s="206">
        <v>100</v>
      </c>
      <c r="O178" s="438">
        <v>1.2800000000000001E-2</v>
      </c>
      <c r="P178" s="438">
        <v>-0.8196</v>
      </c>
      <c r="Q178" s="438">
        <v>-0.16147233859578397</v>
      </c>
      <c r="R178" s="206">
        <f>VLOOKUP(27341,V:AE,9,0)</f>
        <v>11</v>
      </c>
      <c r="S178" s="206">
        <f>VLOOKUP(2734,季財報!A:N,5,0)</f>
        <v>2</v>
      </c>
      <c r="T178" s="206">
        <f>VLOOKUP(2734,季財報!A:N,4,0)</f>
        <v>0</v>
      </c>
      <c r="U178" s="441">
        <v>27272727.272727273</v>
      </c>
      <c r="V178" s="206">
        <v>41145</v>
      </c>
      <c r="W178" s="206" t="s">
        <v>2643</v>
      </c>
      <c r="X178" s="206" t="s">
        <v>2644</v>
      </c>
      <c r="Y178" s="206">
        <v>5000</v>
      </c>
      <c r="Z178" s="206">
        <v>5000</v>
      </c>
      <c r="AA178" s="206">
        <v>0</v>
      </c>
      <c r="AB178" s="206">
        <v>0</v>
      </c>
      <c r="AC178" s="206">
        <v>5000</v>
      </c>
      <c r="AD178" s="206">
        <v>17</v>
      </c>
      <c r="AE178" s="206">
        <v>0</v>
      </c>
    </row>
    <row r="179" spans="1:31" ht="16.5">
      <c r="A179" s="383">
        <v>2732</v>
      </c>
      <c r="B179" s="383" t="s">
        <v>1966</v>
      </c>
      <c r="C179" s="383">
        <v>27321</v>
      </c>
      <c r="D179" s="388">
        <v>42394</v>
      </c>
      <c r="E179" s="388">
        <v>43490</v>
      </c>
      <c r="F179" s="384">
        <v>300000000</v>
      </c>
      <c r="G179" s="414">
        <v>234500000</v>
      </c>
      <c r="H179" s="385">
        <v>0.78</v>
      </c>
      <c r="I179" s="436">
        <v>840</v>
      </c>
      <c r="J179" s="206">
        <v>134.80000000000001</v>
      </c>
      <c r="K179" s="206">
        <v>58.8</v>
      </c>
      <c r="L179" s="206">
        <f>VLOOKUP(2732,收盤價!A:C,3,0)</f>
        <v>75.3</v>
      </c>
      <c r="M179" s="206">
        <v>1701</v>
      </c>
      <c r="N179" s="206">
        <v>135.56970000000001</v>
      </c>
      <c r="O179" s="438">
        <v>-5.7000000000000002E-3</v>
      </c>
      <c r="P179" s="438">
        <v>0.26219999999999999</v>
      </c>
      <c r="Q179" s="438">
        <v>3.3568140228213321E-3</v>
      </c>
      <c r="R179" s="206">
        <f>VLOOKUP(27321,V:AE,9,0)</f>
        <v>29</v>
      </c>
      <c r="S179" s="206">
        <f>VLOOKUP(2732,季財報!A:N,5,0)</f>
        <v>4</v>
      </c>
      <c r="T179" s="206">
        <f>VLOOKUP(2732,季財報!A:N,4,0)</f>
        <v>19.407216494845361</v>
      </c>
      <c r="U179" s="441">
        <v>8086206.8965517245</v>
      </c>
      <c r="V179" s="206">
        <v>54758</v>
      </c>
      <c r="W179" s="206" t="s">
        <v>2734</v>
      </c>
      <c r="X179" s="206" t="s">
        <v>2732</v>
      </c>
      <c r="Y179" s="206">
        <v>2000</v>
      </c>
      <c r="Z179" s="206">
        <v>2000</v>
      </c>
      <c r="AA179" s="206">
        <v>0</v>
      </c>
      <c r="AB179" s="206">
        <v>0</v>
      </c>
      <c r="AC179" s="206">
        <v>2000</v>
      </c>
      <c r="AD179" s="206">
        <v>12</v>
      </c>
      <c r="AE179" s="206">
        <v>0</v>
      </c>
    </row>
    <row r="180" spans="1:31" ht="16.149999999999999" customHeight="1">
      <c r="A180" s="387">
        <v>2726</v>
      </c>
      <c r="B180" s="387" t="s">
        <v>2112</v>
      </c>
      <c r="C180" s="387">
        <v>27261</v>
      </c>
      <c r="D180" s="388">
        <v>42327</v>
      </c>
      <c r="E180" s="388">
        <v>43423</v>
      </c>
      <c r="F180" s="384">
        <v>200000000</v>
      </c>
      <c r="G180" s="414">
        <v>196200000</v>
      </c>
      <c r="H180" s="385">
        <v>0.98</v>
      </c>
      <c r="I180" s="436">
        <v>773</v>
      </c>
      <c r="J180" s="206">
        <v>153</v>
      </c>
      <c r="K180" s="206">
        <v>44.6</v>
      </c>
      <c r="L180" s="206">
        <f>VLOOKUP(2726,收盤價!A:C,3,0)</f>
        <v>66.900000000000006</v>
      </c>
      <c r="M180" s="206">
        <v>2242</v>
      </c>
      <c r="N180" s="206">
        <v>153.12860000000001</v>
      </c>
      <c r="O180" s="438">
        <v>-8.0000000000000004E-4</v>
      </c>
      <c r="P180" s="438">
        <v>0.34699999999999998</v>
      </c>
      <c r="Q180" s="438">
        <v>3.748986957256594E-4</v>
      </c>
      <c r="R180" s="206">
        <f>VLOOKUP(27261,V:AE,9,0)</f>
        <v>7</v>
      </c>
      <c r="S180" s="206">
        <f>VLOOKUP(2726,季財報!A:N,5,0)</f>
        <v>3</v>
      </c>
      <c r="T180" s="206">
        <f>VLOOKUP(2726,季財報!A:N,4,0)</f>
        <v>16.397058823529413</v>
      </c>
      <c r="U180" s="441">
        <v>28028571.428571429</v>
      </c>
      <c r="V180" s="206">
        <v>32242</v>
      </c>
      <c r="W180" s="206" t="s">
        <v>2559</v>
      </c>
      <c r="X180" s="206" t="s">
        <v>2560</v>
      </c>
      <c r="Y180" s="206">
        <v>1500</v>
      </c>
      <c r="Z180" s="206">
        <v>1500</v>
      </c>
      <c r="AA180" s="206">
        <v>0</v>
      </c>
      <c r="AB180" s="206">
        <v>0</v>
      </c>
      <c r="AC180" s="206">
        <v>1500</v>
      </c>
      <c r="AD180" s="206">
        <v>6</v>
      </c>
      <c r="AE180" s="206">
        <v>0</v>
      </c>
    </row>
    <row r="181" spans="1:31" ht="16.149999999999999" customHeight="1">
      <c r="A181" s="383">
        <v>2707</v>
      </c>
      <c r="B181" s="383" t="s">
        <v>1965</v>
      </c>
      <c r="C181" s="383">
        <v>27072</v>
      </c>
      <c r="D181" s="388">
        <v>42537</v>
      </c>
      <c r="E181" s="388">
        <v>44363</v>
      </c>
      <c r="F181" s="384">
        <v>1500000000</v>
      </c>
      <c r="G181" s="414">
        <v>1500000000</v>
      </c>
      <c r="H181" s="385">
        <v>1</v>
      </c>
      <c r="I181" s="436">
        <v>1713</v>
      </c>
      <c r="J181" s="206">
        <v>100.8</v>
      </c>
      <c r="K181" s="206">
        <v>197.1</v>
      </c>
      <c r="L181" s="206">
        <f>VLOOKUP(2707,收盤價!A:C,3,0)</f>
        <v>176</v>
      </c>
      <c r="M181" s="206">
        <v>507</v>
      </c>
      <c r="N181" s="206">
        <v>100</v>
      </c>
      <c r="O181" s="438">
        <v>7.9000000000000008E-3</v>
      </c>
      <c r="P181" s="438">
        <v>-0.10730000000000001</v>
      </c>
      <c r="Q181" s="438">
        <v>-0.20651357189818736</v>
      </c>
      <c r="R181" s="206">
        <f>VLOOKUP(27072,V:AE,9,0)</f>
        <v>76</v>
      </c>
      <c r="S181" s="206">
        <f>VLOOKUP(2707,季財報!A:N,5,0)</f>
        <v>1</v>
      </c>
      <c r="T181" s="206">
        <f>VLOOKUP(2707,季財報!A:N,4,0)</f>
        <v>24.675709563433259</v>
      </c>
      <c r="U181" s="441">
        <v>19736842.105263159</v>
      </c>
      <c r="V181" s="206">
        <v>31711</v>
      </c>
      <c r="W181" s="206" t="s">
        <v>2555</v>
      </c>
      <c r="X181" s="206" t="s">
        <v>2556</v>
      </c>
      <c r="Y181" s="206">
        <v>2000</v>
      </c>
      <c r="Z181" s="206">
        <v>2000</v>
      </c>
      <c r="AA181" s="206">
        <v>0</v>
      </c>
      <c r="AB181" s="206">
        <v>0</v>
      </c>
      <c r="AC181" s="206">
        <v>2000</v>
      </c>
      <c r="AD181" s="206">
        <v>10</v>
      </c>
      <c r="AE181" s="206">
        <v>0</v>
      </c>
    </row>
    <row r="182" spans="1:31" ht="16.149999999999999" customHeight="1">
      <c r="A182" s="383">
        <v>2641</v>
      </c>
      <c r="B182" s="383" t="s">
        <v>1784</v>
      </c>
      <c r="C182" s="383">
        <v>26412</v>
      </c>
      <c r="D182" s="388">
        <v>42013</v>
      </c>
      <c r="E182" s="388">
        <v>43109</v>
      </c>
      <c r="F182" s="384">
        <v>100000000</v>
      </c>
      <c r="G182" s="414">
        <v>77200000</v>
      </c>
      <c r="H182" s="385">
        <v>0.77</v>
      </c>
      <c r="I182" s="436">
        <v>459</v>
      </c>
      <c r="J182" s="206">
        <v>105.2</v>
      </c>
      <c r="K182" s="206">
        <v>11.01</v>
      </c>
      <c r="L182" s="206">
        <f>VLOOKUP(2641,收盤價!A:C,3,0)</f>
        <v>12.2</v>
      </c>
      <c r="M182" s="206">
        <v>9083</v>
      </c>
      <c r="N182" s="206">
        <v>103.5462</v>
      </c>
      <c r="O182" s="438">
        <v>1.5699999999999999E-2</v>
      </c>
      <c r="P182" s="438">
        <v>3.4200000000000001E-2</v>
      </c>
      <c r="Q182" s="438">
        <v>-1.7307643200915588E-3</v>
      </c>
      <c r="R182" s="206">
        <f>VLOOKUP(26412,V:AE,9,0)</f>
        <v>40</v>
      </c>
      <c r="S182" s="206">
        <f>VLOOKUP(2641,季財報!A:N,5,0)</f>
        <v>3</v>
      </c>
      <c r="T182" s="206">
        <f>VLOOKUP(2641,季財報!A:N,4,0)</f>
        <v>0</v>
      </c>
      <c r="U182" s="441">
        <v>1930000</v>
      </c>
      <c r="V182" s="206">
        <v>34652</v>
      </c>
      <c r="W182" s="206" t="s">
        <v>2590</v>
      </c>
      <c r="X182" s="206" t="s">
        <v>2591</v>
      </c>
      <c r="Y182" s="206">
        <v>109</v>
      </c>
      <c r="Z182" s="206">
        <v>109</v>
      </c>
      <c r="AA182" s="206">
        <v>0</v>
      </c>
      <c r="AB182" s="206">
        <v>0</v>
      </c>
      <c r="AC182" s="206">
        <v>500</v>
      </c>
      <c r="AD182" s="206">
        <v>5</v>
      </c>
      <c r="AE182" s="206">
        <v>0</v>
      </c>
    </row>
    <row r="183" spans="1:31" ht="16.5">
      <c r="A183" s="383">
        <v>2641</v>
      </c>
      <c r="B183" s="383" t="s">
        <v>1784</v>
      </c>
      <c r="C183" s="383">
        <v>26411</v>
      </c>
      <c r="D183" s="388">
        <v>42012</v>
      </c>
      <c r="E183" s="388">
        <v>43108</v>
      </c>
      <c r="F183" s="384">
        <v>250000000</v>
      </c>
      <c r="G183" s="414">
        <v>250000000</v>
      </c>
      <c r="H183" s="385">
        <v>1</v>
      </c>
      <c r="I183" s="436">
        <v>458</v>
      </c>
      <c r="J183" s="206">
        <v>109</v>
      </c>
      <c r="K183" s="206">
        <v>11.01</v>
      </c>
      <c r="L183" s="206">
        <f>VLOOKUP(2641,收盤價!A:C,3,0)</f>
        <v>12.2</v>
      </c>
      <c r="M183" s="206">
        <v>9083</v>
      </c>
      <c r="N183" s="206">
        <v>103.5462</v>
      </c>
      <c r="O183" s="438">
        <v>0.05</v>
      </c>
      <c r="P183" s="438">
        <v>3.4200000000000001E-2</v>
      </c>
      <c r="Q183" s="438">
        <v>-5.5086273681956418E-3</v>
      </c>
      <c r="R183" s="206">
        <f>VLOOKUP(26411,V:AE,9,0)</f>
        <v>24</v>
      </c>
      <c r="S183" s="206">
        <f>VLOOKUP(2641,季財報!A:N,5,0)</f>
        <v>3</v>
      </c>
      <c r="T183" s="206">
        <f>VLOOKUP(2641,季財報!A:N,4,0)</f>
        <v>0</v>
      </c>
      <c r="U183" s="441">
        <v>10416666.666666666</v>
      </c>
      <c r="V183" s="206">
        <v>30182</v>
      </c>
      <c r="W183" s="206" t="s">
        <v>2533</v>
      </c>
      <c r="X183" s="206" t="s">
        <v>2532</v>
      </c>
      <c r="Y183" s="206">
        <v>843</v>
      </c>
      <c r="Z183" s="206">
        <v>843</v>
      </c>
      <c r="AA183" s="206">
        <v>0</v>
      </c>
      <c r="AB183" s="206">
        <v>0</v>
      </c>
      <c r="AC183" s="206">
        <v>1150</v>
      </c>
      <c r="AD183" s="206">
        <v>16</v>
      </c>
      <c r="AE183" s="206">
        <v>0</v>
      </c>
    </row>
    <row r="184" spans="1:31" ht="16.5">
      <c r="A184" s="383">
        <v>2636</v>
      </c>
      <c r="B184" s="383" t="s">
        <v>1783</v>
      </c>
      <c r="C184" s="383">
        <v>26363</v>
      </c>
      <c r="D184" s="388">
        <v>42164</v>
      </c>
      <c r="E184" s="388">
        <v>43260</v>
      </c>
      <c r="F184" s="384">
        <v>300000000</v>
      </c>
      <c r="G184" s="414">
        <v>299500000</v>
      </c>
      <c r="H184" s="385">
        <v>1</v>
      </c>
      <c r="I184" s="436">
        <v>610</v>
      </c>
      <c r="J184" s="206">
        <v>100</v>
      </c>
      <c r="K184" s="206">
        <v>26.9</v>
      </c>
      <c r="L184" s="206">
        <f>VLOOKUP(2636,收盤價!A:C,3,0)</f>
        <v>21.2</v>
      </c>
      <c r="M184" s="206">
        <v>3717</v>
      </c>
      <c r="N184" s="206">
        <v>100</v>
      </c>
      <c r="O184" s="438">
        <v>0</v>
      </c>
      <c r="P184" s="438">
        <v>-0.2339</v>
      </c>
      <c r="Q184" s="438">
        <v>-5.1034167339252076E-2</v>
      </c>
      <c r="R184" s="206">
        <f>VLOOKUP(26363,V:AE,9,0)</f>
        <v>30</v>
      </c>
      <c r="S184" s="206">
        <f>VLOOKUP(2636,季財報!A:N,5,0)</f>
        <v>3</v>
      </c>
      <c r="T184" s="206">
        <f>VLOOKUP(2636,季財報!A:N,4,0)</f>
        <v>16.783333333333331</v>
      </c>
      <c r="U184" s="441">
        <v>9983333.333333334</v>
      </c>
      <c r="V184" s="206">
        <v>36624</v>
      </c>
      <c r="W184" s="206" t="s">
        <v>2619</v>
      </c>
      <c r="X184" s="206" t="s">
        <v>2620</v>
      </c>
      <c r="Y184" s="206">
        <v>2755</v>
      </c>
      <c r="Z184" s="206">
        <v>2755</v>
      </c>
      <c r="AA184" s="206">
        <v>0</v>
      </c>
      <c r="AB184" s="206">
        <v>0</v>
      </c>
      <c r="AC184" s="206">
        <v>5000</v>
      </c>
      <c r="AD184" s="206">
        <v>24</v>
      </c>
      <c r="AE184" s="206">
        <v>0</v>
      </c>
    </row>
    <row r="185" spans="1:31" ht="16.149999999999999" customHeight="1">
      <c r="A185" s="383">
        <v>2636</v>
      </c>
      <c r="B185" s="383" t="s">
        <v>1783</v>
      </c>
      <c r="C185" s="383">
        <v>26362</v>
      </c>
      <c r="D185" s="388">
        <v>41662</v>
      </c>
      <c r="E185" s="388">
        <v>42758</v>
      </c>
      <c r="F185" s="384">
        <v>300000000</v>
      </c>
      <c r="G185" s="414">
        <v>106500000</v>
      </c>
      <c r="H185" s="385">
        <v>0.36</v>
      </c>
      <c r="I185" s="436">
        <v>108</v>
      </c>
      <c r="J185" s="206">
        <v>134.15</v>
      </c>
      <c r="K185" s="206">
        <v>21.3</v>
      </c>
      <c r="L185" s="206">
        <f>VLOOKUP(2636,收盤價!A:C,3,0)</f>
        <v>21.2</v>
      </c>
      <c r="M185" s="206">
        <v>4695</v>
      </c>
      <c r="N185" s="206">
        <v>102.351</v>
      </c>
      <c r="O185" s="438">
        <v>0.23699999999999999</v>
      </c>
      <c r="P185" s="438">
        <v>2.29E-2</v>
      </c>
      <c r="Q185" s="438">
        <v>-5.0487886297069406E-2</v>
      </c>
      <c r="R185" s="206">
        <f>VLOOKUP(26362,V:AE,9,0)</f>
        <v>8</v>
      </c>
      <c r="S185" s="206">
        <f>VLOOKUP(2636,季財報!A:N,5,0)</f>
        <v>3</v>
      </c>
      <c r="T185" s="206">
        <f>VLOOKUP(2636,季財報!A:N,4,0)</f>
        <v>16.783333333333331</v>
      </c>
      <c r="U185" s="441">
        <v>13312500</v>
      </c>
      <c r="V185" s="206">
        <v>16261</v>
      </c>
      <c r="W185" s="206" t="s">
        <v>2400</v>
      </c>
      <c r="X185" s="206" t="s">
        <v>2401</v>
      </c>
      <c r="Y185" s="206">
        <v>1081</v>
      </c>
      <c r="Z185" s="206">
        <v>5014</v>
      </c>
      <c r="AA185" s="206">
        <v>-3933</v>
      </c>
      <c r="AB185" s="206">
        <v>-78.44</v>
      </c>
      <c r="AC185" s="206">
        <v>13000</v>
      </c>
      <c r="AD185" s="206">
        <v>29</v>
      </c>
      <c r="AE185" s="206">
        <v>0</v>
      </c>
    </row>
    <row r="186" spans="1:31" ht="16.149999999999999" customHeight="1">
      <c r="A186" s="383">
        <v>2616</v>
      </c>
      <c r="B186" s="383" t="s">
        <v>1964</v>
      </c>
      <c r="C186" s="383">
        <v>26163</v>
      </c>
      <c r="D186" s="388">
        <v>41953</v>
      </c>
      <c r="E186" s="388">
        <v>43779</v>
      </c>
      <c r="F186" s="384">
        <v>500000000</v>
      </c>
      <c r="G186" s="414">
        <v>352000000</v>
      </c>
      <c r="H186" s="385">
        <v>0.7</v>
      </c>
      <c r="I186" s="436">
        <v>1129</v>
      </c>
      <c r="J186" s="206">
        <v>119.2</v>
      </c>
      <c r="K186" s="206">
        <v>21</v>
      </c>
      <c r="L186" s="206">
        <f>VLOOKUP(2616,收盤價!A:C,3,0)</f>
        <v>25.3</v>
      </c>
      <c r="M186" s="206">
        <v>4762</v>
      </c>
      <c r="N186" s="206">
        <v>120.00239999999999</v>
      </c>
      <c r="O186" s="438">
        <v>-6.7000000000000002E-3</v>
      </c>
      <c r="P186" s="438">
        <v>0.16669999999999999</v>
      </c>
      <c r="Q186" s="438">
        <v>1.4135958891560319E-3</v>
      </c>
      <c r="R186" s="206">
        <f>VLOOKUP(26163,V:AE,9,0)</f>
        <v>56</v>
      </c>
      <c r="S186" s="206">
        <f>VLOOKUP(2616,季財報!A:N,5,0)</f>
        <v>4</v>
      </c>
      <c r="T186" s="206">
        <f>VLOOKUP(2616,季財報!A:N,4,0)</f>
        <v>7.8125</v>
      </c>
      <c r="U186" s="441">
        <v>6285714.2857142854</v>
      </c>
      <c r="V186" s="206">
        <v>25352</v>
      </c>
      <c r="W186" s="206" t="s">
        <v>2479</v>
      </c>
      <c r="X186" s="206" t="s">
        <v>2480</v>
      </c>
      <c r="Y186" s="206">
        <v>6000</v>
      </c>
      <c r="Z186" s="206">
        <v>6000</v>
      </c>
      <c r="AA186" s="206">
        <v>0</v>
      </c>
      <c r="AB186" s="206">
        <v>0</v>
      </c>
      <c r="AC186" s="206">
        <v>6000</v>
      </c>
      <c r="AD186" s="206">
        <v>22</v>
      </c>
      <c r="AE186" s="206">
        <v>0</v>
      </c>
    </row>
    <row r="187" spans="1:31" ht="16.5">
      <c r="A187" s="383">
        <v>2613</v>
      </c>
      <c r="B187" s="383" t="s">
        <v>1963</v>
      </c>
      <c r="C187" s="383">
        <v>26132</v>
      </c>
      <c r="D187" s="388">
        <v>42307</v>
      </c>
      <c r="E187" s="388">
        <v>43403</v>
      </c>
      <c r="F187" s="384">
        <v>150000000</v>
      </c>
      <c r="G187" s="414">
        <v>150000000</v>
      </c>
      <c r="H187" s="385">
        <v>1</v>
      </c>
      <c r="I187" s="436">
        <v>753</v>
      </c>
      <c r="J187" s="206">
        <v>102.5</v>
      </c>
      <c r="K187" s="206">
        <v>14.23</v>
      </c>
      <c r="L187" s="206">
        <f>VLOOKUP(2613,收盤價!A:C,3,0)</f>
        <v>13.4</v>
      </c>
      <c r="M187" s="206">
        <v>7027</v>
      </c>
      <c r="N187" s="206">
        <v>100</v>
      </c>
      <c r="O187" s="438">
        <v>2.4400000000000002E-2</v>
      </c>
      <c r="P187" s="438">
        <v>-4.6300000000000001E-2</v>
      </c>
      <c r="Q187" s="438">
        <v>-9.6253128178072807E-3</v>
      </c>
      <c r="R187" s="206">
        <f>VLOOKUP(26132,V:AE,9,0)</f>
        <v>29</v>
      </c>
      <c r="S187" s="206">
        <f>VLOOKUP(2613,季財報!A:N,5,0)</f>
        <v>3</v>
      </c>
      <c r="T187" s="206">
        <f>VLOOKUP(2613,季財報!A:N,4,0)</f>
        <v>8.1125356125356127</v>
      </c>
      <c r="U187" s="441">
        <v>5172413.7931034481</v>
      </c>
      <c r="V187" s="206">
        <v>36251</v>
      </c>
      <c r="W187" s="206" t="s">
        <v>2615</v>
      </c>
      <c r="X187" s="206" t="s">
        <v>2616</v>
      </c>
      <c r="Y187" s="206">
        <v>2000</v>
      </c>
      <c r="Z187" s="206">
        <v>2000</v>
      </c>
      <c r="AA187" s="206">
        <v>0</v>
      </c>
      <c r="AB187" s="206">
        <v>0</v>
      </c>
      <c r="AC187" s="206">
        <v>2000</v>
      </c>
      <c r="AD187" s="206">
        <v>6</v>
      </c>
      <c r="AE187" s="206">
        <v>0</v>
      </c>
    </row>
    <row r="188" spans="1:31">
      <c r="A188" s="382">
        <v>2613</v>
      </c>
      <c r="B188" s="386" t="s">
        <v>1963</v>
      </c>
      <c r="C188" s="382">
        <v>26131</v>
      </c>
      <c r="D188" s="388">
        <v>42306</v>
      </c>
      <c r="E188" s="388">
        <v>43402</v>
      </c>
      <c r="F188" s="384">
        <v>150000000</v>
      </c>
      <c r="G188" s="414">
        <v>150000000</v>
      </c>
      <c r="H188" s="385">
        <v>1</v>
      </c>
      <c r="I188" s="436">
        <v>752</v>
      </c>
      <c r="J188" s="206">
        <v>105</v>
      </c>
      <c r="K188" s="206">
        <v>14.33</v>
      </c>
      <c r="L188" s="206">
        <f>VLOOKUP(2613,收盤價!A:C,3,0)</f>
        <v>13.4</v>
      </c>
      <c r="M188" s="206">
        <v>6978</v>
      </c>
      <c r="N188" s="206">
        <v>100</v>
      </c>
      <c r="O188" s="438">
        <v>4.7600000000000003E-2</v>
      </c>
      <c r="P188" s="438">
        <v>-5.3699999999999998E-2</v>
      </c>
      <c r="Q188" s="438">
        <v>-1.3783728452688037E-2</v>
      </c>
      <c r="R188" s="206">
        <f>VLOOKUP(26131,V:AE,9,0)</f>
        <v>12</v>
      </c>
      <c r="S188" s="206">
        <f>VLOOKUP(2613,季財報!A:N,5,0)</f>
        <v>3</v>
      </c>
      <c r="T188" s="206">
        <f>VLOOKUP(2613,季財報!A:N,4,0)</f>
        <v>8.1125356125356127</v>
      </c>
      <c r="U188" s="441">
        <v>12500000</v>
      </c>
      <c r="V188" s="206">
        <v>18154</v>
      </c>
      <c r="W188" s="206" t="s">
        <v>2424</v>
      </c>
      <c r="X188" s="206" t="s">
        <v>2423</v>
      </c>
      <c r="Y188" s="206">
        <v>3099</v>
      </c>
      <c r="Z188" s="206">
        <v>3307</v>
      </c>
      <c r="AA188" s="206">
        <v>-208</v>
      </c>
      <c r="AB188" s="206">
        <v>-6.29</v>
      </c>
      <c r="AC188" s="206">
        <v>5000</v>
      </c>
      <c r="AD188" s="206">
        <v>76</v>
      </c>
      <c r="AE188" s="206">
        <v>0</v>
      </c>
    </row>
    <row r="189" spans="1:31" ht="16.5">
      <c r="A189" s="383">
        <v>2610</v>
      </c>
      <c r="B189" s="383" t="s">
        <v>1962</v>
      </c>
      <c r="C189" s="383">
        <v>26105</v>
      </c>
      <c r="D189" s="388">
        <v>41634</v>
      </c>
      <c r="E189" s="388">
        <v>43460</v>
      </c>
      <c r="F189" s="384">
        <v>6000000000</v>
      </c>
      <c r="G189" s="414">
        <v>2684300000</v>
      </c>
      <c r="H189" s="385">
        <v>0.45</v>
      </c>
      <c r="I189" s="436">
        <v>810</v>
      </c>
      <c r="J189" s="206">
        <v>100.7</v>
      </c>
      <c r="K189" s="206">
        <v>11.64</v>
      </c>
      <c r="L189" s="206">
        <f>VLOOKUP(2610,收盤價!A:C,3,0)</f>
        <v>9.42</v>
      </c>
      <c r="M189" s="206">
        <v>8591</v>
      </c>
      <c r="N189" s="206">
        <v>100</v>
      </c>
      <c r="O189" s="438">
        <v>7.0000000000000001E-3</v>
      </c>
      <c r="P189" s="438">
        <v>-0.2253</v>
      </c>
      <c r="Q189" s="438">
        <v>-2.2061262005213883E-2</v>
      </c>
      <c r="R189" s="206">
        <f>VLOOKUP(26105,V:AE,9,0)</f>
        <v>71</v>
      </c>
      <c r="S189" s="206">
        <f>VLOOKUP(2610,季財報!A:N,5,0)</f>
        <v>2</v>
      </c>
      <c r="T189" s="206">
        <f>VLOOKUP(2610,季財報!A:N,4,0)</f>
        <v>0</v>
      </c>
      <c r="U189" s="441">
        <v>37807042.253521129</v>
      </c>
      <c r="V189" s="206">
        <v>61534</v>
      </c>
      <c r="W189" s="206" t="s">
        <v>2768</v>
      </c>
      <c r="X189" s="206" t="s">
        <v>2769</v>
      </c>
      <c r="Y189" s="206">
        <v>15000</v>
      </c>
      <c r="Z189" s="206">
        <v>15000</v>
      </c>
      <c r="AA189" s="206">
        <v>0</v>
      </c>
      <c r="AB189" s="206">
        <v>0</v>
      </c>
      <c r="AC189" s="206">
        <v>15000</v>
      </c>
      <c r="AD189" s="206">
        <v>77</v>
      </c>
      <c r="AE189" s="206">
        <v>0</v>
      </c>
    </row>
    <row r="190" spans="1:31" ht="16.5">
      <c r="A190" s="383">
        <v>2601</v>
      </c>
      <c r="B190" s="383" t="s">
        <v>1961</v>
      </c>
      <c r="C190" s="383">
        <v>26012</v>
      </c>
      <c r="D190" s="388">
        <v>42044</v>
      </c>
      <c r="E190" s="388">
        <v>43140</v>
      </c>
      <c r="F190" s="384">
        <v>100000000</v>
      </c>
      <c r="G190" s="414">
        <v>26100000</v>
      </c>
      <c r="H190" s="385">
        <v>0.26</v>
      </c>
      <c r="I190" s="436">
        <v>490</v>
      </c>
      <c r="J190" s="206">
        <v>101.8</v>
      </c>
      <c r="K190" s="206">
        <v>17.399999999999999</v>
      </c>
      <c r="L190" s="206">
        <f>VLOOKUP(2601,收盤價!A:C,3,0)</f>
        <v>7.19</v>
      </c>
      <c r="M190" s="206">
        <v>5747</v>
      </c>
      <c r="N190" s="206">
        <v>100</v>
      </c>
      <c r="O190" s="438">
        <v>1.77E-2</v>
      </c>
      <c r="P190" s="438">
        <v>-1.2567999999999999</v>
      </c>
      <c r="Q190" s="438">
        <v>-9.8267089380877956E-2</v>
      </c>
      <c r="R190" s="206">
        <f>VLOOKUP(26012,V:AE,9,0)</f>
        <v>9</v>
      </c>
      <c r="S190" s="206">
        <f>VLOOKUP(2601,季財報!A:N,5,0)</f>
        <v>2</v>
      </c>
      <c r="T190" s="206">
        <f>VLOOKUP(2601,季財報!A:N,4,0)</f>
        <v>0</v>
      </c>
      <c r="U190" s="441">
        <v>2900000</v>
      </c>
      <c r="V190" s="206">
        <v>15951</v>
      </c>
      <c r="W190" s="206" t="s">
        <v>2398</v>
      </c>
      <c r="X190" s="206" t="s">
        <v>2399</v>
      </c>
      <c r="Y190" s="206">
        <v>2400</v>
      </c>
      <c r="Z190" s="206">
        <v>2400</v>
      </c>
      <c r="AA190" s="206">
        <v>0</v>
      </c>
      <c r="AB190" s="206">
        <v>0</v>
      </c>
      <c r="AC190" s="206">
        <v>2400</v>
      </c>
      <c r="AD190" s="206">
        <v>29</v>
      </c>
      <c r="AE190" s="206">
        <v>0</v>
      </c>
    </row>
    <row r="191" spans="1:31" ht="16.5">
      <c r="A191" s="383">
        <v>2601</v>
      </c>
      <c r="B191" s="383" t="s">
        <v>1961</v>
      </c>
      <c r="C191" s="383">
        <v>26011</v>
      </c>
      <c r="D191" s="388">
        <v>42041</v>
      </c>
      <c r="E191" s="388">
        <v>43137</v>
      </c>
      <c r="F191" s="384">
        <v>900000000</v>
      </c>
      <c r="G191" s="414">
        <v>422800000</v>
      </c>
      <c r="H191" s="385">
        <v>0.47</v>
      </c>
      <c r="I191" s="436">
        <v>487</v>
      </c>
      <c r="J191" s="206">
        <v>101.85</v>
      </c>
      <c r="K191" s="206">
        <v>17.399999999999999</v>
      </c>
      <c r="L191" s="206">
        <f>VLOOKUP(2601,收盤價!A:C,3,0)</f>
        <v>7.19</v>
      </c>
      <c r="M191" s="206">
        <v>5747</v>
      </c>
      <c r="N191" s="206">
        <v>100</v>
      </c>
      <c r="O191" s="438">
        <v>1.8200000000000001E-2</v>
      </c>
      <c r="P191" s="438">
        <v>-1.2567999999999999</v>
      </c>
      <c r="Q191" s="438">
        <v>-9.8304269910432868E-2</v>
      </c>
      <c r="R191" s="206">
        <f>VLOOKUP(26011,V:AE,9,0)</f>
        <v>28</v>
      </c>
      <c r="S191" s="206">
        <f>VLOOKUP(2601,季財報!A:N,5,0)</f>
        <v>2</v>
      </c>
      <c r="T191" s="206">
        <f>VLOOKUP(2601,季財報!A:N,4,0)</f>
        <v>0</v>
      </c>
      <c r="U191" s="441">
        <v>15100000</v>
      </c>
      <c r="V191" s="206">
        <v>61801</v>
      </c>
      <c r="W191" s="206" t="s">
        <v>2779</v>
      </c>
      <c r="X191" s="206" t="s">
        <v>2780</v>
      </c>
      <c r="Y191" s="206">
        <v>7000</v>
      </c>
      <c r="Z191" s="206">
        <v>7000</v>
      </c>
      <c r="AA191" s="206">
        <v>0</v>
      </c>
      <c r="AB191" s="206">
        <v>0</v>
      </c>
      <c r="AC191" s="206">
        <v>7000</v>
      </c>
      <c r="AD191" s="206">
        <v>19</v>
      </c>
      <c r="AE191" s="206">
        <v>0</v>
      </c>
    </row>
    <row r="192" spans="1:31" ht="16.5">
      <c r="A192" s="383">
        <v>2596</v>
      </c>
      <c r="B192" s="383" t="s">
        <v>1781</v>
      </c>
      <c r="C192" s="383">
        <v>25962</v>
      </c>
      <c r="D192" s="388">
        <v>41807</v>
      </c>
      <c r="E192" s="388">
        <v>42903</v>
      </c>
      <c r="F192" s="384">
        <v>300000000</v>
      </c>
      <c r="G192" s="414">
        <v>219900000</v>
      </c>
      <c r="H192" s="385">
        <v>0.73</v>
      </c>
      <c r="I192" s="436">
        <v>253</v>
      </c>
      <c r="J192" s="206">
        <v>102</v>
      </c>
      <c r="K192" s="206">
        <v>14.99</v>
      </c>
      <c r="L192" s="206">
        <f>VLOOKUP(2596,收盤價!A:C,3,0)</f>
        <v>17</v>
      </c>
      <c r="M192" s="206">
        <v>6671</v>
      </c>
      <c r="N192" s="206">
        <v>101.73275</v>
      </c>
      <c r="O192" s="438">
        <v>2.5999999999999999E-3</v>
      </c>
      <c r="P192" s="438">
        <v>1.7000000000000001E-2</v>
      </c>
      <c r="Q192" s="438">
        <v>-3.9275941226438893E-4</v>
      </c>
      <c r="R192" s="206">
        <f>VLOOKUP(25962,V:AE,9,0)</f>
        <v>6</v>
      </c>
      <c r="S192" s="206">
        <f>VLOOKUP(2596,季財報!A:N,5,0)</f>
        <v>3</v>
      </c>
      <c r="T192" s="206">
        <f>VLOOKUP(2596,季財報!A:N,4,0)</f>
        <v>4.5595708639186903</v>
      </c>
      <c r="U192" s="441">
        <v>36650000</v>
      </c>
      <c r="V192" s="206">
        <v>14641</v>
      </c>
      <c r="W192" s="206" t="s">
        <v>2371</v>
      </c>
      <c r="X192" s="206" t="s">
        <v>2372</v>
      </c>
      <c r="Y192" s="206">
        <v>144</v>
      </c>
      <c r="Z192" s="206">
        <v>336</v>
      </c>
      <c r="AA192" s="206">
        <v>-192</v>
      </c>
      <c r="AB192" s="206">
        <v>-57.14</v>
      </c>
      <c r="AC192" s="206">
        <v>2000</v>
      </c>
      <c r="AD192" s="206">
        <v>4</v>
      </c>
      <c r="AE192" s="206">
        <v>0</v>
      </c>
    </row>
    <row r="193" spans="1:31" ht="16.5">
      <c r="A193" s="383">
        <v>2538</v>
      </c>
      <c r="B193" s="383" t="s">
        <v>1960</v>
      </c>
      <c r="C193" s="383">
        <v>25383</v>
      </c>
      <c r="D193" s="388">
        <v>41586</v>
      </c>
      <c r="E193" s="388">
        <v>43412</v>
      </c>
      <c r="F193" s="384">
        <v>1000000000</v>
      </c>
      <c r="G193" s="414">
        <v>1000000000</v>
      </c>
      <c r="H193" s="385">
        <v>1</v>
      </c>
      <c r="I193" s="436">
        <v>762</v>
      </c>
      <c r="J193" s="206">
        <v>103.2</v>
      </c>
      <c r="K193" s="206">
        <v>16.7</v>
      </c>
      <c r="L193" s="206">
        <f>VLOOKUP(2538,收盤價!A:C,3,0)</f>
        <v>10.25</v>
      </c>
      <c r="M193" s="206">
        <v>5988</v>
      </c>
      <c r="N193" s="206">
        <v>100</v>
      </c>
      <c r="O193" s="438">
        <v>3.1E-2</v>
      </c>
      <c r="P193" s="438">
        <v>-0.50449999999999995</v>
      </c>
      <c r="Q193" s="438">
        <v>-5.9442528467788275E-2</v>
      </c>
      <c r="R193" s="206">
        <f>VLOOKUP(25383,V:AE,9,0)</f>
        <v>16</v>
      </c>
      <c r="S193" s="206">
        <f>VLOOKUP(2538,季財報!A:N,5,0)</f>
        <v>0</v>
      </c>
      <c r="T193" s="206">
        <f>VLOOKUP(2538,季財報!A:N,4,0)</f>
        <v>0</v>
      </c>
      <c r="U193" s="441">
        <v>62500000</v>
      </c>
      <c r="V193" s="206">
        <v>14662</v>
      </c>
      <c r="W193" s="206" t="s">
        <v>2374</v>
      </c>
      <c r="X193" s="206" t="s">
        <v>2375</v>
      </c>
      <c r="Y193" s="206">
        <v>527</v>
      </c>
      <c r="Z193" s="206">
        <v>527</v>
      </c>
      <c r="AA193" s="206">
        <v>0</v>
      </c>
      <c r="AB193" s="206">
        <v>0</v>
      </c>
      <c r="AC193" s="206">
        <v>3000</v>
      </c>
      <c r="AD193" s="206">
        <v>13</v>
      </c>
      <c r="AE193" s="206">
        <v>0</v>
      </c>
    </row>
    <row r="194" spans="1:31" ht="16.149999999999999" customHeight="1">
      <c r="A194" s="383">
        <v>2537</v>
      </c>
      <c r="B194" s="383" t="s">
        <v>1959</v>
      </c>
      <c r="C194" s="383">
        <v>25375</v>
      </c>
      <c r="D194" s="388">
        <v>41583</v>
      </c>
      <c r="E194" s="388">
        <v>43409</v>
      </c>
      <c r="F194" s="384">
        <v>400000000</v>
      </c>
      <c r="G194" s="414">
        <v>400000000</v>
      </c>
      <c r="H194" s="385">
        <v>1</v>
      </c>
      <c r="I194" s="436">
        <v>759</v>
      </c>
      <c r="J194" s="206">
        <v>102.5</v>
      </c>
      <c r="K194" s="206">
        <v>12.12</v>
      </c>
      <c r="L194" s="206">
        <f>VLOOKUP(2537,收盤價!A:C,3,0)</f>
        <v>9.34</v>
      </c>
      <c r="M194" s="206">
        <v>8251</v>
      </c>
      <c r="N194" s="206">
        <v>100</v>
      </c>
      <c r="O194" s="438">
        <v>2.4400000000000002E-2</v>
      </c>
      <c r="P194" s="438">
        <v>-0.19409999999999999</v>
      </c>
      <c r="Q194" s="438">
        <v>-2.2173040370568539E-2</v>
      </c>
      <c r="R194" s="206">
        <f>VLOOKUP(25375,V:AE,9,0)</f>
        <v>150</v>
      </c>
      <c r="S194" s="206">
        <f>VLOOKUP(2537,季財報!A:N,5,0)</f>
        <v>2</v>
      </c>
      <c r="T194" s="206">
        <f>VLOOKUP(2537,季財報!A:N,4,0)</f>
        <v>6.8138066202090597</v>
      </c>
      <c r="U194" s="441">
        <v>2666666.6666666665</v>
      </c>
      <c r="V194" s="206">
        <v>28884</v>
      </c>
      <c r="W194" s="206" t="s">
        <v>2525</v>
      </c>
      <c r="X194" s="206" t="s">
        <v>2524</v>
      </c>
      <c r="Y194" s="206">
        <v>50000</v>
      </c>
      <c r="Z194" s="206">
        <v>50000</v>
      </c>
      <c r="AA194" s="206">
        <v>0</v>
      </c>
      <c r="AB194" s="206">
        <v>0</v>
      </c>
      <c r="AC194" s="206">
        <v>50000</v>
      </c>
      <c r="AD194" s="206">
        <v>68</v>
      </c>
      <c r="AE194" s="206">
        <v>0</v>
      </c>
    </row>
    <row r="195" spans="1:31" ht="16.149999999999999" customHeight="1">
      <c r="A195" s="383">
        <v>2535</v>
      </c>
      <c r="B195" s="383" t="s">
        <v>1958</v>
      </c>
      <c r="C195" s="383">
        <v>25353</v>
      </c>
      <c r="D195" s="388">
        <v>41653</v>
      </c>
      <c r="E195" s="388">
        <v>43479</v>
      </c>
      <c r="F195" s="384">
        <v>600000000</v>
      </c>
      <c r="G195" s="414">
        <v>600000000</v>
      </c>
      <c r="H195" s="385">
        <v>1</v>
      </c>
      <c r="I195" s="436">
        <v>829</v>
      </c>
      <c r="J195" s="206">
        <v>101.5</v>
      </c>
      <c r="K195" s="206">
        <v>22.2</v>
      </c>
      <c r="L195" s="206">
        <f>VLOOKUP(2535,收盤價!A:C,3,0)</f>
        <v>19.149999999999999</v>
      </c>
      <c r="M195" s="206">
        <v>4504</v>
      </c>
      <c r="N195" s="206">
        <v>100</v>
      </c>
      <c r="O195" s="438">
        <v>1.4800000000000001E-2</v>
      </c>
      <c r="P195" s="438">
        <v>-0.30209999999999998</v>
      </c>
      <c r="Q195" s="438">
        <v>-5.4044571218577468E-2</v>
      </c>
      <c r="R195" s="206">
        <f>VLOOKUP(25353,V:AE,9,0)</f>
        <v>138</v>
      </c>
      <c r="S195" s="206">
        <f>VLOOKUP(2535,季財報!A:N,5,0)</f>
        <v>4</v>
      </c>
      <c r="T195" s="206">
        <f>VLOOKUP(2535,季財報!A:N,4,0)</f>
        <v>6.6493055555555554</v>
      </c>
      <c r="U195" s="441">
        <v>4347826.0869565215</v>
      </c>
      <c r="V195" s="206">
        <v>49912</v>
      </c>
      <c r="W195" s="206" t="s">
        <v>2709</v>
      </c>
      <c r="X195" s="206" t="s">
        <v>2708</v>
      </c>
      <c r="Y195" s="206">
        <v>1603</v>
      </c>
      <c r="Z195" s="206">
        <v>1635</v>
      </c>
      <c r="AA195" s="206">
        <v>-32</v>
      </c>
      <c r="AB195" s="206">
        <v>-1.96</v>
      </c>
      <c r="AC195" s="206">
        <v>3000</v>
      </c>
      <c r="AD195" s="206">
        <v>19</v>
      </c>
      <c r="AE195" s="206">
        <v>0</v>
      </c>
    </row>
    <row r="196" spans="1:31" ht="16.5">
      <c r="A196" s="383">
        <v>2535</v>
      </c>
      <c r="B196" s="383" t="s">
        <v>1958</v>
      </c>
      <c r="C196" s="383">
        <v>25352</v>
      </c>
      <c r="D196" s="388">
        <v>41649</v>
      </c>
      <c r="E196" s="388">
        <v>43475</v>
      </c>
      <c r="F196" s="384">
        <v>600000000</v>
      </c>
      <c r="G196" s="414">
        <v>600000000</v>
      </c>
      <c r="H196" s="385">
        <v>1</v>
      </c>
      <c r="I196" s="436">
        <v>825</v>
      </c>
      <c r="J196" s="206">
        <v>101.35</v>
      </c>
      <c r="K196" s="206">
        <v>22.1</v>
      </c>
      <c r="L196" s="206">
        <f>VLOOKUP(2535,收盤價!A:C,3,0)</f>
        <v>19.149999999999999</v>
      </c>
      <c r="M196" s="206">
        <v>4525</v>
      </c>
      <c r="N196" s="206">
        <v>100</v>
      </c>
      <c r="O196" s="438">
        <v>1.3299999999999999E-2</v>
      </c>
      <c r="P196" s="438">
        <v>-0.29620000000000002</v>
      </c>
      <c r="Q196" s="438">
        <v>-5.2765565419325311E-2</v>
      </c>
      <c r="R196" s="206">
        <f>VLOOKUP(25352,V:AE,9,0)</f>
        <v>22</v>
      </c>
      <c r="S196" s="206">
        <f>VLOOKUP(2535,季財報!A:N,5,0)</f>
        <v>4</v>
      </c>
      <c r="T196" s="206">
        <f>VLOOKUP(2535,季財報!A:N,4,0)</f>
        <v>6.6493055555555554</v>
      </c>
      <c r="U196" s="441">
        <v>27272727.272727273</v>
      </c>
      <c r="V196" s="206">
        <v>36631</v>
      </c>
      <c r="W196" s="206" t="s">
        <v>2623</v>
      </c>
      <c r="X196" s="206" t="s">
        <v>2624</v>
      </c>
      <c r="Y196" s="206">
        <v>483</v>
      </c>
      <c r="Z196" s="206">
        <v>483</v>
      </c>
      <c r="AA196" s="206">
        <v>0</v>
      </c>
      <c r="AB196" s="206">
        <v>0</v>
      </c>
      <c r="AC196" s="206">
        <v>2000</v>
      </c>
      <c r="AD196" s="206">
        <v>4</v>
      </c>
      <c r="AE196" s="206">
        <v>0</v>
      </c>
    </row>
    <row r="197" spans="1:31" ht="16.5">
      <c r="A197" s="383">
        <v>2528</v>
      </c>
      <c r="B197" s="383" t="s">
        <v>1957</v>
      </c>
      <c r="C197" s="383">
        <v>25281</v>
      </c>
      <c r="D197" s="388">
        <v>41023</v>
      </c>
      <c r="E197" s="388">
        <v>42849</v>
      </c>
      <c r="F197" s="384">
        <v>407000000</v>
      </c>
      <c r="G197" s="414">
        <v>196200000</v>
      </c>
      <c r="H197" s="385">
        <v>0.48</v>
      </c>
      <c r="I197" s="436">
        <v>199</v>
      </c>
      <c r="J197" s="206">
        <v>116.5</v>
      </c>
      <c r="K197" s="206">
        <v>9.5</v>
      </c>
      <c r="L197" s="206" t="str">
        <f>VLOOKUP(2528,收盤價!A:C,3,0)</f>
        <v>--</v>
      </c>
      <c r="M197" s="206">
        <v>10526</v>
      </c>
      <c r="N197" s="206">
        <v>100</v>
      </c>
      <c r="O197" s="438">
        <v>0.1416</v>
      </c>
      <c r="P197" s="438">
        <v>-0.3669</v>
      </c>
      <c r="Q197" s="438">
        <v>-3.5346197724987538E-2</v>
      </c>
      <c r="R197" s="206">
        <f>VLOOKUP(25281,V:AE,9,0)</f>
        <v>6</v>
      </c>
      <c r="S197" s="206">
        <f>VLOOKUP(2528,季財報!A:N,5,0)</f>
        <v>0</v>
      </c>
      <c r="T197" s="206">
        <f>VLOOKUP(2528,季財報!A:N,4,0)</f>
        <v>0</v>
      </c>
      <c r="U197" s="441">
        <v>32700000</v>
      </c>
      <c r="V197" s="206">
        <v>18083</v>
      </c>
      <c r="W197" s="206" t="s">
        <v>2420</v>
      </c>
      <c r="X197" s="206" t="s">
        <v>2421</v>
      </c>
      <c r="Y197" s="206">
        <v>14360</v>
      </c>
      <c r="Z197" s="206">
        <v>14374</v>
      </c>
      <c r="AA197" s="206">
        <v>-14</v>
      </c>
      <c r="AB197" s="206">
        <v>-0.1</v>
      </c>
      <c r="AC197" s="206">
        <v>15000</v>
      </c>
      <c r="AD197" s="206">
        <v>17</v>
      </c>
      <c r="AE197" s="206">
        <v>0</v>
      </c>
    </row>
    <row r="198" spans="1:31" ht="16.149999999999999" customHeight="1">
      <c r="A198" s="383">
        <v>2515</v>
      </c>
      <c r="B198" s="383" t="s">
        <v>1956</v>
      </c>
      <c r="C198" s="383">
        <v>25152</v>
      </c>
      <c r="D198" s="388">
        <v>41695</v>
      </c>
      <c r="E198" s="388">
        <v>43521</v>
      </c>
      <c r="F198" s="384">
        <v>500000000</v>
      </c>
      <c r="G198" s="414">
        <v>500000000</v>
      </c>
      <c r="H198" s="385">
        <v>1</v>
      </c>
      <c r="I198" s="436">
        <v>871</v>
      </c>
      <c r="J198" s="206">
        <v>103.3</v>
      </c>
      <c r="K198" s="206">
        <v>8</v>
      </c>
      <c r="L198" s="206">
        <f>VLOOKUP(2515,收盤價!A:C,3,0)</f>
        <v>5.48</v>
      </c>
      <c r="M198" s="206">
        <v>12500</v>
      </c>
      <c r="N198" s="206">
        <v>100</v>
      </c>
      <c r="O198" s="438">
        <v>3.1899999999999998E-2</v>
      </c>
      <c r="P198" s="438">
        <v>-0.4572</v>
      </c>
      <c r="Q198" s="438">
        <v>-2.6853823814133582E-2</v>
      </c>
      <c r="R198" s="206">
        <f>VLOOKUP(25152,V:AE,9,0)</f>
        <v>123</v>
      </c>
      <c r="S198" s="206">
        <f>VLOOKUP(2515,季財報!A:N,5,0)</f>
        <v>0</v>
      </c>
      <c r="T198" s="206">
        <f>VLOOKUP(2515,季財報!A:N,4,0)</f>
        <v>0</v>
      </c>
      <c r="U198" s="441">
        <v>4065040.650406504</v>
      </c>
      <c r="V198" s="206">
        <v>52136</v>
      </c>
      <c r="W198" s="206" t="s">
        <v>2714</v>
      </c>
      <c r="X198" s="206" t="s">
        <v>2713</v>
      </c>
      <c r="Y198" s="206">
        <v>5000</v>
      </c>
      <c r="Z198" s="206">
        <v>5000</v>
      </c>
      <c r="AA198" s="206">
        <v>0</v>
      </c>
      <c r="AB198" s="206">
        <v>0</v>
      </c>
      <c r="AC198" s="206">
        <v>5000</v>
      </c>
      <c r="AD198" s="206">
        <v>23</v>
      </c>
      <c r="AE198" s="206">
        <v>0</v>
      </c>
    </row>
    <row r="199" spans="1:31" ht="16.5">
      <c r="A199" s="383">
        <v>2515</v>
      </c>
      <c r="B199" s="383" t="s">
        <v>1956</v>
      </c>
      <c r="C199" s="383">
        <v>25151</v>
      </c>
      <c r="D199" s="388">
        <v>41694</v>
      </c>
      <c r="E199" s="388">
        <v>42790</v>
      </c>
      <c r="F199" s="384">
        <v>300000000</v>
      </c>
      <c r="G199" s="414">
        <v>300000000</v>
      </c>
      <c r="H199" s="385">
        <v>1</v>
      </c>
      <c r="I199" s="436">
        <v>140</v>
      </c>
      <c r="J199" s="206">
        <v>101</v>
      </c>
      <c r="K199" s="206">
        <v>8</v>
      </c>
      <c r="L199" s="206">
        <f>VLOOKUP(2515,收盤價!A:C,3,0)</f>
        <v>5.48</v>
      </c>
      <c r="M199" s="206">
        <v>12500</v>
      </c>
      <c r="N199" s="206">
        <v>100</v>
      </c>
      <c r="O199" s="438">
        <v>9.9000000000000008E-3</v>
      </c>
      <c r="P199" s="438">
        <v>-0.4572</v>
      </c>
      <c r="Q199" s="438">
        <v>-2.5643564356435642E-2</v>
      </c>
      <c r="R199" s="206">
        <f>VLOOKUP(25151,V:AE,9,0)</f>
        <v>25</v>
      </c>
      <c r="S199" s="206">
        <f>VLOOKUP(2515,季財報!A:N,5,0)</f>
        <v>0</v>
      </c>
      <c r="T199" s="206">
        <f>VLOOKUP(2515,季財報!A:N,4,0)</f>
        <v>0</v>
      </c>
      <c r="U199" s="441">
        <v>12000000</v>
      </c>
      <c r="V199" s="206">
        <v>23671</v>
      </c>
      <c r="W199" s="206" t="s">
        <v>3176</v>
      </c>
      <c r="X199" s="206" t="s">
        <v>3177</v>
      </c>
      <c r="Y199" s="206">
        <v>5000</v>
      </c>
      <c r="Z199" s="206">
        <v>5000</v>
      </c>
      <c r="AA199" s="206">
        <v>0</v>
      </c>
      <c r="AB199" s="206">
        <v>0</v>
      </c>
      <c r="AC199" s="206">
        <v>5000</v>
      </c>
      <c r="AD199" s="206">
        <v>33</v>
      </c>
      <c r="AE199" s="206">
        <v>0</v>
      </c>
    </row>
    <row r="200" spans="1:31" ht="16.149999999999999" customHeight="1">
      <c r="A200" s="382">
        <v>2486</v>
      </c>
      <c r="B200" s="386" t="s">
        <v>1955</v>
      </c>
      <c r="C200" s="382">
        <v>24865</v>
      </c>
      <c r="D200" s="388">
        <v>41726</v>
      </c>
      <c r="E200" s="388">
        <v>43552</v>
      </c>
      <c r="F200" s="384">
        <v>1100000000</v>
      </c>
      <c r="G200" s="414">
        <v>1100000000</v>
      </c>
      <c r="H200" s="385">
        <v>1</v>
      </c>
      <c r="I200" s="436">
        <v>902</v>
      </c>
      <c r="J200" s="206">
        <v>99.5</v>
      </c>
      <c r="K200" s="206">
        <v>22.3</v>
      </c>
      <c r="L200" s="206">
        <f>VLOOKUP(2486,收盤價!A:C,3,0)</f>
        <v>8.59</v>
      </c>
      <c r="M200" s="206">
        <v>4484</v>
      </c>
      <c r="N200" s="206">
        <v>100</v>
      </c>
      <c r="O200" s="438">
        <v>-5.0000000000000001E-3</v>
      </c>
      <c r="P200" s="438">
        <v>-1.4292</v>
      </c>
      <c r="Q200" s="438">
        <v>-0.13075385849855881</v>
      </c>
      <c r="R200" s="206">
        <f>VLOOKUP(24865,V:AE,9,0)</f>
        <v>97</v>
      </c>
      <c r="S200" s="206">
        <f>VLOOKUP(2486,季財報!A:N,5,0)</f>
        <v>2</v>
      </c>
      <c r="T200" s="206">
        <f>VLOOKUP(2486,季財報!A:N,4,0)</f>
        <v>0</v>
      </c>
      <c r="U200" s="441">
        <v>11340206.18556701</v>
      </c>
      <c r="V200" s="206">
        <v>26362</v>
      </c>
      <c r="W200" s="206" t="s">
        <v>2500</v>
      </c>
      <c r="X200" s="206" t="s">
        <v>2501</v>
      </c>
      <c r="Y200" s="206">
        <v>1065</v>
      </c>
      <c r="Z200" s="206">
        <v>1065</v>
      </c>
      <c r="AA200" s="206">
        <v>0</v>
      </c>
      <c r="AB200" s="206">
        <v>0</v>
      </c>
      <c r="AC200" s="206">
        <v>3000</v>
      </c>
      <c r="AD200" s="206">
        <v>8</v>
      </c>
      <c r="AE200" s="206">
        <v>0</v>
      </c>
    </row>
    <row r="201" spans="1:31" ht="15.6" customHeight="1">
      <c r="A201" s="382">
        <v>2478</v>
      </c>
      <c r="B201" s="386" t="s">
        <v>1954</v>
      </c>
      <c r="C201" s="382">
        <v>24781</v>
      </c>
      <c r="D201" s="388">
        <v>41302</v>
      </c>
      <c r="E201" s="388">
        <v>43128</v>
      </c>
      <c r="F201" s="384">
        <v>562500000</v>
      </c>
      <c r="G201" s="414">
        <v>223000000</v>
      </c>
      <c r="H201" s="385">
        <v>0.4</v>
      </c>
      <c r="I201" s="436">
        <v>478</v>
      </c>
      <c r="J201" s="206">
        <v>106</v>
      </c>
      <c r="K201" s="206">
        <v>20.3</v>
      </c>
      <c r="L201" s="206">
        <f>VLOOKUP(2478,收盤價!A:C,3,0)</f>
        <v>19.899999999999999</v>
      </c>
      <c r="M201" s="206">
        <v>4926</v>
      </c>
      <c r="N201" s="206">
        <v>100</v>
      </c>
      <c r="O201" s="438">
        <v>5.6599999999999998E-2</v>
      </c>
      <c r="P201" s="438">
        <v>-0.16</v>
      </c>
      <c r="Q201" s="438">
        <v>-3.7910126475612649E-2</v>
      </c>
      <c r="R201" s="206">
        <f>VLOOKUP(24781,V:AE,9,0)</f>
        <v>50</v>
      </c>
      <c r="S201" s="206">
        <f>VLOOKUP(2478,季財報!A:N,5,0)</f>
        <v>3</v>
      </c>
      <c r="T201" s="206">
        <f>VLOOKUP(2478,季財報!A:N,4,0)</f>
        <v>23.69047619047619</v>
      </c>
      <c r="U201" s="441">
        <v>4460000</v>
      </c>
      <c r="V201" s="206">
        <v>49064</v>
      </c>
      <c r="W201" s="206" t="s">
        <v>2694</v>
      </c>
      <c r="X201" s="206" t="s">
        <v>2693</v>
      </c>
      <c r="Y201" s="206">
        <v>10000</v>
      </c>
      <c r="Z201" s="206">
        <v>10000</v>
      </c>
      <c r="AA201" s="206">
        <v>0</v>
      </c>
      <c r="AB201" s="206">
        <v>0</v>
      </c>
      <c r="AC201" s="206">
        <v>10000</v>
      </c>
      <c r="AD201" s="206">
        <v>25</v>
      </c>
      <c r="AE201" s="206">
        <v>0</v>
      </c>
    </row>
    <row r="202" spans="1:31">
      <c r="A202" s="382">
        <v>2466</v>
      </c>
      <c r="B202" s="386" t="s">
        <v>1953</v>
      </c>
      <c r="C202" s="382">
        <v>24662</v>
      </c>
      <c r="D202" s="388">
        <v>42321</v>
      </c>
      <c r="E202" s="388">
        <v>43417</v>
      </c>
      <c r="F202" s="384">
        <v>200000000</v>
      </c>
      <c r="G202" s="414">
        <v>200000000</v>
      </c>
      <c r="H202" s="385">
        <v>1</v>
      </c>
      <c r="I202" s="436">
        <v>767</v>
      </c>
      <c r="J202" s="206">
        <v>106</v>
      </c>
      <c r="K202" s="206">
        <v>37.200000000000003</v>
      </c>
      <c r="L202" s="206">
        <f>VLOOKUP(2466,收盤價!A:C,3,0)</f>
        <v>33.85</v>
      </c>
      <c r="M202" s="206">
        <v>2688</v>
      </c>
      <c r="N202" s="206">
        <v>100</v>
      </c>
      <c r="O202" s="438">
        <v>5.6599999999999998E-2</v>
      </c>
      <c r="P202" s="438">
        <v>-8.14E-2</v>
      </c>
      <c r="Q202" s="438">
        <v>-4.7495507637017091E-2</v>
      </c>
      <c r="R202" s="206">
        <f>VLOOKUP(24662,V:AE,9,0)</f>
        <v>11</v>
      </c>
      <c r="S202" s="206">
        <f>VLOOKUP(2466,季財報!A:N,5,0)</f>
        <v>4</v>
      </c>
      <c r="T202" s="206">
        <f>VLOOKUP(2466,季財報!A:N,4,0)</f>
        <v>97.318750000000009</v>
      </c>
      <c r="U202" s="441">
        <v>18181818.181818184</v>
      </c>
      <c r="V202" s="206">
        <v>41382</v>
      </c>
      <c r="W202" s="206" t="s">
        <v>2651</v>
      </c>
      <c r="X202" s="206" t="s">
        <v>2652</v>
      </c>
      <c r="Y202" s="206">
        <v>3000</v>
      </c>
      <c r="Z202" s="206">
        <v>3000</v>
      </c>
      <c r="AA202" s="206">
        <v>0</v>
      </c>
      <c r="AB202" s="206">
        <v>0</v>
      </c>
      <c r="AC202" s="206">
        <v>3000</v>
      </c>
      <c r="AD202" s="206">
        <v>30</v>
      </c>
      <c r="AE202" s="206">
        <v>0</v>
      </c>
    </row>
    <row r="203" spans="1:31" ht="15.6" customHeight="1">
      <c r="A203" s="382">
        <v>2461</v>
      </c>
      <c r="B203" s="386" t="s">
        <v>1952</v>
      </c>
      <c r="C203" s="382">
        <v>24615</v>
      </c>
      <c r="D203" s="388">
        <v>41932</v>
      </c>
      <c r="E203" s="388">
        <v>43028</v>
      </c>
      <c r="F203" s="384">
        <v>200000000</v>
      </c>
      <c r="G203" s="414">
        <v>200000000</v>
      </c>
      <c r="H203" s="385">
        <v>1</v>
      </c>
      <c r="I203" s="436">
        <v>378</v>
      </c>
      <c r="J203" s="206">
        <v>109</v>
      </c>
      <c r="K203" s="206">
        <v>15.7</v>
      </c>
      <c r="L203" s="206">
        <f>VLOOKUP(2461,收盤價!A:C,3,0)</f>
        <v>16.7</v>
      </c>
      <c r="M203" s="206">
        <v>6369</v>
      </c>
      <c r="N203" s="206">
        <v>107.31765000000001</v>
      </c>
      <c r="O203" s="438">
        <v>1.54E-2</v>
      </c>
      <c r="P203" s="438">
        <v>6.8199999999999997E-2</v>
      </c>
      <c r="Q203" s="438">
        <v>-2.4233637415174533E-3</v>
      </c>
      <c r="R203" s="206">
        <f>VLOOKUP(24615,V:AE,9,0)</f>
        <v>28</v>
      </c>
      <c r="S203" s="206">
        <f>VLOOKUP(2461,季財報!A:N,5,0)</f>
        <v>2</v>
      </c>
      <c r="T203" s="206">
        <f>VLOOKUP(2461,季財報!A:N,4,0)</f>
        <v>14.165178571428573</v>
      </c>
      <c r="U203" s="441">
        <v>7142857.1428571427</v>
      </c>
      <c r="V203" s="206">
        <v>22303</v>
      </c>
      <c r="W203" s="206" t="s">
        <v>2438</v>
      </c>
      <c r="X203" s="206" t="s">
        <v>2436</v>
      </c>
      <c r="Y203" s="206">
        <v>500</v>
      </c>
      <c r="Z203" s="206">
        <v>500</v>
      </c>
      <c r="AA203" s="206">
        <v>0</v>
      </c>
      <c r="AB203" s="206">
        <v>0</v>
      </c>
      <c r="AC203" s="206">
        <v>500</v>
      </c>
      <c r="AD203" s="206">
        <v>18</v>
      </c>
      <c r="AE203" s="206">
        <v>0</v>
      </c>
    </row>
    <row r="204" spans="1:31" ht="15.6" customHeight="1">
      <c r="A204" s="383">
        <v>2461</v>
      </c>
      <c r="B204" s="383" t="s">
        <v>1952</v>
      </c>
      <c r="C204" s="383">
        <v>24614</v>
      </c>
      <c r="D204" s="388">
        <v>41929</v>
      </c>
      <c r="E204" s="388">
        <v>43025</v>
      </c>
      <c r="F204" s="384">
        <v>300000000</v>
      </c>
      <c r="G204" s="414">
        <v>300000000</v>
      </c>
      <c r="H204" s="385">
        <v>1</v>
      </c>
      <c r="I204" s="436">
        <v>375</v>
      </c>
      <c r="J204" s="206">
        <v>112.2</v>
      </c>
      <c r="K204" s="206">
        <v>15.6</v>
      </c>
      <c r="L204" s="206">
        <f>VLOOKUP(2461,收盤價!A:C,3,0)</f>
        <v>16.7</v>
      </c>
      <c r="M204" s="206">
        <v>6410</v>
      </c>
      <c r="N204" s="206">
        <v>108.00850000000001</v>
      </c>
      <c r="O204" s="438">
        <v>3.7400000000000003E-2</v>
      </c>
      <c r="P204" s="438">
        <v>7.4200000000000002E-2</v>
      </c>
      <c r="Q204" s="438">
        <v>-5.8279871301803688E-3</v>
      </c>
      <c r="R204" s="206">
        <f>VLOOKUP(24614,V:AE,9,0)</f>
        <v>14</v>
      </c>
      <c r="S204" s="206">
        <f>VLOOKUP(2461,季財報!A:N,5,0)</f>
        <v>2</v>
      </c>
      <c r="T204" s="206">
        <f>VLOOKUP(2461,季財報!A:N,4,0)</f>
        <v>14.165178571428573</v>
      </c>
      <c r="U204" s="441">
        <v>21428571.428571429</v>
      </c>
      <c r="V204" s="206">
        <v>23672</v>
      </c>
      <c r="W204" s="206" t="s">
        <v>3178</v>
      </c>
      <c r="X204" s="206" t="s">
        <v>3177</v>
      </c>
      <c r="Y204" s="206">
        <v>2000</v>
      </c>
      <c r="Z204" s="206">
        <v>2000</v>
      </c>
      <c r="AA204" s="206">
        <v>0</v>
      </c>
      <c r="AB204" s="206">
        <v>0</v>
      </c>
      <c r="AC204" s="206">
        <v>2000</v>
      </c>
      <c r="AD204" s="206">
        <v>20</v>
      </c>
      <c r="AE204" s="206">
        <v>0</v>
      </c>
    </row>
    <row r="205" spans="1:31" ht="16.5">
      <c r="A205" s="387">
        <v>2457</v>
      </c>
      <c r="B205" s="387" t="s">
        <v>1951</v>
      </c>
      <c r="C205" s="387">
        <v>24571</v>
      </c>
      <c r="D205" s="388">
        <v>41794</v>
      </c>
      <c r="E205" s="388">
        <v>42890</v>
      </c>
      <c r="F205" s="384">
        <v>1500000000</v>
      </c>
      <c r="G205" s="414">
        <v>1188000000</v>
      </c>
      <c r="H205" s="385">
        <v>0.79</v>
      </c>
      <c r="I205" s="436">
        <v>240</v>
      </c>
      <c r="J205" s="206">
        <v>98.4</v>
      </c>
      <c r="K205" s="206">
        <v>19</v>
      </c>
      <c r="L205" s="206">
        <f>VLOOKUP(2457,收盤價!A:C,3,0)</f>
        <v>9.93</v>
      </c>
      <c r="M205" s="206">
        <v>5263</v>
      </c>
      <c r="N205" s="206">
        <v>100</v>
      </c>
      <c r="O205" s="438">
        <v>-1.6299999999999999E-2</v>
      </c>
      <c r="P205" s="438">
        <v>-0.87190000000000001</v>
      </c>
      <c r="Q205" s="438">
        <v>-8.6855293666940087E-2</v>
      </c>
      <c r="R205" s="206">
        <f>VLOOKUP(24571,V:AE,9,0)</f>
        <v>139</v>
      </c>
      <c r="S205" s="206">
        <f>VLOOKUP(2457,季財報!A:N,5,0)</f>
        <v>2</v>
      </c>
      <c r="T205" s="206">
        <f>VLOOKUP(2457,季財報!A:N,4,0)</f>
        <v>0</v>
      </c>
      <c r="U205" s="441">
        <v>8546762.589928057</v>
      </c>
      <c r="V205" s="206">
        <v>49441</v>
      </c>
      <c r="W205" s="206" t="s">
        <v>2699</v>
      </c>
      <c r="X205" s="206" t="s">
        <v>2700</v>
      </c>
      <c r="Y205" s="206">
        <v>481</v>
      </c>
      <c r="Z205" s="206">
        <v>481</v>
      </c>
      <c r="AA205" s="206">
        <v>0</v>
      </c>
      <c r="AB205" s="206">
        <v>0</v>
      </c>
      <c r="AC205" s="206">
        <v>3000</v>
      </c>
      <c r="AD205" s="206">
        <v>35</v>
      </c>
      <c r="AE205" s="206">
        <v>0</v>
      </c>
    </row>
    <row r="206" spans="1:31" ht="16.149999999999999" customHeight="1">
      <c r="A206" s="382">
        <v>2456</v>
      </c>
      <c r="B206" s="386" t="s">
        <v>1950</v>
      </c>
      <c r="C206" s="382">
        <v>24564</v>
      </c>
      <c r="D206" s="388">
        <v>42153</v>
      </c>
      <c r="E206" s="388">
        <v>43980</v>
      </c>
      <c r="F206" s="384">
        <v>1500000000</v>
      </c>
      <c r="G206" s="414">
        <v>1232100000</v>
      </c>
      <c r="H206" s="385">
        <v>0.82</v>
      </c>
      <c r="I206" s="436">
        <v>1330</v>
      </c>
      <c r="J206" s="206">
        <v>113.2</v>
      </c>
      <c r="K206" s="206">
        <v>67.8</v>
      </c>
      <c r="L206" s="206">
        <f>VLOOKUP(2456,收盤價!A:C,3,0)</f>
        <v>71.900000000000006</v>
      </c>
      <c r="M206" s="206">
        <v>1475</v>
      </c>
      <c r="N206" s="206">
        <v>113.575</v>
      </c>
      <c r="O206" s="438">
        <v>-3.3E-3</v>
      </c>
      <c r="P206" s="438">
        <v>0.1195</v>
      </c>
      <c r="Q206" s="438">
        <v>2.2459124393604132E-3</v>
      </c>
      <c r="R206" s="206">
        <f>VLOOKUP(24564,V:AE,9,0)</f>
        <v>157</v>
      </c>
      <c r="S206" s="206">
        <f>VLOOKUP(2456,季財報!A:N,5,0)</f>
        <v>4</v>
      </c>
      <c r="T206" s="206">
        <f>VLOOKUP(2456,季財報!A:N,4,0)</f>
        <v>14.855371900826448</v>
      </c>
      <c r="U206" s="441">
        <v>7847770.7006369429</v>
      </c>
      <c r="V206" s="206">
        <v>62711</v>
      </c>
      <c r="W206" s="206" t="s">
        <v>2805</v>
      </c>
      <c r="X206" s="206" t="s">
        <v>2806</v>
      </c>
      <c r="Y206" s="206">
        <v>20000</v>
      </c>
      <c r="Z206" s="206">
        <v>20000</v>
      </c>
      <c r="AA206" s="206">
        <v>0</v>
      </c>
      <c r="AB206" s="206">
        <v>0</v>
      </c>
      <c r="AC206" s="206">
        <v>20000</v>
      </c>
      <c r="AD206" s="206">
        <v>77</v>
      </c>
      <c r="AE206" s="206">
        <v>0</v>
      </c>
    </row>
    <row r="207" spans="1:31" ht="16.5">
      <c r="A207" s="383">
        <v>2444</v>
      </c>
      <c r="B207" s="383" t="s">
        <v>1949</v>
      </c>
      <c r="C207" s="383">
        <v>24442</v>
      </c>
      <c r="D207" s="388">
        <v>42184</v>
      </c>
      <c r="E207" s="388">
        <v>43280</v>
      </c>
      <c r="F207" s="384">
        <v>300000000</v>
      </c>
      <c r="G207" s="414">
        <v>300000000</v>
      </c>
      <c r="H207" s="385">
        <v>1</v>
      </c>
      <c r="I207" s="436">
        <v>630</v>
      </c>
      <c r="J207" s="206">
        <v>106.5</v>
      </c>
      <c r="K207" s="206">
        <v>15</v>
      </c>
      <c r="L207" s="206">
        <f>VLOOKUP(2444,收盤價!A:C,3,0)</f>
        <v>12.25</v>
      </c>
      <c r="M207" s="206">
        <v>6667</v>
      </c>
      <c r="N207" s="206">
        <v>100</v>
      </c>
      <c r="O207" s="438">
        <v>6.0999999999999999E-2</v>
      </c>
      <c r="P207" s="438">
        <v>-0.14499999999999999</v>
      </c>
      <c r="Q207" s="438">
        <v>-2.6987805539300511E-2</v>
      </c>
      <c r="R207" s="206">
        <f>VLOOKUP(24442,V:AE,9,0)</f>
        <v>25</v>
      </c>
      <c r="S207" s="206">
        <f>VLOOKUP(2444,季財報!A:N,5,0)</f>
        <v>4</v>
      </c>
      <c r="T207" s="206">
        <f>VLOOKUP(2444,季財報!A:N,4,0)</f>
        <v>11.11391129032258</v>
      </c>
      <c r="U207" s="441">
        <v>12000000</v>
      </c>
      <c r="V207" s="206">
        <v>23602</v>
      </c>
      <c r="W207" s="206" t="s">
        <v>2441</v>
      </c>
      <c r="X207" s="206" t="s">
        <v>2442</v>
      </c>
      <c r="Y207" s="206">
        <v>16908</v>
      </c>
      <c r="Z207" s="206">
        <v>18021</v>
      </c>
      <c r="AA207" s="206">
        <v>-1113</v>
      </c>
      <c r="AB207" s="206">
        <v>-6.18</v>
      </c>
      <c r="AC207" s="206">
        <v>20000</v>
      </c>
      <c r="AD207" s="206">
        <v>80</v>
      </c>
      <c r="AE207" s="206">
        <v>0</v>
      </c>
    </row>
    <row r="208" spans="1:31" ht="16.5">
      <c r="A208" s="383">
        <v>2442</v>
      </c>
      <c r="B208" s="383" t="s">
        <v>1948</v>
      </c>
      <c r="C208" s="383">
        <v>24422</v>
      </c>
      <c r="D208" s="388">
        <v>41345</v>
      </c>
      <c r="E208" s="388">
        <v>42806</v>
      </c>
      <c r="F208" s="384">
        <v>400000000</v>
      </c>
      <c r="G208" s="414">
        <v>301900000</v>
      </c>
      <c r="H208" s="385">
        <v>0.75</v>
      </c>
      <c r="I208" s="436">
        <v>156</v>
      </c>
      <c r="J208" s="206">
        <v>108</v>
      </c>
      <c r="K208" s="206">
        <v>7.2</v>
      </c>
      <c r="L208" s="206">
        <f>VLOOKUP(2442,收盤價!A:C,3,0)</f>
        <v>6.6</v>
      </c>
      <c r="M208" s="206">
        <v>13889</v>
      </c>
      <c r="N208" s="206">
        <v>100</v>
      </c>
      <c r="O208" s="438">
        <v>7.4099999999999999E-2</v>
      </c>
      <c r="P208" s="438">
        <v>-5.57E-2</v>
      </c>
      <c r="Q208" s="438">
        <v>-8.851275856459815E-3</v>
      </c>
      <c r="R208" s="206">
        <f>VLOOKUP(24422,V:AE,9,0)</f>
        <v>7</v>
      </c>
      <c r="S208" s="206">
        <f>VLOOKUP(2442,季財報!A:N,5,0)</f>
        <v>5</v>
      </c>
      <c r="T208" s="206">
        <f>VLOOKUP(2442,季財報!A:N,4,0)</f>
        <v>13.75</v>
      </c>
      <c r="U208" s="441">
        <v>43128571.428571425</v>
      </c>
      <c r="V208" s="206">
        <v>25281</v>
      </c>
      <c r="W208" s="206" t="s">
        <v>2477</v>
      </c>
      <c r="X208" s="206" t="s">
        <v>2478</v>
      </c>
      <c r="Y208" s="206">
        <v>1962</v>
      </c>
      <c r="Z208" s="206">
        <v>1962</v>
      </c>
      <c r="AA208" s="206">
        <v>0</v>
      </c>
      <c r="AB208" s="206">
        <v>0</v>
      </c>
      <c r="AC208" s="206">
        <v>4070</v>
      </c>
      <c r="AD208" s="206">
        <v>6</v>
      </c>
      <c r="AE208" s="206">
        <v>0</v>
      </c>
    </row>
    <row r="209" spans="1:31" ht="16.5">
      <c r="A209" s="387">
        <v>2439</v>
      </c>
      <c r="B209" s="387" t="s">
        <v>1947</v>
      </c>
      <c r="C209" s="387">
        <v>24391</v>
      </c>
      <c r="D209" s="388">
        <v>42033</v>
      </c>
      <c r="E209" s="388">
        <v>43129</v>
      </c>
      <c r="F209" s="384">
        <v>1500000000</v>
      </c>
      <c r="G209" s="414">
        <v>1500000000</v>
      </c>
      <c r="H209" s="385">
        <v>1</v>
      </c>
      <c r="I209" s="436">
        <v>479</v>
      </c>
      <c r="J209" s="206">
        <v>120.6</v>
      </c>
      <c r="K209" s="206">
        <v>110.9</v>
      </c>
      <c r="L209" s="206">
        <f>VLOOKUP(2439,收盤價!A:C,3,0)</f>
        <v>124.5</v>
      </c>
      <c r="M209" s="206">
        <v>902</v>
      </c>
      <c r="N209" s="206">
        <v>119.06399999999999</v>
      </c>
      <c r="O209" s="438">
        <v>1.2699999999999999E-2</v>
      </c>
      <c r="P209" s="438">
        <v>0.1598</v>
      </c>
      <c r="Q209" s="438">
        <v>-1.4120086926785028E-2</v>
      </c>
      <c r="R209" s="206">
        <f>VLOOKUP(24391,V:AE,9,0)</f>
        <v>78</v>
      </c>
      <c r="S209" s="206">
        <f>VLOOKUP(2439,季財報!A:N,5,0)</f>
        <v>5</v>
      </c>
      <c r="T209" s="206">
        <f>VLOOKUP(2439,季財報!A:N,4,0)</f>
        <v>21.365955473098332</v>
      </c>
      <c r="U209" s="441">
        <v>19230769.230769232</v>
      </c>
      <c r="V209" s="206">
        <v>33835</v>
      </c>
      <c r="W209" s="206" t="s">
        <v>2586</v>
      </c>
      <c r="X209" s="206" t="s">
        <v>2587</v>
      </c>
      <c r="Y209" s="206">
        <v>6000</v>
      </c>
      <c r="Z209" s="206">
        <v>6000</v>
      </c>
      <c r="AA209" s="206">
        <v>0</v>
      </c>
      <c r="AB209" s="206">
        <v>0</v>
      </c>
      <c r="AC209" s="206">
        <v>6000</v>
      </c>
      <c r="AD209" s="206">
        <v>14</v>
      </c>
      <c r="AE209" s="206">
        <v>0</v>
      </c>
    </row>
    <row r="210" spans="1:31" ht="16.5">
      <c r="A210" s="383">
        <v>2437</v>
      </c>
      <c r="B210" s="383" t="s">
        <v>1946</v>
      </c>
      <c r="C210" s="383">
        <v>24371</v>
      </c>
      <c r="D210" s="388">
        <v>42019</v>
      </c>
      <c r="E210" s="388">
        <v>43845</v>
      </c>
      <c r="F210" s="384">
        <v>1200000000</v>
      </c>
      <c r="G210" s="414">
        <v>761900000</v>
      </c>
      <c r="H210" s="385">
        <v>0.63</v>
      </c>
      <c r="I210" s="436">
        <v>1195</v>
      </c>
      <c r="J210" s="206">
        <v>108.2</v>
      </c>
      <c r="K210" s="206">
        <v>47.2</v>
      </c>
      <c r="L210" s="206">
        <f>VLOOKUP(2437,收盤價!A:C,3,0)</f>
        <v>47.85</v>
      </c>
      <c r="M210" s="206">
        <v>2119</v>
      </c>
      <c r="N210" s="206">
        <v>105.42025</v>
      </c>
      <c r="O210" s="438">
        <v>2.5700000000000001E-2</v>
      </c>
      <c r="P210" s="438">
        <v>5.1299999999999998E-2</v>
      </c>
      <c r="Q210" s="438">
        <v>-1.2124044491394204E-2</v>
      </c>
      <c r="R210" s="206">
        <f>VLOOKUP(24371,V:AE,9,0)</f>
        <v>96</v>
      </c>
      <c r="S210" s="206">
        <f>VLOOKUP(2437,季財報!A:N,5,0)</f>
        <v>3</v>
      </c>
      <c r="T210" s="206">
        <f>VLOOKUP(2437,季財報!A:N,4,0)</f>
        <v>7.7524194245225964</v>
      </c>
      <c r="U210" s="441">
        <v>7936458.333333333</v>
      </c>
      <c r="V210" s="206">
        <v>62694</v>
      </c>
      <c r="W210" s="206" t="s">
        <v>2804</v>
      </c>
      <c r="X210" s="206" t="s">
        <v>2803</v>
      </c>
      <c r="Y210" s="206">
        <v>16000</v>
      </c>
      <c r="Z210" s="206">
        <v>16000</v>
      </c>
      <c r="AA210" s="206">
        <v>0</v>
      </c>
      <c r="AB210" s="206">
        <v>0</v>
      </c>
      <c r="AC210" s="206">
        <v>16000</v>
      </c>
      <c r="AD210" s="206">
        <v>62</v>
      </c>
      <c r="AE210" s="206">
        <v>0</v>
      </c>
    </row>
    <row r="211" spans="1:31" ht="16.5">
      <c r="A211" s="383">
        <v>2426</v>
      </c>
      <c r="B211" s="383" t="s">
        <v>1945</v>
      </c>
      <c r="C211" s="383">
        <v>24268</v>
      </c>
      <c r="D211" s="388">
        <v>42083</v>
      </c>
      <c r="E211" s="388">
        <v>43179</v>
      </c>
      <c r="F211" s="384">
        <v>300000000</v>
      </c>
      <c r="G211" s="414">
        <v>87500000</v>
      </c>
      <c r="H211" s="385">
        <v>0.28999999999999998</v>
      </c>
      <c r="I211" s="436">
        <v>529</v>
      </c>
      <c r="J211" s="206">
        <v>111.2</v>
      </c>
      <c r="K211" s="206">
        <v>11.65</v>
      </c>
      <c r="L211" s="206">
        <f>VLOOKUP(2426,收盤價!A:C,3,0)</f>
        <v>12.15</v>
      </c>
      <c r="M211" s="206">
        <v>8584</v>
      </c>
      <c r="N211" s="206">
        <v>110.3044</v>
      </c>
      <c r="O211" s="438">
        <v>8.0999999999999996E-3</v>
      </c>
      <c r="P211" s="438">
        <v>9.3399999999999997E-2</v>
      </c>
      <c r="Q211" s="438">
        <v>-9.382521941440333E-4</v>
      </c>
      <c r="R211" s="206">
        <f>VLOOKUP(24268,V:AE,9,0)</f>
        <v>28</v>
      </c>
      <c r="S211" s="206">
        <f>VLOOKUP(2426,季財報!A:N,5,0)</f>
        <v>2</v>
      </c>
      <c r="T211" s="206">
        <f>VLOOKUP(2426,季財報!A:N,4,0)</f>
        <v>9.31640625</v>
      </c>
      <c r="U211" s="441">
        <v>3125000</v>
      </c>
      <c r="V211" s="206">
        <v>61904</v>
      </c>
      <c r="W211" s="206" t="s">
        <v>2785</v>
      </c>
      <c r="X211" s="206" t="s">
        <v>2786</v>
      </c>
      <c r="Y211" s="206">
        <v>2000</v>
      </c>
      <c r="Z211" s="206">
        <v>2000</v>
      </c>
      <c r="AA211" s="206">
        <v>0</v>
      </c>
      <c r="AB211" s="206">
        <v>0</v>
      </c>
      <c r="AC211" s="206">
        <v>2000</v>
      </c>
      <c r="AD211" s="206">
        <v>38</v>
      </c>
      <c r="AE211" s="206">
        <v>0</v>
      </c>
    </row>
    <row r="212" spans="1:31" ht="16.149999999999999" customHeight="1">
      <c r="A212" s="383">
        <v>2419</v>
      </c>
      <c r="B212" s="383" t="s">
        <v>3117</v>
      </c>
      <c r="C212" s="383">
        <v>24194</v>
      </c>
      <c r="D212" s="388">
        <v>42536</v>
      </c>
      <c r="E212" s="388">
        <v>43631</v>
      </c>
      <c r="F212" s="384">
        <v>500000000</v>
      </c>
      <c r="G212" s="414">
        <v>500000000</v>
      </c>
      <c r="H212" s="385">
        <v>1</v>
      </c>
      <c r="I212" s="436">
        <v>981</v>
      </c>
      <c r="J212" s="206">
        <v>114</v>
      </c>
      <c r="K212" s="206">
        <v>19.899999999999999</v>
      </c>
      <c r="L212" s="206">
        <f>VLOOKUP(2419,收盤價!A:C,3,0)</f>
        <v>20.05</v>
      </c>
      <c r="M212" s="206">
        <v>5025</v>
      </c>
      <c r="N212" s="206">
        <v>107.28375</v>
      </c>
      <c r="O212" s="438">
        <v>5.8900000000000001E-2</v>
      </c>
      <c r="P212" s="438">
        <v>6.7900000000000002E-2</v>
      </c>
      <c r="Q212" s="438">
        <v>-1.1724273369992145E-2</v>
      </c>
      <c r="R212" s="206">
        <f>VLOOKUP(24194,V:AE,9,0)</f>
        <v>21</v>
      </c>
      <c r="S212" s="206">
        <f>VLOOKUP(2419,季財報!A:N,5,0)</f>
        <v>3</v>
      </c>
      <c r="T212" s="206">
        <f>VLOOKUP(2419,季財報!A:N,4,0)</f>
        <v>14.742647058823529</v>
      </c>
      <c r="U212" s="441">
        <v>23809523.80952381</v>
      </c>
      <c r="V212" s="206">
        <v>13361</v>
      </c>
      <c r="W212" s="206" t="s">
        <v>2364</v>
      </c>
      <c r="X212" s="206" t="s">
        <v>2365</v>
      </c>
      <c r="Y212" s="206">
        <v>3500</v>
      </c>
      <c r="Z212" s="206">
        <v>3500</v>
      </c>
      <c r="AA212" s="206">
        <v>0</v>
      </c>
      <c r="AB212" s="206">
        <v>0</v>
      </c>
      <c r="AC212" s="206">
        <v>3500</v>
      </c>
      <c r="AD212" s="206">
        <v>12</v>
      </c>
      <c r="AE212" s="206">
        <v>0</v>
      </c>
    </row>
    <row r="213" spans="1:31" ht="16.149999999999999" customHeight="1">
      <c r="A213" s="383">
        <v>2406</v>
      </c>
      <c r="B213" s="383" t="s">
        <v>1944</v>
      </c>
      <c r="C213" s="383">
        <v>24063</v>
      </c>
      <c r="D213" s="388">
        <v>42226</v>
      </c>
      <c r="E213" s="388">
        <v>43322</v>
      </c>
      <c r="F213" s="384">
        <v>800000000</v>
      </c>
      <c r="G213" s="414">
        <v>193700000</v>
      </c>
      <c r="H213" s="385">
        <v>0.24</v>
      </c>
      <c r="I213" s="436">
        <v>672</v>
      </c>
      <c r="J213" s="206">
        <v>116</v>
      </c>
      <c r="K213" s="206">
        <v>21.6</v>
      </c>
      <c r="L213" s="206">
        <f>VLOOKUP(2406,收盤價!A:C,3,0)</f>
        <v>22.65</v>
      </c>
      <c r="M213" s="206">
        <v>4630</v>
      </c>
      <c r="N213" s="206">
        <v>111.583</v>
      </c>
      <c r="O213" s="438">
        <v>3.8100000000000002E-2</v>
      </c>
      <c r="P213" s="438">
        <v>0.1037</v>
      </c>
      <c r="Q213" s="438">
        <v>-8.2241006926342328E-3</v>
      </c>
      <c r="R213" s="206">
        <f>VLOOKUP(24063,V:AE,9,0)</f>
        <v>24</v>
      </c>
      <c r="S213" s="206">
        <f>VLOOKUP(2406,季財報!A:N,5,0)</f>
        <v>2</v>
      </c>
      <c r="T213" s="206">
        <f>VLOOKUP(2406,季財報!A:N,4,0)</f>
        <v>19.174396551724136</v>
      </c>
      <c r="U213" s="441">
        <v>8070833.333333333</v>
      </c>
      <c r="V213" s="206">
        <v>56084</v>
      </c>
      <c r="W213" s="206" t="s">
        <v>2745</v>
      </c>
      <c r="X213" s="206" t="s">
        <v>2746</v>
      </c>
      <c r="Y213" s="206">
        <v>4000</v>
      </c>
      <c r="Z213" s="206">
        <v>4000</v>
      </c>
      <c r="AA213" s="206">
        <v>0</v>
      </c>
      <c r="AB213" s="206">
        <v>0</v>
      </c>
      <c r="AC213" s="206">
        <v>4000</v>
      </c>
      <c r="AD213" s="206">
        <v>39</v>
      </c>
      <c r="AE213" s="206">
        <v>0</v>
      </c>
    </row>
    <row r="214" spans="1:31" ht="16.5">
      <c r="A214" s="383">
        <v>2402</v>
      </c>
      <c r="B214" s="383" t="s">
        <v>1943</v>
      </c>
      <c r="C214" s="383">
        <v>24022</v>
      </c>
      <c r="D214" s="388">
        <v>41884</v>
      </c>
      <c r="E214" s="388">
        <v>42980</v>
      </c>
      <c r="F214" s="384">
        <v>2000000000</v>
      </c>
      <c r="G214" s="414">
        <v>2000000000</v>
      </c>
      <c r="H214" s="385">
        <v>1</v>
      </c>
      <c r="I214" s="436">
        <v>330</v>
      </c>
      <c r="J214" s="206">
        <v>98.2</v>
      </c>
      <c r="K214" s="206">
        <v>40.700000000000003</v>
      </c>
      <c r="L214" s="206">
        <f>VLOOKUP(2402,收盤價!A:C,3,0)</f>
        <v>14.45</v>
      </c>
      <c r="M214" s="206">
        <v>2457</v>
      </c>
      <c r="N214" s="206">
        <v>100</v>
      </c>
      <c r="O214" s="438">
        <v>-1.83E-2</v>
      </c>
      <c r="P214" s="438">
        <v>-1.6429</v>
      </c>
      <c r="Q214" s="438">
        <v>-0.2501775964097756</v>
      </c>
      <c r="R214" s="206">
        <f>VLOOKUP(24022,V:AE,9,0)</f>
        <v>80</v>
      </c>
      <c r="S214" s="206">
        <f>VLOOKUP(2402,季財報!A:N,5,0)</f>
        <v>4</v>
      </c>
      <c r="T214" s="206">
        <f>VLOOKUP(2402,季財報!A:N,4,0)</f>
        <v>0</v>
      </c>
      <c r="U214" s="441">
        <v>25000000</v>
      </c>
      <c r="V214" s="206">
        <v>52891</v>
      </c>
      <c r="W214" s="206" t="s">
        <v>2725</v>
      </c>
      <c r="X214" s="206" t="s">
        <v>2726</v>
      </c>
      <c r="Y214" s="206">
        <v>5000</v>
      </c>
      <c r="Z214" s="206">
        <v>5000</v>
      </c>
      <c r="AA214" s="206">
        <v>0</v>
      </c>
      <c r="AB214" s="206">
        <v>0</v>
      </c>
      <c r="AC214" s="206">
        <v>5000</v>
      </c>
      <c r="AD214" s="206">
        <v>72</v>
      </c>
      <c r="AE214" s="206">
        <v>0</v>
      </c>
    </row>
    <row r="215" spans="1:31" ht="16.5">
      <c r="A215" s="383">
        <v>2393</v>
      </c>
      <c r="B215" s="383" t="s">
        <v>1942</v>
      </c>
      <c r="C215" s="383">
        <v>23936</v>
      </c>
      <c r="D215" s="388">
        <v>42142</v>
      </c>
      <c r="E215" s="388">
        <v>43969</v>
      </c>
      <c r="F215" s="384">
        <v>5000000000</v>
      </c>
      <c r="G215" s="414">
        <v>4606600000</v>
      </c>
      <c r="H215" s="385">
        <v>0.92</v>
      </c>
      <c r="I215" s="436">
        <v>1319</v>
      </c>
      <c r="J215" s="206">
        <v>99</v>
      </c>
      <c r="K215" s="206">
        <v>70.400000000000006</v>
      </c>
      <c r="L215" s="206">
        <f>VLOOKUP(2393,收盤價!A:C,3,0)</f>
        <v>48.1</v>
      </c>
      <c r="M215" s="206">
        <v>1420</v>
      </c>
      <c r="N215" s="206">
        <v>100</v>
      </c>
      <c r="O215" s="438">
        <v>-1.01E-2</v>
      </c>
      <c r="P215" s="438">
        <v>-0.38579999999999998</v>
      </c>
      <c r="Q215" s="438">
        <v>-0.19109403898136293</v>
      </c>
      <c r="R215" s="206">
        <f>VLOOKUP(23936,V:AE,9,0)</f>
        <v>94</v>
      </c>
      <c r="S215" s="206">
        <f>VLOOKUP(2393,季財報!A:N,5,0)</f>
        <v>4</v>
      </c>
      <c r="T215" s="206">
        <f>VLOOKUP(2393,季財報!A:N,4,0)</f>
        <v>12.231311274509803</v>
      </c>
      <c r="U215" s="441">
        <v>49006382.978723407</v>
      </c>
      <c r="V215" s="206">
        <v>24614</v>
      </c>
      <c r="W215" s="206" t="s">
        <v>2463</v>
      </c>
      <c r="X215" s="206" t="s">
        <v>2464</v>
      </c>
      <c r="Y215" s="206">
        <v>3000</v>
      </c>
      <c r="Z215" s="206">
        <v>3000</v>
      </c>
      <c r="AA215" s="206">
        <v>0</v>
      </c>
      <c r="AB215" s="206">
        <v>0</v>
      </c>
      <c r="AC215" s="206">
        <v>3000</v>
      </c>
      <c r="AD215" s="206">
        <v>14</v>
      </c>
      <c r="AE215" s="206">
        <v>0</v>
      </c>
    </row>
    <row r="216" spans="1:31" ht="15.6" customHeight="1">
      <c r="A216" s="383">
        <v>2393</v>
      </c>
      <c r="B216" s="383" t="s">
        <v>1942</v>
      </c>
      <c r="C216" s="383">
        <v>23935</v>
      </c>
      <c r="D216" s="388">
        <v>41628</v>
      </c>
      <c r="E216" s="388">
        <v>43454</v>
      </c>
      <c r="F216" s="384">
        <v>4000000000</v>
      </c>
      <c r="G216" s="414">
        <v>3815400000</v>
      </c>
      <c r="H216" s="385">
        <v>0.95</v>
      </c>
      <c r="I216" s="436">
        <v>804</v>
      </c>
      <c r="J216" s="206">
        <v>101.4</v>
      </c>
      <c r="K216" s="206">
        <v>59.3</v>
      </c>
      <c r="L216" s="206">
        <f>VLOOKUP(2393,收盤價!A:C,3,0)</f>
        <v>48.1</v>
      </c>
      <c r="M216" s="206">
        <v>1686</v>
      </c>
      <c r="N216" s="206">
        <v>100</v>
      </c>
      <c r="O216" s="438">
        <v>1.38E-2</v>
      </c>
      <c r="P216" s="438">
        <v>-0.1673</v>
      </c>
      <c r="Q216" s="438">
        <v>-9.2133616907775162E-2</v>
      </c>
      <c r="R216" s="206">
        <f>VLOOKUP(23935,V:AE,9,0)</f>
        <v>98</v>
      </c>
      <c r="S216" s="206">
        <f>VLOOKUP(2393,季財報!A:N,5,0)</f>
        <v>4</v>
      </c>
      <c r="T216" s="206">
        <f>VLOOKUP(2393,季財報!A:N,4,0)</f>
        <v>12.231311274509803</v>
      </c>
      <c r="U216" s="441">
        <v>38932653.06122449</v>
      </c>
      <c r="V216" s="206">
        <v>55192</v>
      </c>
      <c r="W216" s="206" t="s">
        <v>2740</v>
      </c>
      <c r="X216" s="206" t="s">
        <v>2739</v>
      </c>
      <c r="Y216" s="206">
        <v>991</v>
      </c>
      <c r="Z216" s="206">
        <v>991</v>
      </c>
      <c r="AA216" s="206">
        <v>0</v>
      </c>
      <c r="AB216" s="206">
        <v>0</v>
      </c>
      <c r="AC216" s="206">
        <v>1000</v>
      </c>
      <c r="AD216" s="206">
        <v>66</v>
      </c>
      <c r="AE216" s="206">
        <v>0</v>
      </c>
    </row>
    <row r="217" spans="1:31" ht="15.6" customHeight="1">
      <c r="A217" s="387">
        <v>2367</v>
      </c>
      <c r="B217" s="387" t="s">
        <v>3170</v>
      </c>
      <c r="C217" s="387">
        <v>23672</v>
      </c>
      <c r="D217" s="388">
        <v>42558</v>
      </c>
      <c r="E217" s="388">
        <v>44384</v>
      </c>
      <c r="F217" s="384">
        <v>200000000</v>
      </c>
      <c r="G217" s="414">
        <v>200000000</v>
      </c>
      <c r="H217" s="385">
        <v>1</v>
      </c>
      <c r="I217" s="436">
        <v>1734</v>
      </c>
      <c r="J217" s="206">
        <v>111.5</v>
      </c>
      <c r="K217" s="206">
        <v>10.029999999999999</v>
      </c>
      <c r="L217" s="206">
        <f>VLOOKUP(2367,收盤價!A:C,3,0)</f>
        <v>9.99</v>
      </c>
      <c r="M217" s="206">
        <v>9970</v>
      </c>
      <c r="N217" s="206">
        <v>103.688</v>
      </c>
      <c r="O217" s="438">
        <v>7.0099999999999996E-2</v>
      </c>
      <c r="P217" s="438">
        <v>3.56E-2</v>
      </c>
      <c r="Q217" s="438">
        <v>-7.0273601072275071E-3</v>
      </c>
      <c r="R217" s="206">
        <f>VLOOKUP(23672,V:AE,9,0)</f>
        <v>20</v>
      </c>
      <c r="S217" s="206">
        <f>VLOOKUP(2367,季財報!A:N,5,0)</f>
        <v>2</v>
      </c>
      <c r="T217" s="206">
        <f>VLOOKUP(2367,季財報!A:N,4,0)</f>
        <v>0</v>
      </c>
      <c r="U217" s="441">
        <v>10000000</v>
      </c>
      <c r="V217" s="206">
        <v>35801</v>
      </c>
      <c r="W217" s="206" t="s">
        <v>2605</v>
      </c>
      <c r="X217" s="206" t="s">
        <v>2606</v>
      </c>
      <c r="Y217" s="206">
        <v>898</v>
      </c>
      <c r="Z217" s="206">
        <v>913</v>
      </c>
      <c r="AA217" s="206">
        <v>-15</v>
      </c>
      <c r="AB217" s="206">
        <v>-1.64</v>
      </c>
      <c r="AC217" s="206">
        <v>1000</v>
      </c>
      <c r="AD217" s="206">
        <v>4</v>
      </c>
      <c r="AE217" s="206">
        <v>0</v>
      </c>
    </row>
    <row r="218" spans="1:31" ht="16.5">
      <c r="A218" s="383">
        <v>2367</v>
      </c>
      <c r="B218" s="383" t="s">
        <v>3170</v>
      </c>
      <c r="C218" s="383">
        <v>23671</v>
      </c>
      <c r="D218" s="388">
        <v>42557</v>
      </c>
      <c r="E218" s="388">
        <v>44383</v>
      </c>
      <c r="F218" s="384">
        <v>500000000</v>
      </c>
      <c r="G218" s="414">
        <v>500000000</v>
      </c>
      <c r="H218" s="385">
        <v>1</v>
      </c>
      <c r="I218" s="436">
        <v>1733</v>
      </c>
      <c r="J218" s="206">
        <v>112</v>
      </c>
      <c r="K218" s="206">
        <v>10.57</v>
      </c>
      <c r="L218" s="206">
        <f>VLOOKUP(2367,收盤價!A:C,3,0)</f>
        <v>9.99</v>
      </c>
      <c r="M218" s="206">
        <v>9461</v>
      </c>
      <c r="N218" s="206">
        <v>100</v>
      </c>
      <c r="O218" s="438">
        <v>0.1071</v>
      </c>
      <c r="P218" s="438">
        <v>-1.6299999999999999E-2</v>
      </c>
      <c r="Q218" s="438">
        <v>-1.2839929333957454E-2</v>
      </c>
      <c r="R218" s="206">
        <f>VLOOKUP(23671,V:AE,9,0)</f>
        <v>33</v>
      </c>
      <c r="S218" s="206">
        <f>VLOOKUP(2367,季財報!A:N,5,0)</f>
        <v>2</v>
      </c>
      <c r="T218" s="206">
        <f>VLOOKUP(2367,季財報!A:N,4,0)</f>
        <v>0</v>
      </c>
      <c r="U218" s="441">
        <v>15151515.151515152</v>
      </c>
      <c r="V218" s="206">
        <v>61761</v>
      </c>
      <c r="W218" s="206" t="s">
        <v>2772</v>
      </c>
      <c r="X218" s="206" t="s">
        <v>2773</v>
      </c>
      <c r="Y218" s="206">
        <v>30000</v>
      </c>
      <c r="Z218" s="206">
        <v>30000</v>
      </c>
      <c r="AA218" s="206">
        <v>0</v>
      </c>
      <c r="AB218" s="206">
        <v>0</v>
      </c>
      <c r="AC218" s="206">
        <v>30000</v>
      </c>
      <c r="AD218" s="206">
        <v>79</v>
      </c>
      <c r="AE218" s="206">
        <v>0</v>
      </c>
    </row>
    <row r="219" spans="1:31" ht="16.149999999999999" customHeight="1">
      <c r="A219" s="383">
        <v>2360</v>
      </c>
      <c r="B219" s="383" t="s">
        <v>1941</v>
      </c>
      <c r="C219" s="383">
        <v>23602</v>
      </c>
      <c r="D219" s="388">
        <v>41782</v>
      </c>
      <c r="E219" s="388">
        <v>43608</v>
      </c>
      <c r="F219" s="384">
        <v>2000000000</v>
      </c>
      <c r="G219" s="414">
        <v>1610600000</v>
      </c>
      <c r="H219" s="385">
        <v>0.81</v>
      </c>
      <c r="I219" s="436">
        <v>958</v>
      </c>
      <c r="J219" s="206">
        <v>128.1</v>
      </c>
      <c r="K219" s="206">
        <v>67.2</v>
      </c>
      <c r="L219" s="206">
        <f>VLOOKUP(2360,收盤價!A:C,3,0)</f>
        <v>86.3</v>
      </c>
      <c r="M219" s="206">
        <v>1488</v>
      </c>
      <c r="N219" s="206">
        <v>129.1584</v>
      </c>
      <c r="O219" s="438">
        <v>-8.3000000000000001E-3</v>
      </c>
      <c r="P219" s="438">
        <v>0.2258</v>
      </c>
      <c r="Q219" s="438">
        <v>5.5526176626123167E-3</v>
      </c>
      <c r="R219" s="206">
        <f>VLOOKUP(23602,V:AE,9,0)</f>
        <v>80</v>
      </c>
      <c r="S219" s="206">
        <f>VLOOKUP(2360,季財報!A:N,5,0)</f>
        <v>1</v>
      </c>
      <c r="T219" s="206">
        <f>VLOOKUP(2360,季財報!A:N,4,0)</f>
        <v>19.708159118768155</v>
      </c>
      <c r="U219" s="441">
        <v>20132500</v>
      </c>
      <c r="V219" s="206">
        <v>26131</v>
      </c>
      <c r="W219" s="206" t="s">
        <v>2495</v>
      </c>
      <c r="X219" s="206" t="s">
        <v>2496</v>
      </c>
      <c r="Y219" s="206">
        <v>1500</v>
      </c>
      <c r="Z219" s="206">
        <v>1500</v>
      </c>
      <c r="AA219" s="206">
        <v>0</v>
      </c>
      <c r="AB219" s="206">
        <v>0</v>
      </c>
      <c r="AC219" s="206">
        <v>1500</v>
      </c>
      <c r="AD219" s="206">
        <v>12</v>
      </c>
      <c r="AE219" s="206">
        <v>0</v>
      </c>
    </row>
    <row r="220" spans="1:31" ht="16.5">
      <c r="A220" s="383">
        <v>2231</v>
      </c>
      <c r="B220" s="383" t="s">
        <v>2143</v>
      </c>
      <c r="C220" s="383">
        <v>22312</v>
      </c>
      <c r="D220" s="388">
        <v>42513</v>
      </c>
      <c r="E220" s="388">
        <v>43608</v>
      </c>
      <c r="F220" s="384">
        <v>700000000</v>
      </c>
      <c r="G220" s="414">
        <v>700000000</v>
      </c>
      <c r="H220" s="385">
        <v>1</v>
      </c>
      <c r="I220" s="436">
        <v>958</v>
      </c>
      <c r="J220" s="206">
        <v>109.9</v>
      </c>
      <c r="K220" s="206">
        <v>359</v>
      </c>
      <c r="L220" s="206">
        <f>VLOOKUP(2231,收盤價!A:C,3,0)</f>
        <v>312</v>
      </c>
      <c r="M220" s="206">
        <v>279</v>
      </c>
      <c r="N220" s="206">
        <v>100</v>
      </c>
      <c r="O220" s="438">
        <v>9.01E-2</v>
      </c>
      <c r="P220" s="438">
        <v>-0.13969999999999999</v>
      </c>
      <c r="Q220" s="438">
        <v>-0.7179873524644429</v>
      </c>
      <c r="R220" s="206">
        <f>VLOOKUP(22312,V:AE,9,0)</f>
        <v>79</v>
      </c>
      <c r="S220" s="206">
        <f>VLOOKUP(2231,季財報!A:N,5,0)</f>
        <v>1</v>
      </c>
      <c r="T220" s="206">
        <f>VLOOKUP(2231,季財報!A:N,4,0)</f>
        <v>23.283582089552237</v>
      </c>
      <c r="U220" s="441">
        <v>8860759.4936708864</v>
      </c>
      <c r="V220" s="206">
        <v>47392</v>
      </c>
      <c r="W220" s="206" t="s">
        <v>2688</v>
      </c>
      <c r="X220" s="206" t="s">
        <v>2687</v>
      </c>
      <c r="Y220" s="206">
        <v>6000</v>
      </c>
      <c r="Z220" s="206">
        <v>6000</v>
      </c>
      <c r="AA220" s="206">
        <v>0</v>
      </c>
      <c r="AB220" s="206">
        <v>0</v>
      </c>
      <c r="AC220" s="206">
        <v>6000</v>
      </c>
      <c r="AD220" s="206">
        <v>15</v>
      </c>
      <c r="AE220" s="206">
        <v>0</v>
      </c>
    </row>
    <row r="221" spans="1:31" ht="16.5">
      <c r="A221" s="383">
        <v>2230</v>
      </c>
      <c r="B221" s="383" t="s">
        <v>240</v>
      </c>
      <c r="C221" s="383">
        <v>22303</v>
      </c>
      <c r="D221" s="388">
        <v>42467</v>
      </c>
      <c r="E221" s="388">
        <v>43562</v>
      </c>
      <c r="F221" s="384">
        <v>50000000</v>
      </c>
      <c r="G221" s="414">
        <v>50000000</v>
      </c>
      <c r="H221" s="385">
        <v>1</v>
      </c>
      <c r="I221" s="436">
        <v>912</v>
      </c>
      <c r="J221" s="206">
        <v>99.8</v>
      </c>
      <c r="K221" s="206">
        <v>17.2</v>
      </c>
      <c r="L221" s="206">
        <f>VLOOKUP(2230,收盤價!A:C,3,0)</f>
        <v>14</v>
      </c>
      <c r="M221" s="206">
        <v>5814</v>
      </c>
      <c r="N221" s="206">
        <v>100</v>
      </c>
      <c r="O221" s="438">
        <v>-2E-3</v>
      </c>
      <c r="P221" s="438">
        <v>-0.20280000000000001</v>
      </c>
      <c r="Q221" s="438">
        <v>-2.8712050864715309E-2</v>
      </c>
      <c r="R221" s="206">
        <f>VLOOKUP(22303,V:AE,9,0)</f>
        <v>18</v>
      </c>
      <c r="S221" s="206">
        <f>VLOOKUP(2230,季財報!A:N,5,0)</f>
        <v>2</v>
      </c>
      <c r="T221" s="206">
        <f>VLOOKUP(2230,季財報!A:N,4,0)</f>
        <v>0</v>
      </c>
      <c r="U221" s="441">
        <v>2777777.777777778</v>
      </c>
      <c r="V221" s="206">
        <v>22301</v>
      </c>
      <c r="W221" s="206" t="s">
        <v>2435</v>
      </c>
      <c r="X221" s="206" t="s">
        <v>2436</v>
      </c>
      <c r="Y221" s="206">
        <v>750</v>
      </c>
      <c r="Z221" s="206">
        <v>750</v>
      </c>
      <c r="AA221" s="206">
        <v>0</v>
      </c>
      <c r="AB221" s="206">
        <v>0</v>
      </c>
      <c r="AC221" s="206">
        <v>750</v>
      </c>
      <c r="AD221" s="206">
        <v>11</v>
      </c>
      <c r="AE221" s="206">
        <v>0</v>
      </c>
    </row>
    <row r="222" spans="1:31" ht="15.6" customHeight="1">
      <c r="A222" s="383">
        <v>2230</v>
      </c>
      <c r="B222" s="383" t="s">
        <v>240</v>
      </c>
      <c r="C222" s="383">
        <v>22302</v>
      </c>
      <c r="D222" s="388">
        <v>42466</v>
      </c>
      <c r="E222" s="388">
        <v>43561</v>
      </c>
      <c r="F222" s="384">
        <v>75000000</v>
      </c>
      <c r="G222" s="414">
        <v>75000000</v>
      </c>
      <c r="H222" s="385">
        <v>1</v>
      </c>
      <c r="I222" s="436">
        <v>911</v>
      </c>
      <c r="J222" s="206">
        <v>103.1</v>
      </c>
      <c r="K222" s="206">
        <v>17.2</v>
      </c>
      <c r="L222" s="206">
        <f>VLOOKUP(2230,收盤價!A:C,3,0)</f>
        <v>14</v>
      </c>
      <c r="M222" s="206">
        <v>5814</v>
      </c>
      <c r="N222" s="206">
        <v>100</v>
      </c>
      <c r="O222" s="438">
        <v>3.0099999999999998E-2</v>
      </c>
      <c r="P222" s="438">
        <v>-0.20280000000000001</v>
      </c>
      <c r="Q222" s="438">
        <v>-3.329833303137647E-2</v>
      </c>
      <c r="R222" s="206">
        <f>VLOOKUP(22302,V:AE,9,0)</f>
        <v>11</v>
      </c>
      <c r="S222" s="206">
        <f>VLOOKUP(2230,季財報!A:N,5,0)</f>
        <v>2</v>
      </c>
      <c r="T222" s="206">
        <f>VLOOKUP(2230,季財報!A:N,4,0)</f>
        <v>0</v>
      </c>
      <c r="U222" s="441">
        <v>6818181.8181818184</v>
      </c>
      <c r="V222" s="206">
        <v>24063</v>
      </c>
      <c r="W222" s="206" t="s">
        <v>2450</v>
      </c>
      <c r="X222" s="206" t="s">
        <v>2449</v>
      </c>
      <c r="Y222" s="206">
        <v>1937</v>
      </c>
      <c r="Z222" s="206">
        <v>1937</v>
      </c>
      <c r="AA222" s="206">
        <v>0</v>
      </c>
      <c r="AB222" s="206">
        <v>0</v>
      </c>
      <c r="AC222" s="206">
        <v>8000</v>
      </c>
      <c r="AD222" s="206">
        <v>24</v>
      </c>
      <c r="AE222" s="206">
        <v>0</v>
      </c>
    </row>
    <row r="223" spans="1:31" ht="16.5">
      <c r="A223" s="383">
        <v>2230</v>
      </c>
      <c r="B223" s="383" t="s">
        <v>240</v>
      </c>
      <c r="C223" s="383">
        <v>22301</v>
      </c>
      <c r="D223" s="388">
        <v>42466</v>
      </c>
      <c r="E223" s="388">
        <v>43561</v>
      </c>
      <c r="F223" s="384">
        <v>75000000</v>
      </c>
      <c r="G223" s="414">
        <v>75000000</v>
      </c>
      <c r="H223" s="385">
        <v>1</v>
      </c>
      <c r="I223" s="436">
        <v>911</v>
      </c>
      <c r="J223" s="206">
        <v>108.95</v>
      </c>
      <c r="K223" s="206">
        <v>17.2</v>
      </c>
      <c r="L223" s="206">
        <f>VLOOKUP(2230,收盤價!A:C,3,0)</f>
        <v>14</v>
      </c>
      <c r="M223" s="206">
        <v>5814</v>
      </c>
      <c r="N223" s="206">
        <v>100</v>
      </c>
      <c r="O223" s="438">
        <v>8.2100000000000006E-2</v>
      </c>
      <c r="P223" s="438">
        <v>-0.20280000000000001</v>
      </c>
      <c r="Q223" s="438">
        <v>-4.0745755722802313E-2</v>
      </c>
      <c r="R223" s="206">
        <f>VLOOKUP(22301,V:AE,9,0)</f>
        <v>11</v>
      </c>
      <c r="S223" s="206">
        <f>VLOOKUP(2230,季財報!A:N,5,0)</f>
        <v>2</v>
      </c>
      <c r="T223" s="206">
        <f>VLOOKUP(2230,季財報!A:N,4,0)</f>
        <v>0</v>
      </c>
      <c r="U223" s="441">
        <v>6818181.8181818184</v>
      </c>
      <c r="V223" s="206">
        <v>24615</v>
      </c>
      <c r="W223" s="206" t="s">
        <v>2465</v>
      </c>
      <c r="X223" s="206" t="s">
        <v>2464</v>
      </c>
      <c r="Y223" s="206">
        <v>2000</v>
      </c>
      <c r="Z223" s="206">
        <v>2000</v>
      </c>
      <c r="AA223" s="206">
        <v>0</v>
      </c>
      <c r="AB223" s="206">
        <v>0</v>
      </c>
      <c r="AC223" s="206">
        <v>2000</v>
      </c>
      <c r="AD223" s="206">
        <v>28</v>
      </c>
      <c r="AE223" s="206">
        <v>0</v>
      </c>
    </row>
    <row r="224" spans="1:31" ht="15.6" customHeight="1">
      <c r="A224" s="383">
        <v>2115</v>
      </c>
      <c r="B224" s="383" t="s">
        <v>2302</v>
      </c>
      <c r="C224" s="383">
        <v>21151</v>
      </c>
      <c r="D224" s="388">
        <v>42102</v>
      </c>
      <c r="E224" s="388">
        <v>43198</v>
      </c>
      <c r="F224" s="384">
        <v>400000000</v>
      </c>
      <c r="G224" s="414">
        <v>400000000</v>
      </c>
      <c r="H224" s="385">
        <v>1</v>
      </c>
      <c r="I224" s="436">
        <v>548</v>
      </c>
      <c r="J224" s="206">
        <v>113.2</v>
      </c>
      <c r="K224" s="206">
        <v>57.7</v>
      </c>
      <c r="L224" s="206">
        <f>VLOOKUP(2115,收盤價!A:C,3,0)</f>
        <v>58.6</v>
      </c>
      <c r="M224" s="206">
        <v>1733</v>
      </c>
      <c r="N224" s="206">
        <v>109.87219999999999</v>
      </c>
      <c r="O224" s="438">
        <v>2.9399999999999999E-2</v>
      </c>
      <c r="P224" s="438">
        <v>8.9899999999999994E-2</v>
      </c>
      <c r="Q224" s="438">
        <v>-1.6963373630563616E-2</v>
      </c>
      <c r="R224" s="206">
        <f>VLOOKUP(21151,V:AE,9,0)</f>
        <v>40</v>
      </c>
      <c r="S224" s="206">
        <f>VLOOKUP(2115,季財報!A:N,5,0)</f>
        <v>5</v>
      </c>
      <c r="T224" s="206">
        <f>VLOOKUP(2115,季財報!A:N,4,0)</f>
        <v>13.933917790091805</v>
      </c>
      <c r="U224" s="441">
        <v>10000000</v>
      </c>
      <c r="V224" s="206">
        <v>35352</v>
      </c>
      <c r="W224" s="206" t="s">
        <v>2594</v>
      </c>
      <c r="X224" s="206" t="s">
        <v>2595</v>
      </c>
      <c r="Y224" s="206">
        <v>2000</v>
      </c>
      <c r="Z224" s="206">
        <v>2000</v>
      </c>
      <c r="AA224" s="206">
        <v>0</v>
      </c>
      <c r="AB224" s="206">
        <v>0</v>
      </c>
      <c r="AC224" s="206">
        <v>2000</v>
      </c>
      <c r="AD224" s="206">
        <v>19</v>
      </c>
      <c r="AE224" s="206">
        <v>0</v>
      </c>
    </row>
    <row r="225" spans="1:31">
      <c r="A225" s="382">
        <v>2031</v>
      </c>
      <c r="B225" s="386" t="s">
        <v>1940</v>
      </c>
      <c r="C225" s="382">
        <v>20314</v>
      </c>
      <c r="D225" s="388">
        <v>41628</v>
      </c>
      <c r="E225" s="388">
        <v>43454</v>
      </c>
      <c r="F225" s="384">
        <v>500000000</v>
      </c>
      <c r="G225" s="414">
        <v>479000000</v>
      </c>
      <c r="H225" s="385">
        <v>0.96</v>
      </c>
      <c r="I225" s="436">
        <v>804</v>
      </c>
      <c r="J225" s="206">
        <v>108.1</v>
      </c>
      <c r="K225" s="206">
        <v>16.2</v>
      </c>
      <c r="L225" s="206">
        <f>VLOOKUP(2031,收盤價!A:C,3,0)</f>
        <v>17.3</v>
      </c>
      <c r="M225" s="206">
        <v>6173</v>
      </c>
      <c r="N225" s="206">
        <v>107.71884999999999</v>
      </c>
      <c r="O225" s="438">
        <v>3.5000000000000001E-3</v>
      </c>
      <c r="P225" s="438">
        <v>7.1599999999999997E-2</v>
      </c>
      <c r="Q225" s="438">
        <v>-5.7118126399575368E-4</v>
      </c>
      <c r="R225" s="206">
        <f>VLOOKUP(20314,V:AE,9,0)</f>
        <v>88</v>
      </c>
      <c r="S225" s="206">
        <f>VLOOKUP(2031,季財報!A:N,5,0)</f>
        <v>3</v>
      </c>
      <c r="T225" s="206">
        <f>VLOOKUP(2031,季財報!A:N,4,0)</f>
        <v>8.8705194556258391</v>
      </c>
      <c r="U225" s="441">
        <v>5443181.8181818184</v>
      </c>
      <c r="V225" s="206">
        <v>30861</v>
      </c>
      <c r="W225" s="206" t="s">
        <v>2546</v>
      </c>
      <c r="X225" s="206" t="s">
        <v>2547</v>
      </c>
      <c r="Y225" s="206">
        <v>2568</v>
      </c>
      <c r="Z225" s="206">
        <v>2574</v>
      </c>
      <c r="AA225" s="206">
        <v>-6</v>
      </c>
      <c r="AB225" s="206">
        <v>-0.23</v>
      </c>
      <c r="AC225" s="206">
        <v>3000</v>
      </c>
      <c r="AD225" s="206">
        <v>18</v>
      </c>
      <c r="AE225" s="206">
        <v>0</v>
      </c>
    </row>
    <row r="226" spans="1:31" ht="16.5">
      <c r="A226" s="383">
        <v>2006</v>
      </c>
      <c r="B226" s="383" t="s">
        <v>1939</v>
      </c>
      <c r="C226" s="383">
        <v>20066</v>
      </c>
      <c r="D226" s="388">
        <v>41218</v>
      </c>
      <c r="E226" s="388">
        <v>43044</v>
      </c>
      <c r="F226" s="384">
        <v>2500000000</v>
      </c>
      <c r="G226" s="414">
        <v>2482200000</v>
      </c>
      <c r="H226" s="385">
        <v>0.99</v>
      </c>
      <c r="I226" s="436">
        <v>394</v>
      </c>
      <c r="J226" s="206">
        <v>102.9</v>
      </c>
      <c r="K226" s="206">
        <v>23.75</v>
      </c>
      <c r="L226" s="206">
        <f>VLOOKUP(2006,收盤價!A:C,3,0)</f>
        <v>19.8</v>
      </c>
      <c r="M226" s="206">
        <v>4211</v>
      </c>
      <c r="N226" s="206">
        <v>100</v>
      </c>
      <c r="O226" s="438">
        <v>2.8199999999999999E-2</v>
      </c>
      <c r="P226" s="438">
        <v>-0.25</v>
      </c>
      <c r="Q226" s="438">
        <v>-5.282799756941825E-2</v>
      </c>
      <c r="R226" s="206">
        <f>VLOOKUP(20066,V:AE,9,0)</f>
        <v>42</v>
      </c>
      <c r="S226" s="206">
        <f>VLOOKUP(2006,季財報!A:N,5,0)</f>
        <v>5</v>
      </c>
      <c r="T226" s="206">
        <f>VLOOKUP(2006,季財報!A:N,4,0)</f>
        <v>8.1789023521026394</v>
      </c>
      <c r="U226" s="441">
        <v>59100000</v>
      </c>
      <c r="V226" s="206">
        <v>24268</v>
      </c>
      <c r="W226" s="206" t="s">
        <v>3123</v>
      </c>
      <c r="X226" s="206" t="s">
        <v>3124</v>
      </c>
      <c r="Y226" s="206">
        <v>875</v>
      </c>
      <c r="Z226" s="206">
        <v>875</v>
      </c>
      <c r="AA226" s="206">
        <v>0</v>
      </c>
      <c r="AB226" s="206">
        <v>0</v>
      </c>
      <c r="AC226" s="206">
        <v>3000</v>
      </c>
      <c r="AD226" s="206">
        <v>28</v>
      </c>
      <c r="AE226" s="206">
        <v>0</v>
      </c>
    </row>
    <row r="227" spans="1:31" ht="16.149999999999999" customHeight="1">
      <c r="A227" s="383">
        <v>1909</v>
      </c>
      <c r="B227" s="383" t="s">
        <v>1938</v>
      </c>
      <c r="C227" s="383">
        <v>19093</v>
      </c>
      <c r="D227" s="388">
        <v>41856</v>
      </c>
      <c r="E227" s="388">
        <v>42952</v>
      </c>
      <c r="F227" s="384">
        <v>1600000000</v>
      </c>
      <c r="G227" s="414">
        <v>1599000000</v>
      </c>
      <c r="H227" s="385">
        <v>1</v>
      </c>
      <c r="I227" s="436">
        <v>302</v>
      </c>
      <c r="J227" s="206">
        <v>104.1</v>
      </c>
      <c r="K227" s="206">
        <v>15.5</v>
      </c>
      <c r="L227" s="206">
        <f>VLOOKUP(1909,收盤價!A:C,3,0)</f>
        <v>15.25</v>
      </c>
      <c r="M227" s="206">
        <v>6452</v>
      </c>
      <c r="N227" s="206">
        <v>100</v>
      </c>
      <c r="O227" s="438">
        <v>3.9399999999999998E-2</v>
      </c>
      <c r="P227" s="438">
        <v>-9.7999999999999997E-3</v>
      </c>
      <c r="Q227" s="438">
        <v>-7.5363297606562407E-3</v>
      </c>
      <c r="R227" s="206">
        <f>VLOOKUP(19093,V:AE,9,0)</f>
        <v>131</v>
      </c>
      <c r="S227" s="206">
        <f>VLOOKUP(1909,季財報!A:N,5,0)</f>
        <v>5</v>
      </c>
      <c r="T227" s="206">
        <f>VLOOKUP(1909,季財報!A:N,4,0)</f>
        <v>5.8819406851751603</v>
      </c>
      <c r="U227" s="441">
        <v>12206106.870229008</v>
      </c>
      <c r="V227" s="206">
        <v>233201</v>
      </c>
      <c r="W227" s="206" t="s">
        <v>2439</v>
      </c>
      <c r="X227" s="206" t="s">
        <v>2440</v>
      </c>
      <c r="Y227" s="206">
        <v>12000</v>
      </c>
      <c r="Z227" s="206">
        <v>12000</v>
      </c>
      <c r="AA227" s="206">
        <v>0</v>
      </c>
      <c r="AB227" s="206">
        <v>0</v>
      </c>
      <c r="AC227" s="206">
        <v>12000</v>
      </c>
      <c r="AD227" s="206">
        <v>50</v>
      </c>
      <c r="AE227" s="206">
        <v>0</v>
      </c>
    </row>
    <row r="228" spans="1:31" ht="16.5">
      <c r="A228" s="387">
        <v>1815</v>
      </c>
      <c r="B228" s="387" t="s">
        <v>1768</v>
      </c>
      <c r="C228" s="387">
        <v>18154</v>
      </c>
      <c r="D228" s="388">
        <v>41540</v>
      </c>
      <c r="E228" s="388">
        <v>43366</v>
      </c>
      <c r="F228" s="384">
        <v>500000000</v>
      </c>
      <c r="G228" s="414">
        <v>299900000</v>
      </c>
      <c r="H228" s="385">
        <v>0.6</v>
      </c>
      <c r="I228" s="436">
        <v>716</v>
      </c>
      <c r="J228" s="206">
        <v>114</v>
      </c>
      <c r="K228" s="206">
        <v>12.17</v>
      </c>
      <c r="L228" s="206">
        <f>VLOOKUP(1815,收盤價!A:C,3,0)</f>
        <v>13.25</v>
      </c>
      <c r="M228" s="206">
        <v>8217</v>
      </c>
      <c r="N228" s="206">
        <v>112.57289999999999</v>
      </c>
      <c r="O228" s="438">
        <v>1.2500000000000001E-2</v>
      </c>
      <c r="P228" s="438">
        <v>0.11169999999999999</v>
      </c>
      <c r="Q228" s="438">
        <v>-1.5234782831485554E-3</v>
      </c>
      <c r="R228" s="206">
        <f>VLOOKUP(18154,V:AE,9,0)</f>
        <v>76</v>
      </c>
      <c r="S228" s="206">
        <f>VLOOKUP(1815,季財報!A:N,5,0)</f>
        <v>1</v>
      </c>
      <c r="T228" s="206">
        <f>VLOOKUP(1815,季財報!A:N,4,0)</f>
        <v>21.696496572734194</v>
      </c>
      <c r="U228" s="441">
        <v>3946052.6315789474</v>
      </c>
      <c r="V228" s="206">
        <v>54913</v>
      </c>
      <c r="W228" s="206" t="s">
        <v>2736</v>
      </c>
      <c r="X228" s="206" t="s">
        <v>2737</v>
      </c>
      <c r="Y228" s="206">
        <v>481</v>
      </c>
      <c r="Z228" s="206">
        <v>481</v>
      </c>
      <c r="AA228" s="206">
        <v>0</v>
      </c>
      <c r="AB228" s="206">
        <v>0</v>
      </c>
      <c r="AC228" s="206">
        <v>3000</v>
      </c>
      <c r="AD228" s="206">
        <v>5</v>
      </c>
      <c r="AE228" s="206">
        <v>0</v>
      </c>
    </row>
    <row r="229" spans="1:31" ht="16.5">
      <c r="A229" s="383">
        <v>1808</v>
      </c>
      <c r="B229" s="383" t="s">
        <v>1937</v>
      </c>
      <c r="C229" s="383">
        <v>18083</v>
      </c>
      <c r="D229" s="388">
        <v>41526</v>
      </c>
      <c r="E229" s="388">
        <v>43352</v>
      </c>
      <c r="F229" s="384">
        <v>1500000000</v>
      </c>
      <c r="G229" s="414">
        <v>1406500000</v>
      </c>
      <c r="H229" s="385">
        <v>0.94</v>
      </c>
      <c r="I229" s="436">
        <v>702</v>
      </c>
      <c r="J229" s="206">
        <v>140</v>
      </c>
      <c r="K229" s="206">
        <v>23.2</v>
      </c>
      <c r="L229" s="206">
        <f>VLOOKUP(1808,收盤價!A:C,3,0)</f>
        <v>33.200000000000003</v>
      </c>
      <c r="M229" s="206">
        <v>4310</v>
      </c>
      <c r="N229" s="206">
        <v>140.07499999999999</v>
      </c>
      <c r="O229" s="438">
        <v>-5.0000000000000001E-4</v>
      </c>
      <c r="P229" s="438">
        <v>0.28620000000000001</v>
      </c>
      <c r="Q229" s="438">
        <v>1.2429565793833523E-4</v>
      </c>
      <c r="R229" s="206">
        <f>VLOOKUP(18083,V:AE,9,0)</f>
        <v>17</v>
      </c>
      <c r="S229" s="206">
        <f>VLOOKUP(1808,季財報!A:N,5,0)</f>
        <v>3</v>
      </c>
      <c r="T229" s="206">
        <f>VLOOKUP(1808,季財報!A:N,4,0)</f>
        <v>8.7995370370370374</v>
      </c>
      <c r="U229" s="441">
        <v>82735294.117647052</v>
      </c>
      <c r="V229" s="206">
        <v>24194</v>
      </c>
      <c r="W229" s="206" t="s">
        <v>3121</v>
      </c>
      <c r="X229" s="206" t="s">
        <v>3122</v>
      </c>
      <c r="Y229" s="206">
        <v>5000</v>
      </c>
      <c r="Z229" s="206">
        <v>5000</v>
      </c>
      <c r="AA229" s="206">
        <v>0</v>
      </c>
      <c r="AB229" s="206">
        <v>0</v>
      </c>
      <c r="AC229" s="206">
        <v>5000</v>
      </c>
      <c r="AD229" s="206">
        <v>21</v>
      </c>
      <c r="AE229" s="206">
        <v>0</v>
      </c>
    </row>
    <row r="230" spans="1:31" ht="15.6" customHeight="1">
      <c r="A230" s="383">
        <v>1733</v>
      </c>
      <c r="B230" s="383" t="s">
        <v>1936</v>
      </c>
      <c r="C230" s="383">
        <v>17332</v>
      </c>
      <c r="D230" s="388">
        <v>42200</v>
      </c>
      <c r="E230" s="388">
        <v>43296</v>
      </c>
      <c r="F230" s="384">
        <v>400000000</v>
      </c>
      <c r="G230" s="414">
        <v>344700000</v>
      </c>
      <c r="H230" s="385">
        <v>0.86</v>
      </c>
      <c r="I230" s="436">
        <v>646</v>
      </c>
      <c r="J230" s="206">
        <v>106</v>
      </c>
      <c r="K230" s="206">
        <v>44.4</v>
      </c>
      <c r="L230" s="206">
        <f>VLOOKUP(1733,收盤價!A:C,3,0)</f>
        <v>41.65</v>
      </c>
      <c r="M230" s="206">
        <v>2252</v>
      </c>
      <c r="N230" s="206">
        <v>100</v>
      </c>
      <c r="O230" s="438">
        <v>5.6599999999999998E-2</v>
      </c>
      <c r="P230" s="438">
        <v>-1.0200000000000001E-2</v>
      </c>
      <c r="Q230" s="438">
        <v>-2.9427092060725895E-2</v>
      </c>
      <c r="R230" s="206">
        <f>VLOOKUP(17332,V:AE,9,0)</f>
        <v>56</v>
      </c>
      <c r="S230" s="206">
        <f>VLOOKUP(1733,季財報!A:N,5,0)</f>
        <v>4</v>
      </c>
      <c r="T230" s="206">
        <f>VLOOKUP(1733,季財報!A:N,4,0)</f>
        <v>16.222005842259005</v>
      </c>
      <c r="U230" s="441">
        <v>6155357.1428571427</v>
      </c>
      <c r="V230" s="206">
        <v>26105</v>
      </c>
      <c r="W230" s="206" t="s">
        <v>2493</v>
      </c>
      <c r="X230" s="206" t="s">
        <v>2494</v>
      </c>
      <c r="Y230" s="206">
        <v>26843</v>
      </c>
      <c r="Z230" s="206">
        <v>26843</v>
      </c>
      <c r="AA230" s="206">
        <v>0</v>
      </c>
      <c r="AB230" s="206">
        <v>0</v>
      </c>
      <c r="AC230" s="206">
        <v>60000</v>
      </c>
      <c r="AD230" s="206">
        <v>71</v>
      </c>
      <c r="AE230" s="206">
        <v>0</v>
      </c>
    </row>
    <row r="231" spans="1:31" ht="15.6" customHeight="1">
      <c r="A231" s="383">
        <v>1730</v>
      </c>
      <c r="B231" s="383" t="s">
        <v>1935</v>
      </c>
      <c r="C231" s="383">
        <v>17301</v>
      </c>
      <c r="D231" s="388">
        <v>42402</v>
      </c>
      <c r="E231" s="388">
        <v>43498</v>
      </c>
      <c r="F231" s="384">
        <v>200000000</v>
      </c>
      <c r="G231" s="414">
        <v>200000000</v>
      </c>
      <c r="H231" s="385">
        <v>1</v>
      </c>
      <c r="I231" s="436">
        <v>848</v>
      </c>
      <c r="J231" s="206">
        <v>111.85</v>
      </c>
      <c r="K231" s="206">
        <v>34.5</v>
      </c>
      <c r="L231" s="206">
        <f>VLOOKUP(1730,收盤價!A:C,3,0)</f>
        <v>36.049999999999997</v>
      </c>
      <c r="M231" s="206">
        <v>2899</v>
      </c>
      <c r="N231" s="206">
        <v>105.52359999999999</v>
      </c>
      <c r="O231" s="438">
        <v>5.6599999999999998E-2</v>
      </c>
      <c r="P231" s="438">
        <v>5.2200000000000003E-2</v>
      </c>
      <c r="Q231" s="438">
        <v>-1.9510681700393641E-2</v>
      </c>
      <c r="R231" s="206">
        <f>VLOOKUP(17301,V:AE,9,0)</f>
        <v>22</v>
      </c>
      <c r="S231" s="206">
        <f>VLOOKUP(1730,季財報!A:N,5,0)</f>
        <v>2</v>
      </c>
      <c r="T231" s="206">
        <f>VLOOKUP(1730,季財報!A:N,4,0)</f>
        <v>17.739056991774383</v>
      </c>
      <c r="U231" s="441">
        <v>9090909.0909090918</v>
      </c>
      <c r="V231" s="206">
        <v>47143</v>
      </c>
      <c r="W231" s="206" t="s">
        <v>2681</v>
      </c>
      <c r="X231" s="206" t="s">
        <v>2682</v>
      </c>
      <c r="Y231" s="206">
        <v>1346</v>
      </c>
      <c r="Z231" s="206">
        <v>1346</v>
      </c>
      <c r="AA231" s="206">
        <v>0</v>
      </c>
      <c r="AB231" s="206">
        <v>0</v>
      </c>
      <c r="AC231" s="206">
        <v>1500</v>
      </c>
      <c r="AD231" s="206">
        <v>13</v>
      </c>
      <c r="AE231" s="206">
        <v>0</v>
      </c>
    </row>
    <row r="232" spans="1:31" ht="16.5">
      <c r="A232" s="383">
        <v>1715</v>
      </c>
      <c r="B232" s="383" t="s">
        <v>1934</v>
      </c>
      <c r="C232" s="383">
        <v>17153</v>
      </c>
      <c r="D232" s="388">
        <v>42152</v>
      </c>
      <c r="E232" s="388">
        <v>43979</v>
      </c>
      <c r="F232" s="384">
        <v>700000000</v>
      </c>
      <c r="G232" s="414">
        <v>700000000</v>
      </c>
      <c r="H232" s="385">
        <v>1</v>
      </c>
      <c r="I232" s="436">
        <v>1329</v>
      </c>
      <c r="J232" s="206">
        <v>103</v>
      </c>
      <c r="K232" s="206">
        <v>16.48</v>
      </c>
      <c r="L232" s="206">
        <f>VLOOKUP(1715,收盤價!A:C,3,0)</f>
        <v>11</v>
      </c>
      <c r="M232" s="206">
        <v>6068</v>
      </c>
      <c r="N232" s="206">
        <v>100</v>
      </c>
      <c r="O232" s="438">
        <v>2.9100000000000001E-2</v>
      </c>
      <c r="P232" s="438">
        <v>-0.49819999999999998</v>
      </c>
      <c r="Q232" s="438">
        <v>-5.8002828781895811E-2</v>
      </c>
      <c r="R232" s="206">
        <f>VLOOKUP(17153,V:AE,9,0)</f>
        <v>35</v>
      </c>
      <c r="S232" s="206">
        <f>VLOOKUP(1715,季財報!A:N,5,0)</f>
        <v>1</v>
      </c>
      <c r="T232" s="206">
        <f>VLOOKUP(1715,季財報!A:N,4,0)</f>
        <v>0</v>
      </c>
      <c r="U232" s="441">
        <v>20000000</v>
      </c>
      <c r="V232" s="206">
        <v>30476</v>
      </c>
      <c r="W232" s="206" t="s">
        <v>2540</v>
      </c>
      <c r="X232" s="206" t="s">
        <v>2541</v>
      </c>
      <c r="Y232" s="206">
        <v>3055</v>
      </c>
      <c r="Z232" s="206">
        <v>3055</v>
      </c>
      <c r="AA232" s="206">
        <v>0</v>
      </c>
      <c r="AB232" s="206">
        <v>0</v>
      </c>
      <c r="AC232" s="206">
        <v>4000</v>
      </c>
      <c r="AD232" s="206">
        <v>41</v>
      </c>
      <c r="AE232" s="206">
        <v>0</v>
      </c>
    </row>
    <row r="233" spans="1:31" ht="16.5">
      <c r="A233" s="387">
        <v>1715</v>
      </c>
      <c r="B233" s="387" t="s">
        <v>1934</v>
      </c>
      <c r="C233" s="387">
        <v>17152</v>
      </c>
      <c r="D233" s="388">
        <v>41628</v>
      </c>
      <c r="E233" s="388">
        <v>43454</v>
      </c>
      <c r="F233" s="384">
        <v>700000000</v>
      </c>
      <c r="G233" s="414">
        <v>128400000</v>
      </c>
      <c r="H233" s="385">
        <v>0.18</v>
      </c>
      <c r="I233" s="436">
        <v>804</v>
      </c>
      <c r="J233" s="206">
        <v>101.8</v>
      </c>
      <c r="K233" s="206">
        <v>14.16</v>
      </c>
      <c r="L233" s="206">
        <f>VLOOKUP(1715,收盤價!A:C,3,0)</f>
        <v>11</v>
      </c>
      <c r="M233" s="206">
        <v>7062</v>
      </c>
      <c r="N233" s="206">
        <v>100</v>
      </c>
      <c r="O233" s="438">
        <v>1.77E-2</v>
      </c>
      <c r="P233" s="438">
        <v>-0.2873</v>
      </c>
      <c r="Q233" s="438">
        <v>-3.3547935518080378E-2</v>
      </c>
      <c r="R233" s="206">
        <f>VLOOKUP(17152,V:AE,9,0)</f>
        <v>25</v>
      </c>
      <c r="S233" s="206">
        <f>VLOOKUP(1715,季財報!A:N,5,0)</f>
        <v>1</v>
      </c>
      <c r="T233" s="206">
        <f>VLOOKUP(1715,季財報!A:N,4,0)</f>
        <v>0</v>
      </c>
      <c r="U233" s="441">
        <v>5136000</v>
      </c>
      <c r="V233" s="206">
        <v>36311</v>
      </c>
      <c r="W233" s="206" t="s">
        <v>2617</v>
      </c>
      <c r="X233" s="206" t="s">
        <v>2618</v>
      </c>
      <c r="Y233" s="206">
        <v>113</v>
      </c>
      <c r="Z233" s="206">
        <v>113</v>
      </c>
      <c r="AA233" s="206">
        <v>0</v>
      </c>
      <c r="AB233" s="206">
        <v>0</v>
      </c>
      <c r="AC233" s="206">
        <v>3000</v>
      </c>
      <c r="AD233" s="206">
        <v>4</v>
      </c>
      <c r="AE233" s="206">
        <v>0</v>
      </c>
    </row>
    <row r="234" spans="1:31" ht="16.5">
      <c r="A234" s="383">
        <v>1712</v>
      </c>
      <c r="B234" s="383" t="s">
        <v>1933</v>
      </c>
      <c r="C234" s="383">
        <v>17121</v>
      </c>
      <c r="D234" s="388">
        <v>41501</v>
      </c>
      <c r="E234" s="388">
        <v>43327</v>
      </c>
      <c r="F234" s="384">
        <v>1200000000</v>
      </c>
      <c r="G234" s="414">
        <v>998300000</v>
      </c>
      <c r="H234" s="385">
        <v>0.83</v>
      </c>
      <c r="I234" s="436">
        <v>677</v>
      </c>
      <c r="J234" s="206">
        <v>111</v>
      </c>
      <c r="K234" s="206">
        <v>13.83</v>
      </c>
      <c r="L234" s="206">
        <f>VLOOKUP(1712,收盤價!A:C,3,0)</f>
        <v>15.45</v>
      </c>
      <c r="M234" s="206">
        <v>7231</v>
      </c>
      <c r="N234" s="206">
        <v>111.71894999999999</v>
      </c>
      <c r="O234" s="438">
        <v>-6.4999999999999997E-3</v>
      </c>
      <c r="P234" s="438">
        <v>0.10489999999999999</v>
      </c>
      <c r="Q234" s="438">
        <v>8.9573046978661246E-4</v>
      </c>
      <c r="R234" s="206">
        <f>VLOOKUP(17121,V:AE,9,0)</f>
        <v>112</v>
      </c>
      <c r="S234" s="206">
        <f>VLOOKUP(1712,季財報!A:N,5,0)</f>
        <v>2</v>
      </c>
      <c r="T234" s="206">
        <f>VLOOKUP(1712,季財報!A:N,4,0)</f>
        <v>9.4207317073170724</v>
      </c>
      <c r="U234" s="441">
        <v>8913392.8571428563</v>
      </c>
      <c r="V234" s="206">
        <v>47362</v>
      </c>
      <c r="W234" s="206" t="s">
        <v>2684</v>
      </c>
      <c r="X234" s="206" t="s">
        <v>2685</v>
      </c>
      <c r="Y234" s="206">
        <v>5998</v>
      </c>
      <c r="Z234" s="206">
        <v>5998</v>
      </c>
      <c r="AA234" s="206">
        <v>0</v>
      </c>
      <c r="AB234" s="206">
        <v>0</v>
      </c>
      <c r="AC234" s="206">
        <v>6000</v>
      </c>
      <c r="AD234" s="206">
        <v>15</v>
      </c>
      <c r="AE234" s="206">
        <v>0</v>
      </c>
    </row>
    <row r="235" spans="1:31" ht="16.5">
      <c r="A235" s="383">
        <v>1709</v>
      </c>
      <c r="B235" s="383" t="s">
        <v>1932</v>
      </c>
      <c r="C235" s="383">
        <v>17091</v>
      </c>
      <c r="D235" s="388">
        <v>41690</v>
      </c>
      <c r="E235" s="388">
        <v>43516</v>
      </c>
      <c r="F235" s="384">
        <v>700000000</v>
      </c>
      <c r="G235" s="414">
        <v>557800000</v>
      </c>
      <c r="H235" s="385">
        <v>0.8</v>
      </c>
      <c r="I235" s="436">
        <v>866</v>
      </c>
      <c r="J235" s="206">
        <v>127.9</v>
      </c>
      <c r="K235" s="206">
        <v>13.2</v>
      </c>
      <c r="L235" s="206">
        <f>VLOOKUP(1709,收盤價!A:C,3,0)</f>
        <v>17.100000000000001</v>
      </c>
      <c r="M235" s="206">
        <v>7576</v>
      </c>
      <c r="N235" s="206">
        <v>128.792</v>
      </c>
      <c r="O235" s="438">
        <v>-7.0000000000000001E-3</v>
      </c>
      <c r="P235" s="438">
        <v>0.2235</v>
      </c>
      <c r="Q235" s="438">
        <v>9.2056475615767718E-4</v>
      </c>
      <c r="R235" s="206">
        <f>VLOOKUP(17091,V:AE,9,0)</f>
        <v>44</v>
      </c>
      <c r="S235" s="206">
        <f>VLOOKUP(1709,季財報!A:N,5,0)</f>
        <v>4</v>
      </c>
      <c r="T235" s="206">
        <f>VLOOKUP(1709,季財報!A:N,4,0)</f>
        <v>7.2028883762912459</v>
      </c>
      <c r="U235" s="441">
        <v>12677272.727272727</v>
      </c>
      <c r="V235" s="206">
        <v>17153</v>
      </c>
      <c r="W235" s="206" t="s">
        <v>2413</v>
      </c>
      <c r="X235" s="206" t="s">
        <v>2409</v>
      </c>
      <c r="Y235" s="206">
        <v>7000</v>
      </c>
      <c r="Z235" s="206">
        <v>7000</v>
      </c>
      <c r="AA235" s="206">
        <v>0</v>
      </c>
      <c r="AB235" s="206">
        <v>0</v>
      </c>
      <c r="AC235" s="206">
        <v>7000</v>
      </c>
      <c r="AD235" s="206">
        <v>35</v>
      </c>
      <c r="AE235" s="206">
        <v>0</v>
      </c>
    </row>
    <row r="236" spans="1:31" ht="16.5">
      <c r="A236" s="387">
        <v>1707</v>
      </c>
      <c r="B236" s="387" t="s">
        <v>1931</v>
      </c>
      <c r="C236" s="387">
        <v>17071</v>
      </c>
      <c r="D236" s="388">
        <v>42242</v>
      </c>
      <c r="E236" s="388">
        <v>43338</v>
      </c>
      <c r="F236" s="384">
        <v>1000000000</v>
      </c>
      <c r="G236" s="414">
        <v>382900000</v>
      </c>
      <c r="H236" s="385">
        <v>0.38</v>
      </c>
      <c r="I236" s="436">
        <v>688</v>
      </c>
      <c r="J236" s="206">
        <v>160</v>
      </c>
      <c r="K236" s="206">
        <v>165.9</v>
      </c>
      <c r="L236" s="206">
        <f>VLOOKUP(1707,收盤價!A:C,3,0)</f>
        <v>275</v>
      </c>
      <c r="M236" s="206">
        <v>603</v>
      </c>
      <c r="N236" s="206">
        <v>161.001</v>
      </c>
      <c r="O236" s="438">
        <v>-6.3E-3</v>
      </c>
      <c r="P236" s="438">
        <v>0.37869999999999998</v>
      </c>
      <c r="Q236" s="438">
        <v>1.0375207296848998E-2</v>
      </c>
      <c r="R236" s="206">
        <f>VLOOKUP(17071,V:AE,9,0)</f>
        <v>59</v>
      </c>
      <c r="S236" s="206">
        <f>VLOOKUP(1707,季財報!A:N,5,0)</f>
        <v>2</v>
      </c>
      <c r="T236" s="206">
        <f>VLOOKUP(1707,季財報!A:N,4,0)</f>
        <v>30.2863436123348</v>
      </c>
      <c r="U236" s="441">
        <v>6489830.5084745763</v>
      </c>
      <c r="V236" s="206">
        <v>25151</v>
      </c>
      <c r="W236" s="206" t="s">
        <v>2474</v>
      </c>
      <c r="X236" s="206" t="s">
        <v>2475</v>
      </c>
      <c r="Y236" s="206">
        <v>3000</v>
      </c>
      <c r="Z236" s="206">
        <v>3000</v>
      </c>
      <c r="AA236" s="206">
        <v>0</v>
      </c>
      <c r="AB236" s="206">
        <v>0</v>
      </c>
      <c r="AC236" s="206">
        <v>3000</v>
      </c>
      <c r="AD236" s="206">
        <v>25</v>
      </c>
      <c r="AE236" s="206">
        <v>0</v>
      </c>
    </row>
    <row r="237" spans="1:31" ht="15.6" customHeight="1">
      <c r="A237" s="383">
        <v>1595</v>
      </c>
      <c r="B237" s="383" t="s">
        <v>1767</v>
      </c>
      <c r="C237" s="383">
        <v>15951</v>
      </c>
      <c r="D237" s="388">
        <v>42046</v>
      </c>
      <c r="E237" s="388">
        <v>43142</v>
      </c>
      <c r="F237" s="384">
        <v>240000000</v>
      </c>
      <c r="G237" s="414">
        <v>240000000</v>
      </c>
      <c r="H237" s="385">
        <v>1</v>
      </c>
      <c r="I237" s="436">
        <v>492</v>
      </c>
      <c r="J237" s="206">
        <v>96.8</v>
      </c>
      <c r="K237" s="206">
        <v>70.81</v>
      </c>
      <c r="L237" s="206">
        <f>VLOOKUP(1595,收盤價!A:C,3,0)</f>
        <v>38.799999999999997</v>
      </c>
      <c r="M237" s="206">
        <v>1412</v>
      </c>
      <c r="N237" s="206">
        <v>100</v>
      </c>
      <c r="O237" s="438">
        <v>-3.3099999999999997E-2</v>
      </c>
      <c r="P237" s="438">
        <v>-0.64100000000000001</v>
      </c>
      <c r="Q237" s="438">
        <v>-0.26245083464050761</v>
      </c>
      <c r="R237" s="206">
        <f>VLOOKUP(15951,V:AE,9,0)</f>
        <v>29</v>
      </c>
      <c r="S237" s="206">
        <f>VLOOKUP(1595,季財報!A:N,5,0)</f>
        <v>2</v>
      </c>
      <c r="T237" s="206">
        <f>VLOOKUP(1595,季財報!A:N,4,0)</f>
        <v>0</v>
      </c>
      <c r="U237" s="441">
        <v>8275862.068965517</v>
      </c>
      <c r="V237" s="206">
        <v>53093</v>
      </c>
      <c r="W237" s="206" t="s">
        <v>2727</v>
      </c>
      <c r="X237" s="206" t="s">
        <v>2728</v>
      </c>
      <c r="Y237" s="206">
        <v>827</v>
      </c>
      <c r="Z237" s="206">
        <v>827</v>
      </c>
      <c r="AA237" s="206">
        <v>0</v>
      </c>
      <c r="AB237" s="206">
        <v>0</v>
      </c>
      <c r="AC237" s="206">
        <v>4000</v>
      </c>
      <c r="AD237" s="206">
        <v>19</v>
      </c>
      <c r="AE237" s="206">
        <v>0</v>
      </c>
    </row>
    <row r="238" spans="1:31" ht="16.5">
      <c r="A238" s="383">
        <v>1593</v>
      </c>
      <c r="B238" s="383" t="s">
        <v>229</v>
      </c>
      <c r="C238" s="383">
        <v>15931</v>
      </c>
      <c r="D238" s="388">
        <v>42034</v>
      </c>
      <c r="E238" s="388">
        <v>43130</v>
      </c>
      <c r="F238" s="384">
        <v>60000000</v>
      </c>
      <c r="G238" s="414">
        <v>60000000</v>
      </c>
      <c r="H238" s="385">
        <v>1</v>
      </c>
      <c r="I238" s="436">
        <v>480</v>
      </c>
      <c r="J238" s="206">
        <v>106.55</v>
      </c>
      <c r="K238" s="206">
        <v>39.299999999999997</v>
      </c>
      <c r="L238" s="206">
        <f>VLOOKUP(1593,收盤價!A:C,3,0)</f>
        <v>38.25</v>
      </c>
      <c r="M238" s="206">
        <v>2545</v>
      </c>
      <c r="N238" s="206">
        <v>100</v>
      </c>
      <c r="O238" s="438">
        <v>6.1499999999999999E-2</v>
      </c>
      <c r="P238" s="438">
        <v>-1.29E-2</v>
      </c>
      <c r="Q238" s="438">
        <v>-2.8779021258824058E-2</v>
      </c>
      <c r="R238" s="206">
        <f>VLOOKUP(15931,V:AE,9,0)</f>
        <v>17</v>
      </c>
      <c r="S238" s="206">
        <f>VLOOKUP(1593,季財報!A:N,5,0)</f>
        <v>4</v>
      </c>
      <c r="T238" s="206">
        <f>VLOOKUP(1593,季財報!A:N,4,0)</f>
        <v>11.028180803571429</v>
      </c>
      <c r="U238" s="441">
        <v>3529411.7647058824</v>
      </c>
      <c r="V238" s="206">
        <v>61462</v>
      </c>
      <c r="W238" s="206" t="s">
        <v>2766</v>
      </c>
      <c r="X238" s="206" t="s">
        <v>2767</v>
      </c>
      <c r="Y238" s="206">
        <v>691</v>
      </c>
      <c r="Z238" s="206">
        <v>703</v>
      </c>
      <c r="AA238" s="206">
        <v>-12</v>
      </c>
      <c r="AB238" s="206">
        <v>-1.71</v>
      </c>
      <c r="AC238" s="206">
        <v>6000</v>
      </c>
      <c r="AD238" s="206">
        <v>14</v>
      </c>
      <c r="AE238" s="206">
        <v>0</v>
      </c>
    </row>
    <row r="239" spans="1:31" ht="15.6" customHeight="1">
      <c r="A239" s="383">
        <v>1589</v>
      </c>
      <c r="B239" s="383" t="s">
        <v>2301</v>
      </c>
      <c r="C239" s="383">
        <v>15892</v>
      </c>
      <c r="D239" s="388">
        <v>42234</v>
      </c>
      <c r="E239" s="388">
        <v>44061</v>
      </c>
      <c r="F239" s="384">
        <v>2500000000</v>
      </c>
      <c r="G239" s="414">
        <v>2500000000</v>
      </c>
      <c r="H239" s="385">
        <v>1</v>
      </c>
      <c r="I239" s="436">
        <v>1411</v>
      </c>
      <c r="J239" s="206">
        <v>103.3</v>
      </c>
      <c r="K239" s="206">
        <v>207.3</v>
      </c>
      <c r="L239" s="206">
        <f>VLOOKUP(1589,收盤價!A:C,3,0)</f>
        <v>132</v>
      </c>
      <c r="M239" s="206">
        <v>482</v>
      </c>
      <c r="N239" s="206">
        <v>100</v>
      </c>
      <c r="O239" s="438">
        <v>3.1899999999999998E-2</v>
      </c>
      <c r="P239" s="438">
        <v>-0.188</v>
      </c>
      <c r="Q239" s="438">
        <v>-0.38543419842299564</v>
      </c>
      <c r="R239" s="206">
        <f>VLOOKUP(15892,V:AE,9,0)</f>
        <v>132</v>
      </c>
      <c r="S239" s="206">
        <f>VLOOKUP(1589,季財報!A:N,5,0)</f>
        <v>2</v>
      </c>
      <c r="T239" s="206">
        <f>VLOOKUP(1589,季財報!A:N,4,0)</f>
        <v>14.411319436357283</v>
      </c>
      <c r="U239" s="441">
        <v>18939393.939393938</v>
      </c>
      <c r="V239" s="206">
        <v>35761</v>
      </c>
      <c r="W239" s="206" t="s">
        <v>2602</v>
      </c>
      <c r="X239" s="206" t="s">
        <v>2603</v>
      </c>
      <c r="Y239" s="206">
        <v>1640</v>
      </c>
      <c r="Z239" s="206">
        <v>1640</v>
      </c>
      <c r="AA239" s="206">
        <v>0</v>
      </c>
      <c r="AB239" s="206">
        <v>0</v>
      </c>
      <c r="AC239" s="206">
        <v>5000</v>
      </c>
      <c r="AD239" s="206">
        <v>21</v>
      </c>
      <c r="AE239" s="206">
        <v>0</v>
      </c>
    </row>
    <row r="240" spans="1:31" ht="15.6" customHeight="1">
      <c r="A240" s="383">
        <v>1589</v>
      </c>
      <c r="B240" s="383" t="s">
        <v>2301</v>
      </c>
      <c r="C240" s="383">
        <v>15891</v>
      </c>
      <c r="D240" s="388">
        <v>41793</v>
      </c>
      <c r="E240" s="388">
        <v>43619</v>
      </c>
      <c r="F240" s="384">
        <v>1500000000</v>
      </c>
      <c r="G240" s="414">
        <v>145100000</v>
      </c>
      <c r="H240" s="385">
        <v>0.1</v>
      </c>
      <c r="I240" s="436">
        <v>969</v>
      </c>
      <c r="J240" s="206">
        <v>147.15</v>
      </c>
      <c r="K240" s="206">
        <v>142.30000000000001</v>
      </c>
      <c r="L240" s="206">
        <f>VLOOKUP(1589,收盤價!A:C,3,0)</f>
        <v>132</v>
      </c>
      <c r="M240" s="206">
        <v>703</v>
      </c>
      <c r="N240" s="206">
        <v>122.6735</v>
      </c>
      <c r="O240" s="438">
        <v>0.1663</v>
      </c>
      <c r="P240" s="438">
        <v>0.1845</v>
      </c>
      <c r="Q240" s="438">
        <v>-0.2366103428392177</v>
      </c>
      <c r="R240" s="206">
        <f>VLOOKUP(15891,V:AE,9,0)</f>
        <v>11</v>
      </c>
      <c r="S240" s="206">
        <f>VLOOKUP(1589,季財報!A:N,5,0)</f>
        <v>2</v>
      </c>
      <c r="T240" s="206">
        <f>VLOOKUP(1589,季財報!A:N,4,0)</f>
        <v>14.411319436357283</v>
      </c>
      <c r="U240" s="441">
        <v>13190909.090909092</v>
      </c>
      <c r="V240" s="206">
        <v>17121</v>
      </c>
      <c r="W240" s="206" t="s">
        <v>2406</v>
      </c>
      <c r="X240" s="206" t="s">
        <v>2407</v>
      </c>
      <c r="Y240" s="206">
        <v>10164</v>
      </c>
      <c r="Z240" s="206">
        <v>10287</v>
      </c>
      <c r="AA240" s="206">
        <v>-123</v>
      </c>
      <c r="AB240" s="206">
        <v>-1.2</v>
      </c>
      <c r="AC240" s="206">
        <v>12000</v>
      </c>
      <c r="AD240" s="206">
        <v>112</v>
      </c>
      <c r="AE240" s="206">
        <v>0</v>
      </c>
    </row>
    <row r="241" spans="1:31" ht="16.149999999999999" customHeight="1">
      <c r="A241" s="382">
        <v>1586</v>
      </c>
      <c r="B241" s="386" t="s">
        <v>1760</v>
      </c>
      <c r="C241" s="382">
        <v>15861</v>
      </c>
      <c r="D241" s="388">
        <v>42017</v>
      </c>
      <c r="E241" s="388">
        <v>43113</v>
      </c>
      <c r="F241" s="384">
        <v>300000000</v>
      </c>
      <c r="G241" s="414">
        <v>159600000</v>
      </c>
      <c r="H241" s="385">
        <v>0.53</v>
      </c>
      <c r="I241" s="436">
        <v>463</v>
      </c>
      <c r="J241" s="206">
        <v>106</v>
      </c>
      <c r="K241" s="206">
        <v>26.5</v>
      </c>
      <c r="L241" s="206">
        <f>VLOOKUP(1586,收盤價!A:C,3,0)</f>
        <v>21.9</v>
      </c>
      <c r="M241" s="206">
        <v>3774</v>
      </c>
      <c r="N241" s="206">
        <v>100</v>
      </c>
      <c r="O241" s="438">
        <v>5.6599999999999998E-2</v>
      </c>
      <c r="P241" s="438">
        <v>-0.25590000000000002</v>
      </c>
      <c r="Q241" s="438">
        <v>-6.5914249432562425E-2</v>
      </c>
      <c r="R241" s="206">
        <f>VLOOKUP(15861,V:AE,9,0)</f>
        <v>24</v>
      </c>
      <c r="S241" s="206">
        <f>VLOOKUP(1586,季財報!A:N,5,0)</f>
        <v>0</v>
      </c>
      <c r="T241" s="206">
        <f>VLOOKUP(1586,季財報!A:N,4,0)</f>
        <v>0</v>
      </c>
      <c r="U241" s="441">
        <v>6650000</v>
      </c>
      <c r="V241" s="206">
        <v>24781</v>
      </c>
      <c r="W241" s="206" t="s">
        <v>2468</v>
      </c>
      <c r="X241" s="206" t="s">
        <v>2469</v>
      </c>
      <c r="Y241" s="206">
        <v>2230</v>
      </c>
      <c r="Z241" s="206">
        <v>2230</v>
      </c>
      <c r="AA241" s="206">
        <v>0</v>
      </c>
      <c r="AB241" s="206">
        <v>0</v>
      </c>
      <c r="AC241" s="206">
        <v>5625</v>
      </c>
      <c r="AD241" s="206">
        <v>50</v>
      </c>
      <c r="AE241" s="206">
        <v>0</v>
      </c>
    </row>
    <row r="242" spans="1:31" ht="15.6" customHeight="1">
      <c r="A242" s="383">
        <v>1583</v>
      </c>
      <c r="B242" s="383" t="s">
        <v>1930</v>
      </c>
      <c r="C242" s="383">
        <v>15831</v>
      </c>
      <c r="D242" s="388">
        <v>42074</v>
      </c>
      <c r="E242" s="388">
        <v>43901</v>
      </c>
      <c r="F242" s="384">
        <v>600000000</v>
      </c>
      <c r="G242" s="414">
        <v>600000000</v>
      </c>
      <c r="H242" s="385">
        <v>1</v>
      </c>
      <c r="I242" s="436">
        <v>1251</v>
      </c>
      <c r="J242" s="206">
        <v>100</v>
      </c>
      <c r="K242" s="206">
        <v>87.8</v>
      </c>
      <c r="L242" s="206">
        <f>VLOOKUP(1583,收盤價!A:C,3,0)</f>
        <v>57</v>
      </c>
      <c r="M242" s="206">
        <v>1139</v>
      </c>
      <c r="N242" s="206">
        <v>100</v>
      </c>
      <c r="O242" s="438">
        <v>0</v>
      </c>
      <c r="P242" s="438">
        <v>-0.47560000000000002</v>
      </c>
      <c r="Q242" s="438">
        <v>-0.28296312554872699</v>
      </c>
      <c r="R242" s="206">
        <f>VLOOKUP(15831,V:AE,9,0)</f>
        <v>57</v>
      </c>
      <c r="S242" s="206">
        <f>VLOOKUP(1583,季財報!A:N,5,0)</f>
        <v>1</v>
      </c>
      <c r="T242" s="206">
        <f>VLOOKUP(1583,季財報!A:N,4,0)</f>
        <v>31.487758945386066</v>
      </c>
      <c r="U242" s="441">
        <v>10526315.789473685</v>
      </c>
      <c r="V242" s="206">
        <v>30102</v>
      </c>
      <c r="W242" s="206" t="s">
        <v>2529</v>
      </c>
      <c r="X242" s="206" t="s">
        <v>2530</v>
      </c>
      <c r="Y242" s="206">
        <v>10000</v>
      </c>
      <c r="Z242" s="206">
        <v>10000</v>
      </c>
      <c r="AA242" s="206">
        <v>0</v>
      </c>
      <c r="AB242" s="206">
        <v>0</v>
      </c>
      <c r="AC242" s="206">
        <v>10000</v>
      </c>
      <c r="AD242" s="206">
        <v>48</v>
      </c>
      <c r="AE242" s="206">
        <v>0</v>
      </c>
    </row>
    <row r="243" spans="1:31" ht="16.5">
      <c r="A243" s="387">
        <v>1582</v>
      </c>
      <c r="B243" s="387" t="s">
        <v>1929</v>
      </c>
      <c r="C243" s="387">
        <v>15822</v>
      </c>
      <c r="D243" s="388">
        <v>42024</v>
      </c>
      <c r="E243" s="388">
        <v>43120</v>
      </c>
      <c r="F243" s="384">
        <v>800000000</v>
      </c>
      <c r="G243" s="414">
        <v>800000000</v>
      </c>
      <c r="H243" s="385">
        <v>1</v>
      </c>
      <c r="I243" s="436">
        <v>470</v>
      </c>
      <c r="J243" s="206">
        <v>106.2</v>
      </c>
      <c r="K243" s="206">
        <v>53.9</v>
      </c>
      <c r="L243" s="206">
        <f>VLOOKUP(1582,收盤價!A:C,3,0)</f>
        <v>53.3</v>
      </c>
      <c r="M243" s="206">
        <v>1855</v>
      </c>
      <c r="N243" s="206">
        <v>100</v>
      </c>
      <c r="O243" s="438">
        <v>5.8400000000000001E-2</v>
      </c>
      <c r="P243" s="438">
        <v>-2.0799999999999999E-2</v>
      </c>
      <c r="Q243" s="438">
        <v>-4.1908416708544671E-2</v>
      </c>
      <c r="R243" s="206">
        <f>VLOOKUP(15822,V:AE,9,0)</f>
        <v>67</v>
      </c>
      <c r="S243" s="206">
        <f>VLOOKUP(1582,季財報!A:N,5,0)</f>
        <v>3</v>
      </c>
      <c r="T243" s="206">
        <f>VLOOKUP(1582,季財報!A:N,4,0)</f>
        <v>12.386642156862743</v>
      </c>
      <c r="U243" s="441">
        <v>11940298.507462686</v>
      </c>
      <c r="V243" s="206">
        <v>23936</v>
      </c>
      <c r="W243" s="206" t="s">
        <v>2445</v>
      </c>
      <c r="X243" s="206" t="s">
        <v>2444</v>
      </c>
      <c r="Y243" s="206">
        <v>46066</v>
      </c>
      <c r="Z243" s="206">
        <v>46066</v>
      </c>
      <c r="AA243" s="206">
        <v>0</v>
      </c>
      <c r="AB243" s="206">
        <v>0</v>
      </c>
      <c r="AC243" s="206">
        <v>50000</v>
      </c>
      <c r="AD243" s="206">
        <v>94</v>
      </c>
      <c r="AE243" s="206">
        <v>0</v>
      </c>
    </row>
    <row r="244" spans="1:31" ht="16.5">
      <c r="A244" s="383">
        <v>1569</v>
      </c>
      <c r="B244" s="383" t="s">
        <v>228</v>
      </c>
      <c r="C244" s="383">
        <v>15695</v>
      </c>
      <c r="D244" s="388">
        <v>42039</v>
      </c>
      <c r="E244" s="388">
        <v>43135</v>
      </c>
      <c r="F244" s="384">
        <v>200000000</v>
      </c>
      <c r="G244" s="414">
        <v>200000000</v>
      </c>
      <c r="H244" s="385">
        <v>1</v>
      </c>
      <c r="I244" s="436">
        <v>485</v>
      </c>
      <c r="J244" s="206">
        <v>113</v>
      </c>
      <c r="K244" s="206">
        <v>22.4</v>
      </c>
      <c r="L244" s="206">
        <f>VLOOKUP(1569,收盤價!A:C,3,0)</f>
        <v>21.45</v>
      </c>
      <c r="M244" s="206">
        <v>4464</v>
      </c>
      <c r="N244" s="206">
        <v>100</v>
      </c>
      <c r="O244" s="438">
        <v>0.115</v>
      </c>
      <c r="P244" s="438">
        <v>-8.9999999999999993E-3</v>
      </c>
      <c r="Q244" s="438">
        <v>-2.7554159926412299E-2</v>
      </c>
      <c r="R244" s="206">
        <f>VLOOKUP(15695,V:AE,9,0)</f>
        <v>11</v>
      </c>
      <c r="S244" s="206">
        <f>VLOOKUP(1569,季財報!A:N,5,0)</f>
        <v>3</v>
      </c>
      <c r="T244" s="206">
        <f>VLOOKUP(1569,季財報!A:N,4,0)</f>
        <v>12.095864661654135</v>
      </c>
      <c r="U244" s="441">
        <v>18181818.181818184</v>
      </c>
      <c r="V244" s="206">
        <v>44161</v>
      </c>
      <c r="W244" s="206" t="s">
        <v>2668</v>
      </c>
      <c r="X244" s="206" t="s">
        <v>2669</v>
      </c>
      <c r="Y244" s="206">
        <v>9979</v>
      </c>
      <c r="Z244" s="206">
        <v>9979</v>
      </c>
      <c r="AA244" s="206">
        <v>0</v>
      </c>
      <c r="AB244" s="206">
        <v>0</v>
      </c>
      <c r="AC244" s="206">
        <v>10000</v>
      </c>
      <c r="AD244" s="206">
        <v>50</v>
      </c>
      <c r="AE244" s="206">
        <v>0</v>
      </c>
    </row>
    <row r="245" spans="1:31" ht="16.5">
      <c r="A245" s="383">
        <v>1566</v>
      </c>
      <c r="B245" s="383" t="s">
        <v>227</v>
      </c>
      <c r="C245" s="383">
        <v>15661</v>
      </c>
      <c r="D245" s="388">
        <v>41257</v>
      </c>
      <c r="E245" s="388">
        <v>43083</v>
      </c>
      <c r="F245" s="384">
        <v>500000000</v>
      </c>
      <c r="G245" s="414">
        <v>85300000</v>
      </c>
      <c r="H245" s="385">
        <v>0.17</v>
      </c>
      <c r="I245" s="436">
        <v>433</v>
      </c>
      <c r="J245" s="206">
        <v>104.95</v>
      </c>
      <c r="K245" s="206">
        <v>27.16</v>
      </c>
      <c r="L245" s="206">
        <f>VLOOKUP(1566,收盤價!A:C,3,0)</f>
        <v>18.25</v>
      </c>
      <c r="M245" s="206">
        <v>3682</v>
      </c>
      <c r="N245" s="206">
        <v>100</v>
      </c>
      <c r="O245" s="438">
        <v>4.7199999999999999E-2</v>
      </c>
      <c r="P245" s="438">
        <v>-0.39279999999999998</v>
      </c>
      <c r="Q245" s="438">
        <v>-8.5788763123796838E-2</v>
      </c>
      <c r="R245" s="206">
        <f>VLOOKUP(15661,V:AE,9,0)</f>
        <v>19</v>
      </c>
      <c r="S245" s="206">
        <f>VLOOKUP(1566,季財報!A:N,5,0)</f>
        <v>1</v>
      </c>
      <c r="T245" s="206">
        <f>VLOOKUP(1566,季財報!A:N,4,0)</f>
        <v>31.465517241379313</v>
      </c>
      <c r="U245" s="441">
        <v>4489473.6842105268</v>
      </c>
      <c r="V245" s="206">
        <v>47462</v>
      </c>
      <c r="W245" s="206" t="s">
        <v>2691</v>
      </c>
      <c r="X245" s="206" t="s">
        <v>2692</v>
      </c>
      <c r="Y245" s="206">
        <v>4086</v>
      </c>
      <c r="Z245" s="206">
        <v>4138</v>
      </c>
      <c r="AA245" s="206">
        <v>-52</v>
      </c>
      <c r="AB245" s="206">
        <v>-1.26</v>
      </c>
      <c r="AC245" s="206">
        <v>5000</v>
      </c>
      <c r="AD245" s="206">
        <v>43</v>
      </c>
      <c r="AE245" s="206">
        <v>0</v>
      </c>
    </row>
    <row r="246" spans="1:31" ht="15.6" customHeight="1">
      <c r="A246" s="383">
        <v>1530</v>
      </c>
      <c r="B246" s="383" t="s">
        <v>1928</v>
      </c>
      <c r="C246" s="383">
        <v>15302</v>
      </c>
      <c r="D246" s="388">
        <v>42138</v>
      </c>
      <c r="E246" s="388">
        <v>43965</v>
      </c>
      <c r="F246" s="384">
        <v>400000000</v>
      </c>
      <c r="G246" s="414">
        <v>400000000</v>
      </c>
      <c r="H246" s="385">
        <v>1</v>
      </c>
      <c r="I246" s="436">
        <v>1315</v>
      </c>
      <c r="J246" s="206">
        <v>102</v>
      </c>
      <c r="K246" s="206">
        <v>44.3</v>
      </c>
      <c r="L246" s="206">
        <f>VLOOKUP(1530,收盤價!A:C,3,0)</f>
        <v>28.5</v>
      </c>
      <c r="M246" s="206">
        <v>2257</v>
      </c>
      <c r="N246" s="206">
        <v>100</v>
      </c>
      <c r="O246" s="438">
        <v>1.9599999999999999E-2</v>
      </c>
      <c r="P246" s="438">
        <v>-0.52759999999999996</v>
      </c>
      <c r="Q246" s="438">
        <v>-0.15875229134631258</v>
      </c>
      <c r="R246" s="206">
        <f>VLOOKUP(15302,V:AE,9,0)</f>
        <v>26</v>
      </c>
      <c r="S246" s="206">
        <f>VLOOKUP(1530,季財報!A:N,5,0)</f>
        <v>4</v>
      </c>
      <c r="T246" s="206">
        <f>VLOOKUP(1530,季財報!A:N,4,0)</f>
        <v>13.738364361702128</v>
      </c>
      <c r="U246" s="441">
        <v>15384615.384615384</v>
      </c>
      <c r="V246" s="206">
        <v>61153</v>
      </c>
      <c r="W246" s="206" t="s">
        <v>2754</v>
      </c>
      <c r="X246" s="206" t="s">
        <v>2755</v>
      </c>
      <c r="Y246" s="206">
        <v>2277</v>
      </c>
      <c r="Z246" s="206">
        <v>2376</v>
      </c>
      <c r="AA246" s="206">
        <v>-99</v>
      </c>
      <c r="AB246" s="206">
        <v>-4.17</v>
      </c>
      <c r="AC246" s="206">
        <v>8000</v>
      </c>
      <c r="AD246" s="206">
        <v>22</v>
      </c>
      <c r="AE246" s="206">
        <v>0</v>
      </c>
    </row>
    <row r="247" spans="1:31" ht="15.6" customHeight="1">
      <c r="A247" s="383">
        <v>1506</v>
      </c>
      <c r="B247" s="383" t="s">
        <v>1927</v>
      </c>
      <c r="C247" s="383">
        <v>15061</v>
      </c>
      <c r="D247" s="388">
        <v>42027</v>
      </c>
      <c r="E247" s="388">
        <v>43123</v>
      </c>
      <c r="F247" s="384">
        <v>700000000</v>
      </c>
      <c r="G247" s="414">
        <v>699900000</v>
      </c>
      <c r="H247" s="385">
        <v>1</v>
      </c>
      <c r="I247" s="436">
        <v>473</v>
      </c>
      <c r="J247" s="206">
        <v>104</v>
      </c>
      <c r="K247" s="206">
        <v>24.18</v>
      </c>
      <c r="L247" s="206">
        <f>VLOOKUP(1506,收盤價!A:C,3,0)</f>
        <v>14.4</v>
      </c>
      <c r="M247" s="206">
        <v>4136</v>
      </c>
      <c r="N247" s="206">
        <v>100</v>
      </c>
      <c r="O247" s="438">
        <v>3.85E-2</v>
      </c>
      <c r="P247" s="438">
        <v>-0.67920000000000003</v>
      </c>
      <c r="Q247" s="438">
        <v>-0.10331795863710756</v>
      </c>
      <c r="R247" s="206">
        <f>VLOOKUP(15061,V:AE,9,0)</f>
        <v>18</v>
      </c>
      <c r="S247" s="206">
        <f>VLOOKUP(1506,季財報!A:N,5,0)</f>
        <v>2</v>
      </c>
      <c r="T247" s="206">
        <f>VLOOKUP(1506,季財報!A:N,4,0)</f>
        <v>0</v>
      </c>
      <c r="U247" s="441">
        <v>38883333.333333336</v>
      </c>
      <c r="V247" s="206">
        <v>61071</v>
      </c>
      <c r="W247" s="206" t="s">
        <v>2752</v>
      </c>
      <c r="X247" s="206" t="s">
        <v>2753</v>
      </c>
      <c r="Y247" s="206">
        <v>3977</v>
      </c>
      <c r="Z247" s="206">
        <v>3977</v>
      </c>
      <c r="AA247" s="206">
        <v>0</v>
      </c>
      <c r="AB247" s="206">
        <v>0</v>
      </c>
      <c r="AC247" s="206">
        <v>4000</v>
      </c>
      <c r="AD247" s="206">
        <v>21</v>
      </c>
      <c r="AE247" s="206">
        <v>0</v>
      </c>
    </row>
    <row r="248" spans="1:31" ht="16.5">
      <c r="A248" s="387">
        <v>1477</v>
      </c>
      <c r="B248" s="387" t="s">
        <v>1926</v>
      </c>
      <c r="C248" s="387">
        <v>14774</v>
      </c>
      <c r="D248" s="388">
        <v>41145</v>
      </c>
      <c r="E248" s="388">
        <v>42971</v>
      </c>
      <c r="F248" s="384">
        <v>700000000</v>
      </c>
      <c r="G248" s="414">
        <v>169400000</v>
      </c>
      <c r="H248" s="385">
        <v>0.24</v>
      </c>
      <c r="I248" s="436">
        <v>321</v>
      </c>
      <c r="J248" s="206">
        <v>208</v>
      </c>
      <c r="K248" s="206">
        <v>65.900000000000006</v>
      </c>
      <c r="L248" s="206">
        <f>VLOOKUP(1477,收盤價!A:C,3,0)</f>
        <v>133</v>
      </c>
      <c r="M248" s="206">
        <v>1517</v>
      </c>
      <c r="N248" s="206">
        <v>226.79150000000001</v>
      </c>
      <c r="O248" s="438">
        <v>-9.0300000000000005E-2</v>
      </c>
      <c r="P248" s="438">
        <v>0.55920000000000003</v>
      </c>
      <c r="Q248" s="438">
        <v>5.9554218852999372E-2</v>
      </c>
      <c r="R248" s="206">
        <f>VLOOKUP(14774,V:AE,9,0)</f>
        <v>63</v>
      </c>
      <c r="S248" s="206">
        <f>VLOOKUP(1477,季財報!A:N,5,0)</f>
        <v>0</v>
      </c>
      <c r="T248" s="206">
        <f>VLOOKUP(1477,季財報!A:N,4,0)</f>
        <v>23.175403225806456</v>
      </c>
      <c r="U248" s="441">
        <v>2688888.888888889</v>
      </c>
      <c r="V248" s="206">
        <v>24442</v>
      </c>
      <c r="W248" s="206" t="s">
        <v>2457</v>
      </c>
      <c r="X248" s="206" t="s">
        <v>2458</v>
      </c>
      <c r="Y248" s="206">
        <v>3000</v>
      </c>
      <c r="Z248" s="206">
        <v>3000</v>
      </c>
      <c r="AA248" s="206">
        <v>0</v>
      </c>
      <c r="AB248" s="206">
        <v>0</v>
      </c>
      <c r="AC248" s="206">
        <v>3000</v>
      </c>
      <c r="AD248" s="206">
        <v>25</v>
      </c>
      <c r="AE248" s="206">
        <v>0</v>
      </c>
    </row>
    <row r="249" spans="1:31" ht="16.5">
      <c r="A249" s="383">
        <v>1466</v>
      </c>
      <c r="B249" s="383" t="s">
        <v>1925</v>
      </c>
      <c r="C249" s="383">
        <v>14663</v>
      </c>
      <c r="D249" s="388">
        <v>41906</v>
      </c>
      <c r="E249" s="388">
        <v>43732</v>
      </c>
      <c r="F249" s="384">
        <v>400000000</v>
      </c>
      <c r="G249" s="414">
        <v>400000000</v>
      </c>
      <c r="H249" s="385">
        <v>1</v>
      </c>
      <c r="I249" s="436">
        <v>1082</v>
      </c>
      <c r="J249" s="206">
        <v>101</v>
      </c>
      <c r="K249" s="206">
        <v>21.8</v>
      </c>
      <c r="L249" s="206">
        <f>VLOOKUP(1466,收盤價!A:C,3,0)</f>
        <v>13.4</v>
      </c>
      <c r="M249" s="206">
        <v>4587</v>
      </c>
      <c r="N249" s="206">
        <v>100</v>
      </c>
      <c r="O249" s="438">
        <v>9.9000000000000008E-3</v>
      </c>
      <c r="P249" s="438">
        <v>-0.61480000000000001</v>
      </c>
      <c r="Q249" s="438">
        <v>-8.4344045915382901E-2</v>
      </c>
      <c r="R249" s="206">
        <f>VLOOKUP(14663,V:AE,9,0)</f>
        <v>30</v>
      </c>
      <c r="S249" s="206">
        <f>VLOOKUP(1466,季財報!A:N,5,0)</f>
        <v>4</v>
      </c>
      <c r="T249" s="206">
        <f>VLOOKUP(1466,季財報!A:N,4,0)</f>
        <v>0</v>
      </c>
      <c r="U249" s="441">
        <v>13333333.333333334</v>
      </c>
      <c r="V249" s="206">
        <v>15061</v>
      </c>
      <c r="W249" s="206" t="s">
        <v>2379</v>
      </c>
      <c r="X249" s="206" t="s">
        <v>2380</v>
      </c>
      <c r="Y249" s="206">
        <v>6999</v>
      </c>
      <c r="Z249" s="206">
        <v>6999</v>
      </c>
      <c r="AA249" s="206">
        <v>0</v>
      </c>
      <c r="AB249" s="206">
        <v>0</v>
      </c>
      <c r="AC249" s="206">
        <v>7000</v>
      </c>
      <c r="AD249" s="206">
        <v>18</v>
      </c>
      <c r="AE249" s="206">
        <v>0</v>
      </c>
    </row>
    <row r="250" spans="1:31" ht="16.149999999999999" customHeight="1">
      <c r="A250" s="387">
        <v>1466</v>
      </c>
      <c r="B250" s="387" t="s">
        <v>1925</v>
      </c>
      <c r="C250" s="387">
        <v>14662</v>
      </c>
      <c r="D250" s="388">
        <v>41288</v>
      </c>
      <c r="E250" s="388">
        <v>43114</v>
      </c>
      <c r="F250" s="384">
        <v>300000000</v>
      </c>
      <c r="G250" s="414">
        <v>52700000</v>
      </c>
      <c r="H250" s="385">
        <v>0.18</v>
      </c>
      <c r="I250" s="436">
        <v>464</v>
      </c>
      <c r="J250" s="206">
        <v>104</v>
      </c>
      <c r="K250" s="206">
        <v>18</v>
      </c>
      <c r="L250" s="206">
        <f>VLOOKUP(1466,收盤價!A:C,3,0)</f>
        <v>13.4</v>
      </c>
      <c r="M250" s="206">
        <v>5556</v>
      </c>
      <c r="N250" s="206">
        <v>100</v>
      </c>
      <c r="O250" s="438">
        <v>3.85E-2</v>
      </c>
      <c r="P250" s="438">
        <v>-0.33329999999999999</v>
      </c>
      <c r="Q250" s="438">
        <v>-5.0177908844215545E-2</v>
      </c>
      <c r="R250" s="206">
        <f>VLOOKUP(14662,V:AE,9,0)</f>
        <v>13</v>
      </c>
      <c r="S250" s="206">
        <f>VLOOKUP(1466,季財報!A:N,5,0)</f>
        <v>4</v>
      </c>
      <c r="T250" s="206">
        <f>VLOOKUP(1466,季財報!A:N,4,0)</f>
        <v>0</v>
      </c>
      <c r="U250" s="441">
        <v>4053846.153846154</v>
      </c>
      <c r="V250" s="206">
        <v>54757</v>
      </c>
      <c r="W250" s="206" t="s">
        <v>2733</v>
      </c>
      <c r="X250" s="206" t="s">
        <v>2732</v>
      </c>
      <c r="Y250" s="206">
        <v>982</v>
      </c>
      <c r="Z250" s="206">
        <v>982</v>
      </c>
      <c r="AA250" s="206">
        <v>0</v>
      </c>
      <c r="AB250" s="206">
        <v>0</v>
      </c>
      <c r="AC250" s="206">
        <v>2000</v>
      </c>
      <c r="AD250" s="206">
        <v>7</v>
      </c>
      <c r="AE250" s="206">
        <v>0</v>
      </c>
    </row>
    <row r="251" spans="1:31" ht="16.149999999999999" customHeight="1">
      <c r="A251" s="383">
        <v>1442</v>
      </c>
      <c r="B251" s="383" t="s">
        <v>1924</v>
      </c>
      <c r="C251" s="383">
        <v>14423</v>
      </c>
      <c r="D251" s="388">
        <v>42339</v>
      </c>
      <c r="E251" s="388">
        <v>44166</v>
      </c>
      <c r="F251" s="384">
        <v>800000000</v>
      </c>
      <c r="G251" s="414">
        <v>792800000</v>
      </c>
      <c r="H251" s="385">
        <v>0.99</v>
      </c>
      <c r="I251" s="436">
        <v>1516</v>
      </c>
      <c r="J251" s="206">
        <v>124</v>
      </c>
      <c r="K251" s="206">
        <v>15.5</v>
      </c>
      <c r="L251" s="206">
        <f>VLOOKUP(1442,收盤價!A:C,3,0)</f>
        <v>18.3</v>
      </c>
      <c r="M251" s="206">
        <v>6452</v>
      </c>
      <c r="N251" s="206">
        <v>124.5236</v>
      </c>
      <c r="O251" s="438">
        <v>-4.1999999999999997E-3</v>
      </c>
      <c r="P251" s="438">
        <v>0.19689999999999999</v>
      </c>
      <c r="Q251" s="438">
        <v>6.5446073235605584E-4</v>
      </c>
      <c r="R251" s="206">
        <f>VLOOKUP(14423,V:AE,9,0)</f>
        <v>19</v>
      </c>
      <c r="S251" s="206">
        <f>VLOOKUP(1442,季財報!A:N,5,0)</f>
        <v>4</v>
      </c>
      <c r="T251" s="206">
        <f>VLOOKUP(1442,季財報!A:N,4,0)</f>
        <v>6.2408700322234161</v>
      </c>
      <c r="U251" s="441">
        <v>41726315.789473683</v>
      </c>
      <c r="V251" s="206">
        <v>27071</v>
      </c>
      <c r="W251" s="206" t="s">
        <v>2511</v>
      </c>
      <c r="X251" s="206" t="s">
        <v>2512</v>
      </c>
      <c r="Y251" s="206">
        <v>679</v>
      </c>
      <c r="Z251" s="206">
        <v>679</v>
      </c>
      <c r="AA251" s="206">
        <v>0</v>
      </c>
      <c r="AB251" s="206">
        <v>0</v>
      </c>
      <c r="AC251" s="206">
        <v>15000</v>
      </c>
      <c r="AD251" s="206">
        <v>22</v>
      </c>
      <c r="AE251" s="206">
        <v>0</v>
      </c>
    </row>
    <row r="252" spans="1:31" ht="16.5">
      <c r="A252" s="383">
        <v>1432</v>
      </c>
      <c r="B252" s="383" t="s">
        <v>1923</v>
      </c>
      <c r="C252" s="383">
        <v>14322</v>
      </c>
      <c r="D252" s="388">
        <v>42048</v>
      </c>
      <c r="E252" s="388">
        <v>43874</v>
      </c>
      <c r="F252" s="384">
        <v>250000000</v>
      </c>
      <c r="G252" s="414">
        <v>131900000</v>
      </c>
      <c r="H252" s="385">
        <v>0.53</v>
      </c>
      <c r="I252" s="436">
        <v>1224</v>
      </c>
      <c r="J252" s="206">
        <v>102.2</v>
      </c>
      <c r="K252" s="206">
        <v>20.100000000000001</v>
      </c>
      <c r="L252" s="206">
        <f>VLOOKUP(1432,收盤價!A:C,3,0)</f>
        <v>16.600000000000001</v>
      </c>
      <c r="M252" s="206">
        <v>4975</v>
      </c>
      <c r="N252" s="206">
        <v>100</v>
      </c>
      <c r="O252" s="438">
        <v>2.1499999999999998E-2</v>
      </c>
      <c r="P252" s="438">
        <v>-0.1074</v>
      </c>
      <c r="Q252" s="438">
        <v>-2.34120701354129E-2</v>
      </c>
      <c r="R252" s="206">
        <f>VLOOKUP(14322,V:AE,9,0)</f>
        <v>88</v>
      </c>
      <c r="S252" s="206">
        <f>VLOOKUP(1432,季財報!A:N,5,0)</f>
        <v>3</v>
      </c>
      <c r="T252" s="206">
        <f>VLOOKUP(1432,季財報!A:N,4,0)</f>
        <v>0</v>
      </c>
      <c r="U252" s="441">
        <v>1498863.6363636365</v>
      </c>
      <c r="V252" s="206">
        <v>41631</v>
      </c>
      <c r="W252" s="206" t="s">
        <v>2660</v>
      </c>
      <c r="X252" s="206" t="s">
        <v>2661</v>
      </c>
      <c r="Y252" s="206">
        <v>5000</v>
      </c>
      <c r="Z252" s="206">
        <v>5000</v>
      </c>
      <c r="AA252" s="206">
        <v>0</v>
      </c>
      <c r="AB252" s="206">
        <v>0</v>
      </c>
      <c r="AC252" s="206">
        <v>5000</v>
      </c>
      <c r="AD252" s="206">
        <v>53</v>
      </c>
      <c r="AE252" s="206">
        <v>0</v>
      </c>
    </row>
    <row r="253" spans="1:31" ht="16.149999999999999" customHeight="1">
      <c r="A253" s="383">
        <v>1432</v>
      </c>
      <c r="B253" s="383" t="s">
        <v>1923</v>
      </c>
      <c r="C253" s="383">
        <v>14321</v>
      </c>
      <c r="D253" s="388">
        <v>42047</v>
      </c>
      <c r="E253" s="388">
        <v>43143</v>
      </c>
      <c r="F253" s="384">
        <v>250000000</v>
      </c>
      <c r="G253" s="414">
        <v>218400000</v>
      </c>
      <c r="H253" s="385">
        <v>0.87</v>
      </c>
      <c r="I253" s="436">
        <v>493</v>
      </c>
      <c r="J253" s="206">
        <v>107</v>
      </c>
      <c r="K253" s="206">
        <v>20.100000000000001</v>
      </c>
      <c r="L253" s="206">
        <f>VLOOKUP(1432,收盤價!A:C,3,0)</f>
        <v>16.600000000000001</v>
      </c>
      <c r="M253" s="206">
        <v>4975</v>
      </c>
      <c r="N253" s="206">
        <v>100</v>
      </c>
      <c r="O253" s="438">
        <v>6.54E-2</v>
      </c>
      <c r="P253" s="438">
        <v>-0.1074</v>
      </c>
      <c r="Q253" s="438">
        <v>-3.1378856901329105E-2</v>
      </c>
      <c r="R253" s="206">
        <f>VLOOKUP(14321,V:AE,9,0)</f>
        <v>21</v>
      </c>
      <c r="S253" s="206">
        <f>VLOOKUP(1432,季財報!A:N,5,0)</f>
        <v>3</v>
      </c>
      <c r="T253" s="206">
        <f>VLOOKUP(1432,季財報!A:N,4,0)</f>
        <v>0</v>
      </c>
      <c r="U253" s="441">
        <v>10400000</v>
      </c>
      <c r="V253" s="206">
        <v>30543</v>
      </c>
      <c r="W253" s="206" t="s">
        <v>2544</v>
      </c>
      <c r="X253" s="206" t="s">
        <v>2545</v>
      </c>
      <c r="Y253" s="206">
        <v>3359</v>
      </c>
      <c r="Z253" s="206">
        <v>3359</v>
      </c>
      <c r="AA253" s="206">
        <v>0</v>
      </c>
      <c r="AB253" s="206">
        <v>0</v>
      </c>
      <c r="AC253" s="206">
        <v>3500</v>
      </c>
      <c r="AD253" s="206">
        <v>25</v>
      </c>
      <c r="AE253" s="206">
        <v>0</v>
      </c>
    </row>
    <row r="254" spans="1:31" ht="15.6" customHeight="1">
      <c r="A254" s="383">
        <v>1336</v>
      </c>
      <c r="B254" s="383" t="s">
        <v>226</v>
      </c>
      <c r="C254" s="383">
        <v>13361</v>
      </c>
      <c r="D254" s="388">
        <v>41892</v>
      </c>
      <c r="E254" s="388">
        <v>42988</v>
      </c>
      <c r="F254" s="384">
        <v>350000000</v>
      </c>
      <c r="G254" s="414">
        <v>350000000</v>
      </c>
      <c r="H254" s="385">
        <v>1</v>
      </c>
      <c r="I254" s="436">
        <v>338</v>
      </c>
      <c r="J254" s="206">
        <v>102.75</v>
      </c>
      <c r="K254" s="206">
        <v>16.579999999999998</v>
      </c>
      <c r="L254" s="206">
        <f>VLOOKUP(1336,收盤價!A:C,3,0)</f>
        <v>7.98</v>
      </c>
      <c r="M254" s="206">
        <v>6031</v>
      </c>
      <c r="N254" s="206">
        <v>100</v>
      </c>
      <c r="O254" s="438">
        <v>2.6800000000000001E-2</v>
      </c>
      <c r="P254" s="438">
        <v>-0.86499999999999999</v>
      </c>
      <c r="Q254" s="438">
        <v>-7.9289300495695172E-2</v>
      </c>
      <c r="R254" s="206">
        <f>VLOOKUP(13361,V:AE,9,0)</f>
        <v>12</v>
      </c>
      <c r="S254" s="206">
        <f>VLOOKUP(1336,季財報!A:N,5,0)</f>
        <v>1</v>
      </c>
      <c r="T254" s="206">
        <f>VLOOKUP(1336,季財報!A:N,4,0)</f>
        <v>0</v>
      </c>
      <c r="U254" s="441">
        <v>29166666.666666668</v>
      </c>
      <c r="V254" s="206">
        <v>25152</v>
      </c>
      <c r="W254" s="206" t="s">
        <v>2476</v>
      </c>
      <c r="X254" s="206" t="s">
        <v>2475</v>
      </c>
      <c r="Y254" s="206">
        <v>4500</v>
      </c>
      <c r="Z254" s="206">
        <v>4500</v>
      </c>
      <c r="AA254" s="206">
        <v>0</v>
      </c>
      <c r="AB254" s="206">
        <v>0</v>
      </c>
      <c r="AC254" s="206">
        <v>5000</v>
      </c>
      <c r="AD254" s="206">
        <v>123</v>
      </c>
      <c r="AE254" s="206">
        <v>0</v>
      </c>
    </row>
    <row r="255" spans="1:31" ht="16.149999999999999" customHeight="1">
      <c r="A255" s="383">
        <v>1316</v>
      </c>
      <c r="B255" s="383" t="s">
        <v>1922</v>
      </c>
      <c r="C255" s="383">
        <v>13162</v>
      </c>
      <c r="D255" s="388">
        <v>41996</v>
      </c>
      <c r="E255" s="388">
        <v>43092</v>
      </c>
      <c r="F255" s="384">
        <v>200000000</v>
      </c>
      <c r="G255" s="414">
        <v>200000000</v>
      </c>
      <c r="H255" s="385">
        <v>1</v>
      </c>
      <c r="I255" s="436">
        <v>442</v>
      </c>
      <c r="J255" s="206">
        <v>108</v>
      </c>
      <c r="K255" s="206">
        <v>11.6</v>
      </c>
      <c r="L255" s="206">
        <f>VLOOKUP(1316,收盤價!A:C,3,0)</f>
        <v>10.85</v>
      </c>
      <c r="M255" s="206">
        <v>8621</v>
      </c>
      <c r="N255" s="206">
        <v>100</v>
      </c>
      <c r="O255" s="438">
        <v>7.4099999999999999E-2</v>
      </c>
      <c r="P255" s="438">
        <v>-6.4199999999999993E-2</v>
      </c>
      <c r="Q255" s="438">
        <v>-1.5069898224404665E-2</v>
      </c>
      <c r="R255" s="206">
        <f>VLOOKUP(13162,V:AE,9,0)</f>
        <v>7</v>
      </c>
      <c r="S255" s="206">
        <f>VLOOKUP(1316,季財報!A:N,5,0)</f>
        <v>1</v>
      </c>
      <c r="T255" s="206">
        <f>VLOOKUP(1316,季財報!A:N,4,0)</f>
        <v>0</v>
      </c>
      <c r="U255" s="441">
        <v>28571428.571428571</v>
      </c>
      <c r="V255" s="206">
        <v>30292</v>
      </c>
      <c r="W255" s="206" t="s">
        <v>2536</v>
      </c>
      <c r="X255" s="206" t="s">
        <v>2537</v>
      </c>
      <c r="Y255" s="206">
        <v>300</v>
      </c>
      <c r="Z255" s="206">
        <v>300</v>
      </c>
      <c r="AA255" s="206">
        <v>0</v>
      </c>
      <c r="AB255" s="206">
        <v>0</v>
      </c>
      <c r="AC255" s="206">
        <v>5000</v>
      </c>
      <c r="AD255" s="206">
        <v>28</v>
      </c>
      <c r="AE255" s="206">
        <v>0</v>
      </c>
    </row>
    <row r="256" spans="1:31" ht="16.149999999999999" customHeight="1">
      <c r="A256" s="383">
        <v>1258</v>
      </c>
      <c r="B256" s="383" t="s">
        <v>2109</v>
      </c>
      <c r="C256" s="383">
        <v>12581</v>
      </c>
      <c r="D256" s="388">
        <v>42262</v>
      </c>
      <c r="E256" s="388">
        <v>43358</v>
      </c>
      <c r="F256" s="384">
        <v>250000000</v>
      </c>
      <c r="G256" s="414">
        <v>174300000</v>
      </c>
      <c r="H256" s="385">
        <v>0.7</v>
      </c>
      <c r="I256" s="436">
        <v>708</v>
      </c>
      <c r="J256" s="206">
        <v>108.5</v>
      </c>
      <c r="K256" s="206">
        <v>37.409999999999997</v>
      </c>
      <c r="L256" s="206">
        <f>VLOOKUP(1258,收盤價!A:C,3,0)</f>
        <v>37.299999999999997</v>
      </c>
      <c r="M256" s="206">
        <v>2673</v>
      </c>
      <c r="N256" s="206">
        <v>103.1778</v>
      </c>
      <c r="O256" s="438">
        <v>4.9099999999999998E-2</v>
      </c>
      <c r="P256" s="438">
        <v>3.0800000000000001E-2</v>
      </c>
      <c r="Q256" s="438">
        <v>-1.8351116559001839E-2</v>
      </c>
      <c r="R256" s="206">
        <f>VLOOKUP(12581,V:AE,9,0)</f>
        <v>54</v>
      </c>
      <c r="S256" s="206">
        <f>VLOOKUP(1258,季財報!A:N,5,0)</f>
        <v>1</v>
      </c>
      <c r="T256" s="206">
        <f>VLOOKUP(1258,季財報!A:N,4,0)</f>
        <v>9.6112938596491233</v>
      </c>
      <c r="U256" s="441">
        <v>3227777.777777778</v>
      </c>
      <c r="V256" s="206">
        <v>61775</v>
      </c>
      <c r="W256" s="206" t="s">
        <v>2776</v>
      </c>
      <c r="X256" s="206" t="s">
        <v>2777</v>
      </c>
      <c r="Y256" s="206">
        <v>4855</v>
      </c>
      <c r="Z256" s="206">
        <v>4871</v>
      </c>
      <c r="AA256" s="206">
        <v>-16</v>
      </c>
      <c r="AB256" s="206">
        <v>-0.33</v>
      </c>
      <c r="AC256" s="206">
        <v>5000</v>
      </c>
      <c r="AD256" s="206">
        <v>22</v>
      </c>
      <c r="AE256" s="206">
        <v>0</v>
      </c>
    </row>
    <row r="257" spans="21:31">
      <c r="U257" s="441">
        <v>10508</v>
      </c>
      <c r="V257" s="206">
        <v>62852</v>
      </c>
      <c r="W257" s="206" t="s">
        <v>2811</v>
      </c>
      <c r="X257" s="206" t="s">
        <v>2812</v>
      </c>
      <c r="Y257" s="206">
        <v>15000</v>
      </c>
      <c r="Z257" s="206">
        <v>15000</v>
      </c>
      <c r="AA257" s="206">
        <v>0</v>
      </c>
      <c r="AB257" s="206">
        <v>0</v>
      </c>
      <c r="AC257" s="206">
        <v>15000</v>
      </c>
      <c r="AD257" s="206">
        <v>85</v>
      </c>
      <c r="AE257" s="206">
        <v>0</v>
      </c>
    </row>
    <row r="258" spans="21:31">
      <c r="U258" s="441">
        <v>10508</v>
      </c>
      <c r="V258" s="206">
        <v>62874</v>
      </c>
      <c r="W258" s="206" t="s">
        <v>2813</v>
      </c>
      <c r="X258" s="206" t="s">
        <v>2814</v>
      </c>
      <c r="Y258" s="206">
        <v>2500</v>
      </c>
      <c r="Z258" s="206">
        <v>2500</v>
      </c>
      <c r="AA258" s="206">
        <v>0</v>
      </c>
      <c r="AB258" s="206">
        <v>0</v>
      </c>
      <c r="AC258" s="206">
        <v>2500</v>
      </c>
      <c r="AD258" s="206">
        <v>8</v>
      </c>
      <c r="AE258" s="206">
        <v>0</v>
      </c>
    </row>
    <row r="259" spans="21:31">
      <c r="U259" s="441">
        <v>10508</v>
      </c>
      <c r="V259" s="206">
        <v>62907</v>
      </c>
      <c r="W259" s="206" t="s">
        <v>3181</v>
      </c>
      <c r="X259" s="206" t="s">
        <v>3182</v>
      </c>
      <c r="Y259" s="206">
        <v>2000</v>
      </c>
      <c r="Z259" s="206">
        <v>2000</v>
      </c>
      <c r="AA259" s="206">
        <v>0</v>
      </c>
      <c r="AB259" s="206">
        <v>0</v>
      </c>
      <c r="AC259" s="206">
        <v>2000</v>
      </c>
      <c r="AD259" s="206">
        <v>10</v>
      </c>
      <c r="AE259" s="206">
        <v>0</v>
      </c>
    </row>
    <row r="260" spans="21:31">
      <c r="U260" s="441">
        <v>10508</v>
      </c>
      <c r="V260" s="206">
        <v>62908</v>
      </c>
      <c r="W260" s="206" t="s">
        <v>3183</v>
      </c>
      <c r="X260" s="206" t="s">
        <v>3182</v>
      </c>
      <c r="Y260" s="206">
        <v>3000</v>
      </c>
      <c r="Z260" s="206">
        <v>3000</v>
      </c>
      <c r="AA260" s="206">
        <v>0</v>
      </c>
      <c r="AB260" s="206">
        <v>0</v>
      </c>
      <c r="AC260" s="206">
        <v>3000</v>
      </c>
      <c r="AD260" s="206">
        <v>27</v>
      </c>
      <c r="AE260" s="206">
        <v>0</v>
      </c>
    </row>
    <row r="261" spans="21:31">
      <c r="U261" s="441">
        <v>10508</v>
      </c>
      <c r="V261" s="206">
        <v>64141</v>
      </c>
      <c r="W261" s="206" t="s">
        <v>2815</v>
      </c>
      <c r="X261" s="206" t="s">
        <v>2816</v>
      </c>
      <c r="Y261" s="206">
        <v>701</v>
      </c>
      <c r="Z261" s="206">
        <v>796</v>
      </c>
      <c r="AA261" s="206">
        <v>-95</v>
      </c>
      <c r="AB261" s="206">
        <v>-11.93</v>
      </c>
      <c r="AC261" s="206">
        <v>8000</v>
      </c>
      <c r="AD261" s="206">
        <v>23</v>
      </c>
      <c r="AE261" s="206">
        <v>0</v>
      </c>
    </row>
    <row r="262" spans="21:31">
      <c r="U262" s="441">
        <v>10508</v>
      </c>
      <c r="V262" s="206">
        <v>64142</v>
      </c>
      <c r="W262" s="206" t="s">
        <v>2817</v>
      </c>
      <c r="X262" s="206" t="s">
        <v>2816</v>
      </c>
      <c r="Y262" s="206">
        <v>17689</v>
      </c>
      <c r="Z262" s="206">
        <v>18000</v>
      </c>
      <c r="AA262" s="206">
        <v>-311</v>
      </c>
      <c r="AB262" s="206">
        <v>-1.73</v>
      </c>
      <c r="AC262" s="206">
        <v>18000</v>
      </c>
      <c r="AD262" s="206">
        <v>112</v>
      </c>
      <c r="AE262" s="206">
        <v>0</v>
      </c>
    </row>
    <row r="263" spans="21:31">
      <c r="U263" s="441">
        <v>10508</v>
      </c>
      <c r="V263" s="206">
        <v>64321</v>
      </c>
      <c r="W263" s="206" t="s">
        <v>2818</v>
      </c>
      <c r="X263" s="206" t="s">
        <v>2819</v>
      </c>
      <c r="Y263" s="206">
        <v>1800</v>
      </c>
      <c r="Z263" s="206">
        <v>1800</v>
      </c>
      <c r="AA263" s="206">
        <v>0</v>
      </c>
      <c r="AB263" s="206">
        <v>0</v>
      </c>
      <c r="AC263" s="206">
        <v>1800</v>
      </c>
      <c r="AD263" s="206">
        <v>13</v>
      </c>
      <c r="AE263" s="206">
        <v>0</v>
      </c>
    </row>
    <row r="264" spans="21:31">
      <c r="U264" s="441">
        <v>10508</v>
      </c>
      <c r="V264" s="206">
        <v>65094</v>
      </c>
      <c r="W264" s="206" t="s">
        <v>2820</v>
      </c>
      <c r="X264" s="206" t="s">
        <v>2821</v>
      </c>
      <c r="Y264" s="206">
        <v>3000</v>
      </c>
      <c r="Z264" s="206">
        <v>3000</v>
      </c>
      <c r="AA264" s="206">
        <v>0</v>
      </c>
      <c r="AB264" s="206">
        <v>0</v>
      </c>
      <c r="AC264" s="206">
        <v>3000</v>
      </c>
      <c r="AD264" s="206">
        <v>35</v>
      </c>
      <c r="AE264" s="206">
        <v>0</v>
      </c>
    </row>
    <row r="265" spans="21:31">
      <c r="U265" s="441">
        <v>10508</v>
      </c>
      <c r="V265" s="206">
        <v>66032</v>
      </c>
      <c r="W265" s="206" t="s">
        <v>2822</v>
      </c>
      <c r="X265" s="206" t="s">
        <v>2823</v>
      </c>
      <c r="Y265" s="206">
        <v>3000</v>
      </c>
      <c r="Z265" s="206">
        <v>3000</v>
      </c>
      <c r="AA265" s="206">
        <v>0</v>
      </c>
      <c r="AB265" s="206">
        <v>0</v>
      </c>
      <c r="AC265" s="206">
        <v>3000</v>
      </c>
      <c r="AD265" s="206">
        <v>19</v>
      </c>
      <c r="AE265" s="206">
        <v>0</v>
      </c>
    </row>
    <row r="266" spans="21:31">
      <c r="U266" s="441">
        <v>10508</v>
      </c>
      <c r="V266" s="206">
        <v>67021</v>
      </c>
      <c r="W266" s="206" t="s">
        <v>2824</v>
      </c>
      <c r="X266" s="206" t="s">
        <v>2825</v>
      </c>
      <c r="Y266" s="206">
        <v>1804</v>
      </c>
      <c r="Z266" s="206">
        <v>1804</v>
      </c>
      <c r="AA266" s="206">
        <v>0</v>
      </c>
      <c r="AB266" s="206">
        <v>0</v>
      </c>
      <c r="AC266" s="206">
        <v>10000</v>
      </c>
      <c r="AD266" s="206">
        <v>111</v>
      </c>
      <c r="AE266" s="206">
        <v>0</v>
      </c>
    </row>
    <row r="267" spans="21:31">
      <c r="U267" s="441">
        <v>10508</v>
      </c>
      <c r="V267" s="206">
        <v>80112</v>
      </c>
      <c r="W267" s="206" t="s">
        <v>3126</v>
      </c>
      <c r="X267" s="206" t="s">
        <v>3127</v>
      </c>
      <c r="Y267" s="206">
        <v>1500</v>
      </c>
      <c r="Z267" s="206">
        <v>1500</v>
      </c>
      <c r="AA267" s="206">
        <v>0</v>
      </c>
      <c r="AB267" s="206">
        <v>0</v>
      </c>
      <c r="AC267" s="206">
        <v>1500</v>
      </c>
      <c r="AD267" s="206">
        <v>30</v>
      </c>
      <c r="AE267" s="206">
        <v>0</v>
      </c>
    </row>
    <row r="268" spans="21:31">
      <c r="U268" s="441">
        <v>10508</v>
      </c>
      <c r="V268" s="206">
        <v>80113</v>
      </c>
      <c r="W268" s="206" t="s">
        <v>3128</v>
      </c>
      <c r="X268" s="206" t="s">
        <v>3127</v>
      </c>
      <c r="Y268" s="206">
        <v>1500</v>
      </c>
      <c r="Z268" s="206">
        <v>1500</v>
      </c>
      <c r="AA268" s="206">
        <v>0</v>
      </c>
      <c r="AB268" s="206">
        <v>0</v>
      </c>
      <c r="AC268" s="206">
        <v>1500</v>
      </c>
      <c r="AD268" s="206">
        <v>21</v>
      </c>
      <c r="AE268" s="206">
        <v>0</v>
      </c>
    </row>
    <row r="269" spans="21:31">
      <c r="U269" s="441">
        <v>10508</v>
      </c>
      <c r="V269" s="206">
        <v>80271</v>
      </c>
      <c r="W269" s="206" t="s">
        <v>2826</v>
      </c>
      <c r="X269" s="206" t="s">
        <v>2827</v>
      </c>
      <c r="Y269" s="206">
        <v>3000</v>
      </c>
      <c r="Z269" s="206">
        <v>3000</v>
      </c>
      <c r="AA269" s="206">
        <v>0</v>
      </c>
      <c r="AB269" s="206">
        <v>0</v>
      </c>
      <c r="AC269" s="206">
        <v>3000</v>
      </c>
      <c r="AD269" s="206">
        <v>12</v>
      </c>
      <c r="AE269" s="206">
        <v>0</v>
      </c>
    </row>
    <row r="270" spans="21:31">
      <c r="U270" s="441">
        <v>10508</v>
      </c>
      <c r="V270" s="206">
        <v>80381</v>
      </c>
      <c r="W270" s="206" t="s">
        <v>2828</v>
      </c>
      <c r="X270" s="206" t="s">
        <v>2829</v>
      </c>
      <c r="Y270" s="206">
        <v>2984</v>
      </c>
      <c r="Z270" s="206">
        <v>2984</v>
      </c>
      <c r="AA270" s="206">
        <v>0</v>
      </c>
      <c r="AB270" s="206">
        <v>0</v>
      </c>
      <c r="AC270" s="206">
        <v>4000</v>
      </c>
      <c r="AD270" s="206">
        <v>35</v>
      </c>
      <c r="AE270" s="206">
        <v>0</v>
      </c>
    </row>
    <row r="271" spans="21:31">
      <c r="U271" s="441">
        <v>10508</v>
      </c>
      <c r="V271" s="206">
        <v>80423</v>
      </c>
      <c r="W271" s="206" t="s">
        <v>2830</v>
      </c>
      <c r="X271" s="206" t="s">
        <v>2831</v>
      </c>
      <c r="Y271" s="206">
        <v>221</v>
      </c>
      <c r="Z271" s="206">
        <v>225</v>
      </c>
      <c r="AA271" s="206">
        <v>-4</v>
      </c>
      <c r="AB271" s="206">
        <v>-1.78</v>
      </c>
      <c r="AC271" s="206">
        <v>2500</v>
      </c>
      <c r="AD271" s="206">
        <v>16</v>
      </c>
      <c r="AE271" s="206">
        <v>0</v>
      </c>
    </row>
    <row r="272" spans="21:31">
      <c r="U272" s="441">
        <v>10508</v>
      </c>
      <c r="V272" s="206">
        <v>80424</v>
      </c>
      <c r="W272" s="206" t="s">
        <v>2832</v>
      </c>
      <c r="X272" s="206" t="s">
        <v>2831</v>
      </c>
      <c r="Y272" s="206">
        <v>4380</v>
      </c>
      <c r="Z272" s="206">
        <v>4887</v>
      </c>
      <c r="AA272" s="206">
        <v>-507</v>
      </c>
      <c r="AB272" s="206">
        <v>-10.37</v>
      </c>
      <c r="AC272" s="206">
        <v>5000</v>
      </c>
      <c r="AD272" s="206">
        <v>39</v>
      </c>
      <c r="AE272" s="206">
        <v>0</v>
      </c>
    </row>
    <row r="273" spans="21:31">
      <c r="U273" s="441">
        <v>10508</v>
      </c>
      <c r="V273" s="206">
        <v>80504</v>
      </c>
      <c r="W273" s="206" t="s">
        <v>2833</v>
      </c>
      <c r="X273" s="206" t="s">
        <v>2834</v>
      </c>
      <c r="Y273" s="206">
        <v>1202</v>
      </c>
      <c r="Z273" s="206">
        <v>1398</v>
      </c>
      <c r="AA273" s="206">
        <v>-196</v>
      </c>
      <c r="AB273" s="206">
        <v>-14.02</v>
      </c>
      <c r="AC273" s="206">
        <v>1500</v>
      </c>
      <c r="AD273" s="206">
        <v>46</v>
      </c>
      <c r="AE273" s="206">
        <v>0</v>
      </c>
    </row>
    <row r="274" spans="21:31">
      <c r="U274" s="441">
        <v>10508</v>
      </c>
      <c r="V274" s="206">
        <v>80745</v>
      </c>
      <c r="W274" s="206" t="s">
        <v>2835</v>
      </c>
      <c r="X274" s="206" t="s">
        <v>2836</v>
      </c>
      <c r="Y274" s="206">
        <v>2478</v>
      </c>
      <c r="Z274" s="206">
        <v>3692</v>
      </c>
      <c r="AA274" s="206">
        <v>-1214</v>
      </c>
      <c r="AB274" s="206">
        <v>-32.880000000000003</v>
      </c>
      <c r="AC274" s="206">
        <v>4500</v>
      </c>
      <c r="AD274" s="206">
        <v>16</v>
      </c>
      <c r="AE274" s="206">
        <v>0</v>
      </c>
    </row>
    <row r="275" spans="21:31">
      <c r="U275" s="441">
        <v>10508</v>
      </c>
      <c r="V275" s="206">
        <v>81101</v>
      </c>
      <c r="W275" s="206" t="s">
        <v>2837</v>
      </c>
      <c r="X275" s="206" t="s">
        <v>2838</v>
      </c>
      <c r="Y275" s="206">
        <v>6000</v>
      </c>
      <c r="Z275" s="206">
        <v>6000</v>
      </c>
      <c r="AA275" s="206">
        <v>0</v>
      </c>
      <c r="AB275" s="206">
        <v>0</v>
      </c>
      <c r="AC275" s="206">
        <v>6000</v>
      </c>
      <c r="AD275" s="206">
        <v>61</v>
      </c>
      <c r="AE275" s="206">
        <v>0</v>
      </c>
    </row>
    <row r="276" spans="21:31">
      <c r="U276" s="441">
        <v>10508</v>
      </c>
      <c r="V276" s="206">
        <v>81128</v>
      </c>
      <c r="W276" s="206" t="s">
        <v>2839</v>
      </c>
      <c r="X276" s="206" t="s">
        <v>2840</v>
      </c>
      <c r="Y276" s="206">
        <v>7393</v>
      </c>
      <c r="Z276" s="206">
        <v>9441</v>
      </c>
      <c r="AA276" s="206">
        <v>-2048</v>
      </c>
      <c r="AB276" s="206">
        <v>-21.69</v>
      </c>
      <c r="AC276" s="206">
        <v>10000</v>
      </c>
      <c r="AD276" s="206">
        <v>56</v>
      </c>
      <c r="AE276" s="206">
        <v>0</v>
      </c>
    </row>
    <row r="277" spans="21:31">
      <c r="U277" s="441">
        <v>10508</v>
      </c>
      <c r="V277" s="206">
        <v>81141</v>
      </c>
      <c r="W277" s="206" t="s">
        <v>2841</v>
      </c>
      <c r="X277" s="206" t="s">
        <v>2842</v>
      </c>
      <c r="Y277" s="206">
        <v>8500</v>
      </c>
      <c r="Z277" s="206">
        <v>8500</v>
      </c>
      <c r="AA277" s="206">
        <v>0</v>
      </c>
      <c r="AB277" s="206">
        <v>0</v>
      </c>
      <c r="AC277" s="206">
        <v>8500</v>
      </c>
      <c r="AD277" s="206">
        <v>59</v>
      </c>
      <c r="AE277" s="206">
        <v>0</v>
      </c>
    </row>
    <row r="278" spans="21:31">
      <c r="U278" s="441">
        <v>10508</v>
      </c>
      <c r="V278" s="206">
        <v>81471</v>
      </c>
      <c r="W278" s="206" t="s">
        <v>2843</v>
      </c>
      <c r="X278" s="206" t="s">
        <v>2844</v>
      </c>
      <c r="Y278" s="206">
        <v>653</v>
      </c>
      <c r="Z278" s="206">
        <v>653</v>
      </c>
      <c r="AA278" s="206">
        <v>0</v>
      </c>
      <c r="AB278" s="206">
        <v>0</v>
      </c>
      <c r="AC278" s="206">
        <v>2000</v>
      </c>
      <c r="AD278" s="206">
        <v>11</v>
      </c>
      <c r="AE278" s="206">
        <v>0</v>
      </c>
    </row>
    <row r="279" spans="21:31">
      <c r="U279" s="441">
        <v>10508</v>
      </c>
      <c r="V279" s="206">
        <v>81712</v>
      </c>
      <c r="W279" s="206" t="s">
        <v>2845</v>
      </c>
      <c r="X279" s="206" t="s">
        <v>2846</v>
      </c>
      <c r="Y279" s="206">
        <v>466</v>
      </c>
      <c r="Z279" s="206">
        <v>1600</v>
      </c>
      <c r="AA279" s="206">
        <v>-1134</v>
      </c>
      <c r="AB279" s="206">
        <v>-70.88</v>
      </c>
      <c r="AC279" s="206">
        <v>1600</v>
      </c>
      <c r="AD279" s="206">
        <v>10</v>
      </c>
      <c r="AE279" s="206">
        <v>0</v>
      </c>
    </row>
    <row r="280" spans="21:31">
      <c r="U280" s="441">
        <v>10508</v>
      </c>
      <c r="V280" s="206">
        <v>82773</v>
      </c>
      <c r="W280" s="206" t="s">
        <v>2847</v>
      </c>
      <c r="X280" s="206" t="s">
        <v>2848</v>
      </c>
      <c r="Y280" s="206">
        <v>3000</v>
      </c>
      <c r="Z280" s="206">
        <v>3000</v>
      </c>
      <c r="AA280" s="206">
        <v>0</v>
      </c>
      <c r="AB280" s="206">
        <v>0</v>
      </c>
      <c r="AC280" s="206">
        <v>3000</v>
      </c>
      <c r="AD280" s="206">
        <v>19</v>
      </c>
      <c r="AE280" s="206">
        <v>0</v>
      </c>
    </row>
    <row r="281" spans="21:31">
      <c r="U281" s="441">
        <v>10508</v>
      </c>
      <c r="V281" s="206">
        <v>83492</v>
      </c>
      <c r="W281" s="206" t="s">
        <v>2849</v>
      </c>
      <c r="X281" s="206" t="s">
        <v>2850</v>
      </c>
      <c r="Y281" s="206">
        <v>10000</v>
      </c>
      <c r="Z281" s="206">
        <v>10000</v>
      </c>
      <c r="AA281" s="206">
        <v>0</v>
      </c>
      <c r="AB281" s="206">
        <v>0</v>
      </c>
      <c r="AC281" s="206">
        <v>10000</v>
      </c>
      <c r="AD281" s="206">
        <v>38</v>
      </c>
      <c r="AE281" s="206">
        <v>0</v>
      </c>
    </row>
    <row r="282" spans="21:31">
      <c r="U282" s="441">
        <v>10508</v>
      </c>
      <c r="V282" s="206">
        <v>83493</v>
      </c>
      <c r="W282" s="206" t="s">
        <v>3129</v>
      </c>
      <c r="X282" s="206" t="s">
        <v>2850</v>
      </c>
      <c r="Y282" s="206">
        <v>15000</v>
      </c>
      <c r="Z282" s="206">
        <v>15000</v>
      </c>
      <c r="AA282" s="206">
        <v>0</v>
      </c>
      <c r="AB282" s="206">
        <v>0</v>
      </c>
      <c r="AC282" s="206">
        <v>15000</v>
      </c>
      <c r="AD282" s="206">
        <v>76</v>
      </c>
      <c r="AE282" s="206">
        <v>0</v>
      </c>
    </row>
    <row r="283" spans="21:31">
      <c r="U283" s="441">
        <v>10508</v>
      </c>
      <c r="V283" s="206">
        <v>84061</v>
      </c>
      <c r="W283" s="206" t="s">
        <v>2851</v>
      </c>
      <c r="X283" s="206" t="s">
        <v>2852</v>
      </c>
      <c r="Y283" s="206">
        <v>7105</v>
      </c>
      <c r="Z283" s="206">
        <v>7105</v>
      </c>
      <c r="AA283" s="206">
        <v>0</v>
      </c>
      <c r="AB283" s="206">
        <v>0</v>
      </c>
      <c r="AC283" s="206">
        <v>20000</v>
      </c>
      <c r="AD283" s="206">
        <v>39</v>
      </c>
      <c r="AE283" s="206">
        <v>0</v>
      </c>
    </row>
    <row r="284" spans="21:31">
      <c r="U284" s="441">
        <v>10508</v>
      </c>
      <c r="V284" s="206">
        <v>84211</v>
      </c>
      <c r="W284" s="206" t="s">
        <v>2853</v>
      </c>
      <c r="X284" s="206" t="s">
        <v>2854</v>
      </c>
      <c r="Y284" s="206">
        <v>1224</v>
      </c>
      <c r="Z284" s="206">
        <v>1291</v>
      </c>
      <c r="AA284" s="206">
        <v>-67</v>
      </c>
      <c r="AB284" s="206">
        <v>-5.19</v>
      </c>
      <c r="AC284" s="206">
        <v>1500</v>
      </c>
      <c r="AD284" s="206">
        <v>7</v>
      </c>
      <c r="AE284" s="206">
        <v>0</v>
      </c>
    </row>
    <row r="285" spans="21:31">
      <c r="U285" s="441">
        <v>10508</v>
      </c>
      <c r="V285" s="206">
        <v>84291</v>
      </c>
      <c r="W285" s="206" t="s">
        <v>2855</v>
      </c>
      <c r="X285" s="206" t="s">
        <v>2856</v>
      </c>
      <c r="Y285" s="206">
        <v>4895</v>
      </c>
      <c r="Z285" s="206">
        <v>4895</v>
      </c>
      <c r="AA285" s="206">
        <v>0</v>
      </c>
      <c r="AB285" s="206">
        <v>0</v>
      </c>
      <c r="AC285" s="206">
        <v>12000</v>
      </c>
      <c r="AD285" s="206">
        <v>8</v>
      </c>
      <c r="AE285" s="206">
        <v>0</v>
      </c>
    </row>
    <row r="286" spans="21:31">
      <c r="U286" s="441">
        <v>10508</v>
      </c>
      <c r="V286" s="206">
        <v>84311</v>
      </c>
      <c r="W286" s="206" t="s">
        <v>2857</v>
      </c>
      <c r="X286" s="206" t="s">
        <v>2858</v>
      </c>
      <c r="Y286" s="206">
        <v>832</v>
      </c>
      <c r="Z286" s="206">
        <v>832</v>
      </c>
      <c r="AA286" s="206">
        <v>0</v>
      </c>
      <c r="AB286" s="206">
        <v>0</v>
      </c>
      <c r="AC286" s="206">
        <v>2200</v>
      </c>
      <c r="AD286" s="206">
        <v>11</v>
      </c>
      <c r="AE286" s="206">
        <v>0</v>
      </c>
    </row>
    <row r="287" spans="21:31">
      <c r="U287" s="441">
        <v>10508</v>
      </c>
      <c r="V287" s="206">
        <v>84361</v>
      </c>
      <c r="W287" s="206" t="s">
        <v>2859</v>
      </c>
      <c r="X287" s="206" t="s">
        <v>2860</v>
      </c>
      <c r="Y287" s="206">
        <v>94</v>
      </c>
      <c r="Z287" s="206">
        <v>101</v>
      </c>
      <c r="AA287" s="206">
        <v>-7</v>
      </c>
      <c r="AB287" s="206">
        <v>-6.93</v>
      </c>
      <c r="AC287" s="206">
        <v>5000</v>
      </c>
      <c r="AD287" s="206">
        <v>4</v>
      </c>
      <c r="AE287" s="206">
        <v>0</v>
      </c>
    </row>
    <row r="288" spans="21:31">
      <c r="U288" s="441">
        <v>10508</v>
      </c>
      <c r="V288" s="206">
        <v>84371</v>
      </c>
      <c r="W288" s="206" t="s">
        <v>2861</v>
      </c>
      <c r="X288" s="206" t="s">
        <v>2862</v>
      </c>
      <c r="Y288" s="206">
        <v>2451</v>
      </c>
      <c r="Z288" s="206">
        <v>2475</v>
      </c>
      <c r="AA288" s="206">
        <v>-24</v>
      </c>
      <c r="AB288" s="206">
        <v>-0.97</v>
      </c>
      <c r="AC288" s="206">
        <v>2500</v>
      </c>
      <c r="AD288" s="206">
        <v>41</v>
      </c>
      <c r="AE288" s="206">
        <v>0</v>
      </c>
    </row>
    <row r="289" spans="21:31">
      <c r="U289" s="441">
        <v>10508</v>
      </c>
      <c r="V289" s="206">
        <v>84372</v>
      </c>
      <c r="W289" s="206" t="s">
        <v>2863</v>
      </c>
      <c r="X289" s="206" t="s">
        <v>2862</v>
      </c>
      <c r="Y289" s="206">
        <v>2379</v>
      </c>
      <c r="Z289" s="206">
        <v>2475</v>
      </c>
      <c r="AA289" s="206">
        <v>-96</v>
      </c>
      <c r="AB289" s="206">
        <v>-3.88</v>
      </c>
      <c r="AC289" s="206">
        <v>2500</v>
      </c>
      <c r="AD289" s="206">
        <v>30</v>
      </c>
      <c r="AE289" s="206">
        <v>0</v>
      </c>
    </row>
    <row r="290" spans="21:31">
      <c r="U290" s="441">
        <v>10508</v>
      </c>
      <c r="V290" s="206">
        <v>84501</v>
      </c>
      <c r="W290" s="206" t="s">
        <v>2864</v>
      </c>
      <c r="X290" s="206" t="s">
        <v>2865</v>
      </c>
      <c r="Y290" s="206">
        <v>2603</v>
      </c>
      <c r="Z290" s="206">
        <v>2882</v>
      </c>
      <c r="AA290" s="206">
        <v>-279</v>
      </c>
      <c r="AB290" s="206">
        <v>-9.68</v>
      </c>
      <c r="AC290" s="206">
        <v>6000</v>
      </c>
      <c r="AD290" s="206">
        <v>52</v>
      </c>
      <c r="AE290" s="206">
        <v>0</v>
      </c>
    </row>
    <row r="291" spans="21:31">
      <c r="U291" s="441">
        <v>10508</v>
      </c>
      <c r="V291" s="206">
        <v>89332</v>
      </c>
      <c r="W291" s="206" t="s">
        <v>2866</v>
      </c>
      <c r="X291" s="206" t="s">
        <v>2867</v>
      </c>
      <c r="Y291" s="206">
        <v>2000</v>
      </c>
      <c r="Z291" s="206">
        <v>2000</v>
      </c>
      <c r="AA291" s="206">
        <v>0</v>
      </c>
      <c r="AB291" s="206">
        <v>0</v>
      </c>
      <c r="AC291" s="206">
        <v>2000</v>
      </c>
      <c r="AD291" s="206">
        <v>12</v>
      </c>
      <c r="AE291" s="206">
        <v>0</v>
      </c>
    </row>
    <row r="292" spans="21:31">
      <c r="U292" s="441">
        <v>10508</v>
      </c>
      <c r="V292" s="206">
        <v>89333</v>
      </c>
      <c r="W292" s="206" t="s">
        <v>2868</v>
      </c>
      <c r="X292" s="206" t="s">
        <v>2867</v>
      </c>
      <c r="Y292" s="206">
        <v>554</v>
      </c>
      <c r="Z292" s="206">
        <v>554</v>
      </c>
      <c r="AA292" s="206">
        <v>0</v>
      </c>
      <c r="AB292" s="206">
        <v>0</v>
      </c>
      <c r="AC292" s="206">
        <v>1000</v>
      </c>
      <c r="AD292" s="206">
        <v>10</v>
      </c>
      <c r="AE292" s="206">
        <v>0</v>
      </c>
    </row>
    <row r="293" spans="21:31">
      <c r="U293" s="441">
        <v>10508</v>
      </c>
      <c r="V293" s="206">
        <v>89364</v>
      </c>
      <c r="W293" s="206" t="s">
        <v>2869</v>
      </c>
      <c r="X293" s="206" t="s">
        <v>2870</v>
      </c>
      <c r="Y293" s="206">
        <v>6000</v>
      </c>
      <c r="Z293" s="206">
        <v>6000</v>
      </c>
      <c r="AA293" s="206">
        <v>0</v>
      </c>
      <c r="AB293" s="206">
        <v>0</v>
      </c>
      <c r="AC293" s="206">
        <v>6000</v>
      </c>
      <c r="AD293" s="206">
        <v>22</v>
      </c>
      <c r="AE293" s="206">
        <v>0</v>
      </c>
    </row>
    <row r="294" spans="21:31">
      <c r="U294" s="441">
        <v>10508</v>
      </c>
      <c r="V294" s="206">
        <v>89424</v>
      </c>
      <c r="W294" s="206" t="s">
        <v>2871</v>
      </c>
      <c r="X294" s="206" t="s">
        <v>2872</v>
      </c>
      <c r="Y294" s="206">
        <v>5366</v>
      </c>
      <c r="Z294" s="206">
        <v>5366</v>
      </c>
      <c r="AA294" s="206">
        <v>0</v>
      </c>
      <c r="AB294" s="206">
        <v>0</v>
      </c>
      <c r="AC294" s="206">
        <v>12000</v>
      </c>
      <c r="AD294" s="206">
        <v>12</v>
      </c>
      <c r="AE294" s="206">
        <v>0</v>
      </c>
    </row>
    <row r="295" spans="21:31">
      <c r="U295" s="441">
        <v>10508</v>
      </c>
      <c r="V295" s="206">
        <v>89963</v>
      </c>
      <c r="W295" s="206" t="s">
        <v>2873</v>
      </c>
      <c r="X295" s="206" t="s">
        <v>2874</v>
      </c>
      <c r="Y295" s="206">
        <v>621</v>
      </c>
      <c r="Z295" s="206">
        <v>621</v>
      </c>
      <c r="AA295" s="206">
        <v>0</v>
      </c>
      <c r="AB295" s="206">
        <v>0</v>
      </c>
      <c r="AC295" s="206">
        <v>1000</v>
      </c>
      <c r="AD295" s="206">
        <v>11</v>
      </c>
      <c r="AE295" s="206">
        <v>0</v>
      </c>
    </row>
    <row r="296" spans="21:31">
      <c r="U296" s="441">
        <v>10508</v>
      </c>
      <c r="V296" s="206">
        <v>98021</v>
      </c>
      <c r="W296" s="206" t="s">
        <v>2875</v>
      </c>
      <c r="X296" s="206" t="s">
        <v>2876</v>
      </c>
      <c r="Y296" s="206">
        <v>181</v>
      </c>
      <c r="Z296" s="206">
        <v>181</v>
      </c>
      <c r="AA296" s="206">
        <v>0</v>
      </c>
      <c r="AB296" s="206">
        <v>0</v>
      </c>
      <c r="AC296" s="206">
        <v>1000</v>
      </c>
      <c r="AD296" s="206">
        <v>4</v>
      </c>
      <c r="AE296" s="206">
        <v>0</v>
      </c>
    </row>
    <row r="297" spans="21:31">
      <c r="U297" s="441">
        <v>10508</v>
      </c>
      <c r="V297" s="206">
        <v>98022</v>
      </c>
      <c r="W297" s="206" t="s">
        <v>2877</v>
      </c>
      <c r="X297" s="206" t="s">
        <v>2876</v>
      </c>
      <c r="Y297" s="206">
        <v>24</v>
      </c>
      <c r="Z297" s="206">
        <v>24</v>
      </c>
      <c r="AA297" s="206">
        <v>0</v>
      </c>
      <c r="AB297" s="206">
        <v>0</v>
      </c>
      <c r="AC297" s="206">
        <v>4000</v>
      </c>
      <c r="AD297" s="206">
        <v>3</v>
      </c>
      <c r="AE297" s="206">
        <v>0</v>
      </c>
    </row>
    <row r="298" spans="21:31">
      <c r="U298" s="441">
        <v>10508</v>
      </c>
      <c r="V298" s="206">
        <v>98023</v>
      </c>
      <c r="W298" s="206" t="s">
        <v>2878</v>
      </c>
      <c r="X298" s="206" t="s">
        <v>2876</v>
      </c>
      <c r="Y298" s="206">
        <v>7000</v>
      </c>
      <c r="Z298" s="206">
        <v>7000</v>
      </c>
      <c r="AA298" s="206">
        <v>0</v>
      </c>
      <c r="AB298" s="206">
        <v>0</v>
      </c>
      <c r="AC298" s="206">
        <v>7000</v>
      </c>
      <c r="AD298" s="206">
        <v>68</v>
      </c>
      <c r="AE298" s="206">
        <v>0</v>
      </c>
    </row>
    <row r="299" spans="21:31">
      <c r="U299" s="441">
        <v>10508</v>
      </c>
      <c r="V299" s="206">
        <v>99342</v>
      </c>
      <c r="W299" s="206" t="s">
        <v>2879</v>
      </c>
      <c r="X299" s="206" t="s">
        <v>2880</v>
      </c>
      <c r="Y299" s="206">
        <v>2028</v>
      </c>
      <c r="Z299" s="206">
        <v>2028</v>
      </c>
      <c r="AA299" s="206">
        <v>0</v>
      </c>
      <c r="AB299" s="206">
        <v>0</v>
      </c>
      <c r="AC299" s="206">
        <v>16500</v>
      </c>
      <c r="AD299" s="206">
        <v>18</v>
      </c>
      <c r="AE299" s="206">
        <v>0</v>
      </c>
    </row>
    <row r="300" spans="21:31">
      <c r="U300" s="441">
        <v>10508</v>
      </c>
      <c r="V300" s="206">
        <v>99411</v>
      </c>
      <c r="W300" s="206" t="s">
        <v>2881</v>
      </c>
      <c r="X300" s="206" t="s">
        <v>2882</v>
      </c>
      <c r="Y300" s="206">
        <v>2078</v>
      </c>
      <c r="Z300" s="206">
        <v>3162</v>
      </c>
      <c r="AA300" s="206">
        <v>-1084</v>
      </c>
      <c r="AB300" s="206">
        <v>-34.28</v>
      </c>
      <c r="AC300" s="206">
        <v>25000</v>
      </c>
      <c r="AD300" s="206">
        <v>60</v>
      </c>
      <c r="AE300" s="206">
        <v>0</v>
      </c>
    </row>
    <row r="301" spans="21:31">
      <c r="U301" s="441">
        <v>10508</v>
      </c>
      <c r="V301" s="206">
        <v>99442</v>
      </c>
      <c r="W301" s="206" t="s">
        <v>2883</v>
      </c>
      <c r="X301" s="206" t="s">
        <v>2884</v>
      </c>
      <c r="Y301" s="206">
        <v>1391</v>
      </c>
      <c r="Z301" s="206">
        <v>1391</v>
      </c>
      <c r="AA301" s="206">
        <v>0</v>
      </c>
      <c r="AB301" s="206">
        <v>0</v>
      </c>
      <c r="AC301" s="206">
        <v>3500</v>
      </c>
      <c r="AD301" s="206">
        <v>10</v>
      </c>
      <c r="AE301" s="206">
        <v>0</v>
      </c>
    </row>
    <row r="302" spans="21:31">
      <c r="U302" s="441" t="s">
        <v>2027</v>
      </c>
    </row>
  </sheetData>
  <sortState ref="A2:AM302">
    <sortCondition descending="1" ref="C2:C302"/>
  </sortState>
  <phoneticPr fontId="2" type="noConversion"/>
  <pageMargins left="0.7" right="0.7" top="0.75" bottom="0.75" header="0.3" footer="0.3"/>
  <legacyDrawing r:id="rId1"/>
  <controls>
    <control shapeId="74763" r:id="rId2" name="CommandButton2"/>
    <control shapeId="74756" r:id="rId3" name="CommandButton3"/>
    <control shapeId="74753" r:id="rId4" name="CommandButton1"/>
    <control shapeId="74757" r:id="rId5" name="CommandButton4"/>
    <control shapeId="74759" r:id="rId6" name="CommandButton5"/>
    <control shapeId="74760" r:id="rId7" name="CommandButton6"/>
    <control shapeId="74761" r:id="rId8" name="CommandButton7"/>
    <control shapeId="74762" r:id="rId9" name="CommandButton8"/>
  </controls>
</worksheet>
</file>

<file path=xl/worksheets/sheet9.xml><?xml version="1.0" encoding="utf-8"?>
<worksheet xmlns="http://schemas.openxmlformats.org/spreadsheetml/2006/main" xmlns:r="http://schemas.openxmlformats.org/officeDocument/2006/relationships">
  <sheetPr codeName="工作表11"/>
  <dimension ref="A1:AD1665"/>
  <sheetViews>
    <sheetView workbookViewId="0">
      <pane xSplit="2" ySplit="1" topLeftCell="C17" activePane="bottomRight" state="frozen"/>
      <selection pane="topRight" activeCell="D1" sqref="D1"/>
      <selection pane="bottomLeft" activeCell="A2" sqref="A2"/>
      <selection pane="bottomRight" activeCell="A2" sqref="A2:C2000"/>
    </sheetView>
  </sheetViews>
  <sheetFormatPr defaultRowHeight="16.5"/>
  <cols>
    <col min="1" max="1" width="13.875" customWidth="1"/>
    <col min="2" max="2" width="13.375" customWidth="1"/>
  </cols>
  <sheetData>
    <row r="1" spans="1:30" ht="32.25" customHeight="1">
      <c r="A1" s="86">
        <v>42667</v>
      </c>
    </row>
    <row r="2" spans="1:30">
      <c r="A2" s="213" t="str">
        <f>"00643K"</f>
        <v>00643K</v>
      </c>
      <c r="B2" s="213" t="s">
        <v>3113</v>
      </c>
      <c r="C2" s="213">
        <v>3.33</v>
      </c>
      <c r="D2">
        <f t="shared" ref="D2:D65" si="0">RANK(C2,C:C,0)</f>
        <v>1598</v>
      </c>
      <c r="E2" s="213"/>
      <c r="F2" s="213"/>
      <c r="G2" s="213"/>
      <c r="H2" s="213"/>
      <c r="I2" s="213"/>
      <c r="J2" s="213"/>
      <c r="K2" s="213"/>
      <c r="L2" s="213"/>
      <c r="M2" s="213"/>
      <c r="N2" s="213"/>
      <c r="O2" s="213"/>
      <c r="P2" s="213"/>
      <c r="Y2" s="33"/>
      <c r="Z2" s="33"/>
      <c r="AD2" s="33"/>
    </row>
    <row r="3" spans="1:30">
      <c r="A3" s="213" t="str">
        <f>"00645 "</f>
        <v xml:space="preserve">00645 </v>
      </c>
      <c r="B3" s="213" t="s">
        <v>3114</v>
      </c>
      <c r="C3" s="213">
        <v>17.559999999999999</v>
      </c>
      <c r="D3">
        <f t="shared" si="0"/>
        <v>1002</v>
      </c>
      <c r="E3" s="213"/>
      <c r="F3" s="213"/>
      <c r="G3" s="213"/>
      <c r="H3" s="213"/>
      <c r="I3" s="213"/>
      <c r="J3" s="213"/>
      <c r="K3" s="213"/>
      <c r="L3" s="213"/>
      <c r="M3" s="213"/>
      <c r="N3" s="213"/>
      <c r="O3" s="213"/>
      <c r="P3" s="213"/>
      <c r="Y3" s="33"/>
      <c r="Z3" s="33"/>
      <c r="AD3" s="33"/>
    </row>
    <row r="4" spans="1:30">
      <c r="A4" s="213" t="str">
        <f>"00646 "</f>
        <v xml:space="preserve">00646 </v>
      </c>
      <c r="B4" s="213" t="s">
        <v>3115</v>
      </c>
      <c r="C4" s="213">
        <v>20.100000000000001</v>
      </c>
      <c r="D4">
        <f t="shared" si="0"/>
        <v>900</v>
      </c>
      <c r="E4" s="213"/>
      <c r="F4" s="213"/>
      <c r="G4" s="213"/>
      <c r="H4" s="213"/>
      <c r="I4" s="213"/>
      <c r="J4" s="213"/>
      <c r="K4" s="213"/>
      <c r="L4" s="213"/>
      <c r="M4" s="213"/>
      <c r="N4" s="213"/>
      <c r="O4" s="213"/>
      <c r="P4" s="213"/>
      <c r="Y4" s="33"/>
      <c r="Z4" s="33"/>
      <c r="AA4" s="33"/>
      <c r="AD4" s="33"/>
    </row>
    <row r="5" spans="1:30">
      <c r="A5" s="213" t="str">
        <f>"00647L"</f>
        <v>00647L</v>
      </c>
      <c r="B5" s="213" t="s">
        <v>2908</v>
      </c>
      <c r="C5" s="213">
        <v>21</v>
      </c>
      <c r="D5">
        <f t="shared" si="0"/>
        <v>876</v>
      </c>
      <c r="E5" s="213"/>
      <c r="F5" s="213"/>
      <c r="G5" s="213"/>
      <c r="H5" s="213"/>
      <c r="I5" s="213"/>
      <c r="J5" s="213"/>
      <c r="K5" s="213"/>
      <c r="L5" s="213"/>
      <c r="M5" s="213"/>
      <c r="N5" s="213"/>
      <c r="O5" s="213"/>
      <c r="P5" s="213"/>
      <c r="Y5" s="33"/>
      <c r="Z5" s="33"/>
      <c r="AA5" s="33"/>
      <c r="AD5" s="33"/>
    </row>
    <row r="6" spans="1:30">
      <c r="A6" s="213" t="str">
        <f>"00648R"</f>
        <v>00648R</v>
      </c>
      <c r="B6" s="213" t="s">
        <v>2296</v>
      </c>
      <c r="C6" s="213">
        <v>18.27</v>
      </c>
      <c r="D6">
        <f t="shared" si="0"/>
        <v>962</v>
      </c>
      <c r="E6" s="213"/>
      <c r="F6" s="213"/>
      <c r="G6" s="213"/>
      <c r="H6" s="213"/>
      <c r="I6" s="213"/>
      <c r="J6" s="213"/>
      <c r="K6" s="213"/>
      <c r="L6" s="213"/>
      <c r="M6" s="213"/>
      <c r="N6" s="213"/>
      <c r="O6" s="213"/>
      <c r="P6" s="213"/>
      <c r="Y6" s="33"/>
      <c r="Z6" s="33"/>
      <c r="AD6" s="33"/>
    </row>
    <row r="7" spans="1:30">
      <c r="A7" s="213" t="str">
        <f>"00649 "</f>
        <v xml:space="preserve">00649 </v>
      </c>
      <c r="B7" s="213" t="s">
        <v>2297</v>
      </c>
      <c r="C7" s="213">
        <v>17.559999999999999</v>
      </c>
      <c r="D7">
        <f t="shared" si="0"/>
        <v>1002</v>
      </c>
      <c r="E7" s="213"/>
      <c r="F7" s="213"/>
      <c r="G7" s="213"/>
      <c r="H7" s="213"/>
      <c r="I7" s="213"/>
      <c r="J7" s="213"/>
      <c r="K7" s="213"/>
      <c r="L7" s="213"/>
      <c r="M7" s="213"/>
      <c r="N7" s="213"/>
      <c r="O7" s="213"/>
      <c r="P7" s="213"/>
      <c r="Y7" s="33"/>
      <c r="Z7" s="33"/>
      <c r="AD7" s="33"/>
    </row>
    <row r="8" spans="1:30">
      <c r="A8" s="213" t="str">
        <f>"00650L"</f>
        <v>00650L</v>
      </c>
      <c r="B8" s="213" t="s">
        <v>2298</v>
      </c>
      <c r="C8" s="213">
        <v>22.19</v>
      </c>
      <c r="D8">
        <f t="shared" si="0"/>
        <v>841</v>
      </c>
      <c r="E8" s="213"/>
      <c r="F8" s="213"/>
      <c r="G8" s="213"/>
      <c r="H8" s="213"/>
      <c r="I8" s="213"/>
      <c r="J8" s="213"/>
      <c r="K8" s="213"/>
      <c r="L8" s="213"/>
      <c r="M8" s="213"/>
      <c r="N8" s="213"/>
      <c r="O8" s="213"/>
      <c r="P8" s="213"/>
      <c r="Y8" s="33"/>
      <c r="Z8" s="33"/>
      <c r="AA8" s="33"/>
      <c r="AD8" s="33"/>
    </row>
    <row r="9" spans="1:30">
      <c r="A9" s="213" t="str">
        <f>"00651R"</f>
        <v>00651R</v>
      </c>
      <c r="B9" s="213" t="s">
        <v>2028</v>
      </c>
      <c r="C9" s="213">
        <v>11.53</v>
      </c>
      <c r="D9">
        <f t="shared" si="0"/>
        <v>1284</v>
      </c>
      <c r="E9" s="213"/>
      <c r="F9" s="213"/>
      <c r="G9" s="213"/>
      <c r="H9" s="213"/>
      <c r="I9" s="213"/>
      <c r="J9" s="213"/>
      <c r="K9" s="213"/>
      <c r="L9" s="213"/>
      <c r="M9" s="213"/>
      <c r="N9" s="213"/>
      <c r="O9" s="213"/>
      <c r="P9" s="213"/>
      <c r="Y9" s="33"/>
      <c r="Z9" s="33"/>
      <c r="AA9" s="33"/>
      <c r="AD9" s="33"/>
    </row>
    <row r="10" spans="1:30">
      <c r="A10" s="213" t="str">
        <f>"00652 "</f>
        <v xml:space="preserve">00652 </v>
      </c>
      <c r="B10" s="213" t="s">
        <v>1844</v>
      </c>
      <c r="C10" s="213">
        <v>21.18</v>
      </c>
      <c r="D10">
        <f t="shared" si="0"/>
        <v>873</v>
      </c>
      <c r="E10" s="213"/>
      <c r="F10" s="213"/>
      <c r="G10" s="213"/>
      <c r="H10" s="213"/>
      <c r="I10" s="213"/>
      <c r="J10" s="213"/>
      <c r="K10" s="213"/>
      <c r="L10" s="213"/>
      <c r="M10" s="213"/>
      <c r="N10" s="213"/>
      <c r="O10" s="213"/>
      <c r="P10" s="213"/>
      <c r="Y10" s="33"/>
      <c r="Z10" s="33"/>
      <c r="AA10" s="33"/>
      <c r="AD10" s="33"/>
    </row>
    <row r="11" spans="1:30">
      <c r="A11" s="213" t="str">
        <f>"00653L"</f>
        <v>00653L</v>
      </c>
      <c r="B11" s="213" t="s">
        <v>2029</v>
      </c>
      <c r="C11" s="213">
        <v>23.38</v>
      </c>
      <c r="D11">
        <f t="shared" si="0"/>
        <v>799</v>
      </c>
      <c r="E11" s="213"/>
      <c r="F11" s="213"/>
      <c r="G11" s="213"/>
      <c r="H11" s="213"/>
      <c r="I11" s="213"/>
      <c r="J11" s="213"/>
      <c r="K11" s="213"/>
      <c r="L11" s="213"/>
      <c r="M11" s="213"/>
      <c r="N11" s="213"/>
      <c r="O11" s="213"/>
      <c r="P11" s="213"/>
      <c r="Y11" s="33"/>
      <c r="Z11" s="33"/>
      <c r="AA11" s="33"/>
      <c r="AD11" s="33"/>
    </row>
    <row r="12" spans="1:30">
      <c r="A12" s="213" t="str">
        <f>"00654R"</f>
        <v>00654R</v>
      </c>
      <c r="B12" s="213" t="s">
        <v>2274</v>
      </c>
      <c r="C12" s="213">
        <v>17.82</v>
      </c>
      <c r="D12">
        <f t="shared" si="0"/>
        <v>983</v>
      </c>
      <c r="E12" s="213"/>
      <c r="F12" s="213"/>
      <c r="G12" s="213"/>
      <c r="H12" s="213"/>
      <c r="I12" s="213"/>
      <c r="J12" s="213"/>
      <c r="K12" s="213"/>
      <c r="L12" s="213"/>
      <c r="M12" s="213"/>
      <c r="N12" s="213"/>
      <c r="O12" s="213"/>
      <c r="P12" s="213"/>
      <c r="Y12" s="33"/>
      <c r="Z12" s="33"/>
      <c r="AA12" s="33"/>
      <c r="AD12" s="33"/>
    </row>
    <row r="13" spans="1:30">
      <c r="A13" s="213" t="str">
        <f>"00655L"</f>
        <v>00655L</v>
      </c>
      <c r="B13" s="213" t="s">
        <v>2275</v>
      </c>
      <c r="C13" s="213">
        <v>23.4</v>
      </c>
      <c r="D13">
        <f t="shared" si="0"/>
        <v>796</v>
      </c>
      <c r="E13" s="213"/>
      <c r="F13" s="213"/>
      <c r="G13" s="213"/>
      <c r="H13" s="213"/>
      <c r="I13" s="213"/>
      <c r="J13" s="213"/>
      <c r="K13" s="213"/>
      <c r="L13" s="213"/>
      <c r="M13" s="213"/>
      <c r="N13" s="213"/>
      <c r="O13" s="213"/>
      <c r="P13" s="213"/>
      <c r="Y13" s="33"/>
      <c r="Z13" s="33"/>
      <c r="AA13" s="33"/>
      <c r="AD13" s="33"/>
    </row>
    <row r="14" spans="1:30">
      <c r="A14" s="213" t="str">
        <f>"00656R"</f>
        <v>00656R</v>
      </c>
      <c r="B14" s="213" t="s">
        <v>2276</v>
      </c>
      <c r="C14" s="213">
        <v>17.579999999999998</v>
      </c>
      <c r="D14">
        <f t="shared" si="0"/>
        <v>1001</v>
      </c>
      <c r="E14" s="213"/>
      <c r="F14" s="213"/>
      <c r="G14" s="213"/>
      <c r="H14" s="213"/>
      <c r="I14" s="213"/>
      <c r="J14" s="213"/>
      <c r="K14" s="213"/>
      <c r="L14" s="213"/>
      <c r="M14" s="213"/>
      <c r="N14" s="213"/>
      <c r="O14" s="213"/>
      <c r="P14" s="213"/>
      <c r="Y14" s="33"/>
      <c r="Z14" s="33"/>
      <c r="AD14" s="33"/>
    </row>
    <row r="15" spans="1:30">
      <c r="A15" s="213" t="str">
        <f>"00657 "</f>
        <v xml:space="preserve">00657 </v>
      </c>
      <c r="B15" s="213" t="s">
        <v>2277</v>
      </c>
      <c r="C15" s="213">
        <v>21.14</v>
      </c>
      <c r="D15">
        <f t="shared" si="0"/>
        <v>874</v>
      </c>
      <c r="E15" s="213"/>
      <c r="F15" s="213"/>
      <c r="G15" s="213"/>
      <c r="H15" s="213"/>
      <c r="I15" s="213"/>
      <c r="J15" s="213"/>
      <c r="K15" s="213"/>
      <c r="L15" s="213"/>
      <c r="M15" s="213"/>
      <c r="N15" s="213"/>
      <c r="O15" s="213"/>
      <c r="P15" s="213"/>
      <c r="Y15" s="33"/>
      <c r="Z15" s="33"/>
      <c r="AA15" s="33"/>
      <c r="AD15" s="33"/>
    </row>
    <row r="16" spans="1:30">
      <c r="A16" s="213" t="str">
        <f>"00658L"</f>
        <v>00658L</v>
      </c>
      <c r="B16" s="213" t="s">
        <v>2278</v>
      </c>
      <c r="C16" s="213">
        <v>22.32</v>
      </c>
      <c r="D16">
        <f t="shared" si="0"/>
        <v>833</v>
      </c>
      <c r="E16" s="213"/>
      <c r="F16" s="213"/>
      <c r="G16" s="213"/>
      <c r="H16" s="213"/>
      <c r="I16" s="213"/>
      <c r="J16" s="213"/>
      <c r="K16" s="213"/>
      <c r="L16" s="213"/>
      <c r="M16" s="213"/>
      <c r="N16" s="213"/>
      <c r="O16" s="213"/>
      <c r="P16" s="213"/>
      <c r="Y16" s="33"/>
      <c r="Z16" s="33"/>
      <c r="AD16" s="33"/>
    </row>
    <row r="17" spans="1:30">
      <c r="A17" s="213" t="str">
        <f>"00659R"</f>
        <v>00659R</v>
      </c>
      <c r="B17" s="213" t="s">
        <v>2279</v>
      </c>
      <c r="C17" s="213">
        <v>18.010000000000002</v>
      </c>
      <c r="D17">
        <f t="shared" si="0"/>
        <v>975</v>
      </c>
      <c r="E17" s="213"/>
      <c r="F17" s="213"/>
      <c r="G17" s="213"/>
      <c r="H17" s="213"/>
      <c r="I17" s="213"/>
      <c r="J17" s="213"/>
      <c r="K17" s="213"/>
      <c r="L17" s="213"/>
      <c r="M17" s="213"/>
      <c r="N17" s="213"/>
      <c r="O17" s="213"/>
      <c r="P17" s="213"/>
      <c r="Y17" s="33"/>
      <c r="Z17" s="33"/>
      <c r="AD17" s="33"/>
    </row>
    <row r="18" spans="1:30">
      <c r="A18" s="213" t="str">
        <f>"00660 "</f>
        <v xml:space="preserve">00660 </v>
      </c>
      <c r="B18" s="213" t="s">
        <v>2280</v>
      </c>
      <c r="C18" s="213">
        <v>20.91</v>
      </c>
      <c r="D18">
        <f t="shared" si="0"/>
        <v>878</v>
      </c>
      <c r="E18" s="213"/>
      <c r="F18" s="213"/>
      <c r="G18" s="213"/>
      <c r="H18" s="213"/>
      <c r="I18" s="213"/>
      <c r="J18" s="213"/>
      <c r="K18" s="213"/>
      <c r="L18" s="213"/>
      <c r="M18" s="213"/>
      <c r="N18" s="213"/>
      <c r="O18" s="213"/>
      <c r="P18" s="213"/>
      <c r="Y18" s="33"/>
      <c r="Z18" s="33"/>
      <c r="AA18" s="33"/>
      <c r="AD18" s="33"/>
    </row>
    <row r="19" spans="1:30">
      <c r="A19" s="213" t="str">
        <f>"00661 "</f>
        <v xml:space="preserve">00661 </v>
      </c>
      <c r="B19" s="213" t="s">
        <v>2281</v>
      </c>
      <c r="C19" s="213">
        <v>21.73</v>
      </c>
      <c r="D19">
        <f t="shared" si="0"/>
        <v>858</v>
      </c>
      <c r="E19" s="213"/>
      <c r="F19" s="213"/>
      <c r="G19" s="213"/>
      <c r="H19" s="213"/>
      <c r="I19" s="213"/>
      <c r="J19" s="213"/>
      <c r="K19" s="213"/>
      <c r="L19" s="213"/>
      <c r="M19" s="213"/>
      <c r="N19" s="213"/>
      <c r="O19" s="213"/>
      <c r="P19" s="213"/>
      <c r="Y19" s="33"/>
      <c r="Z19" s="33"/>
      <c r="AA19" s="33"/>
      <c r="AD19" s="33"/>
    </row>
    <row r="20" spans="1:30">
      <c r="A20" s="213" t="str">
        <f>"00662 "</f>
        <v xml:space="preserve">00662 </v>
      </c>
      <c r="B20" s="213" t="s">
        <v>2282</v>
      </c>
      <c r="C20" s="213">
        <v>21.21</v>
      </c>
      <c r="D20">
        <f t="shared" si="0"/>
        <v>868</v>
      </c>
      <c r="E20" s="213"/>
      <c r="F20" s="213"/>
      <c r="G20" s="213"/>
      <c r="H20" s="213"/>
      <c r="I20" s="213"/>
      <c r="J20" s="213"/>
      <c r="K20" s="213"/>
      <c r="L20" s="213"/>
      <c r="M20" s="213"/>
      <c r="N20" s="213"/>
      <c r="O20" s="213"/>
      <c r="P20" s="213"/>
      <c r="Y20" s="33"/>
      <c r="Z20" s="33"/>
      <c r="AA20" s="33"/>
      <c r="AD20" s="33"/>
    </row>
    <row r="21" spans="1:30">
      <c r="A21" s="213" t="str">
        <f>"00663L"</f>
        <v>00663L</v>
      </c>
      <c r="B21" s="213" t="s">
        <v>2283</v>
      </c>
      <c r="C21" s="213">
        <v>23.37</v>
      </c>
      <c r="D21">
        <f t="shared" si="0"/>
        <v>800</v>
      </c>
      <c r="E21" s="213"/>
      <c r="F21" s="213"/>
      <c r="G21" s="213"/>
      <c r="H21" s="213"/>
      <c r="I21" s="213"/>
      <c r="J21" s="213"/>
      <c r="K21" s="213"/>
      <c r="L21" s="213"/>
      <c r="M21" s="213"/>
      <c r="N21" s="213"/>
      <c r="O21" s="213"/>
      <c r="P21" s="213"/>
      <c r="Y21" s="33"/>
      <c r="Z21" s="33"/>
      <c r="AA21" s="33"/>
      <c r="AD21" s="33"/>
    </row>
    <row r="22" spans="1:30">
      <c r="A22" s="213" t="str">
        <f>"00664R"</f>
        <v>00664R</v>
      </c>
      <c r="B22" s="213" t="s">
        <v>2284</v>
      </c>
      <c r="C22" s="213">
        <v>18.3</v>
      </c>
      <c r="D22">
        <f t="shared" si="0"/>
        <v>958</v>
      </c>
      <c r="E22" s="213"/>
      <c r="F22" s="213"/>
      <c r="G22" s="213"/>
      <c r="H22" s="213"/>
      <c r="I22" s="213"/>
      <c r="J22" s="213"/>
      <c r="K22" s="213"/>
      <c r="L22" s="213"/>
      <c r="M22" s="213"/>
      <c r="N22" s="213"/>
      <c r="O22" s="213"/>
      <c r="P22" s="213"/>
      <c r="Y22" s="33"/>
      <c r="Z22" s="33"/>
      <c r="AA22" s="33"/>
      <c r="AD22" s="33"/>
    </row>
    <row r="23" spans="1:30">
      <c r="A23" s="213" t="str">
        <f>"00665L"</f>
        <v>00665L</v>
      </c>
      <c r="B23" s="213" t="s">
        <v>2354</v>
      </c>
      <c r="C23" s="213">
        <v>23.36</v>
      </c>
      <c r="D23">
        <f t="shared" si="0"/>
        <v>801</v>
      </c>
      <c r="E23" s="213"/>
      <c r="F23" s="213"/>
      <c r="G23" s="213"/>
      <c r="H23" s="213"/>
      <c r="I23" s="213"/>
      <c r="J23" s="213"/>
      <c r="K23" s="213"/>
      <c r="L23" s="213"/>
      <c r="M23" s="213"/>
      <c r="N23" s="213"/>
      <c r="O23" s="213"/>
      <c r="P23" s="213"/>
      <c r="Y23" s="33"/>
      <c r="Z23" s="33"/>
      <c r="AD23" s="33"/>
    </row>
    <row r="24" spans="1:30">
      <c r="A24" s="213" t="str">
        <f>"00666R"</f>
        <v>00666R</v>
      </c>
      <c r="B24" s="213" t="s">
        <v>2355</v>
      </c>
      <c r="C24" s="213">
        <v>18.05</v>
      </c>
      <c r="D24">
        <f t="shared" si="0"/>
        <v>970</v>
      </c>
      <c r="E24" s="213"/>
      <c r="F24" s="213"/>
      <c r="G24" s="213"/>
      <c r="H24" s="213"/>
      <c r="I24" s="213"/>
      <c r="J24" s="213"/>
      <c r="K24" s="213"/>
      <c r="L24" s="213"/>
      <c r="M24" s="213"/>
      <c r="N24" s="213"/>
      <c r="O24" s="213"/>
      <c r="P24" s="213"/>
      <c r="Y24" s="33"/>
      <c r="Z24" s="33"/>
      <c r="AA24" s="33"/>
      <c r="AD24" s="33"/>
    </row>
    <row r="25" spans="1:30">
      <c r="A25" s="213" t="str">
        <f>"00667 "</f>
        <v xml:space="preserve">00667 </v>
      </c>
      <c r="B25" s="213" t="s">
        <v>3188</v>
      </c>
      <c r="C25" s="213">
        <v>19.440000000000001</v>
      </c>
      <c r="D25">
        <f t="shared" si="0"/>
        <v>927</v>
      </c>
      <c r="E25" s="213"/>
      <c r="F25" s="213"/>
      <c r="G25" s="213"/>
      <c r="H25" s="213"/>
      <c r="I25" s="213"/>
      <c r="J25" s="213"/>
      <c r="K25" s="213"/>
      <c r="L25" s="213"/>
      <c r="M25" s="213"/>
      <c r="N25" s="213"/>
      <c r="O25" s="213"/>
      <c r="P25" s="213"/>
      <c r="Y25" s="33"/>
      <c r="Z25" s="33"/>
      <c r="AA25" s="33"/>
      <c r="AD25" s="33"/>
    </row>
    <row r="26" spans="1:30">
      <c r="A26" s="213" t="str">
        <f>"00668 "</f>
        <v xml:space="preserve">00668 </v>
      </c>
      <c r="B26" s="213" t="s">
        <v>3205</v>
      </c>
      <c r="C26" s="213">
        <v>19.91</v>
      </c>
      <c r="D26">
        <f t="shared" si="0"/>
        <v>910</v>
      </c>
      <c r="E26" s="213"/>
      <c r="F26" s="213"/>
      <c r="G26" s="213"/>
      <c r="H26" s="213"/>
      <c r="I26" s="213"/>
      <c r="J26" s="213"/>
      <c r="K26" s="213"/>
      <c r="L26" s="213"/>
      <c r="M26" s="213"/>
      <c r="N26" s="213"/>
      <c r="O26" s="213"/>
      <c r="P26" s="213"/>
      <c r="Y26" s="33"/>
      <c r="Z26" s="33"/>
      <c r="AD26" s="33"/>
    </row>
    <row r="27" spans="1:30">
      <c r="A27" s="213" t="str">
        <f>"00669R"</f>
        <v>00669R</v>
      </c>
      <c r="B27" s="213" t="s">
        <v>3206</v>
      </c>
      <c r="C27" s="213">
        <v>19.86</v>
      </c>
      <c r="D27">
        <f t="shared" si="0"/>
        <v>914</v>
      </c>
      <c r="E27" s="213"/>
      <c r="F27" s="213"/>
      <c r="G27" s="213"/>
      <c r="H27" s="213"/>
      <c r="I27" s="213"/>
      <c r="J27" s="213"/>
      <c r="K27" s="213"/>
      <c r="L27" s="213"/>
      <c r="M27" s="213"/>
      <c r="N27" s="213"/>
      <c r="O27" s="213"/>
      <c r="P27" s="213"/>
      <c r="Y27" s="33"/>
      <c r="Z27" s="33"/>
      <c r="AA27" s="33"/>
      <c r="AD27" s="33"/>
    </row>
    <row r="28" spans="1:30">
      <c r="A28" s="213" t="str">
        <f>"00672L"</f>
        <v>00672L</v>
      </c>
      <c r="B28" s="213" t="s">
        <v>3189</v>
      </c>
      <c r="C28" s="213">
        <v>20.16</v>
      </c>
      <c r="D28">
        <f t="shared" si="0"/>
        <v>899</v>
      </c>
      <c r="E28" s="213"/>
      <c r="F28" s="213"/>
      <c r="G28" s="213"/>
      <c r="H28" s="213"/>
      <c r="I28" s="213"/>
      <c r="J28" s="213"/>
      <c r="K28" s="213"/>
      <c r="L28" s="213"/>
      <c r="M28" s="213"/>
      <c r="N28" s="213"/>
      <c r="O28" s="213"/>
      <c r="P28" s="213"/>
      <c r="Y28" s="33"/>
      <c r="Z28" s="33"/>
      <c r="AA28" s="33"/>
      <c r="AD28" s="33"/>
    </row>
    <row r="29" spans="1:30">
      <c r="A29" s="213" t="str">
        <f>"00673R"</f>
        <v>00673R</v>
      </c>
      <c r="B29" s="213" t="s">
        <v>3190</v>
      </c>
      <c r="C29" s="213">
        <v>19.84</v>
      </c>
      <c r="D29">
        <f t="shared" si="0"/>
        <v>916</v>
      </c>
      <c r="E29" s="213"/>
      <c r="F29" s="213"/>
      <c r="G29" s="213"/>
      <c r="H29" s="213"/>
      <c r="I29" s="213"/>
      <c r="J29" s="213"/>
      <c r="K29" s="213"/>
      <c r="L29" s="213"/>
      <c r="M29" s="213"/>
      <c r="N29" s="213"/>
      <c r="O29" s="213"/>
      <c r="P29" s="213"/>
      <c r="Y29" s="33"/>
      <c r="Z29" s="33"/>
      <c r="AA29" s="33"/>
      <c r="AD29" s="33"/>
    </row>
    <row r="30" spans="1:30">
      <c r="A30" s="213" t="str">
        <f>"00674R"</f>
        <v>00674R</v>
      </c>
      <c r="B30" s="213" t="s">
        <v>3191</v>
      </c>
      <c r="C30" s="213">
        <v>20</v>
      </c>
      <c r="D30">
        <f t="shared" si="0"/>
        <v>903</v>
      </c>
      <c r="E30" s="213"/>
      <c r="F30" s="213"/>
      <c r="G30" s="213"/>
      <c r="H30" s="213"/>
      <c r="I30" s="213"/>
      <c r="J30" s="213"/>
      <c r="K30" s="213"/>
      <c r="L30" s="213"/>
      <c r="M30" s="213"/>
      <c r="N30" s="213"/>
      <c r="O30" s="213"/>
      <c r="P30" s="213"/>
      <c r="Y30" s="33"/>
      <c r="Z30" s="33"/>
      <c r="AA30" s="33"/>
      <c r="AD30" s="33"/>
    </row>
    <row r="31" spans="1:30">
      <c r="A31" s="213" t="str">
        <f>"00675L"</f>
        <v>00675L</v>
      </c>
      <c r="B31" s="213" t="s">
        <v>3167</v>
      </c>
      <c r="C31" s="213">
        <v>10.130000000000001</v>
      </c>
      <c r="D31">
        <f t="shared" si="0"/>
        <v>1354</v>
      </c>
      <c r="E31" s="213"/>
      <c r="F31" s="213"/>
      <c r="G31" s="213"/>
      <c r="H31" s="213"/>
      <c r="I31" s="213"/>
      <c r="J31" s="213"/>
      <c r="K31" s="213"/>
      <c r="L31" s="213"/>
      <c r="M31" s="213"/>
      <c r="N31" s="213"/>
      <c r="O31" s="213"/>
      <c r="P31" s="213"/>
      <c r="Y31" s="33"/>
      <c r="Z31" s="33"/>
      <c r="AD31" s="33"/>
    </row>
    <row r="32" spans="1:30">
      <c r="A32" s="213" t="str">
        <f>"00676R"</f>
        <v>00676R</v>
      </c>
      <c r="B32" s="213" t="s">
        <v>3168</v>
      </c>
      <c r="C32" s="213">
        <v>9.9</v>
      </c>
      <c r="D32">
        <f t="shared" si="0"/>
        <v>1378</v>
      </c>
      <c r="E32" s="213"/>
      <c r="F32" s="213"/>
      <c r="G32" s="213"/>
      <c r="H32" s="213"/>
      <c r="I32" s="213"/>
      <c r="J32" s="213"/>
      <c r="K32" s="213"/>
      <c r="L32" s="213"/>
      <c r="M32" s="33"/>
      <c r="N32" s="213"/>
      <c r="O32" s="213"/>
      <c r="P32" s="213"/>
      <c r="Y32" s="33"/>
      <c r="Z32" s="33"/>
      <c r="AA32" s="33"/>
      <c r="AD32" s="33"/>
    </row>
    <row r="33" spans="1:30">
      <c r="A33" s="213" t="str">
        <f>"008201"</f>
        <v>008201</v>
      </c>
      <c r="B33" s="213" t="s">
        <v>2285</v>
      </c>
      <c r="C33" s="213">
        <v>83.5</v>
      </c>
      <c r="D33">
        <f t="shared" si="0"/>
        <v>177</v>
      </c>
      <c r="E33" s="213"/>
      <c r="F33" s="213"/>
      <c r="G33" s="213"/>
      <c r="H33" s="213"/>
      <c r="I33" s="213"/>
      <c r="J33" s="213"/>
      <c r="K33" s="213"/>
      <c r="L33" s="213"/>
      <c r="M33" s="213"/>
      <c r="N33" s="213"/>
      <c r="O33" s="213"/>
      <c r="P33" s="213"/>
      <c r="Y33" s="33"/>
      <c r="Z33" s="33"/>
      <c r="AA33" s="33"/>
      <c r="AD33" s="33"/>
    </row>
    <row r="34" spans="1:30">
      <c r="A34" s="213" t="str">
        <f>"01001T"</f>
        <v>01001T</v>
      </c>
      <c r="B34" s="213" t="s">
        <v>2286</v>
      </c>
      <c r="C34" s="213" t="s">
        <v>1744</v>
      </c>
      <c r="D34" t="e">
        <f t="shared" si="0"/>
        <v>#VALUE!</v>
      </c>
      <c r="E34" s="213"/>
      <c r="F34" s="213"/>
      <c r="G34" s="213"/>
      <c r="H34" s="213"/>
      <c r="I34" s="213"/>
      <c r="J34" s="213"/>
      <c r="K34" s="213"/>
      <c r="L34" s="213"/>
      <c r="M34" s="213"/>
      <c r="N34" s="213"/>
      <c r="O34" s="213"/>
      <c r="P34" s="213"/>
      <c r="Y34" s="33"/>
      <c r="Z34" s="33"/>
      <c r="AD34" s="33"/>
    </row>
    <row r="35" spans="1:30">
      <c r="A35" s="213" t="str">
        <f>"01002T"</f>
        <v>01002T</v>
      </c>
      <c r="B35" s="213" t="s">
        <v>2287</v>
      </c>
      <c r="C35" s="213">
        <v>16.5</v>
      </c>
      <c r="D35">
        <f t="shared" si="0"/>
        <v>1058</v>
      </c>
      <c r="E35" s="213"/>
      <c r="F35" s="213"/>
      <c r="G35" s="213"/>
      <c r="H35" s="213"/>
      <c r="I35" s="213"/>
      <c r="J35" s="213"/>
      <c r="K35" s="213"/>
      <c r="L35" s="213"/>
      <c r="M35" s="213"/>
      <c r="N35" s="213"/>
      <c r="O35" s="213"/>
      <c r="P35" s="213"/>
      <c r="Y35" s="33"/>
      <c r="Z35" s="33"/>
      <c r="AD35" s="33"/>
    </row>
    <row r="36" spans="1:30">
      <c r="A36" s="213" t="str">
        <f>"01003T"</f>
        <v>01003T</v>
      </c>
      <c r="B36" s="213" t="s">
        <v>2288</v>
      </c>
      <c r="C36" s="213">
        <v>14.02</v>
      </c>
      <c r="D36">
        <f t="shared" si="0"/>
        <v>1161</v>
      </c>
      <c r="E36" s="213"/>
      <c r="F36" s="213"/>
      <c r="G36" s="213"/>
      <c r="H36" s="213"/>
      <c r="I36" s="213"/>
      <c r="J36" s="213"/>
      <c r="K36" s="213"/>
      <c r="L36" s="213"/>
      <c r="M36" s="213"/>
      <c r="N36" s="213"/>
      <c r="O36" s="213"/>
      <c r="P36" s="213"/>
      <c r="Y36" s="33"/>
      <c r="Z36" s="33"/>
      <c r="AA36" s="33"/>
      <c r="AD36" s="33"/>
    </row>
    <row r="37" spans="1:30">
      <c r="A37" s="213" t="str">
        <f>"01004T"</f>
        <v>01004T</v>
      </c>
      <c r="B37" s="213" t="s">
        <v>2289</v>
      </c>
      <c r="C37" s="213">
        <v>13.7</v>
      </c>
      <c r="D37">
        <f t="shared" si="0"/>
        <v>1181</v>
      </c>
      <c r="E37" s="213"/>
      <c r="F37" s="213"/>
      <c r="G37" s="213"/>
      <c r="H37" s="213"/>
      <c r="I37" s="213"/>
      <c r="J37" s="213"/>
      <c r="K37" s="213"/>
      <c r="L37" s="213"/>
      <c r="M37" s="213"/>
      <c r="N37" s="213"/>
      <c r="O37" s="213"/>
      <c r="P37" s="213"/>
      <c r="Y37" s="33"/>
      <c r="Z37" s="33"/>
      <c r="AA37" s="33"/>
      <c r="AD37" s="33"/>
    </row>
    <row r="38" spans="1:30">
      <c r="A38" s="213" t="str">
        <f>"01007T"</f>
        <v>01007T</v>
      </c>
      <c r="B38" s="213" t="s">
        <v>2290</v>
      </c>
      <c r="C38" s="213">
        <v>15.69</v>
      </c>
      <c r="D38">
        <f t="shared" si="0"/>
        <v>1094</v>
      </c>
      <c r="E38" s="213"/>
      <c r="F38" s="213"/>
      <c r="G38" s="213"/>
      <c r="H38" s="213"/>
      <c r="I38" s="213"/>
      <c r="J38" s="213"/>
      <c r="K38" s="213"/>
      <c r="L38" s="213"/>
      <c r="M38" s="213"/>
      <c r="N38" s="213"/>
      <c r="O38" s="213"/>
      <c r="P38" s="213"/>
      <c r="Y38" s="33"/>
      <c r="Z38" s="33"/>
      <c r="AA38" s="33"/>
      <c r="AD38" s="33"/>
    </row>
    <row r="39" spans="1:30">
      <c r="A39" s="213">
        <v>1101</v>
      </c>
      <c r="B39" s="213" t="s">
        <v>504</v>
      </c>
      <c r="C39" s="213">
        <v>37</v>
      </c>
      <c r="D39">
        <f t="shared" si="0"/>
        <v>495</v>
      </c>
      <c r="E39" s="213"/>
      <c r="F39" s="213"/>
      <c r="G39" s="213"/>
      <c r="H39" s="213"/>
      <c r="I39" s="213"/>
      <c r="J39" s="213"/>
      <c r="K39" s="213"/>
      <c r="L39" s="213"/>
      <c r="M39" s="213"/>
      <c r="N39" s="213"/>
      <c r="O39" s="213"/>
      <c r="P39" s="213"/>
      <c r="Y39" s="33"/>
      <c r="Z39" s="33"/>
      <c r="AD39" s="33"/>
    </row>
    <row r="40" spans="1:30">
      <c r="A40" s="213">
        <v>1102</v>
      </c>
      <c r="B40" s="213" t="s">
        <v>505</v>
      </c>
      <c r="C40" s="213">
        <v>27.05</v>
      </c>
      <c r="D40">
        <f t="shared" si="0"/>
        <v>687</v>
      </c>
      <c r="E40" s="213"/>
      <c r="F40" s="213"/>
      <c r="G40" s="213"/>
      <c r="H40" s="213"/>
      <c r="I40" s="213"/>
      <c r="J40" s="213"/>
      <c r="K40" s="213"/>
      <c r="L40" s="213"/>
      <c r="M40" s="213"/>
      <c r="N40" s="213"/>
      <c r="O40" s="213"/>
      <c r="P40" s="213"/>
      <c r="Y40" s="33"/>
      <c r="Z40" s="33"/>
      <c r="AA40" s="33"/>
      <c r="AD40" s="33"/>
    </row>
    <row r="41" spans="1:30">
      <c r="A41" s="213">
        <v>1103</v>
      </c>
      <c r="B41" s="213" t="s">
        <v>506</v>
      </c>
      <c r="C41" s="213">
        <v>9.01</v>
      </c>
      <c r="D41">
        <f t="shared" si="0"/>
        <v>1420</v>
      </c>
      <c r="E41" s="213"/>
      <c r="F41" s="213"/>
      <c r="G41" s="213"/>
      <c r="H41" s="213"/>
      <c r="I41" s="213"/>
      <c r="J41" s="213"/>
      <c r="K41" s="213"/>
      <c r="L41" s="213"/>
      <c r="M41" s="213"/>
      <c r="N41" s="213"/>
      <c r="O41" s="213"/>
      <c r="P41" s="213"/>
      <c r="Y41" s="33"/>
      <c r="Z41" s="33"/>
      <c r="AA41" s="33"/>
      <c r="AD41" s="33"/>
    </row>
    <row r="42" spans="1:30">
      <c r="A42" s="213">
        <v>1104</v>
      </c>
      <c r="B42" s="213" t="s">
        <v>507</v>
      </c>
      <c r="C42" s="213">
        <v>24.55</v>
      </c>
      <c r="D42">
        <f t="shared" si="0"/>
        <v>753</v>
      </c>
      <c r="E42" s="213"/>
      <c r="F42" s="213"/>
      <c r="G42" s="213"/>
      <c r="H42" s="213"/>
      <c r="I42" s="213"/>
      <c r="J42" s="213"/>
      <c r="K42" s="213"/>
      <c r="L42" s="213"/>
      <c r="M42" s="213"/>
      <c r="N42" s="213"/>
      <c r="O42" s="213"/>
      <c r="P42" s="213"/>
      <c r="Y42" s="33"/>
      <c r="Z42" s="33"/>
      <c r="AA42" s="33"/>
      <c r="AD42" s="33"/>
    </row>
    <row r="43" spans="1:30">
      <c r="A43" s="213">
        <v>1108</v>
      </c>
      <c r="B43" s="213" t="s">
        <v>508</v>
      </c>
      <c r="C43" s="213">
        <v>9.15</v>
      </c>
      <c r="D43">
        <f t="shared" si="0"/>
        <v>1412</v>
      </c>
      <c r="E43" s="213"/>
      <c r="F43" s="213"/>
      <c r="G43" s="213"/>
      <c r="H43" s="213"/>
      <c r="I43" s="213"/>
      <c r="J43" s="213"/>
      <c r="K43" s="213"/>
      <c r="L43" s="213"/>
      <c r="M43" s="213"/>
      <c r="N43" s="213"/>
      <c r="O43" s="213"/>
      <c r="P43" s="213"/>
      <c r="Y43" s="33"/>
      <c r="Z43" s="33"/>
      <c r="AD43" s="33"/>
    </row>
    <row r="44" spans="1:30">
      <c r="A44" s="213">
        <v>1109</v>
      </c>
      <c r="B44" s="213" t="s">
        <v>1720</v>
      </c>
      <c r="C44" s="213">
        <v>10.050000000000001</v>
      </c>
      <c r="D44">
        <f t="shared" si="0"/>
        <v>1360</v>
      </c>
      <c r="E44" s="213"/>
      <c r="F44" s="213"/>
      <c r="G44" s="213"/>
      <c r="H44" s="213"/>
      <c r="I44" s="213"/>
      <c r="J44" s="213"/>
      <c r="K44" s="213"/>
      <c r="L44" s="213"/>
      <c r="M44" s="213"/>
      <c r="N44" s="213"/>
      <c r="O44" s="213"/>
      <c r="P44" s="213"/>
      <c r="Y44" s="33"/>
      <c r="Z44" s="33"/>
      <c r="AA44" s="33"/>
      <c r="AD44" s="33"/>
    </row>
    <row r="45" spans="1:30">
      <c r="A45" s="213">
        <v>1110</v>
      </c>
      <c r="B45" s="213" t="s">
        <v>509</v>
      </c>
      <c r="C45" s="213">
        <v>15.1</v>
      </c>
      <c r="D45">
        <f t="shared" si="0"/>
        <v>1119</v>
      </c>
      <c r="E45" s="213"/>
      <c r="F45" s="213"/>
      <c r="G45" s="213"/>
      <c r="H45" s="213"/>
      <c r="I45" s="213"/>
      <c r="J45" s="213"/>
      <c r="K45" s="213"/>
      <c r="L45" s="213"/>
      <c r="M45" s="213"/>
      <c r="N45" s="213"/>
      <c r="O45" s="213"/>
      <c r="P45" s="213"/>
      <c r="Y45" s="33"/>
      <c r="Z45" s="33"/>
      <c r="AA45" s="33"/>
      <c r="AD45" s="33"/>
    </row>
    <row r="46" spans="1:30">
      <c r="A46" s="213">
        <v>1201</v>
      </c>
      <c r="B46" s="213" t="s">
        <v>510</v>
      </c>
      <c r="C46" s="213">
        <v>18.100000000000001</v>
      </c>
      <c r="D46">
        <f t="shared" si="0"/>
        <v>967</v>
      </c>
      <c r="E46" s="213"/>
      <c r="F46" s="213"/>
      <c r="G46" s="213"/>
      <c r="H46" s="213"/>
      <c r="I46" s="213"/>
      <c r="J46" s="213"/>
      <c r="K46" s="213"/>
      <c r="L46" s="213"/>
      <c r="M46" s="213"/>
      <c r="N46" s="213"/>
      <c r="O46" s="213"/>
      <c r="P46" s="213"/>
      <c r="Y46" s="33"/>
      <c r="Z46" s="33"/>
      <c r="AA46" s="33"/>
      <c r="AD46" s="33"/>
    </row>
    <row r="47" spans="1:30">
      <c r="A47" s="213">
        <v>1203</v>
      </c>
      <c r="B47" s="213" t="s">
        <v>511</v>
      </c>
      <c r="C47" s="213">
        <v>21.85</v>
      </c>
      <c r="D47">
        <f t="shared" si="0"/>
        <v>853</v>
      </c>
      <c r="E47" s="213"/>
      <c r="F47" s="213"/>
      <c r="G47" s="213"/>
      <c r="H47" s="213"/>
      <c r="I47" s="213"/>
      <c r="J47" s="213"/>
      <c r="K47" s="213"/>
      <c r="L47" s="213"/>
      <c r="M47" s="213"/>
      <c r="N47" s="213"/>
      <c r="O47" s="213"/>
      <c r="P47" s="213"/>
      <c r="Y47" s="33"/>
      <c r="Z47" s="33"/>
      <c r="AA47" s="33"/>
      <c r="AD47" s="33"/>
    </row>
    <row r="48" spans="1:30">
      <c r="A48" s="213">
        <v>1210</v>
      </c>
      <c r="B48" s="213" t="s">
        <v>512</v>
      </c>
      <c r="C48" s="213">
        <v>28.75</v>
      </c>
      <c r="D48">
        <f t="shared" si="0"/>
        <v>651</v>
      </c>
      <c r="E48" s="213"/>
      <c r="F48" s="213"/>
      <c r="G48" s="213"/>
      <c r="H48" s="213"/>
      <c r="I48" s="213"/>
      <c r="J48" s="213"/>
      <c r="K48" s="213"/>
      <c r="L48" s="213"/>
      <c r="M48" s="213"/>
      <c r="N48" s="213"/>
      <c r="O48" s="213"/>
      <c r="P48" s="213"/>
      <c r="Y48" s="33"/>
      <c r="Z48" s="33"/>
      <c r="AA48" s="33"/>
      <c r="AD48" s="33"/>
    </row>
    <row r="49" spans="1:30">
      <c r="A49" s="213">
        <v>1213</v>
      </c>
      <c r="B49" s="213" t="s">
        <v>513</v>
      </c>
      <c r="C49" s="213">
        <v>15.25</v>
      </c>
      <c r="D49">
        <f t="shared" si="0"/>
        <v>1109</v>
      </c>
      <c r="E49" s="213"/>
      <c r="F49" s="213"/>
      <c r="G49" s="213"/>
      <c r="H49" s="213"/>
      <c r="I49" s="213"/>
      <c r="J49" s="213"/>
      <c r="K49" s="213"/>
      <c r="L49" s="213"/>
      <c r="M49" s="213"/>
      <c r="N49" s="213"/>
      <c r="O49" s="213"/>
      <c r="P49" s="213"/>
      <c r="Y49" s="33"/>
      <c r="Z49" s="33"/>
      <c r="AA49" s="33"/>
      <c r="AD49" s="33"/>
    </row>
    <row r="50" spans="1:30">
      <c r="A50" s="213">
        <v>1215</v>
      </c>
      <c r="B50" s="213" t="s">
        <v>514</v>
      </c>
      <c r="C50" s="213">
        <v>46.05</v>
      </c>
      <c r="D50">
        <f t="shared" si="0"/>
        <v>384</v>
      </c>
      <c r="E50" s="213"/>
      <c r="F50" s="213"/>
      <c r="G50" s="213"/>
      <c r="H50" s="213"/>
      <c r="I50" s="213"/>
      <c r="J50" s="213"/>
      <c r="K50" s="213"/>
      <c r="L50" s="213"/>
      <c r="M50" s="213"/>
      <c r="N50" s="213"/>
      <c r="O50" s="213"/>
      <c r="P50" s="213"/>
      <c r="Y50" s="33"/>
      <c r="Z50" s="33"/>
      <c r="AA50" s="33"/>
      <c r="AD50" s="33"/>
    </row>
    <row r="51" spans="1:30">
      <c r="A51" s="213">
        <v>1216</v>
      </c>
      <c r="B51" s="213" t="s">
        <v>515</v>
      </c>
      <c r="C51" s="213">
        <v>61</v>
      </c>
      <c r="D51">
        <f t="shared" si="0"/>
        <v>272</v>
      </c>
      <c r="E51" s="213"/>
      <c r="F51" s="213"/>
      <c r="G51" s="213"/>
      <c r="H51" s="213"/>
      <c r="I51" s="213"/>
      <c r="J51" s="213"/>
      <c r="K51" s="213"/>
      <c r="L51" s="213"/>
      <c r="M51" s="213"/>
      <c r="N51" s="213"/>
      <c r="O51" s="213"/>
      <c r="P51" s="213"/>
      <c r="Y51" s="33"/>
      <c r="Z51" s="33"/>
      <c r="AA51" s="33"/>
      <c r="AD51" s="33"/>
    </row>
    <row r="52" spans="1:30">
      <c r="A52" s="213">
        <v>1217</v>
      </c>
      <c r="B52" s="213" t="s">
        <v>516</v>
      </c>
      <c r="C52" s="213">
        <v>7.57</v>
      </c>
      <c r="D52">
        <f t="shared" si="0"/>
        <v>1488</v>
      </c>
      <c r="E52" s="213"/>
      <c r="F52" s="213"/>
      <c r="G52" s="213"/>
      <c r="H52" s="213"/>
      <c r="I52" s="213"/>
      <c r="J52" s="213"/>
      <c r="K52" s="213"/>
      <c r="L52" s="213"/>
      <c r="M52" s="213"/>
      <c r="N52" s="213"/>
      <c r="O52" s="213"/>
      <c r="P52" s="213"/>
      <c r="Y52" s="33"/>
      <c r="Z52" s="33"/>
      <c r="AD52" s="33"/>
    </row>
    <row r="53" spans="1:30">
      <c r="A53" s="213">
        <v>1218</v>
      </c>
      <c r="B53" s="213" t="s">
        <v>517</v>
      </c>
      <c r="C53" s="213">
        <v>17.05</v>
      </c>
      <c r="D53">
        <f t="shared" si="0"/>
        <v>1031</v>
      </c>
      <c r="E53" s="213"/>
      <c r="F53" s="213"/>
      <c r="G53" s="213"/>
      <c r="H53" s="213"/>
      <c r="I53" s="213"/>
      <c r="J53" s="213"/>
      <c r="K53" s="213"/>
      <c r="L53" s="213"/>
      <c r="M53" s="213"/>
      <c r="N53" s="213"/>
      <c r="O53" s="213"/>
      <c r="P53" s="213"/>
      <c r="Y53" s="33"/>
      <c r="Z53" s="33"/>
      <c r="AA53" s="33"/>
      <c r="AD53" s="33"/>
    </row>
    <row r="54" spans="1:30">
      <c r="A54" s="213">
        <v>1219</v>
      </c>
      <c r="B54" s="213" t="s">
        <v>518</v>
      </c>
      <c r="C54" s="213">
        <v>15.3</v>
      </c>
      <c r="D54">
        <f t="shared" si="0"/>
        <v>1106</v>
      </c>
      <c r="E54" s="213"/>
      <c r="F54" s="213"/>
      <c r="G54" s="213"/>
      <c r="H54" s="213"/>
      <c r="I54" s="213"/>
      <c r="J54" s="213"/>
      <c r="K54" s="213"/>
      <c r="L54" s="213"/>
      <c r="M54" s="213"/>
      <c r="N54" s="213"/>
      <c r="O54" s="213"/>
      <c r="P54" s="213"/>
      <c r="Y54" s="33"/>
      <c r="Z54" s="33"/>
      <c r="AA54" s="33"/>
      <c r="AD54" s="33"/>
    </row>
    <row r="55" spans="1:30">
      <c r="A55" s="213">
        <v>1220</v>
      </c>
      <c r="B55" s="213" t="s">
        <v>519</v>
      </c>
      <c r="C55" s="213">
        <v>10.3</v>
      </c>
      <c r="D55">
        <f t="shared" si="0"/>
        <v>1338</v>
      </c>
      <c r="E55" s="213"/>
      <c r="F55" s="213"/>
      <c r="G55" s="213"/>
      <c r="H55" s="213"/>
      <c r="I55" s="213"/>
      <c r="J55" s="213"/>
      <c r="K55" s="213"/>
      <c r="L55" s="213"/>
      <c r="M55" s="213"/>
      <c r="N55" s="213"/>
      <c r="O55" s="213"/>
      <c r="P55" s="213"/>
      <c r="Y55" s="33"/>
      <c r="Z55" s="33"/>
      <c r="AA55" s="33"/>
      <c r="AD55" s="33"/>
    </row>
    <row r="56" spans="1:30">
      <c r="A56" s="213">
        <v>1225</v>
      </c>
      <c r="B56" s="213" t="s">
        <v>520</v>
      </c>
      <c r="C56" s="213">
        <v>51.5</v>
      </c>
      <c r="D56">
        <f t="shared" si="0"/>
        <v>324</v>
      </c>
      <c r="E56" s="213"/>
      <c r="F56" s="213"/>
      <c r="G56" s="213"/>
      <c r="H56" s="213"/>
      <c r="I56" s="213"/>
      <c r="J56" s="213"/>
      <c r="K56" s="213"/>
      <c r="L56" s="213"/>
      <c r="M56" s="213"/>
      <c r="N56" s="213"/>
      <c r="O56" s="213"/>
      <c r="P56" s="213"/>
      <c r="Y56" s="33"/>
      <c r="Z56" s="33"/>
      <c r="AA56" s="33"/>
      <c r="AD56" s="33"/>
    </row>
    <row r="57" spans="1:30">
      <c r="A57" s="213">
        <v>1227</v>
      </c>
      <c r="B57" s="213" t="s">
        <v>521</v>
      </c>
      <c r="C57" s="213">
        <v>78.7</v>
      </c>
      <c r="D57">
        <f t="shared" si="0"/>
        <v>196</v>
      </c>
      <c r="E57" s="213"/>
      <c r="F57" s="213"/>
      <c r="G57" s="213"/>
      <c r="H57" s="213"/>
      <c r="I57" s="213"/>
      <c r="J57" s="213"/>
      <c r="K57" s="213"/>
      <c r="L57" s="213"/>
      <c r="M57" s="213"/>
      <c r="N57" s="213"/>
      <c r="O57" s="213"/>
      <c r="P57" s="213"/>
      <c r="Y57" s="33"/>
      <c r="Z57" s="33"/>
      <c r="AA57" s="33"/>
      <c r="AD57" s="33"/>
    </row>
    <row r="58" spans="1:30">
      <c r="A58" s="213">
        <v>1229</v>
      </c>
      <c r="B58" s="213" t="s">
        <v>522</v>
      </c>
      <c r="C58" s="213">
        <v>21.9</v>
      </c>
      <c r="D58">
        <f t="shared" si="0"/>
        <v>850</v>
      </c>
      <c r="E58" s="213"/>
      <c r="F58" s="213"/>
      <c r="G58" s="213"/>
      <c r="H58" s="213"/>
      <c r="I58" s="213"/>
      <c r="J58" s="213"/>
      <c r="K58" s="213"/>
      <c r="L58" s="213"/>
      <c r="M58" s="213"/>
      <c r="N58" s="213"/>
      <c r="O58" s="213"/>
      <c r="P58" s="213"/>
      <c r="Y58" s="33"/>
      <c r="Z58" s="33"/>
      <c r="AA58" s="33"/>
      <c r="AD58" s="33"/>
    </row>
    <row r="59" spans="1:30">
      <c r="A59" s="213">
        <v>1231</v>
      </c>
      <c r="B59" s="213" t="s">
        <v>523</v>
      </c>
      <c r="C59" s="213">
        <v>29.55</v>
      </c>
      <c r="D59">
        <f t="shared" si="0"/>
        <v>619</v>
      </c>
      <c r="E59" s="213"/>
      <c r="F59" s="213"/>
      <c r="G59" s="213"/>
      <c r="H59" s="213"/>
      <c r="I59" s="213"/>
      <c r="J59" s="213"/>
      <c r="K59" s="213"/>
      <c r="L59" s="213"/>
      <c r="M59" s="213"/>
      <c r="N59" s="213"/>
      <c r="O59" s="213"/>
      <c r="P59" s="213"/>
      <c r="Y59" s="33"/>
      <c r="Z59" s="33"/>
      <c r="AA59" s="33"/>
      <c r="AD59" s="33"/>
    </row>
    <row r="60" spans="1:30">
      <c r="A60" s="213">
        <v>1232</v>
      </c>
      <c r="B60" s="213" t="s">
        <v>524</v>
      </c>
      <c r="C60" s="213">
        <v>85</v>
      </c>
      <c r="D60">
        <f t="shared" si="0"/>
        <v>169</v>
      </c>
      <c r="E60" s="213"/>
      <c r="F60" s="213"/>
      <c r="G60" s="213"/>
      <c r="H60" s="213"/>
      <c r="I60" s="213"/>
      <c r="J60" s="213"/>
      <c r="K60" s="213"/>
      <c r="L60" s="213"/>
      <c r="M60" s="213"/>
      <c r="N60" s="213"/>
      <c r="O60" s="213"/>
      <c r="P60" s="213"/>
      <c r="Y60" s="33"/>
      <c r="Z60" s="33"/>
      <c r="AA60" s="33"/>
      <c r="AD60" s="33"/>
    </row>
    <row r="61" spans="1:30">
      <c r="A61" s="213">
        <v>1233</v>
      </c>
      <c r="B61" s="213" t="s">
        <v>525</v>
      </c>
      <c r="C61" s="213">
        <v>37.1</v>
      </c>
      <c r="D61">
        <f t="shared" si="0"/>
        <v>493</v>
      </c>
      <c r="E61" s="213"/>
      <c r="F61" s="213"/>
      <c r="G61" s="213"/>
      <c r="H61" s="213"/>
      <c r="I61" s="213"/>
      <c r="J61" s="213"/>
      <c r="K61" s="213"/>
      <c r="L61" s="213"/>
      <c r="M61" s="213"/>
      <c r="N61" s="213"/>
      <c r="O61" s="213"/>
      <c r="P61" s="213"/>
      <c r="Y61" s="33"/>
      <c r="Z61" s="33"/>
      <c r="AD61" s="33"/>
    </row>
    <row r="62" spans="1:30">
      <c r="A62" s="213">
        <v>1234</v>
      </c>
      <c r="B62" s="213" t="s">
        <v>526</v>
      </c>
      <c r="C62" s="213">
        <v>32.5</v>
      </c>
      <c r="D62">
        <f t="shared" si="0"/>
        <v>563</v>
      </c>
      <c r="E62" s="213"/>
      <c r="F62" s="213"/>
      <c r="G62" s="213"/>
      <c r="H62" s="213"/>
      <c r="I62" s="213"/>
      <c r="J62" s="213"/>
      <c r="K62" s="213"/>
      <c r="L62" s="213"/>
      <c r="M62" s="213"/>
      <c r="N62" s="213"/>
      <c r="O62" s="213"/>
      <c r="P62" s="213"/>
      <c r="Y62" s="33"/>
      <c r="Z62" s="33"/>
      <c r="AA62" s="33"/>
      <c r="AD62" s="33"/>
    </row>
    <row r="63" spans="1:30">
      <c r="A63" s="213">
        <v>1235</v>
      </c>
      <c r="B63" s="213" t="s">
        <v>527</v>
      </c>
      <c r="C63" s="213">
        <v>30</v>
      </c>
      <c r="D63">
        <f t="shared" si="0"/>
        <v>609</v>
      </c>
      <c r="E63" s="213"/>
      <c r="F63" s="213"/>
      <c r="G63" s="213"/>
      <c r="H63" s="213"/>
      <c r="I63" s="213"/>
      <c r="J63" s="213"/>
      <c r="K63" s="213"/>
      <c r="L63" s="213"/>
      <c r="M63" s="213"/>
      <c r="N63" s="213"/>
      <c r="O63" s="213"/>
      <c r="P63" s="213"/>
      <c r="Y63" s="33"/>
      <c r="Z63" s="33"/>
      <c r="AA63" s="33"/>
      <c r="AD63" s="33"/>
    </row>
    <row r="64" spans="1:30">
      <c r="A64" s="213">
        <v>1236</v>
      </c>
      <c r="B64" s="213" t="s">
        <v>528</v>
      </c>
      <c r="C64" s="213">
        <v>19</v>
      </c>
      <c r="D64">
        <f t="shared" si="0"/>
        <v>934</v>
      </c>
      <c r="E64" s="213"/>
      <c r="F64" s="213"/>
      <c r="G64" s="213"/>
      <c r="H64" s="213"/>
      <c r="I64" s="213"/>
      <c r="J64" s="213"/>
      <c r="K64" s="213"/>
      <c r="L64" s="213"/>
      <c r="M64" s="213"/>
      <c r="N64" s="213"/>
      <c r="O64" s="213"/>
      <c r="P64" s="213"/>
      <c r="Y64" s="33"/>
      <c r="Z64" s="33"/>
      <c r="AA64" s="33"/>
      <c r="AD64" s="33"/>
    </row>
    <row r="65" spans="1:30">
      <c r="A65" s="213">
        <v>1256</v>
      </c>
      <c r="B65" s="213" t="s">
        <v>2030</v>
      </c>
      <c r="C65" s="213">
        <v>134.5</v>
      </c>
      <c r="D65">
        <f t="shared" si="0"/>
        <v>91</v>
      </c>
      <c r="E65" s="213"/>
      <c r="F65" s="213"/>
      <c r="G65" s="213"/>
      <c r="H65" s="213"/>
      <c r="I65" s="213"/>
      <c r="J65" s="213"/>
      <c r="K65" s="213"/>
      <c r="L65" s="213"/>
      <c r="M65" s="213"/>
      <c r="N65" s="213"/>
      <c r="O65" s="213"/>
      <c r="P65" s="213"/>
      <c r="Y65" s="33"/>
      <c r="Z65" s="33"/>
      <c r="AA65" s="33"/>
      <c r="AD65" s="33"/>
    </row>
    <row r="66" spans="1:30">
      <c r="A66" s="213">
        <v>1262</v>
      </c>
      <c r="B66" s="213" t="s">
        <v>2031</v>
      </c>
      <c r="C66" s="213">
        <v>170</v>
      </c>
      <c r="D66">
        <f t="shared" ref="D66:D129" si="1">RANK(C66,C:C,0)</f>
        <v>66</v>
      </c>
      <c r="E66" s="213"/>
      <c r="F66" s="213"/>
      <c r="G66" s="213"/>
      <c r="H66" s="213"/>
      <c r="I66" s="213"/>
      <c r="J66" s="213"/>
      <c r="K66" s="213"/>
      <c r="L66" s="213"/>
      <c r="M66" s="213"/>
      <c r="N66" s="213"/>
      <c r="O66" s="213"/>
      <c r="P66" s="213"/>
      <c r="Y66" s="33"/>
      <c r="Z66" s="33"/>
      <c r="AA66" s="33"/>
      <c r="AD66" s="33"/>
    </row>
    <row r="67" spans="1:30">
      <c r="A67" s="213">
        <v>1301</v>
      </c>
      <c r="B67" s="213" t="s">
        <v>529</v>
      </c>
      <c r="C67" s="213">
        <v>84.1</v>
      </c>
      <c r="D67">
        <f t="shared" si="1"/>
        <v>172</v>
      </c>
      <c r="E67" s="213"/>
      <c r="F67" s="213"/>
      <c r="G67" s="213"/>
      <c r="H67" s="213"/>
      <c r="I67" s="213"/>
      <c r="J67" s="213"/>
      <c r="K67" s="213"/>
      <c r="L67" s="213"/>
      <c r="M67" s="213"/>
      <c r="N67" s="213"/>
      <c r="O67" s="213"/>
      <c r="P67" s="213"/>
      <c r="Y67" s="33"/>
      <c r="Z67" s="33"/>
      <c r="AA67" s="33"/>
      <c r="AD67" s="33"/>
    </row>
    <row r="68" spans="1:30">
      <c r="A68" s="213">
        <v>1303</v>
      </c>
      <c r="B68" s="213" t="s">
        <v>530</v>
      </c>
      <c r="C68" s="213">
        <v>64.5</v>
      </c>
      <c r="D68">
        <f t="shared" si="1"/>
        <v>252</v>
      </c>
      <c r="E68" s="213"/>
      <c r="F68" s="213"/>
      <c r="G68" s="213"/>
      <c r="H68" s="213"/>
      <c r="I68" s="213"/>
      <c r="J68" s="213"/>
      <c r="K68" s="213"/>
      <c r="L68" s="213"/>
      <c r="M68" s="213"/>
      <c r="N68" s="213"/>
      <c r="O68" s="213"/>
      <c r="P68" s="213"/>
      <c r="Y68" s="33"/>
      <c r="Z68" s="33"/>
      <c r="AA68" s="33"/>
      <c r="AD68" s="33"/>
    </row>
    <row r="69" spans="1:30">
      <c r="A69" s="213">
        <v>1304</v>
      </c>
      <c r="B69" s="213" t="s">
        <v>531</v>
      </c>
      <c r="C69" s="213">
        <v>15.8</v>
      </c>
      <c r="D69">
        <f t="shared" si="1"/>
        <v>1087</v>
      </c>
      <c r="E69" s="213"/>
      <c r="F69" s="213"/>
      <c r="G69" s="213"/>
      <c r="H69" s="213"/>
      <c r="I69" s="213"/>
      <c r="J69" s="213"/>
      <c r="K69" s="213"/>
      <c r="L69" s="213"/>
      <c r="M69" s="213"/>
      <c r="N69" s="213"/>
      <c r="O69" s="213"/>
      <c r="P69" s="213"/>
      <c r="Y69" s="33"/>
      <c r="Z69" s="33"/>
      <c r="AA69" s="33"/>
      <c r="AD69" s="33"/>
    </row>
    <row r="70" spans="1:30">
      <c r="A70" s="213">
        <v>1305</v>
      </c>
      <c r="B70" s="213" t="s">
        <v>532</v>
      </c>
      <c r="C70" s="213">
        <v>22.7</v>
      </c>
      <c r="D70">
        <f t="shared" si="1"/>
        <v>817</v>
      </c>
      <c r="E70" s="213"/>
      <c r="F70" s="213"/>
      <c r="G70" s="213"/>
      <c r="H70" s="213"/>
      <c r="I70" s="213"/>
      <c r="J70" s="213"/>
      <c r="K70" s="213"/>
      <c r="L70" s="213"/>
      <c r="M70" s="213"/>
      <c r="N70" s="213"/>
      <c r="O70" s="213"/>
      <c r="P70" s="213"/>
      <c r="Y70" s="33"/>
      <c r="Z70" s="33"/>
      <c r="AA70" s="33"/>
      <c r="AD70" s="33"/>
    </row>
    <row r="71" spans="1:30">
      <c r="A71" s="213">
        <v>1307</v>
      </c>
      <c r="B71" s="213" t="s">
        <v>533</v>
      </c>
      <c r="C71" s="213">
        <v>35.5</v>
      </c>
      <c r="D71">
        <f t="shared" si="1"/>
        <v>519</v>
      </c>
      <c r="E71" s="213"/>
      <c r="F71" s="213"/>
      <c r="G71" s="213"/>
      <c r="H71" s="213"/>
      <c r="I71" s="213"/>
      <c r="J71" s="213"/>
      <c r="K71" s="213"/>
      <c r="L71" s="213"/>
      <c r="M71" s="213"/>
      <c r="N71" s="213"/>
      <c r="O71" s="213"/>
      <c r="P71" s="213"/>
      <c r="Y71" s="33"/>
      <c r="Z71" s="33"/>
      <c r="AA71" s="33"/>
      <c r="AD71" s="33"/>
    </row>
    <row r="72" spans="1:30">
      <c r="A72" s="213">
        <v>1308</v>
      </c>
      <c r="B72" s="213" t="s">
        <v>534</v>
      </c>
      <c r="C72" s="213">
        <v>18.75</v>
      </c>
      <c r="D72">
        <f t="shared" si="1"/>
        <v>943</v>
      </c>
      <c r="E72" s="213"/>
      <c r="F72" s="213"/>
      <c r="G72" s="213"/>
      <c r="H72" s="213"/>
      <c r="I72" s="213"/>
      <c r="J72" s="213"/>
      <c r="K72" s="213"/>
      <c r="L72" s="213"/>
      <c r="M72" s="213"/>
      <c r="N72" s="213"/>
      <c r="O72" s="213"/>
      <c r="P72" s="213"/>
      <c r="Y72" s="33"/>
      <c r="Z72" s="33"/>
      <c r="AA72" s="33"/>
      <c r="AD72" s="33"/>
    </row>
    <row r="73" spans="1:30">
      <c r="A73" s="213">
        <v>1309</v>
      </c>
      <c r="B73" s="213" t="s">
        <v>535</v>
      </c>
      <c r="C73" s="213">
        <v>8.33</v>
      </c>
      <c r="D73">
        <f t="shared" si="1"/>
        <v>1452</v>
      </c>
      <c r="E73" s="213"/>
      <c r="F73" s="213"/>
      <c r="G73" s="213"/>
      <c r="H73" s="213"/>
      <c r="I73" s="213"/>
      <c r="J73" s="213"/>
      <c r="K73" s="213"/>
      <c r="L73" s="213"/>
      <c r="M73" s="213"/>
      <c r="N73" s="213"/>
      <c r="O73" s="213"/>
      <c r="P73" s="213"/>
      <c r="Y73" s="33"/>
      <c r="Z73" s="33"/>
      <c r="AD73" s="33"/>
    </row>
    <row r="74" spans="1:30">
      <c r="A74" s="213">
        <v>1310</v>
      </c>
      <c r="B74" s="213" t="s">
        <v>536</v>
      </c>
      <c r="C74" s="213">
        <v>16.899999999999999</v>
      </c>
      <c r="D74">
        <f t="shared" si="1"/>
        <v>1038</v>
      </c>
      <c r="E74" s="213"/>
      <c r="F74" s="213"/>
      <c r="G74" s="213"/>
      <c r="H74" s="213"/>
      <c r="I74" s="213"/>
      <c r="J74" s="213"/>
      <c r="K74" s="213"/>
      <c r="L74" s="213"/>
      <c r="M74" s="213"/>
      <c r="N74" s="213"/>
      <c r="O74" s="213"/>
      <c r="P74" s="213"/>
      <c r="Y74" s="33"/>
      <c r="Z74" s="33"/>
      <c r="AA74" s="33"/>
      <c r="AD74" s="33"/>
    </row>
    <row r="75" spans="1:30">
      <c r="A75" s="213">
        <v>1312</v>
      </c>
      <c r="B75" s="213" t="s">
        <v>537</v>
      </c>
      <c r="C75" s="213">
        <v>17.100000000000001</v>
      </c>
      <c r="D75">
        <f t="shared" si="1"/>
        <v>1025</v>
      </c>
      <c r="E75" s="213"/>
      <c r="F75" s="213"/>
      <c r="G75" s="213"/>
      <c r="H75" s="213"/>
      <c r="I75" s="213"/>
      <c r="J75" s="213"/>
      <c r="K75" s="213"/>
      <c r="L75" s="213"/>
      <c r="M75" s="213"/>
      <c r="N75" s="213"/>
      <c r="O75" s="213"/>
      <c r="P75" s="213"/>
      <c r="Y75" s="33"/>
      <c r="Z75" s="33"/>
      <c r="AA75" s="33"/>
      <c r="AD75" s="33"/>
    </row>
    <row r="76" spans="1:30">
      <c r="A76" s="213" t="s">
        <v>221</v>
      </c>
      <c r="B76" s="213" t="s">
        <v>538</v>
      </c>
      <c r="C76" s="213">
        <v>24</v>
      </c>
      <c r="D76">
        <f t="shared" si="1"/>
        <v>767</v>
      </c>
      <c r="E76" s="213"/>
      <c r="F76" s="213"/>
      <c r="G76" s="213"/>
      <c r="H76" s="213"/>
      <c r="I76" s="213"/>
      <c r="J76" s="213"/>
      <c r="K76" s="213"/>
      <c r="L76" s="213"/>
      <c r="M76" s="213"/>
      <c r="N76" s="213"/>
      <c r="O76" s="213"/>
      <c r="P76" s="213"/>
      <c r="Y76" s="33"/>
      <c r="Z76" s="33"/>
      <c r="AA76" s="33"/>
      <c r="AD76" s="33"/>
    </row>
    <row r="77" spans="1:30">
      <c r="A77" s="213">
        <v>1313</v>
      </c>
      <c r="B77" s="213" t="s">
        <v>539</v>
      </c>
      <c r="C77" s="213">
        <v>11.4</v>
      </c>
      <c r="D77">
        <f t="shared" si="1"/>
        <v>1290</v>
      </c>
      <c r="E77" s="213"/>
      <c r="F77" s="213"/>
      <c r="G77" s="213"/>
      <c r="H77" s="213"/>
      <c r="I77" s="213"/>
      <c r="J77" s="213"/>
      <c r="K77" s="213"/>
      <c r="L77" s="213"/>
      <c r="M77" s="213"/>
      <c r="N77" s="213"/>
      <c r="O77" s="213"/>
      <c r="P77" s="213"/>
      <c r="Y77" s="33"/>
      <c r="Z77" s="33"/>
      <c r="AA77" s="33"/>
      <c r="AD77" s="33"/>
    </row>
    <row r="78" spans="1:30">
      <c r="A78" s="213">
        <v>1314</v>
      </c>
      <c r="B78" s="213" t="s">
        <v>540</v>
      </c>
      <c r="C78" s="213">
        <v>9.33</v>
      </c>
      <c r="D78">
        <f t="shared" si="1"/>
        <v>1406</v>
      </c>
      <c r="E78" s="213"/>
      <c r="F78" s="213"/>
      <c r="G78" s="213"/>
      <c r="H78" s="213"/>
      <c r="I78" s="213"/>
      <c r="J78" s="213"/>
      <c r="K78" s="213"/>
      <c r="L78" s="213"/>
      <c r="M78" s="213"/>
      <c r="N78" s="213"/>
      <c r="O78" s="213"/>
      <c r="P78" s="213"/>
      <c r="Y78" s="33"/>
      <c r="Z78" s="33"/>
      <c r="AA78" s="33"/>
      <c r="AD78" s="33"/>
    </row>
    <row r="79" spans="1:30">
      <c r="A79" s="213">
        <v>1315</v>
      </c>
      <c r="B79" s="213" t="s">
        <v>541</v>
      </c>
      <c r="C79" s="213">
        <v>25.1</v>
      </c>
      <c r="D79">
        <f t="shared" si="1"/>
        <v>736</v>
      </c>
      <c r="E79" s="213"/>
      <c r="F79" s="213"/>
      <c r="G79" s="213"/>
      <c r="H79" s="213"/>
      <c r="I79" s="213"/>
      <c r="J79" s="213"/>
      <c r="K79" s="213"/>
      <c r="L79" s="213"/>
      <c r="M79" s="213"/>
      <c r="N79" s="213"/>
      <c r="O79" s="213"/>
      <c r="P79" s="213"/>
      <c r="Y79" s="33"/>
      <c r="Z79" s="33"/>
      <c r="AA79" s="33"/>
      <c r="AD79" s="33"/>
    </row>
    <row r="80" spans="1:30">
      <c r="A80" s="213">
        <v>1316</v>
      </c>
      <c r="B80" s="213" t="s">
        <v>542</v>
      </c>
      <c r="C80" s="213">
        <v>10.85</v>
      </c>
      <c r="D80">
        <f t="shared" si="1"/>
        <v>1319</v>
      </c>
      <c r="E80" s="213"/>
      <c r="F80" s="213"/>
      <c r="G80" s="213"/>
      <c r="H80" s="213"/>
      <c r="I80" s="213"/>
      <c r="J80" s="213"/>
      <c r="K80" s="213"/>
      <c r="L80" s="213"/>
      <c r="M80" s="213"/>
      <c r="N80" s="213"/>
      <c r="O80" s="213"/>
      <c r="P80" s="213"/>
      <c r="Y80" s="33"/>
      <c r="Z80" s="33"/>
      <c r="AD80" s="33"/>
    </row>
    <row r="81" spans="1:30">
      <c r="A81" s="213">
        <v>1319</v>
      </c>
      <c r="B81" s="213" t="s">
        <v>543</v>
      </c>
      <c r="C81" s="213">
        <v>72.2</v>
      </c>
      <c r="D81">
        <f t="shared" si="1"/>
        <v>218</v>
      </c>
      <c r="E81" s="213"/>
      <c r="F81" s="213"/>
      <c r="G81" s="213"/>
      <c r="H81" s="213"/>
      <c r="I81" s="213"/>
      <c r="J81" s="213"/>
      <c r="K81" s="213"/>
      <c r="L81" s="213"/>
      <c r="M81" s="213"/>
      <c r="N81" s="213"/>
      <c r="O81" s="213"/>
      <c r="P81" s="213"/>
      <c r="Y81" s="33"/>
      <c r="Z81" s="33"/>
      <c r="AA81" s="33"/>
      <c r="AD81" s="33"/>
    </row>
    <row r="82" spans="1:30">
      <c r="A82" s="213">
        <v>1321</v>
      </c>
      <c r="B82" s="213" t="s">
        <v>544</v>
      </c>
      <c r="C82" s="213">
        <v>26.2</v>
      </c>
      <c r="D82">
        <f t="shared" si="1"/>
        <v>704</v>
      </c>
      <c r="E82" s="213"/>
      <c r="F82" s="213"/>
      <c r="G82" s="213"/>
      <c r="H82" s="213"/>
      <c r="I82" s="213"/>
      <c r="J82" s="213"/>
      <c r="K82" s="213"/>
      <c r="L82" s="213"/>
      <c r="M82" s="213"/>
      <c r="N82" s="213"/>
      <c r="O82" s="213"/>
      <c r="P82" s="213"/>
      <c r="Y82" s="33"/>
      <c r="Z82" s="33"/>
      <c r="AA82" s="33"/>
      <c r="AD82" s="33"/>
    </row>
    <row r="83" spans="1:30">
      <c r="A83" s="213">
        <v>1323</v>
      </c>
      <c r="B83" s="213" t="s">
        <v>545</v>
      </c>
      <c r="C83" s="213">
        <v>35.700000000000003</v>
      </c>
      <c r="D83">
        <f t="shared" si="1"/>
        <v>516</v>
      </c>
      <c r="E83" s="213"/>
      <c r="F83" s="213"/>
      <c r="G83" s="213"/>
      <c r="H83" s="213"/>
      <c r="I83" s="213"/>
      <c r="J83" s="213"/>
      <c r="K83" s="213"/>
      <c r="L83" s="213"/>
      <c r="M83" s="213"/>
      <c r="N83" s="213"/>
      <c r="O83" s="213"/>
      <c r="P83" s="213"/>
      <c r="Y83" s="33"/>
      <c r="Z83" s="33"/>
      <c r="AD83" s="33"/>
    </row>
    <row r="84" spans="1:30">
      <c r="A84" s="213">
        <v>1324</v>
      </c>
      <c r="B84" s="213" t="s">
        <v>546</v>
      </c>
      <c r="C84" s="213">
        <v>13.2</v>
      </c>
      <c r="D84">
        <f t="shared" si="1"/>
        <v>1200</v>
      </c>
      <c r="E84" s="213"/>
      <c r="F84" s="213"/>
      <c r="G84" s="213"/>
      <c r="H84" s="213"/>
      <c r="I84" s="213"/>
      <c r="J84" s="213"/>
      <c r="K84" s="213"/>
      <c r="L84" s="213"/>
      <c r="M84" s="213"/>
      <c r="N84" s="213"/>
      <c r="O84" s="213"/>
      <c r="P84" s="213"/>
      <c r="Y84" s="33"/>
      <c r="Z84" s="33"/>
      <c r="AA84" s="33"/>
      <c r="AD84" s="33"/>
    </row>
    <row r="85" spans="1:30">
      <c r="A85" s="213">
        <v>1325</v>
      </c>
      <c r="B85" s="213" t="s">
        <v>547</v>
      </c>
      <c r="C85" s="213">
        <v>19.399999999999999</v>
      </c>
      <c r="D85">
        <f t="shared" si="1"/>
        <v>928</v>
      </c>
      <c r="E85" s="213"/>
      <c r="F85" s="213"/>
      <c r="G85" s="213"/>
      <c r="H85" s="213"/>
      <c r="I85" s="213"/>
      <c r="J85" s="213"/>
      <c r="K85" s="213"/>
      <c r="L85" s="213"/>
      <c r="M85" s="213"/>
      <c r="N85" s="213"/>
      <c r="O85" s="213"/>
      <c r="P85" s="213"/>
      <c r="Y85" s="33"/>
      <c r="Z85" s="33"/>
      <c r="AA85" s="33"/>
      <c r="AD85" s="33"/>
    </row>
    <row r="86" spans="1:30">
      <c r="A86" s="213">
        <v>1326</v>
      </c>
      <c r="B86" s="213" t="s">
        <v>548</v>
      </c>
      <c r="C86" s="213">
        <v>92.5</v>
      </c>
      <c r="D86">
        <f t="shared" si="1"/>
        <v>152</v>
      </c>
      <c r="E86" s="213"/>
      <c r="F86" s="213"/>
      <c r="G86" s="213"/>
      <c r="H86" s="213"/>
      <c r="I86" s="213"/>
      <c r="J86" s="213"/>
      <c r="K86" s="213"/>
      <c r="L86" s="213"/>
      <c r="M86" s="213"/>
      <c r="N86" s="213"/>
      <c r="O86" s="213"/>
      <c r="P86" s="213"/>
      <c r="Y86" s="33"/>
      <c r="Z86" s="33"/>
      <c r="AA86" s="33"/>
      <c r="AD86" s="33"/>
    </row>
    <row r="87" spans="1:30">
      <c r="A87" s="213">
        <v>1337</v>
      </c>
      <c r="B87" s="213" t="s">
        <v>2032</v>
      </c>
      <c r="C87" s="213">
        <v>18.350000000000001</v>
      </c>
      <c r="D87">
        <f t="shared" si="1"/>
        <v>955</v>
      </c>
      <c r="E87" s="213"/>
      <c r="F87" s="213"/>
      <c r="G87" s="213"/>
      <c r="H87" s="213"/>
      <c r="I87" s="213"/>
      <c r="J87" s="213"/>
      <c r="K87" s="213"/>
      <c r="L87" s="213"/>
      <c r="M87" s="213"/>
      <c r="N87" s="213"/>
      <c r="O87" s="213"/>
      <c r="P87" s="213"/>
      <c r="Y87" s="33"/>
      <c r="Z87" s="33"/>
      <c r="AA87" s="33"/>
      <c r="AD87" s="33"/>
    </row>
    <row r="88" spans="1:30">
      <c r="A88" s="213">
        <v>1338</v>
      </c>
      <c r="B88" s="213" t="s">
        <v>2033</v>
      </c>
      <c r="C88" s="213">
        <v>109</v>
      </c>
      <c r="D88">
        <f t="shared" si="1"/>
        <v>123</v>
      </c>
      <c r="E88" s="213"/>
      <c r="F88" s="213"/>
      <c r="G88" s="213"/>
      <c r="H88" s="213"/>
      <c r="I88" s="213"/>
      <c r="J88" s="213"/>
      <c r="K88" s="213"/>
      <c r="L88" s="213"/>
      <c r="M88" s="213"/>
      <c r="N88" s="213"/>
      <c r="O88" s="213"/>
      <c r="P88" s="213"/>
      <c r="Y88" s="33"/>
      <c r="Z88" s="33"/>
      <c r="AA88" s="33"/>
      <c r="AD88" s="33"/>
    </row>
    <row r="89" spans="1:30">
      <c r="A89" s="213">
        <v>1339</v>
      </c>
      <c r="B89" s="213" t="s">
        <v>549</v>
      </c>
      <c r="C89" s="213">
        <v>39.950000000000003</v>
      </c>
      <c r="D89">
        <f t="shared" si="1"/>
        <v>452</v>
      </c>
      <c r="E89" s="213"/>
      <c r="F89" s="213"/>
      <c r="G89" s="213"/>
      <c r="H89" s="213"/>
      <c r="I89" s="213"/>
      <c r="J89" s="213"/>
      <c r="K89" s="213"/>
      <c r="L89" s="213"/>
      <c r="M89" s="213"/>
      <c r="N89" s="213"/>
      <c r="O89" s="213"/>
      <c r="P89" s="213"/>
      <c r="Y89" s="33"/>
      <c r="Z89" s="33"/>
      <c r="AA89" s="33"/>
      <c r="AD89" s="33"/>
    </row>
    <row r="90" spans="1:30">
      <c r="A90" s="213">
        <v>1340</v>
      </c>
      <c r="B90" s="213" t="s">
        <v>2034</v>
      </c>
      <c r="C90" s="213">
        <v>58.4</v>
      </c>
      <c r="D90">
        <f t="shared" si="1"/>
        <v>285</v>
      </c>
      <c r="E90" s="213"/>
      <c r="F90" s="213"/>
      <c r="G90" s="213"/>
      <c r="H90" s="213"/>
      <c r="I90" s="213"/>
      <c r="J90" s="213"/>
      <c r="K90" s="213"/>
      <c r="L90" s="213"/>
      <c r="M90" s="213"/>
      <c r="N90" s="213"/>
      <c r="O90" s="213"/>
      <c r="P90" s="213"/>
      <c r="Y90" s="33"/>
      <c r="Z90" s="33"/>
      <c r="AA90" s="33"/>
      <c r="AD90" s="33"/>
    </row>
    <row r="91" spans="1:30">
      <c r="A91" s="213">
        <v>1402</v>
      </c>
      <c r="B91" s="213" t="s">
        <v>550</v>
      </c>
      <c r="C91" s="213">
        <v>24.3</v>
      </c>
      <c r="D91">
        <f t="shared" si="1"/>
        <v>758</v>
      </c>
      <c r="E91" s="213"/>
      <c r="F91" s="213"/>
      <c r="G91" s="213"/>
      <c r="H91" s="213"/>
      <c r="I91" s="213"/>
      <c r="J91" s="213"/>
      <c r="K91" s="213"/>
      <c r="L91" s="213"/>
      <c r="M91" s="213"/>
      <c r="N91" s="213"/>
      <c r="O91" s="213"/>
      <c r="P91" s="213"/>
      <c r="Y91" s="33"/>
      <c r="Z91" s="33"/>
      <c r="AA91" s="33"/>
      <c r="AD91" s="33"/>
    </row>
    <row r="92" spans="1:30">
      <c r="A92" s="213">
        <v>1409</v>
      </c>
      <c r="B92" s="213" t="s">
        <v>551</v>
      </c>
      <c r="C92" s="213">
        <v>8.6999999999999993</v>
      </c>
      <c r="D92">
        <f t="shared" si="1"/>
        <v>1439</v>
      </c>
      <c r="E92" s="213"/>
      <c r="F92" s="213"/>
      <c r="G92" s="213"/>
      <c r="H92" s="213"/>
      <c r="I92" s="213"/>
      <c r="J92" s="213"/>
      <c r="K92" s="213"/>
      <c r="L92" s="213"/>
      <c r="M92" s="213"/>
      <c r="N92" s="213"/>
      <c r="O92" s="213"/>
      <c r="P92" s="213"/>
      <c r="Y92" s="33"/>
      <c r="Z92" s="33"/>
      <c r="AA92" s="33"/>
      <c r="AD92" s="33"/>
    </row>
    <row r="93" spans="1:30">
      <c r="A93" s="213">
        <v>1410</v>
      </c>
      <c r="B93" s="213" t="s">
        <v>552</v>
      </c>
      <c r="C93" s="213">
        <v>24.1</v>
      </c>
      <c r="D93">
        <f t="shared" si="1"/>
        <v>763</v>
      </c>
      <c r="E93" s="213"/>
      <c r="F93" s="213"/>
      <c r="G93" s="213"/>
      <c r="H93" s="213"/>
      <c r="I93" s="213"/>
      <c r="J93" s="213"/>
      <c r="K93" s="213"/>
      <c r="L93" s="213"/>
      <c r="M93" s="213"/>
      <c r="N93" s="213"/>
      <c r="O93" s="213"/>
      <c r="P93" s="213"/>
      <c r="Y93" s="33"/>
      <c r="Z93" s="33"/>
      <c r="AA93" s="33"/>
      <c r="AD93" s="33"/>
    </row>
    <row r="94" spans="1:30">
      <c r="A94" s="213">
        <v>1413</v>
      </c>
      <c r="B94" s="213" t="s">
        <v>553</v>
      </c>
      <c r="C94" s="213">
        <v>5.86</v>
      </c>
      <c r="D94">
        <f t="shared" si="1"/>
        <v>1559</v>
      </c>
      <c r="E94" s="213"/>
      <c r="F94" s="213"/>
      <c r="G94" s="213"/>
      <c r="H94" s="213"/>
      <c r="I94" s="213"/>
      <c r="J94" s="213"/>
      <c r="K94" s="213"/>
      <c r="L94" s="213"/>
      <c r="M94" s="213"/>
      <c r="N94" s="213"/>
      <c r="O94" s="213"/>
      <c r="P94" s="213"/>
      <c r="Y94" s="33"/>
      <c r="Z94" s="33"/>
      <c r="AA94" s="33"/>
      <c r="AD94" s="33"/>
    </row>
    <row r="95" spans="1:30">
      <c r="A95" s="213">
        <v>1414</v>
      </c>
      <c r="B95" s="213" t="s">
        <v>554</v>
      </c>
      <c r="C95" s="213">
        <v>6.1</v>
      </c>
      <c r="D95">
        <f t="shared" si="1"/>
        <v>1551</v>
      </c>
      <c r="E95" s="213"/>
      <c r="F95" s="213"/>
      <c r="G95" s="213"/>
      <c r="H95" s="213"/>
      <c r="I95" s="213"/>
      <c r="J95" s="213"/>
      <c r="K95" s="213"/>
      <c r="L95" s="213"/>
      <c r="M95" s="213"/>
      <c r="N95" s="213"/>
      <c r="O95" s="213"/>
      <c r="P95" s="213"/>
      <c r="Y95" s="33"/>
      <c r="Z95" s="33"/>
      <c r="AA95" s="33"/>
      <c r="AD95" s="33"/>
    </row>
    <row r="96" spans="1:30">
      <c r="A96" s="213">
        <v>1416</v>
      </c>
      <c r="B96" s="213" t="s">
        <v>555</v>
      </c>
      <c r="C96" s="213">
        <v>24.9</v>
      </c>
      <c r="D96">
        <f t="shared" si="1"/>
        <v>741</v>
      </c>
      <c r="E96" s="213"/>
      <c r="F96" s="213"/>
      <c r="G96" s="213"/>
      <c r="H96" s="213"/>
      <c r="I96" s="213"/>
      <c r="J96" s="213"/>
      <c r="K96" s="213"/>
      <c r="L96" s="213"/>
      <c r="M96" s="213"/>
      <c r="N96" s="213"/>
      <c r="O96" s="213"/>
      <c r="P96" s="213"/>
      <c r="Y96" s="33"/>
      <c r="Z96" s="33"/>
      <c r="AA96" s="33"/>
      <c r="AD96" s="33"/>
    </row>
    <row r="97" spans="1:30">
      <c r="A97" s="213">
        <v>1417</v>
      </c>
      <c r="B97" s="213" t="s">
        <v>556</v>
      </c>
      <c r="C97" s="213">
        <v>5.51</v>
      </c>
      <c r="D97">
        <f t="shared" si="1"/>
        <v>1566</v>
      </c>
      <c r="E97" s="213"/>
      <c r="F97" s="213"/>
      <c r="G97" s="213"/>
      <c r="H97" s="213"/>
      <c r="I97" s="213"/>
      <c r="J97" s="213"/>
      <c r="K97" s="213"/>
      <c r="L97" s="213"/>
      <c r="M97" s="213"/>
      <c r="N97" s="213"/>
      <c r="O97" s="213"/>
      <c r="P97" s="213"/>
      <c r="Y97" s="33"/>
      <c r="Z97" s="33"/>
      <c r="AA97" s="33"/>
      <c r="AD97" s="33"/>
    </row>
    <row r="98" spans="1:30">
      <c r="A98" s="213">
        <v>1418</v>
      </c>
      <c r="B98" s="213" t="s">
        <v>557</v>
      </c>
      <c r="C98" s="213">
        <v>4.8</v>
      </c>
      <c r="D98">
        <f t="shared" si="1"/>
        <v>1579</v>
      </c>
      <c r="E98" s="213"/>
      <c r="F98" s="213"/>
      <c r="G98" s="213"/>
      <c r="H98" s="213"/>
      <c r="I98" s="213"/>
      <c r="J98" s="213"/>
      <c r="K98" s="213"/>
      <c r="L98" s="213"/>
      <c r="M98" s="213"/>
      <c r="N98" s="213"/>
      <c r="O98" s="213"/>
      <c r="P98" s="213"/>
      <c r="Y98" s="33"/>
      <c r="Z98" s="33"/>
      <c r="AA98" s="33"/>
      <c r="AD98" s="33"/>
    </row>
    <row r="99" spans="1:30">
      <c r="A99" s="213">
        <v>1419</v>
      </c>
      <c r="B99" s="213" t="s">
        <v>558</v>
      </c>
      <c r="C99" s="213">
        <v>38.75</v>
      </c>
      <c r="D99">
        <f t="shared" si="1"/>
        <v>471</v>
      </c>
      <c r="E99" s="213"/>
      <c r="F99" s="213"/>
      <c r="G99" s="213"/>
      <c r="H99" s="213"/>
      <c r="I99" s="213"/>
      <c r="J99" s="213"/>
      <c r="K99" s="213"/>
      <c r="L99" s="213"/>
      <c r="M99" s="213"/>
      <c r="N99" s="213"/>
      <c r="O99" s="213"/>
      <c r="P99" s="213"/>
      <c r="Y99" s="33"/>
      <c r="Z99" s="33"/>
      <c r="AA99" s="33"/>
      <c r="AD99" s="33"/>
    </row>
    <row r="100" spans="1:30">
      <c r="A100" s="213">
        <v>1423</v>
      </c>
      <c r="B100" s="213" t="s">
        <v>559</v>
      </c>
      <c r="C100" s="213">
        <v>6.55</v>
      </c>
      <c r="D100">
        <f t="shared" si="1"/>
        <v>1534</v>
      </c>
      <c r="E100" s="213"/>
      <c r="F100" s="213"/>
      <c r="G100" s="213"/>
      <c r="H100" s="213"/>
      <c r="I100" s="213"/>
      <c r="J100" s="213"/>
      <c r="K100" s="213"/>
      <c r="L100" s="213"/>
      <c r="M100" s="213"/>
      <c r="N100" s="213"/>
      <c r="O100" s="213"/>
      <c r="P100" s="213"/>
      <c r="Y100" s="33"/>
      <c r="Z100" s="33"/>
      <c r="AA100" s="33"/>
      <c r="AD100" s="33"/>
    </row>
    <row r="101" spans="1:30">
      <c r="A101" s="213">
        <v>1432</v>
      </c>
      <c r="B101" s="213" t="s">
        <v>560</v>
      </c>
      <c r="C101" s="213">
        <v>16.600000000000001</v>
      </c>
      <c r="D101">
        <f t="shared" si="1"/>
        <v>1052</v>
      </c>
      <c r="E101" s="213"/>
      <c r="F101" s="213"/>
      <c r="G101" s="213"/>
      <c r="H101" s="213"/>
      <c r="I101" s="213"/>
      <c r="J101" s="213"/>
      <c r="K101" s="213"/>
      <c r="L101" s="213"/>
      <c r="M101" s="213"/>
      <c r="N101" s="213"/>
      <c r="O101" s="213"/>
      <c r="P101" s="213"/>
      <c r="Y101" s="33"/>
      <c r="Z101" s="33"/>
      <c r="AD101" s="33"/>
    </row>
    <row r="102" spans="1:30">
      <c r="A102" s="213">
        <v>1434</v>
      </c>
      <c r="B102" s="213" t="s">
        <v>561</v>
      </c>
      <c r="C102" s="213">
        <v>29.4</v>
      </c>
      <c r="D102">
        <f t="shared" si="1"/>
        <v>625</v>
      </c>
      <c r="E102" s="213"/>
      <c r="F102" s="213"/>
      <c r="G102" s="213"/>
      <c r="H102" s="213"/>
      <c r="I102" s="213"/>
      <c r="J102" s="213"/>
      <c r="K102" s="213"/>
      <c r="L102" s="213"/>
      <c r="M102" s="213"/>
      <c r="N102" s="213"/>
      <c r="O102" s="213"/>
      <c r="P102" s="213"/>
      <c r="Y102" s="33"/>
      <c r="Z102" s="33"/>
      <c r="AA102" s="33"/>
      <c r="AD102" s="33"/>
    </row>
    <row r="103" spans="1:30">
      <c r="A103" s="213">
        <v>1435</v>
      </c>
      <c r="B103" s="213" t="s">
        <v>562</v>
      </c>
      <c r="C103" s="213">
        <v>4.21</v>
      </c>
      <c r="D103">
        <f t="shared" si="1"/>
        <v>1587</v>
      </c>
      <c r="E103" s="213"/>
      <c r="F103" s="213"/>
      <c r="G103" s="213"/>
      <c r="H103" s="213"/>
      <c r="I103" s="213"/>
      <c r="J103" s="213"/>
      <c r="K103" s="213"/>
      <c r="L103" s="213"/>
      <c r="M103" s="213"/>
      <c r="N103" s="213"/>
      <c r="O103" s="213"/>
      <c r="P103" s="213"/>
      <c r="Y103" s="33"/>
      <c r="Z103" s="33"/>
      <c r="AA103" s="33"/>
      <c r="AD103" s="33"/>
    </row>
    <row r="104" spans="1:30">
      <c r="A104" s="213">
        <v>1436</v>
      </c>
      <c r="B104" s="213" t="s">
        <v>563</v>
      </c>
      <c r="C104" s="213">
        <v>40.4</v>
      </c>
      <c r="D104">
        <f t="shared" si="1"/>
        <v>445</v>
      </c>
      <c r="E104" s="213"/>
      <c r="F104" s="213"/>
      <c r="G104" s="213"/>
      <c r="H104" s="213"/>
      <c r="I104" s="213"/>
      <c r="J104" s="213"/>
      <c r="K104" s="213"/>
      <c r="L104" s="213"/>
      <c r="M104" s="213"/>
      <c r="N104" s="213"/>
      <c r="O104" s="213"/>
      <c r="P104" s="213"/>
      <c r="Y104" s="33"/>
      <c r="Z104" s="33"/>
      <c r="AA104" s="33"/>
      <c r="AD104" s="33"/>
    </row>
    <row r="105" spans="1:30">
      <c r="A105" s="213">
        <v>1437</v>
      </c>
      <c r="B105" s="213" t="s">
        <v>564</v>
      </c>
      <c r="C105" s="213">
        <v>15.25</v>
      </c>
      <c r="D105">
        <f t="shared" si="1"/>
        <v>1109</v>
      </c>
      <c r="E105" s="213"/>
      <c r="F105" s="213"/>
      <c r="G105" s="213"/>
      <c r="H105" s="213"/>
      <c r="I105" s="213"/>
      <c r="J105" s="213"/>
      <c r="K105" s="213"/>
      <c r="L105" s="213"/>
      <c r="M105" s="213"/>
      <c r="N105" s="213"/>
      <c r="O105" s="213"/>
      <c r="P105" s="213"/>
      <c r="Y105" s="33"/>
      <c r="Z105" s="33"/>
      <c r="AA105" s="33"/>
      <c r="AD105" s="33"/>
    </row>
    <row r="106" spans="1:30">
      <c r="A106" s="213">
        <v>1438</v>
      </c>
      <c r="B106" s="213" t="s">
        <v>565</v>
      </c>
      <c r="C106" s="213">
        <v>4.1900000000000004</v>
      </c>
      <c r="D106">
        <f t="shared" si="1"/>
        <v>1589</v>
      </c>
      <c r="E106" s="213"/>
      <c r="F106" s="213"/>
      <c r="G106" s="213"/>
      <c r="H106" s="213"/>
      <c r="I106" s="213"/>
      <c r="J106" s="213"/>
      <c r="K106" s="213"/>
      <c r="L106" s="213"/>
      <c r="M106" s="213"/>
      <c r="N106" s="213"/>
      <c r="O106" s="213"/>
      <c r="P106" s="213"/>
      <c r="Y106" s="33"/>
      <c r="Z106" s="33"/>
      <c r="AA106" s="33"/>
      <c r="AD106" s="33"/>
    </row>
    <row r="107" spans="1:30">
      <c r="A107" s="213">
        <v>1439</v>
      </c>
      <c r="B107" s="213" t="s">
        <v>566</v>
      </c>
      <c r="C107" s="213">
        <v>17.2</v>
      </c>
      <c r="D107">
        <f t="shared" si="1"/>
        <v>1015</v>
      </c>
      <c r="E107" s="213"/>
      <c r="F107" s="213"/>
      <c r="G107" s="213"/>
      <c r="H107" s="213"/>
      <c r="I107" s="213"/>
      <c r="J107" s="213"/>
      <c r="K107" s="213"/>
      <c r="L107" s="213"/>
      <c r="M107" s="213"/>
      <c r="N107" s="213"/>
      <c r="O107" s="213"/>
      <c r="P107" s="213"/>
      <c r="Y107" s="33"/>
      <c r="Z107" s="33"/>
      <c r="AA107" s="33"/>
      <c r="AD107" s="33"/>
    </row>
    <row r="108" spans="1:30">
      <c r="A108" s="213">
        <v>1440</v>
      </c>
      <c r="B108" s="213" t="s">
        <v>567</v>
      </c>
      <c r="C108" s="213">
        <v>12.45</v>
      </c>
      <c r="D108">
        <f t="shared" si="1"/>
        <v>1236</v>
      </c>
      <c r="E108" s="213"/>
      <c r="F108" s="213"/>
      <c r="G108" s="213"/>
      <c r="H108" s="213"/>
      <c r="I108" s="213"/>
      <c r="J108" s="213"/>
      <c r="K108" s="213"/>
      <c r="L108" s="213"/>
      <c r="M108" s="213"/>
      <c r="N108" s="213"/>
      <c r="O108" s="213"/>
      <c r="P108" s="213"/>
      <c r="Y108" s="33"/>
      <c r="Z108" s="33"/>
      <c r="AA108" s="33"/>
      <c r="AD108" s="33"/>
    </row>
    <row r="109" spans="1:30">
      <c r="A109" s="213">
        <v>1441</v>
      </c>
      <c r="B109" s="213" t="s">
        <v>568</v>
      </c>
      <c r="C109" s="213">
        <v>7.2</v>
      </c>
      <c r="D109">
        <f t="shared" si="1"/>
        <v>1505</v>
      </c>
      <c r="E109" s="213"/>
      <c r="F109" s="213"/>
      <c r="G109" s="213"/>
      <c r="H109" s="213"/>
      <c r="I109" s="213"/>
      <c r="J109" s="213"/>
      <c r="K109" s="213"/>
      <c r="L109" s="213"/>
      <c r="M109" s="213"/>
      <c r="N109" s="213"/>
      <c r="O109" s="213"/>
      <c r="P109" s="213"/>
      <c r="Y109" s="33"/>
      <c r="Z109" s="33"/>
      <c r="AA109" s="33"/>
      <c r="AD109" s="33"/>
    </row>
    <row r="110" spans="1:30">
      <c r="A110" s="213">
        <v>1442</v>
      </c>
      <c r="B110" s="213" t="s">
        <v>569</v>
      </c>
      <c r="C110" s="213">
        <v>18.3</v>
      </c>
      <c r="D110">
        <f t="shared" si="1"/>
        <v>958</v>
      </c>
      <c r="E110" s="213"/>
      <c r="F110" s="213"/>
      <c r="G110" s="213"/>
      <c r="H110" s="213"/>
      <c r="I110" s="213"/>
      <c r="J110" s="213"/>
      <c r="K110" s="213"/>
      <c r="L110" s="213"/>
      <c r="M110" s="213"/>
      <c r="N110" s="213"/>
      <c r="O110" s="213"/>
      <c r="P110" s="213"/>
      <c r="Y110" s="33"/>
      <c r="Z110" s="33"/>
      <c r="AA110" s="33"/>
      <c r="AD110" s="33"/>
    </row>
    <row r="111" spans="1:30">
      <c r="A111" s="213">
        <v>1443</v>
      </c>
      <c r="B111" s="213" t="s">
        <v>570</v>
      </c>
      <c r="C111" s="213">
        <v>4.6500000000000004</v>
      </c>
      <c r="D111">
        <f t="shared" si="1"/>
        <v>1582</v>
      </c>
      <c r="E111" s="213"/>
      <c r="F111" s="213"/>
      <c r="G111" s="213"/>
      <c r="H111" s="213"/>
      <c r="I111" s="213"/>
      <c r="J111" s="213"/>
      <c r="K111" s="213"/>
      <c r="L111" s="213"/>
      <c r="M111" s="213"/>
      <c r="N111" s="213"/>
      <c r="O111" s="213"/>
      <c r="P111" s="213"/>
      <c r="Y111" s="33"/>
      <c r="Z111" s="33"/>
      <c r="AA111" s="33"/>
      <c r="AD111" s="33"/>
    </row>
    <row r="112" spans="1:30">
      <c r="A112" s="213">
        <v>1444</v>
      </c>
      <c r="B112" s="213" t="s">
        <v>571</v>
      </c>
      <c r="C112" s="213">
        <v>8.26</v>
      </c>
      <c r="D112">
        <f t="shared" si="1"/>
        <v>1455</v>
      </c>
      <c r="E112" s="213"/>
      <c r="F112" s="213"/>
      <c r="G112" s="213"/>
      <c r="H112" s="213"/>
      <c r="I112" s="213"/>
      <c r="J112" s="213"/>
      <c r="K112" s="213"/>
      <c r="L112" s="213"/>
      <c r="M112" s="213"/>
      <c r="N112" s="213"/>
      <c r="O112" s="213"/>
      <c r="P112" s="213"/>
      <c r="Y112" s="33"/>
      <c r="Z112" s="33"/>
      <c r="AA112" s="33"/>
      <c r="AD112" s="33"/>
    </row>
    <row r="113" spans="1:30">
      <c r="A113" s="213">
        <v>1445</v>
      </c>
      <c r="B113" s="213" t="s">
        <v>572</v>
      </c>
      <c r="C113" s="213">
        <v>9.35</v>
      </c>
      <c r="D113">
        <f t="shared" si="1"/>
        <v>1400</v>
      </c>
      <c r="E113" s="213"/>
      <c r="F113" s="213"/>
      <c r="G113" s="213"/>
      <c r="H113" s="213"/>
      <c r="I113" s="213"/>
      <c r="J113" s="213"/>
      <c r="K113" s="213"/>
      <c r="L113" s="213"/>
      <c r="M113" s="213"/>
      <c r="N113" s="213"/>
      <c r="O113" s="213"/>
      <c r="P113" s="213"/>
      <c r="Y113" s="33"/>
      <c r="Z113" s="33"/>
      <c r="AA113" s="33"/>
      <c r="AD113" s="33"/>
    </row>
    <row r="114" spans="1:30">
      <c r="A114" s="213">
        <v>1446</v>
      </c>
      <c r="B114" s="213" t="s">
        <v>573</v>
      </c>
      <c r="C114" s="213">
        <v>16.899999999999999</v>
      </c>
      <c r="D114">
        <f t="shared" si="1"/>
        <v>1038</v>
      </c>
      <c r="E114" s="213"/>
      <c r="F114" s="213"/>
      <c r="G114" s="213"/>
      <c r="H114" s="213"/>
      <c r="I114" s="213"/>
      <c r="J114" s="213"/>
      <c r="K114" s="213"/>
      <c r="L114" s="213"/>
      <c r="M114" s="213"/>
      <c r="N114" s="213"/>
      <c r="O114" s="213"/>
      <c r="P114" s="213"/>
      <c r="Y114" s="33"/>
      <c r="Z114" s="33"/>
      <c r="AA114" s="33"/>
      <c r="AD114" s="33"/>
    </row>
    <row r="115" spans="1:30">
      <c r="A115" s="213">
        <v>1447</v>
      </c>
      <c r="B115" s="213" t="s">
        <v>574</v>
      </c>
      <c r="C115" s="213">
        <v>7.38</v>
      </c>
      <c r="D115">
        <f t="shared" si="1"/>
        <v>1494</v>
      </c>
      <c r="E115" s="213"/>
      <c r="F115" s="213"/>
      <c r="G115" s="213"/>
      <c r="H115" s="213"/>
      <c r="I115" s="213"/>
      <c r="J115" s="213"/>
      <c r="K115" s="213"/>
      <c r="L115" s="213"/>
      <c r="M115" s="213"/>
      <c r="N115" s="213"/>
      <c r="O115" s="213"/>
      <c r="P115" s="213"/>
      <c r="Y115" s="33"/>
      <c r="Z115" s="33"/>
      <c r="AA115" s="33"/>
      <c r="AD115" s="33"/>
    </row>
    <row r="116" spans="1:30">
      <c r="A116" s="213">
        <v>1449</v>
      </c>
      <c r="B116" s="213" t="s">
        <v>575</v>
      </c>
      <c r="C116" s="213">
        <v>4.09</v>
      </c>
      <c r="D116">
        <f t="shared" si="1"/>
        <v>1590</v>
      </c>
      <c r="E116" s="213"/>
      <c r="F116" s="213"/>
      <c r="G116" s="213"/>
      <c r="H116" s="213"/>
      <c r="I116" s="213"/>
      <c r="J116" s="213"/>
      <c r="K116" s="213"/>
      <c r="L116" s="213"/>
      <c r="M116" s="213"/>
      <c r="N116" s="213"/>
      <c r="O116" s="213"/>
      <c r="P116" s="213"/>
      <c r="Y116" s="33"/>
      <c r="Z116" s="33"/>
      <c r="AA116" s="33"/>
      <c r="AD116" s="33"/>
    </row>
    <row r="117" spans="1:30">
      <c r="A117" s="213">
        <v>1451</v>
      </c>
      <c r="B117" s="213" t="s">
        <v>576</v>
      </c>
      <c r="C117" s="213">
        <v>23.9</v>
      </c>
      <c r="D117">
        <f t="shared" si="1"/>
        <v>776</v>
      </c>
      <c r="E117" s="213"/>
      <c r="F117" s="213"/>
      <c r="G117" s="213"/>
      <c r="H117" s="213"/>
      <c r="I117" s="213"/>
      <c r="J117" s="213"/>
      <c r="K117" s="213"/>
      <c r="L117" s="213"/>
      <c r="M117" s="213"/>
      <c r="N117" s="213"/>
      <c r="O117" s="213"/>
      <c r="P117" s="213"/>
      <c r="Y117" s="33"/>
      <c r="Z117" s="33"/>
      <c r="AA117" s="33"/>
      <c r="AD117" s="33"/>
    </row>
    <row r="118" spans="1:30">
      <c r="A118" s="213">
        <v>1452</v>
      </c>
      <c r="B118" s="213" t="s">
        <v>577</v>
      </c>
      <c r="C118" s="213">
        <v>19.7</v>
      </c>
      <c r="D118">
        <f t="shared" si="1"/>
        <v>920</v>
      </c>
      <c r="E118" s="213"/>
      <c r="F118" s="213"/>
      <c r="G118" s="213"/>
      <c r="H118" s="213"/>
      <c r="I118" s="213"/>
      <c r="J118" s="213"/>
      <c r="K118" s="213"/>
      <c r="L118" s="213"/>
      <c r="M118" s="213"/>
      <c r="N118" s="213"/>
      <c r="O118" s="213"/>
      <c r="P118" s="213"/>
      <c r="Y118" s="33"/>
      <c r="Z118" s="33"/>
      <c r="AA118" s="33"/>
      <c r="AD118" s="33"/>
    </row>
    <row r="119" spans="1:30">
      <c r="A119" s="213">
        <v>1453</v>
      </c>
      <c r="B119" s="213" t="s">
        <v>578</v>
      </c>
      <c r="C119" s="213">
        <v>7.76</v>
      </c>
      <c r="D119">
        <f t="shared" si="1"/>
        <v>1483</v>
      </c>
      <c r="E119" s="213"/>
      <c r="F119" s="213"/>
      <c r="G119" s="213"/>
      <c r="H119" s="213"/>
      <c r="I119" s="213"/>
      <c r="J119" s="213"/>
      <c r="K119" s="213"/>
      <c r="L119" s="213"/>
      <c r="M119" s="213"/>
      <c r="N119" s="213"/>
      <c r="O119" s="213"/>
      <c r="P119" s="213"/>
      <c r="Y119" s="33"/>
      <c r="Z119" s="33"/>
      <c r="AA119" s="33"/>
      <c r="AD119" s="33"/>
    </row>
    <row r="120" spans="1:30">
      <c r="A120" s="213">
        <v>1454</v>
      </c>
      <c r="B120" s="213" t="s">
        <v>579</v>
      </c>
      <c r="C120" s="213">
        <v>8.32</v>
      </c>
      <c r="D120">
        <f t="shared" si="1"/>
        <v>1453</v>
      </c>
      <c r="E120" s="213"/>
      <c r="F120" s="213"/>
      <c r="G120" s="213"/>
      <c r="H120" s="213"/>
      <c r="I120" s="213"/>
      <c r="J120" s="213"/>
      <c r="K120" s="213"/>
      <c r="L120" s="213"/>
      <c r="M120" s="213"/>
      <c r="N120" s="213"/>
      <c r="O120" s="213"/>
      <c r="P120" s="213"/>
      <c r="Y120" s="33"/>
      <c r="Z120" s="33"/>
      <c r="AA120" s="33"/>
      <c r="AD120" s="33"/>
    </row>
    <row r="121" spans="1:30">
      <c r="A121" s="213">
        <v>1455</v>
      </c>
      <c r="B121" s="213" t="s">
        <v>580</v>
      </c>
      <c r="C121" s="213">
        <v>8.27</v>
      </c>
      <c r="D121">
        <f t="shared" si="1"/>
        <v>1454</v>
      </c>
      <c r="E121" s="213"/>
      <c r="F121" s="213"/>
      <c r="G121" s="213"/>
      <c r="H121" s="213"/>
      <c r="I121" s="213"/>
      <c r="J121" s="213"/>
      <c r="K121" s="213"/>
      <c r="L121" s="213"/>
      <c r="M121" s="213"/>
      <c r="N121" s="213"/>
      <c r="O121" s="213"/>
      <c r="P121" s="213"/>
      <c r="Y121" s="33"/>
      <c r="Z121" s="33"/>
      <c r="AA121" s="33"/>
      <c r="AD121" s="33"/>
    </row>
    <row r="122" spans="1:30">
      <c r="A122" s="213">
        <v>1456</v>
      </c>
      <c r="B122" s="213" t="s">
        <v>581</v>
      </c>
      <c r="C122" s="213">
        <v>9.16</v>
      </c>
      <c r="D122">
        <f t="shared" si="1"/>
        <v>1411</v>
      </c>
      <c r="E122" s="213"/>
      <c r="F122" s="213"/>
      <c r="G122" s="213"/>
      <c r="H122" s="213"/>
      <c r="I122" s="213"/>
      <c r="J122" s="213"/>
      <c r="K122" s="213"/>
      <c r="L122" s="213"/>
      <c r="M122" s="213"/>
      <c r="N122" s="213"/>
      <c r="O122" s="213"/>
      <c r="P122" s="213"/>
      <c r="Y122" s="33"/>
      <c r="Z122" s="33"/>
      <c r="AA122" s="33"/>
      <c r="AD122" s="33"/>
    </row>
    <row r="123" spans="1:30">
      <c r="A123" s="213">
        <v>1457</v>
      </c>
      <c r="B123" s="213" t="s">
        <v>582</v>
      </c>
      <c r="C123" s="213">
        <v>10.15</v>
      </c>
      <c r="D123">
        <f t="shared" si="1"/>
        <v>1349</v>
      </c>
      <c r="E123" s="213"/>
      <c r="F123" s="213"/>
      <c r="G123" s="213"/>
      <c r="H123" s="213"/>
      <c r="I123" s="213"/>
      <c r="J123" s="213"/>
      <c r="K123" s="213"/>
      <c r="L123" s="213"/>
      <c r="M123" s="213"/>
      <c r="N123" s="213"/>
      <c r="O123" s="213"/>
      <c r="P123" s="213"/>
      <c r="Y123" s="33"/>
      <c r="Z123" s="33"/>
      <c r="AA123" s="33"/>
      <c r="AD123" s="33"/>
    </row>
    <row r="124" spans="1:30">
      <c r="A124" s="213">
        <v>1459</v>
      </c>
      <c r="B124" s="213" t="s">
        <v>583</v>
      </c>
      <c r="C124" s="213">
        <v>8.25</v>
      </c>
      <c r="D124">
        <f t="shared" si="1"/>
        <v>1456</v>
      </c>
      <c r="E124" s="213"/>
      <c r="F124" s="213"/>
      <c r="G124" s="213"/>
      <c r="H124" s="213"/>
      <c r="I124" s="213"/>
      <c r="J124" s="213"/>
      <c r="K124" s="213"/>
      <c r="L124" s="213"/>
      <c r="M124" s="213"/>
      <c r="N124" s="213"/>
      <c r="O124" s="213"/>
      <c r="P124" s="213"/>
      <c r="Y124" s="33"/>
      <c r="Z124" s="33"/>
      <c r="AA124" s="33"/>
      <c r="AD124" s="33"/>
    </row>
    <row r="125" spans="1:30">
      <c r="A125" s="213">
        <v>1460</v>
      </c>
      <c r="B125" s="213" t="s">
        <v>584</v>
      </c>
      <c r="C125" s="213">
        <v>16.95</v>
      </c>
      <c r="D125">
        <f t="shared" si="1"/>
        <v>1036</v>
      </c>
      <c r="E125" s="213"/>
      <c r="F125" s="213"/>
      <c r="G125" s="213"/>
      <c r="H125" s="213"/>
      <c r="I125" s="213"/>
      <c r="J125" s="213"/>
      <c r="K125" s="213"/>
      <c r="L125" s="213"/>
      <c r="M125" s="213"/>
      <c r="N125" s="213"/>
      <c r="O125" s="213"/>
      <c r="P125" s="213"/>
      <c r="Y125" s="33"/>
      <c r="Z125" s="33"/>
      <c r="AA125" s="33"/>
      <c r="AD125" s="33"/>
    </row>
    <row r="126" spans="1:30">
      <c r="A126" s="213">
        <v>1463</v>
      </c>
      <c r="B126" s="213" t="s">
        <v>585</v>
      </c>
      <c r="C126" s="213">
        <v>18.45</v>
      </c>
      <c r="D126">
        <f t="shared" si="1"/>
        <v>951</v>
      </c>
      <c r="E126" s="213"/>
      <c r="F126" s="213"/>
      <c r="G126" s="213"/>
      <c r="H126" s="213"/>
      <c r="I126" s="213"/>
      <c r="J126" s="213"/>
      <c r="K126" s="213"/>
      <c r="L126" s="213"/>
      <c r="M126" s="213"/>
      <c r="N126" s="213"/>
      <c r="O126" s="213"/>
      <c r="P126" s="213"/>
      <c r="Y126" s="33"/>
      <c r="Z126" s="33"/>
      <c r="AA126" s="33"/>
      <c r="AD126" s="33"/>
    </row>
    <row r="127" spans="1:30">
      <c r="A127" s="213">
        <v>1464</v>
      </c>
      <c r="B127" s="213" t="s">
        <v>586</v>
      </c>
      <c r="C127" s="213">
        <v>27.6</v>
      </c>
      <c r="D127">
        <f t="shared" si="1"/>
        <v>676</v>
      </c>
      <c r="E127" s="213"/>
      <c r="F127" s="213"/>
      <c r="G127" s="213"/>
      <c r="H127" s="213"/>
      <c r="I127" s="213"/>
      <c r="J127" s="213"/>
      <c r="K127" s="213"/>
      <c r="L127" s="213"/>
      <c r="M127" s="213"/>
      <c r="N127" s="213"/>
      <c r="O127" s="213"/>
      <c r="P127" s="213"/>
      <c r="Y127" s="33"/>
      <c r="Z127" s="33"/>
      <c r="AA127" s="33"/>
      <c r="AD127" s="33"/>
    </row>
    <row r="128" spans="1:30">
      <c r="A128" s="213">
        <v>1465</v>
      </c>
      <c r="B128" s="213" t="s">
        <v>587</v>
      </c>
      <c r="C128" s="213">
        <v>12.65</v>
      </c>
      <c r="D128">
        <f t="shared" si="1"/>
        <v>1234</v>
      </c>
      <c r="E128" s="213"/>
      <c r="F128" s="213"/>
      <c r="G128" s="213"/>
      <c r="H128" s="213"/>
      <c r="I128" s="213"/>
      <c r="J128" s="213"/>
      <c r="K128" s="213"/>
      <c r="L128" s="213"/>
      <c r="M128" s="213"/>
      <c r="N128" s="213"/>
      <c r="O128" s="213"/>
      <c r="P128" s="213"/>
      <c r="Y128" s="33"/>
      <c r="Z128" s="33"/>
      <c r="AA128" s="33"/>
      <c r="AD128" s="33"/>
    </row>
    <row r="129" spans="1:30">
      <c r="A129" s="213">
        <v>1466</v>
      </c>
      <c r="B129" s="213" t="s">
        <v>588</v>
      </c>
      <c r="C129" s="213">
        <v>13.4</v>
      </c>
      <c r="D129">
        <f t="shared" si="1"/>
        <v>1191</v>
      </c>
      <c r="E129" s="213"/>
      <c r="F129" s="213"/>
      <c r="G129" s="213"/>
      <c r="H129" s="213"/>
      <c r="I129" s="213"/>
      <c r="J129" s="213"/>
      <c r="K129" s="213"/>
      <c r="L129" s="213"/>
      <c r="M129" s="213"/>
      <c r="N129" s="213"/>
      <c r="O129" s="213"/>
      <c r="P129" s="213"/>
      <c r="Y129" s="33"/>
      <c r="Z129" s="33"/>
      <c r="AA129" s="33"/>
      <c r="AD129" s="33"/>
    </row>
    <row r="130" spans="1:30">
      <c r="A130" s="213">
        <v>1467</v>
      </c>
      <c r="B130" s="213" t="s">
        <v>589</v>
      </c>
      <c r="C130" s="213">
        <v>12.85</v>
      </c>
      <c r="D130">
        <f t="shared" ref="D130:D193" si="2">RANK(C130,C:C,0)</f>
        <v>1219</v>
      </c>
      <c r="E130" s="213"/>
      <c r="F130" s="213"/>
      <c r="G130" s="213"/>
      <c r="H130" s="213"/>
      <c r="I130" s="213"/>
      <c r="J130" s="213"/>
      <c r="K130" s="213"/>
      <c r="L130" s="213"/>
      <c r="M130" s="213"/>
      <c r="N130" s="213"/>
      <c r="O130" s="213"/>
      <c r="P130" s="213"/>
      <c r="Y130" s="33"/>
      <c r="Z130" s="33"/>
      <c r="AA130" s="33"/>
      <c r="AD130" s="33"/>
    </row>
    <row r="131" spans="1:30">
      <c r="A131" s="213">
        <v>1468</v>
      </c>
      <c r="B131" s="213" t="s">
        <v>590</v>
      </c>
      <c r="C131" s="213">
        <v>10.199999999999999</v>
      </c>
      <c r="D131">
        <f t="shared" si="2"/>
        <v>1345</v>
      </c>
      <c r="E131" s="213"/>
      <c r="F131" s="213"/>
      <c r="G131" s="213"/>
      <c r="H131" s="213"/>
      <c r="I131" s="213"/>
      <c r="J131" s="213"/>
      <c r="K131" s="213"/>
      <c r="L131" s="213"/>
      <c r="M131" s="213"/>
      <c r="N131" s="213"/>
      <c r="O131" s="213"/>
      <c r="P131" s="213"/>
      <c r="Y131" s="33"/>
      <c r="Z131" s="33"/>
      <c r="AA131" s="33"/>
      <c r="AD131" s="33"/>
    </row>
    <row r="132" spans="1:30">
      <c r="A132" s="213">
        <v>1469</v>
      </c>
      <c r="B132" s="213" t="s">
        <v>591</v>
      </c>
      <c r="C132" s="213" t="s">
        <v>1744</v>
      </c>
      <c r="D132" t="e">
        <f t="shared" si="2"/>
        <v>#VALUE!</v>
      </c>
      <c r="E132" s="213"/>
      <c r="F132" s="213"/>
      <c r="G132" s="213"/>
      <c r="H132" s="213"/>
      <c r="I132" s="213"/>
      <c r="J132" s="213"/>
      <c r="K132" s="213"/>
      <c r="L132" s="213"/>
      <c r="M132" s="213"/>
      <c r="N132" s="213"/>
      <c r="O132" s="213"/>
      <c r="P132" s="213"/>
      <c r="Y132" s="33"/>
      <c r="Z132" s="33"/>
      <c r="AA132" s="33"/>
      <c r="AD132" s="33"/>
    </row>
    <row r="133" spans="1:30">
      <c r="A133" s="213">
        <v>1470</v>
      </c>
      <c r="B133" s="213" t="s">
        <v>592</v>
      </c>
      <c r="C133" s="213">
        <v>18.899999999999999</v>
      </c>
      <c r="D133">
        <f t="shared" si="2"/>
        <v>936</v>
      </c>
      <c r="E133" s="213"/>
      <c r="F133" s="213"/>
      <c r="G133" s="213"/>
      <c r="H133" s="213"/>
      <c r="I133" s="213"/>
      <c r="J133" s="213"/>
      <c r="K133" s="213"/>
      <c r="L133" s="213"/>
      <c r="M133" s="213"/>
      <c r="N133" s="213"/>
      <c r="O133" s="213"/>
      <c r="P133" s="213"/>
      <c r="Y133" s="33"/>
      <c r="Z133" s="33"/>
      <c r="AA133" s="33"/>
      <c r="AD133" s="33"/>
    </row>
    <row r="134" spans="1:30">
      <c r="A134" s="213">
        <v>1471</v>
      </c>
      <c r="B134" s="213" t="s">
        <v>593</v>
      </c>
      <c r="C134" s="213">
        <v>5.26</v>
      </c>
      <c r="D134">
        <f t="shared" si="2"/>
        <v>1570</v>
      </c>
      <c r="E134" s="213"/>
      <c r="F134" s="213"/>
      <c r="G134" s="213"/>
      <c r="H134" s="213"/>
      <c r="I134" s="213"/>
      <c r="J134" s="213"/>
      <c r="K134" s="213"/>
      <c r="L134" s="213"/>
      <c r="M134" s="213"/>
      <c r="N134" s="213"/>
      <c r="O134" s="213"/>
      <c r="P134" s="213"/>
      <c r="Y134" s="33"/>
      <c r="Z134" s="33"/>
      <c r="AA134" s="33"/>
      <c r="AD134" s="33"/>
    </row>
    <row r="135" spans="1:30">
      <c r="A135" s="213">
        <v>1472</v>
      </c>
      <c r="B135" s="213" t="s">
        <v>594</v>
      </c>
      <c r="C135" s="213">
        <v>13.7</v>
      </c>
      <c r="D135">
        <f t="shared" si="2"/>
        <v>1181</v>
      </c>
      <c r="E135" s="213"/>
      <c r="F135" s="213"/>
      <c r="G135" s="213"/>
      <c r="H135" s="213"/>
      <c r="I135" s="213"/>
      <c r="J135" s="213"/>
      <c r="K135" s="213"/>
      <c r="L135" s="213"/>
      <c r="M135" s="213"/>
      <c r="N135" s="213"/>
      <c r="O135" s="213"/>
      <c r="P135" s="213"/>
      <c r="Y135" s="33"/>
      <c r="Z135" s="33"/>
      <c r="AA135" s="33"/>
      <c r="AD135" s="33"/>
    </row>
    <row r="136" spans="1:30">
      <c r="A136" s="213">
        <v>1473</v>
      </c>
      <c r="B136" s="213" t="s">
        <v>595</v>
      </c>
      <c r="C136" s="213">
        <v>29.05</v>
      </c>
      <c r="D136">
        <f t="shared" si="2"/>
        <v>639</v>
      </c>
      <c r="E136" s="213"/>
      <c r="F136" s="213"/>
      <c r="G136" s="213"/>
      <c r="H136" s="213"/>
      <c r="I136" s="213"/>
      <c r="J136" s="213"/>
      <c r="K136" s="213"/>
      <c r="L136" s="213"/>
      <c r="M136" s="213"/>
      <c r="N136" s="213"/>
      <c r="O136" s="213"/>
      <c r="P136" s="213"/>
      <c r="Y136" s="33"/>
      <c r="Z136" s="33"/>
      <c r="AA136" s="33"/>
      <c r="AD136" s="33"/>
    </row>
    <row r="137" spans="1:30">
      <c r="A137" s="213">
        <v>1474</v>
      </c>
      <c r="B137" s="213" t="s">
        <v>596</v>
      </c>
      <c r="C137" s="213">
        <v>12.6</v>
      </c>
      <c r="D137">
        <f t="shared" si="2"/>
        <v>1235</v>
      </c>
      <c r="E137" s="213"/>
      <c r="F137" s="213"/>
      <c r="G137" s="213"/>
      <c r="H137" s="213"/>
      <c r="I137" s="213"/>
      <c r="J137" s="213"/>
      <c r="K137" s="213"/>
      <c r="L137" s="213"/>
      <c r="M137" s="213"/>
      <c r="N137" s="213"/>
      <c r="O137" s="213"/>
      <c r="P137" s="213"/>
      <c r="Y137" s="33"/>
      <c r="Z137" s="33"/>
      <c r="AA137" s="33"/>
      <c r="AD137" s="33"/>
    </row>
    <row r="138" spans="1:30">
      <c r="A138" s="213">
        <v>1475</v>
      </c>
      <c r="B138" s="213" t="s">
        <v>597</v>
      </c>
      <c r="C138" s="213">
        <v>7.92</v>
      </c>
      <c r="D138">
        <f t="shared" si="2"/>
        <v>1473</v>
      </c>
      <c r="E138" s="213"/>
      <c r="F138" s="213"/>
      <c r="G138" s="213"/>
      <c r="H138" s="213"/>
      <c r="I138" s="213"/>
      <c r="J138" s="213"/>
      <c r="K138" s="213"/>
      <c r="L138" s="213"/>
      <c r="M138" s="213"/>
      <c r="N138" s="213"/>
      <c r="O138" s="213"/>
      <c r="P138" s="213"/>
      <c r="Y138" s="33"/>
      <c r="Z138" s="33"/>
      <c r="AA138" s="33"/>
      <c r="AD138" s="33"/>
    </row>
    <row r="139" spans="1:30">
      <c r="A139" s="213">
        <v>1476</v>
      </c>
      <c r="B139" s="213" t="s">
        <v>598</v>
      </c>
      <c r="C139" s="213">
        <v>388</v>
      </c>
      <c r="D139">
        <f t="shared" si="2"/>
        <v>13</v>
      </c>
      <c r="E139" s="213"/>
      <c r="F139" s="213"/>
      <c r="G139" s="213"/>
      <c r="H139" s="213"/>
      <c r="I139" s="213"/>
      <c r="J139" s="213"/>
      <c r="K139" s="213"/>
      <c r="L139" s="213"/>
      <c r="M139" s="213"/>
      <c r="N139" s="213"/>
      <c r="O139" s="213"/>
      <c r="P139" s="213"/>
      <c r="Y139" s="33"/>
      <c r="Z139" s="33"/>
      <c r="AA139" s="33"/>
      <c r="AD139" s="33"/>
    </row>
    <row r="140" spans="1:30">
      <c r="A140" s="213">
        <v>1477</v>
      </c>
      <c r="B140" s="213" t="s">
        <v>599</v>
      </c>
      <c r="C140" s="213">
        <v>133</v>
      </c>
      <c r="D140">
        <f t="shared" si="2"/>
        <v>94</v>
      </c>
      <c r="E140" s="213"/>
      <c r="F140" s="213"/>
      <c r="G140" s="213"/>
      <c r="H140" s="213"/>
      <c r="I140" s="213"/>
      <c r="J140" s="213"/>
      <c r="K140" s="213"/>
      <c r="L140" s="213"/>
      <c r="M140" s="213"/>
      <c r="N140" s="213"/>
      <c r="O140" s="213"/>
      <c r="P140" s="213"/>
      <c r="Y140" s="33"/>
      <c r="Z140" s="33"/>
      <c r="AA140" s="33"/>
      <c r="AD140" s="33"/>
    </row>
    <row r="141" spans="1:30">
      <c r="A141" s="213">
        <v>1503</v>
      </c>
      <c r="B141" s="213" t="s">
        <v>600</v>
      </c>
      <c r="C141" s="213">
        <v>40.6</v>
      </c>
      <c r="D141">
        <f t="shared" si="2"/>
        <v>444</v>
      </c>
      <c r="E141" s="213"/>
      <c r="F141" s="213"/>
      <c r="G141" s="213"/>
      <c r="H141" s="213"/>
      <c r="I141" s="213"/>
      <c r="J141" s="213"/>
      <c r="K141" s="213"/>
      <c r="L141" s="213"/>
      <c r="M141" s="213"/>
      <c r="N141" s="213"/>
      <c r="O141" s="213"/>
      <c r="P141" s="213"/>
      <c r="Y141" s="33"/>
      <c r="Z141" s="33"/>
      <c r="AA141" s="33"/>
      <c r="AD141" s="33"/>
    </row>
    <row r="142" spans="1:30">
      <c r="A142" s="213">
        <v>1504</v>
      </c>
      <c r="B142" s="213" t="s">
        <v>601</v>
      </c>
      <c r="C142" s="213">
        <v>27.6</v>
      </c>
      <c r="D142">
        <f t="shared" si="2"/>
        <v>676</v>
      </c>
      <c r="E142" s="213"/>
      <c r="F142" s="213"/>
      <c r="G142" s="213"/>
      <c r="H142" s="213"/>
      <c r="I142" s="213"/>
      <c r="J142" s="213"/>
      <c r="K142" s="213"/>
      <c r="L142" s="213"/>
      <c r="M142" s="213"/>
      <c r="N142" s="213"/>
      <c r="O142" s="213"/>
      <c r="P142" s="213"/>
      <c r="Y142" s="33"/>
      <c r="Z142" s="33"/>
      <c r="AA142" s="33"/>
      <c r="AD142" s="33"/>
    </row>
    <row r="143" spans="1:30">
      <c r="A143" s="213">
        <v>1506</v>
      </c>
      <c r="B143" s="213" t="s">
        <v>602</v>
      </c>
      <c r="C143" s="213">
        <v>14.4</v>
      </c>
      <c r="D143">
        <f t="shared" si="2"/>
        <v>1145</v>
      </c>
      <c r="E143" s="213"/>
      <c r="F143" s="213"/>
      <c r="G143" s="213"/>
      <c r="H143" s="213"/>
      <c r="I143" s="213"/>
      <c r="J143" s="213"/>
      <c r="K143" s="213"/>
      <c r="L143" s="213"/>
      <c r="M143" s="213"/>
      <c r="N143" s="213"/>
      <c r="O143" s="213"/>
      <c r="P143" s="213"/>
      <c r="Y143" s="33"/>
      <c r="Z143" s="33"/>
      <c r="AA143" s="33"/>
      <c r="AD143" s="33"/>
    </row>
    <row r="144" spans="1:30">
      <c r="A144" s="213">
        <v>1507</v>
      </c>
      <c r="B144" s="213" t="s">
        <v>603</v>
      </c>
      <c r="C144" s="213">
        <v>46.25</v>
      </c>
      <c r="D144">
        <f t="shared" si="2"/>
        <v>382</v>
      </c>
      <c r="E144" s="213"/>
      <c r="F144" s="213"/>
      <c r="G144" s="213"/>
      <c r="H144" s="213"/>
      <c r="I144" s="213"/>
      <c r="J144" s="213"/>
      <c r="K144" s="213"/>
      <c r="L144" s="213"/>
      <c r="M144" s="213"/>
      <c r="N144" s="213"/>
      <c r="O144" s="213"/>
      <c r="P144" s="213"/>
      <c r="Y144" s="33"/>
      <c r="Z144" s="33"/>
      <c r="AA144" s="33"/>
      <c r="AD144" s="33"/>
    </row>
    <row r="145" spans="1:30">
      <c r="A145" s="213">
        <v>1512</v>
      </c>
      <c r="B145" s="213" t="s">
        <v>604</v>
      </c>
      <c r="C145" s="213">
        <v>4.9000000000000004</v>
      </c>
      <c r="D145">
        <f t="shared" si="2"/>
        <v>1578</v>
      </c>
      <c r="E145" s="213"/>
      <c r="F145" s="213"/>
      <c r="G145" s="213"/>
      <c r="H145" s="213"/>
      <c r="I145" s="213"/>
      <c r="J145" s="213"/>
      <c r="K145" s="213"/>
      <c r="L145" s="213"/>
      <c r="M145" s="213"/>
      <c r="N145" s="213"/>
      <c r="O145" s="213"/>
      <c r="P145" s="213"/>
      <c r="Y145" s="33"/>
      <c r="Z145" s="33"/>
      <c r="AA145" s="33"/>
      <c r="AD145" s="33"/>
    </row>
    <row r="146" spans="1:30">
      <c r="A146" s="213">
        <v>1513</v>
      </c>
      <c r="B146" s="213" t="s">
        <v>605</v>
      </c>
      <c r="C146" s="213">
        <v>18.05</v>
      </c>
      <c r="D146">
        <f t="shared" si="2"/>
        <v>970</v>
      </c>
      <c r="E146" s="213"/>
      <c r="F146" s="213"/>
      <c r="G146" s="213"/>
      <c r="H146" s="213"/>
      <c r="I146" s="213"/>
      <c r="J146" s="213"/>
      <c r="K146" s="213"/>
      <c r="L146" s="213"/>
      <c r="M146" s="213"/>
      <c r="N146" s="213"/>
      <c r="O146" s="213"/>
      <c r="P146" s="213"/>
      <c r="Y146" s="33"/>
      <c r="Z146" s="33"/>
      <c r="AA146" s="33"/>
      <c r="AD146" s="33"/>
    </row>
    <row r="147" spans="1:30">
      <c r="A147" s="213">
        <v>1514</v>
      </c>
      <c r="B147" s="213" t="s">
        <v>606</v>
      </c>
      <c r="C147" s="213">
        <v>10.15</v>
      </c>
      <c r="D147">
        <f t="shared" si="2"/>
        <v>1349</v>
      </c>
      <c r="E147" s="213"/>
      <c r="F147" s="213"/>
      <c r="G147" s="213"/>
      <c r="H147" s="213"/>
      <c r="I147" s="213"/>
      <c r="J147" s="213"/>
      <c r="K147" s="213"/>
      <c r="L147" s="213"/>
      <c r="M147" s="213"/>
      <c r="N147" s="213"/>
      <c r="O147" s="213"/>
      <c r="P147" s="213"/>
      <c r="Y147" s="33"/>
      <c r="Z147" s="33"/>
      <c r="AA147" s="33"/>
      <c r="AD147" s="33"/>
    </row>
    <row r="148" spans="1:30">
      <c r="A148" s="213">
        <v>1515</v>
      </c>
      <c r="B148" s="213" t="s">
        <v>607</v>
      </c>
      <c r="C148" s="213">
        <v>12.75</v>
      </c>
      <c r="D148">
        <f t="shared" si="2"/>
        <v>1227</v>
      </c>
      <c r="E148" s="213"/>
      <c r="F148" s="213"/>
      <c r="G148" s="213"/>
      <c r="H148" s="213"/>
      <c r="I148" s="213"/>
      <c r="J148" s="213"/>
      <c r="K148" s="213"/>
      <c r="L148" s="213"/>
      <c r="M148" s="213"/>
      <c r="N148" s="213"/>
      <c r="O148" s="213"/>
      <c r="P148" s="213"/>
      <c r="Y148" s="33"/>
      <c r="Z148" s="33"/>
      <c r="AA148" s="33"/>
      <c r="AD148" s="33"/>
    </row>
    <row r="149" spans="1:30">
      <c r="A149" s="213">
        <v>1516</v>
      </c>
      <c r="B149" s="213" t="s">
        <v>608</v>
      </c>
      <c r="C149" s="213">
        <v>17.7</v>
      </c>
      <c r="D149">
        <f t="shared" si="2"/>
        <v>992</v>
      </c>
      <c r="E149" s="213"/>
      <c r="F149" s="213"/>
      <c r="G149" s="213"/>
      <c r="H149" s="213"/>
      <c r="I149" s="213"/>
      <c r="J149" s="213"/>
      <c r="K149" s="213"/>
      <c r="L149" s="213"/>
      <c r="M149" s="213"/>
      <c r="N149" s="213"/>
      <c r="O149" s="213"/>
      <c r="P149" s="213"/>
      <c r="Y149" s="33"/>
      <c r="Z149" s="33"/>
      <c r="AA149" s="33"/>
      <c r="AD149" s="33"/>
    </row>
    <row r="150" spans="1:30">
      <c r="A150" s="213">
        <v>1517</v>
      </c>
      <c r="B150" s="213" t="s">
        <v>609</v>
      </c>
      <c r="C150" s="213">
        <v>10.15</v>
      </c>
      <c r="D150">
        <f t="shared" si="2"/>
        <v>1349</v>
      </c>
      <c r="E150" s="213"/>
      <c r="F150" s="213"/>
      <c r="G150" s="213"/>
      <c r="H150" s="213"/>
      <c r="I150" s="213"/>
      <c r="J150" s="213"/>
      <c r="K150" s="213"/>
      <c r="L150" s="213"/>
      <c r="M150" s="213"/>
      <c r="N150" s="213"/>
      <c r="O150" s="213"/>
      <c r="P150" s="213"/>
      <c r="Y150" s="33"/>
      <c r="Z150" s="33"/>
      <c r="AA150" s="33"/>
      <c r="AD150" s="33"/>
    </row>
    <row r="151" spans="1:30">
      <c r="A151" s="213">
        <v>1519</v>
      </c>
      <c r="B151" s="213" t="s">
        <v>610</v>
      </c>
      <c r="C151" s="213">
        <v>18.05</v>
      </c>
      <c r="D151">
        <f t="shared" si="2"/>
        <v>970</v>
      </c>
      <c r="E151" s="213"/>
      <c r="F151" s="213"/>
      <c r="G151" s="213"/>
      <c r="H151" s="213"/>
      <c r="I151" s="213"/>
      <c r="J151" s="213"/>
      <c r="K151" s="213"/>
      <c r="L151" s="213"/>
      <c r="M151" s="213"/>
      <c r="N151" s="213"/>
      <c r="O151" s="213"/>
      <c r="P151" s="213"/>
      <c r="Y151" s="33"/>
      <c r="Z151" s="33"/>
      <c r="AA151" s="33"/>
      <c r="AD151" s="33"/>
    </row>
    <row r="152" spans="1:30">
      <c r="A152" s="213">
        <v>1521</v>
      </c>
      <c r="B152" s="213" t="s">
        <v>611</v>
      </c>
      <c r="C152" s="213">
        <v>79.2</v>
      </c>
      <c r="D152">
        <f t="shared" si="2"/>
        <v>195</v>
      </c>
      <c r="E152" s="213"/>
      <c r="F152" s="213"/>
      <c r="G152" s="213"/>
      <c r="H152" s="213"/>
      <c r="I152" s="213"/>
      <c r="J152" s="213"/>
      <c r="K152" s="213"/>
      <c r="L152" s="213"/>
      <c r="M152" s="213"/>
      <c r="N152" s="213"/>
      <c r="O152" s="213"/>
      <c r="P152" s="213"/>
      <c r="Y152" s="33"/>
      <c r="Z152" s="33"/>
      <c r="AA152" s="33"/>
      <c r="AD152" s="33"/>
    </row>
    <row r="153" spans="1:30">
      <c r="A153" s="213">
        <v>1522</v>
      </c>
      <c r="B153" s="213" t="s">
        <v>612</v>
      </c>
      <c r="C153" s="213">
        <v>33.25</v>
      </c>
      <c r="D153">
        <f t="shared" si="2"/>
        <v>555</v>
      </c>
      <c r="E153" s="213"/>
      <c r="F153" s="213"/>
      <c r="G153" s="213"/>
      <c r="H153" s="213"/>
      <c r="I153" s="213"/>
      <c r="J153" s="213"/>
      <c r="K153" s="213"/>
      <c r="L153" s="213"/>
      <c r="M153" s="213"/>
      <c r="N153" s="213"/>
      <c r="O153" s="213"/>
      <c r="P153" s="213"/>
      <c r="Y153" s="33"/>
      <c r="Z153" s="33"/>
      <c r="AA153" s="33"/>
      <c r="AD153" s="33"/>
    </row>
    <row r="154" spans="1:30">
      <c r="A154" s="213">
        <v>1524</v>
      </c>
      <c r="B154" s="213" t="s">
        <v>613</v>
      </c>
      <c r="C154" s="213">
        <v>11.45</v>
      </c>
      <c r="D154">
        <f t="shared" si="2"/>
        <v>1289</v>
      </c>
      <c r="E154" s="213"/>
      <c r="F154" s="213"/>
      <c r="G154" s="213"/>
      <c r="H154" s="213"/>
      <c r="I154" s="213"/>
      <c r="J154" s="213"/>
      <c r="K154" s="213"/>
      <c r="L154" s="213"/>
      <c r="M154" s="213"/>
      <c r="N154" s="213"/>
      <c r="O154" s="213"/>
      <c r="P154" s="213"/>
      <c r="Y154" s="33"/>
      <c r="Z154" s="33"/>
      <c r="AA154" s="33"/>
      <c r="AD154" s="33"/>
    </row>
    <row r="155" spans="1:30">
      <c r="A155" s="213">
        <v>1525</v>
      </c>
      <c r="B155" s="213" t="s">
        <v>614</v>
      </c>
      <c r="C155" s="213">
        <v>120.5</v>
      </c>
      <c r="D155">
        <f t="shared" si="2"/>
        <v>105</v>
      </c>
      <c r="E155" s="213"/>
      <c r="F155" s="213"/>
      <c r="G155" s="213"/>
      <c r="H155" s="213"/>
      <c r="I155" s="213"/>
      <c r="J155" s="213"/>
      <c r="K155" s="213"/>
      <c r="L155" s="213"/>
      <c r="M155" s="213"/>
      <c r="N155" s="213"/>
      <c r="O155" s="213"/>
      <c r="P155" s="213"/>
      <c r="Y155" s="33"/>
      <c r="Z155" s="33"/>
      <c r="AA155" s="33"/>
      <c r="AD155" s="33"/>
    </row>
    <row r="156" spans="1:30">
      <c r="A156" s="213">
        <v>1526</v>
      </c>
      <c r="B156" s="213" t="s">
        <v>615</v>
      </c>
      <c r="C156" s="213">
        <v>14.25</v>
      </c>
      <c r="D156">
        <f t="shared" si="2"/>
        <v>1148</v>
      </c>
      <c r="E156" s="213"/>
      <c r="F156" s="213"/>
      <c r="G156" s="213"/>
      <c r="H156" s="213"/>
      <c r="I156" s="213"/>
      <c r="J156" s="213"/>
      <c r="K156" s="213"/>
      <c r="L156" s="213"/>
      <c r="M156" s="213"/>
      <c r="N156" s="213"/>
      <c r="O156" s="213"/>
      <c r="P156" s="213"/>
      <c r="Y156" s="33"/>
      <c r="Z156" s="33"/>
      <c r="AA156" s="33"/>
      <c r="AD156" s="33"/>
    </row>
    <row r="157" spans="1:30">
      <c r="A157" s="213">
        <v>1527</v>
      </c>
      <c r="B157" s="213" t="s">
        <v>616</v>
      </c>
      <c r="C157" s="213">
        <v>84</v>
      </c>
      <c r="D157">
        <f t="shared" si="2"/>
        <v>173</v>
      </c>
      <c r="E157" s="213"/>
      <c r="F157" s="213"/>
      <c r="G157" s="213"/>
      <c r="H157" s="213"/>
      <c r="I157" s="213"/>
      <c r="J157" s="213"/>
      <c r="K157" s="213"/>
      <c r="L157" s="213"/>
      <c r="M157" s="213"/>
      <c r="N157" s="213"/>
      <c r="O157" s="213"/>
      <c r="P157" s="213"/>
      <c r="Y157" s="33"/>
      <c r="Z157" s="33"/>
      <c r="AA157" s="33"/>
      <c r="AD157" s="33"/>
    </row>
    <row r="158" spans="1:30">
      <c r="A158" s="213">
        <v>1528</v>
      </c>
      <c r="B158" s="213" t="s">
        <v>617</v>
      </c>
      <c r="C158" s="213">
        <v>11.1</v>
      </c>
      <c r="D158">
        <f t="shared" si="2"/>
        <v>1300</v>
      </c>
      <c r="E158" s="213"/>
      <c r="F158" s="213"/>
      <c r="G158" s="213"/>
      <c r="H158" s="213"/>
      <c r="I158" s="213"/>
      <c r="J158" s="213"/>
      <c r="K158" s="213"/>
      <c r="L158" s="213"/>
      <c r="M158" s="213"/>
      <c r="N158" s="213"/>
      <c r="O158" s="213"/>
      <c r="P158" s="213"/>
      <c r="Y158" s="33"/>
      <c r="Z158" s="33"/>
      <c r="AD158" s="33"/>
    </row>
    <row r="159" spans="1:30">
      <c r="A159" s="213">
        <v>1529</v>
      </c>
      <c r="B159" s="213" t="s">
        <v>618</v>
      </c>
      <c r="C159" s="213">
        <v>3.54</v>
      </c>
      <c r="D159">
        <f t="shared" si="2"/>
        <v>1597</v>
      </c>
      <c r="E159" s="213"/>
      <c r="F159" s="213"/>
      <c r="G159" s="213"/>
      <c r="H159" s="213"/>
      <c r="I159" s="213"/>
      <c r="J159" s="213"/>
      <c r="K159" s="213"/>
      <c r="L159" s="213"/>
      <c r="M159" s="213"/>
      <c r="N159" s="213"/>
      <c r="O159" s="213"/>
      <c r="P159" s="213"/>
      <c r="Y159" s="33"/>
      <c r="Z159" s="33"/>
      <c r="AA159" s="33"/>
      <c r="AD159" s="33"/>
    </row>
    <row r="160" spans="1:30">
      <c r="A160" s="213">
        <v>1530</v>
      </c>
      <c r="B160" s="213" t="s">
        <v>619</v>
      </c>
      <c r="C160" s="213">
        <v>28.5</v>
      </c>
      <c r="D160">
        <f t="shared" si="2"/>
        <v>654</v>
      </c>
      <c r="E160" s="213"/>
      <c r="F160" s="213"/>
      <c r="G160" s="213"/>
      <c r="H160" s="213"/>
      <c r="I160" s="213"/>
      <c r="J160" s="213"/>
      <c r="K160" s="213"/>
      <c r="L160" s="213"/>
      <c r="M160" s="213"/>
      <c r="N160" s="213"/>
      <c r="O160" s="213"/>
      <c r="P160" s="213"/>
      <c r="Y160" s="33"/>
      <c r="Z160" s="33"/>
      <c r="AA160" s="33"/>
      <c r="AD160" s="33"/>
    </row>
    <row r="161" spans="1:30">
      <c r="A161" s="213">
        <v>1531</v>
      </c>
      <c r="B161" s="213" t="s">
        <v>620</v>
      </c>
      <c r="C161" s="213">
        <v>16.2</v>
      </c>
      <c r="D161">
        <f t="shared" si="2"/>
        <v>1070</v>
      </c>
      <c r="E161" s="213"/>
      <c r="F161" s="213"/>
      <c r="G161" s="213"/>
      <c r="H161" s="213"/>
      <c r="I161" s="213"/>
      <c r="J161" s="213"/>
      <c r="K161" s="213"/>
      <c r="L161" s="213"/>
      <c r="M161" s="213"/>
      <c r="N161" s="213"/>
      <c r="O161" s="213"/>
      <c r="P161" s="213"/>
      <c r="Y161" s="33"/>
      <c r="Z161" s="33"/>
      <c r="AA161" s="33"/>
      <c r="AD161" s="33"/>
    </row>
    <row r="162" spans="1:30">
      <c r="A162" s="213">
        <v>1532</v>
      </c>
      <c r="B162" s="213" t="s">
        <v>621</v>
      </c>
      <c r="C162" s="213">
        <v>32.200000000000003</v>
      </c>
      <c r="D162">
        <f t="shared" si="2"/>
        <v>572</v>
      </c>
      <c r="E162" s="213"/>
      <c r="F162" s="213"/>
      <c r="G162" s="213"/>
      <c r="H162" s="213"/>
      <c r="I162" s="213"/>
      <c r="J162" s="213"/>
      <c r="K162" s="213"/>
      <c r="L162" s="213"/>
      <c r="M162" s="213"/>
      <c r="N162" s="213"/>
      <c r="O162" s="213"/>
      <c r="P162" s="213"/>
      <c r="Y162" s="33"/>
      <c r="Z162" s="33"/>
      <c r="AA162" s="33"/>
      <c r="AD162" s="33"/>
    </row>
    <row r="163" spans="1:30">
      <c r="A163" s="213">
        <v>1533</v>
      </c>
      <c r="B163" s="213" t="s">
        <v>622</v>
      </c>
      <c r="C163" s="213">
        <v>39.4</v>
      </c>
      <c r="D163">
        <f t="shared" si="2"/>
        <v>458</v>
      </c>
      <c r="E163" s="213"/>
      <c r="F163" s="213"/>
      <c r="G163" s="213"/>
      <c r="H163" s="213"/>
      <c r="I163" s="213"/>
      <c r="J163" s="213"/>
      <c r="K163" s="213"/>
      <c r="L163" s="213"/>
      <c r="M163" s="213"/>
      <c r="N163" s="213"/>
      <c r="O163" s="213"/>
      <c r="P163" s="213"/>
      <c r="Y163" s="33"/>
      <c r="Z163" s="33"/>
      <c r="AA163" s="33"/>
      <c r="AD163" s="33"/>
    </row>
    <row r="164" spans="1:30">
      <c r="A164" s="213">
        <v>1535</v>
      </c>
      <c r="B164" s="213" t="s">
        <v>623</v>
      </c>
      <c r="C164" s="213">
        <v>44.8</v>
      </c>
      <c r="D164">
        <f t="shared" si="2"/>
        <v>400</v>
      </c>
      <c r="E164" s="213"/>
      <c r="F164" s="213"/>
      <c r="G164" s="213"/>
      <c r="H164" s="213"/>
      <c r="I164" s="213"/>
      <c r="J164" s="213"/>
      <c r="K164" s="213"/>
      <c r="L164" s="213"/>
      <c r="M164" s="213"/>
      <c r="N164" s="213"/>
      <c r="O164" s="213"/>
      <c r="P164" s="213"/>
      <c r="Y164" s="33"/>
      <c r="Z164" s="33"/>
      <c r="AA164" s="33"/>
      <c r="AD164" s="33"/>
    </row>
    <row r="165" spans="1:30">
      <c r="A165" s="213">
        <v>1536</v>
      </c>
      <c r="B165" s="213" t="s">
        <v>624</v>
      </c>
      <c r="C165" s="213">
        <v>131</v>
      </c>
      <c r="D165">
        <f t="shared" si="2"/>
        <v>96</v>
      </c>
      <c r="E165" s="213"/>
      <c r="F165" s="213"/>
      <c r="G165" s="213"/>
      <c r="H165" s="213"/>
      <c r="I165" s="213"/>
      <c r="J165" s="213"/>
      <c r="K165" s="213"/>
      <c r="L165" s="213"/>
      <c r="M165" s="213"/>
      <c r="N165" s="213"/>
      <c r="O165" s="213"/>
      <c r="P165" s="213"/>
      <c r="Y165" s="33"/>
      <c r="Z165" s="33"/>
      <c r="AA165" s="33"/>
      <c r="AD165" s="33"/>
    </row>
    <row r="166" spans="1:30">
      <c r="A166" s="213">
        <v>1537</v>
      </c>
      <c r="B166" s="213" t="s">
        <v>625</v>
      </c>
      <c r="C166" s="213">
        <v>147.5</v>
      </c>
      <c r="D166">
        <f t="shared" si="2"/>
        <v>78</v>
      </c>
      <c r="E166" s="213"/>
      <c r="F166" s="213"/>
      <c r="G166" s="213"/>
      <c r="H166" s="213"/>
      <c r="I166" s="213"/>
      <c r="J166" s="213"/>
      <c r="K166" s="213"/>
      <c r="L166" s="213"/>
      <c r="M166" s="213"/>
      <c r="N166" s="213"/>
      <c r="O166" s="213"/>
      <c r="P166" s="213"/>
      <c r="Y166" s="33"/>
      <c r="Z166" s="33"/>
      <c r="AA166" s="33"/>
      <c r="AD166" s="33"/>
    </row>
    <row r="167" spans="1:30">
      <c r="A167" s="213">
        <v>1538</v>
      </c>
      <c r="B167" s="213" t="s">
        <v>626</v>
      </c>
      <c r="C167" s="213">
        <v>6.04</v>
      </c>
      <c r="D167">
        <f t="shared" si="2"/>
        <v>1555</v>
      </c>
      <c r="E167" s="213"/>
      <c r="F167" s="213"/>
      <c r="G167" s="213"/>
      <c r="H167" s="213"/>
      <c r="I167" s="213"/>
      <c r="J167" s="213"/>
      <c r="K167" s="213"/>
      <c r="L167" s="213"/>
      <c r="M167" s="213"/>
      <c r="N167" s="213"/>
      <c r="O167" s="213"/>
      <c r="P167" s="213"/>
      <c r="Y167" s="33"/>
      <c r="Z167" s="33"/>
      <c r="AA167" s="33"/>
      <c r="AD167" s="33"/>
    </row>
    <row r="168" spans="1:30">
      <c r="A168" s="213">
        <v>1539</v>
      </c>
      <c r="B168" s="213" t="s">
        <v>627</v>
      </c>
      <c r="C168" s="213">
        <v>25.5</v>
      </c>
      <c r="D168">
        <f t="shared" si="2"/>
        <v>724</v>
      </c>
      <c r="E168" s="213"/>
      <c r="F168" s="213"/>
      <c r="G168" s="213"/>
      <c r="H168" s="213"/>
      <c r="I168" s="213"/>
      <c r="J168" s="213"/>
      <c r="K168" s="213"/>
      <c r="L168" s="213"/>
      <c r="M168" s="213"/>
      <c r="N168" s="213"/>
      <c r="O168" s="213"/>
      <c r="P168" s="213"/>
      <c r="Y168" s="33"/>
      <c r="Z168" s="33"/>
      <c r="AA168" s="33"/>
      <c r="AD168" s="33"/>
    </row>
    <row r="169" spans="1:30">
      <c r="A169" s="213">
        <v>1540</v>
      </c>
      <c r="B169" s="213" t="s">
        <v>628</v>
      </c>
      <c r="C169" s="213">
        <v>13.95</v>
      </c>
      <c r="D169">
        <f t="shared" si="2"/>
        <v>1166</v>
      </c>
      <c r="E169" s="213"/>
      <c r="F169" s="213"/>
      <c r="G169" s="213"/>
      <c r="H169" s="213"/>
      <c r="I169" s="213"/>
      <c r="J169" s="213"/>
      <c r="K169" s="213"/>
      <c r="L169" s="213"/>
      <c r="M169" s="213"/>
      <c r="N169" s="213"/>
      <c r="O169" s="213"/>
      <c r="P169" s="213"/>
      <c r="Y169" s="33"/>
      <c r="Z169" s="33"/>
      <c r="AA169" s="33"/>
      <c r="AD169" s="33"/>
    </row>
    <row r="170" spans="1:30">
      <c r="A170" s="213">
        <v>1541</v>
      </c>
      <c r="B170" s="213" t="s">
        <v>629</v>
      </c>
      <c r="C170" s="213">
        <v>45.35</v>
      </c>
      <c r="D170">
        <f t="shared" si="2"/>
        <v>390</v>
      </c>
      <c r="E170" s="213"/>
      <c r="F170" s="213"/>
      <c r="G170" s="213"/>
      <c r="H170" s="213"/>
      <c r="I170" s="213"/>
      <c r="J170" s="213"/>
      <c r="K170" s="213"/>
      <c r="L170" s="213"/>
      <c r="M170" s="213"/>
      <c r="N170" s="213"/>
      <c r="O170" s="213"/>
      <c r="P170" s="213"/>
      <c r="Y170" s="33"/>
      <c r="Z170" s="33"/>
      <c r="AA170" s="33"/>
      <c r="AD170" s="33"/>
    </row>
    <row r="171" spans="1:30">
      <c r="A171" s="213">
        <v>1558</v>
      </c>
      <c r="B171" s="213" t="s">
        <v>630</v>
      </c>
      <c r="C171" s="213">
        <v>151.5</v>
      </c>
      <c r="D171">
        <f t="shared" si="2"/>
        <v>76</v>
      </c>
      <c r="E171" s="213"/>
      <c r="F171" s="213"/>
      <c r="G171" s="213"/>
      <c r="H171" s="213"/>
      <c r="I171" s="213"/>
      <c r="J171" s="213"/>
      <c r="K171" s="213"/>
      <c r="L171" s="213"/>
      <c r="M171" s="213"/>
      <c r="N171" s="213"/>
      <c r="O171" s="213"/>
      <c r="P171" s="213"/>
      <c r="Y171" s="33"/>
      <c r="Z171" s="33"/>
      <c r="AA171" s="33"/>
      <c r="AD171" s="33"/>
    </row>
    <row r="172" spans="1:30">
      <c r="A172" s="213">
        <v>1560</v>
      </c>
      <c r="B172" s="213" t="s">
        <v>631</v>
      </c>
      <c r="C172" s="213">
        <v>53.3</v>
      </c>
      <c r="D172">
        <f t="shared" si="2"/>
        <v>311</v>
      </c>
      <c r="E172" s="213"/>
      <c r="F172" s="213"/>
      <c r="G172" s="213"/>
      <c r="H172" s="213"/>
      <c r="I172" s="213"/>
      <c r="J172" s="213"/>
      <c r="K172" s="213"/>
      <c r="L172" s="213"/>
      <c r="M172" s="213"/>
      <c r="N172" s="213"/>
      <c r="O172" s="213"/>
      <c r="P172" s="213"/>
      <c r="Y172" s="33"/>
      <c r="Z172" s="33"/>
      <c r="AA172" s="33"/>
      <c r="AD172" s="33"/>
    </row>
    <row r="173" spans="1:30">
      <c r="A173" s="213">
        <v>1568</v>
      </c>
      <c r="B173" s="213" t="s">
        <v>632</v>
      </c>
      <c r="C173" s="213">
        <v>36.700000000000003</v>
      </c>
      <c r="D173">
        <f t="shared" si="2"/>
        <v>500</v>
      </c>
      <c r="E173" s="213"/>
      <c r="F173" s="213"/>
      <c r="G173" s="213"/>
      <c r="H173" s="213"/>
      <c r="I173" s="213"/>
      <c r="J173" s="213"/>
      <c r="K173" s="213"/>
      <c r="L173" s="213"/>
      <c r="M173" s="213"/>
      <c r="N173" s="213"/>
      <c r="O173" s="213"/>
      <c r="P173" s="213"/>
      <c r="Y173" s="33"/>
      <c r="Z173" s="33"/>
      <c r="AA173" s="33"/>
      <c r="AD173" s="33"/>
    </row>
    <row r="174" spans="1:30">
      <c r="A174" s="213">
        <v>1582</v>
      </c>
      <c r="B174" s="213" t="s">
        <v>633</v>
      </c>
      <c r="C174" s="213">
        <v>53.3</v>
      </c>
      <c r="D174">
        <f t="shared" si="2"/>
        <v>311</v>
      </c>
      <c r="E174" s="213"/>
      <c r="F174" s="213"/>
      <c r="G174" s="213"/>
      <c r="H174" s="213"/>
      <c r="I174" s="213"/>
      <c r="J174" s="213"/>
      <c r="K174" s="213"/>
      <c r="L174" s="213"/>
      <c r="M174" s="213"/>
      <c r="N174" s="213"/>
      <c r="O174" s="213"/>
      <c r="P174" s="213"/>
      <c r="Y174" s="33"/>
      <c r="Z174" s="33"/>
      <c r="AA174" s="33"/>
      <c r="AD174" s="33"/>
    </row>
    <row r="175" spans="1:30">
      <c r="A175" s="213">
        <v>1583</v>
      </c>
      <c r="B175" s="213" t="s">
        <v>634</v>
      </c>
      <c r="C175" s="213">
        <v>57</v>
      </c>
      <c r="D175">
        <f t="shared" si="2"/>
        <v>293</v>
      </c>
      <c r="E175" s="213"/>
      <c r="F175" s="213"/>
      <c r="G175" s="213"/>
      <c r="H175" s="213"/>
      <c r="I175" s="213"/>
      <c r="J175" s="213"/>
      <c r="K175" s="213"/>
      <c r="L175" s="213"/>
      <c r="M175" s="213"/>
      <c r="N175" s="213"/>
      <c r="O175" s="213"/>
      <c r="P175" s="213"/>
      <c r="Y175" s="33"/>
      <c r="Z175" s="33"/>
      <c r="AA175" s="33"/>
      <c r="AD175" s="33"/>
    </row>
    <row r="176" spans="1:30">
      <c r="A176" s="213">
        <v>1589</v>
      </c>
      <c r="B176" s="213" t="s">
        <v>2035</v>
      </c>
      <c r="C176" s="213">
        <v>132</v>
      </c>
      <c r="D176">
        <f t="shared" si="2"/>
        <v>95</v>
      </c>
      <c r="E176" s="213"/>
      <c r="F176" s="213"/>
      <c r="G176" s="213"/>
      <c r="H176" s="213"/>
      <c r="I176" s="213"/>
      <c r="J176" s="213"/>
      <c r="K176" s="213"/>
      <c r="L176" s="213"/>
      <c r="M176" s="213"/>
      <c r="N176" s="213"/>
      <c r="O176" s="213"/>
      <c r="P176" s="213"/>
      <c r="Y176" s="33"/>
      <c r="Z176" s="33"/>
      <c r="AA176" s="33"/>
      <c r="AD176" s="33"/>
    </row>
    <row r="177" spans="1:30">
      <c r="A177" s="213">
        <v>1590</v>
      </c>
      <c r="B177" s="213" t="s">
        <v>2036</v>
      </c>
      <c r="C177" s="213">
        <v>268</v>
      </c>
      <c r="D177">
        <f t="shared" si="2"/>
        <v>27</v>
      </c>
      <c r="E177" s="213"/>
      <c r="F177" s="213"/>
      <c r="G177" s="213"/>
      <c r="H177" s="213"/>
      <c r="I177" s="213"/>
      <c r="J177" s="213"/>
      <c r="K177" s="213"/>
      <c r="L177" s="213"/>
      <c r="M177" s="213"/>
      <c r="N177" s="213"/>
      <c r="O177" s="213"/>
      <c r="P177" s="213"/>
      <c r="Y177" s="33"/>
      <c r="Z177" s="33"/>
      <c r="AA177" s="33"/>
      <c r="AD177" s="33"/>
    </row>
    <row r="178" spans="1:30">
      <c r="A178" s="213">
        <v>1592</v>
      </c>
      <c r="B178" s="213" t="s">
        <v>2037</v>
      </c>
      <c r="C178" s="213">
        <v>46.4</v>
      </c>
      <c r="D178">
        <f t="shared" si="2"/>
        <v>381</v>
      </c>
      <c r="E178" s="213"/>
      <c r="F178" s="213"/>
      <c r="G178" s="213"/>
      <c r="H178" s="213"/>
      <c r="I178" s="213"/>
      <c r="J178" s="213"/>
      <c r="K178" s="213"/>
      <c r="L178" s="213"/>
      <c r="M178" s="213"/>
      <c r="N178" s="213"/>
      <c r="O178" s="213"/>
      <c r="P178" s="213"/>
      <c r="Y178" s="33"/>
      <c r="Z178" s="33"/>
      <c r="AA178" s="33"/>
      <c r="AD178" s="33"/>
    </row>
    <row r="179" spans="1:30">
      <c r="A179" s="213">
        <v>1598</v>
      </c>
      <c r="B179" s="213" t="s">
        <v>3154</v>
      </c>
      <c r="C179" s="213">
        <v>41.8</v>
      </c>
      <c r="D179">
        <f t="shared" si="2"/>
        <v>425</v>
      </c>
      <c r="E179" s="213"/>
      <c r="F179" s="213"/>
      <c r="G179" s="213"/>
      <c r="H179" s="213"/>
      <c r="I179" s="213"/>
      <c r="J179" s="213"/>
      <c r="K179" s="213"/>
      <c r="L179" s="213"/>
      <c r="M179" s="213"/>
      <c r="N179" s="213"/>
      <c r="O179" s="213"/>
      <c r="P179" s="213"/>
      <c r="Y179" s="33"/>
      <c r="Z179" s="33"/>
      <c r="AA179" s="33"/>
      <c r="AD179" s="33"/>
    </row>
    <row r="180" spans="1:30">
      <c r="A180" s="213">
        <v>1603</v>
      </c>
      <c r="B180" s="213" t="s">
        <v>635</v>
      </c>
      <c r="C180" s="213">
        <v>14.8</v>
      </c>
      <c r="D180">
        <f t="shared" si="2"/>
        <v>1130</v>
      </c>
      <c r="E180" s="213"/>
      <c r="F180" s="213"/>
      <c r="G180" s="213"/>
      <c r="H180" s="213"/>
      <c r="I180" s="213"/>
      <c r="J180" s="213"/>
      <c r="K180" s="213"/>
      <c r="L180" s="213"/>
      <c r="M180" s="213"/>
      <c r="N180" s="213"/>
      <c r="O180" s="213"/>
      <c r="P180" s="213"/>
      <c r="Y180" s="33"/>
      <c r="Z180" s="33"/>
      <c r="AA180" s="33"/>
      <c r="AD180" s="33"/>
    </row>
    <row r="181" spans="1:30">
      <c r="A181" s="213">
        <v>1604</v>
      </c>
      <c r="B181" s="213" t="s">
        <v>636</v>
      </c>
      <c r="C181" s="213">
        <v>20.45</v>
      </c>
      <c r="D181">
        <f t="shared" si="2"/>
        <v>891</v>
      </c>
      <c r="E181" s="213"/>
      <c r="F181" s="213"/>
      <c r="G181" s="213"/>
      <c r="H181" s="213"/>
      <c r="I181" s="213"/>
      <c r="J181" s="213"/>
      <c r="K181" s="213"/>
      <c r="L181" s="213"/>
      <c r="M181" s="213"/>
      <c r="N181" s="213"/>
      <c r="O181" s="213"/>
      <c r="P181" s="213"/>
      <c r="Y181" s="33"/>
      <c r="Z181" s="33"/>
      <c r="AA181" s="33"/>
      <c r="AD181" s="33"/>
    </row>
    <row r="182" spans="1:30">
      <c r="A182" s="213">
        <v>1605</v>
      </c>
      <c r="B182" s="213" t="s">
        <v>637</v>
      </c>
      <c r="C182" s="213">
        <v>10.35</v>
      </c>
      <c r="D182">
        <f t="shared" si="2"/>
        <v>1335</v>
      </c>
      <c r="E182" s="213"/>
      <c r="F182" s="213"/>
      <c r="G182" s="213"/>
      <c r="H182" s="213"/>
      <c r="I182" s="213"/>
      <c r="J182" s="213"/>
      <c r="K182" s="213"/>
      <c r="L182" s="213"/>
      <c r="M182" s="33"/>
      <c r="N182" s="213"/>
      <c r="O182" s="213"/>
      <c r="P182" s="213"/>
      <c r="Y182" s="33"/>
      <c r="Z182" s="33"/>
      <c r="AA182" s="33"/>
      <c r="AD182" s="33"/>
    </row>
    <row r="183" spans="1:30">
      <c r="A183" s="213">
        <v>1608</v>
      </c>
      <c r="B183" s="213" t="s">
        <v>638</v>
      </c>
      <c r="C183" s="213">
        <v>7.9</v>
      </c>
      <c r="D183">
        <f t="shared" si="2"/>
        <v>1475</v>
      </c>
      <c r="E183" s="213"/>
      <c r="F183" s="213"/>
      <c r="G183" s="213"/>
      <c r="H183" s="213"/>
      <c r="I183" s="213"/>
      <c r="J183" s="213"/>
      <c r="K183" s="213"/>
      <c r="L183" s="213"/>
      <c r="M183" s="213"/>
      <c r="N183" s="213"/>
      <c r="O183" s="213"/>
      <c r="P183" s="213"/>
      <c r="Y183" s="33"/>
      <c r="Z183" s="33"/>
      <c r="AA183" s="33"/>
      <c r="AD183" s="33"/>
    </row>
    <row r="184" spans="1:30">
      <c r="A184" s="213">
        <v>1609</v>
      </c>
      <c r="B184" s="213" t="s">
        <v>639</v>
      </c>
      <c r="C184" s="213">
        <v>5.18</v>
      </c>
      <c r="D184">
        <f t="shared" si="2"/>
        <v>1571</v>
      </c>
      <c r="E184" s="213"/>
      <c r="F184" s="213"/>
      <c r="G184" s="213"/>
      <c r="H184" s="213"/>
      <c r="I184" s="213"/>
      <c r="J184" s="213"/>
      <c r="K184" s="213"/>
      <c r="L184" s="213"/>
      <c r="M184" s="213"/>
      <c r="N184" s="213"/>
      <c r="O184" s="213"/>
      <c r="P184" s="213"/>
      <c r="Y184" s="33"/>
      <c r="Z184" s="33"/>
      <c r="AA184" s="33"/>
      <c r="AD184" s="33"/>
    </row>
    <row r="185" spans="1:30">
      <c r="A185" s="213">
        <v>1611</v>
      </c>
      <c r="B185" s="213" t="s">
        <v>640</v>
      </c>
      <c r="C185" s="213">
        <v>8.64</v>
      </c>
      <c r="D185">
        <f t="shared" si="2"/>
        <v>1440</v>
      </c>
      <c r="E185" s="213"/>
      <c r="F185" s="213"/>
      <c r="G185" s="213"/>
      <c r="H185" s="213"/>
      <c r="I185" s="213"/>
      <c r="J185" s="213"/>
      <c r="K185" s="213"/>
      <c r="L185" s="213"/>
      <c r="M185" s="213"/>
      <c r="N185" s="213"/>
      <c r="O185" s="213"/>
      <c r="P185" s="213"/>
      <c r="Y185" s="33"/>
      <c r="Z185" s="33"/>
      <c r="AA185" s="33"/>
      <c r="AD185" s="33"/>
    </row>
    <row r="186" spans="1:30">
      <c r="A186" s="213">
        <v>1612</v>
      </c>
      <c r="B186" s="213" t="s">
        <v>641</v>
      </c>
      <c r="C186" s="213">
        <v>8.61</v>
      </c>
      <c r="D186">
        <f t="shared" si="2"/>
        <v>1442</v>
      </c>
      <c r="E186" s="213"/>
      <c r="F186" s="213"/>
      <c r="G186" s="213"/>
      <c r="H186" s="213"/>
      <c r="I186" s="213"/>
      <c r="J186" s="213"/>
      <c r="K186" s="213"/>
      <c r="L186" s="213"/>
      <c r="M186" s="213"/>
      <c r="N186" s="213"/>
      <c r="O186" s="213"/>
      <c r="P186" s="213"/>
      <c r="Y186" s="33"/>
      <c r="Z186" s="33"/>
      <c r="AA186" s="33"/>
      <c r="AD186" s="33"/>
    </row>
    <row r="187" spans="1:30">
      <c r="A187" s="213">
        <v>1613</v>
      </c>
      <c r="B187" s="213" t="s">
        <v>642</v>
      </c>
      <c r="C187" s="213">
        <v>3.1</v>
      </c>
      <c r="D187">
        <f t="shared" si="2"/>
        <v>1599</v>
      </c>
      <c r="E187" s="213"/>
      <c r="F187" s="213"/>
      <c r="G187" s="213"/>
      <c r="H187" s="213"/>
      <c r="I187" s="213"/>
      <c r="J187" s="213"/>
      <c r="K187" s="213"/>
      <c r="L187" s="213"/>
      <c r="M187" s="213"/>
      <c r="N187" s="213"/>
      <c r="O187" s="213"/>
      <c r="P187" s="213"/>
      <c r="Y187" s="33"/>
      <c r="Z187" s="33"/>
      <c r="AA187" s="33"/>
      <c r="AD187" s="33"/>
    </row>
    <row r="188" spans="1:30">
      <c r="A188" s="213">
        <v>1614</v>
      </c>
      <c r="B188" s="213" t="s">
        <v>643</v>
      </c>
      <c r="C188" s="213">
        <v>24.1</v>
      </c>
      <c r="D188">
        <f t="shared" si="2"/>
        <v>763</v>
      </c>
      <c r="E188" s="213"/>
      <c r="F188" s="213"/>
      <c r="G188" s="213"/>
      <c r="H188" s="213"/>
      <c r="I188" s="213"/>
      <c r="J188" s="213"/>
      <c r="K188" s="213"/>
      <c r="L188" s="213"/>
      <c r="M188" s="213"/>
      <c r="N188" s="213"/>
      <c r="O188" s="213"/>
      <c r="P188" s="213"/>
      <c r="Y188" s="33"/>
      <c r="Z188" s="33"/>
      <c r="AA188" s="33"/>
      <c r="AD188" s="33"/>
    </row>
    <row r="189" spans="1:30">
      <c r="A189" s="213">
        <v>1615</v>
      </c>
      <c r="B189" s="213" t="s">
        <v>644</v>
      </c>
      <c r="C189" s="213">
        <v>9.9</v>
      </c>
      <c r="D189">
        <f t="shared" si="2"/>
        <v>1378</v>
      </c>
      <c r="E189" s="213"/>
      <c r="F189" s="213"/>
      <c r="G189" s="213"/>
      <c r="H189" s="213"/>
      <c r="I189" s="213"/>
      <c r="J189" s="213"/>
      <c r="K189" s="213"/>
      <c r="L189" s="213"/>
      <c r="M189" s="213"/>
      <c r="N189" s="213"/>
      <c r="O189" s="213"/>
      <c r="P189" s="213"/>
      <c r="Y189" s="33"/>
      <c r="Z189" s="33"/>
      <c r="AA189" s="33"/>
      <c r="AD189" s="33"/>
    </row>
    <row r="190" spans="1:30">
      <c r="A190" s="213">
        <v>1616</v>
      </c>
      <c r="B190" s="213" t="s">
        <v>645</v>
      </c>
      <c r="C190" s="213">
        <v>5.08</v>
      </c>
      <c r="D190">
        <f t="shared" si="2"/>
        <v>1572</v>
      </c>
      <c r="E190" s="213"/>
      <c r="F190" s="213"/>
      <c r="G190" s="213"/>
      <c r="H190" s="213"/>
      <c r="I190" s="213"/>
      <c r="J190" s="213"/>
      <c r="K190" s="213"/>
      <c r="L190" s="213"/>
      <c r="M190" s="213"/>
      <c r="N190" s="213"/>
      <c r="O190" s="213"/>
      <c r="P190" s="213"/>
      <c r="Y190" s="33"/>
      <c r="Z190" s="33"/>
      <c r="AA190" s="33"/>
      <c r="AD190" s="33"/>
    </row>
    <row r="191" spans="1:30">
      <c r="A191" s="213">
        <v>1617</v>
      </c>
      <c r="B191" s="213" t="s">
        <v>646</v>
      </c>
      <c r="C191" s="213">
        <v>7</v>
      </c>
      <c r="D191">
        <f t="shared" si="2"/>
        <v>1516</v>
      </c>
      <c r="E191" s="213"/>
      <c r="F191" s="213"/>
      <c r="G191" s="213"/>
      <c r="H191" s="213"/>
      <c r="I191" s="213"/>
      <c r="J191" s="213"/>
      <c r="K191" s="213"/>
      <c r="L191" s="213"/>
      <c r="M191" s="213"/>
      <c r="N191" s="213"/>
      <c r="O191" s="213"/>
      <c r="P191" s="213"/>
      <c r="Y191" s="33"/>
      <c r="Z191" s="33"/>
      <c r="AA191" s="33"/>
      <c r="AD191" s="33"/>
    </row>
    <row r="192" spans="1:30">
      <c r="A192" s="213">
        <v>1618</v>
      </c>
      <c r="B192" s="213" t="s">
        <v>647</v>
      </c>
      <c r="C192" s="213">
        <v>7.78</v>
      </c>
      <c r="D192">
        <f t="shared" si="2"/>
        <v>1480</v>
      </c>
      <c r="E192" s="213"/>
      <c r="F192" s="213"/>
      <c r="G192" s="213"/>
      <c r="H192" s="213"/>
      <c r="I192" s="213"/>
      <c r="J192" s="213"/>
      <c r="K192" s="213"/>
      <c r="L192" s="213"/>
      <c r="M192" s="213"/>
      <c r="N192" s="213"/>
      <c r="O192" s="213"/>
      <c r="P192" s="213"/>
      <c r="Y192" s="33"/>
      <c r="Z192" s="33"/>
      <c r="AA192" s="33"/>
      <c r="AD192" s="33"/>
    </row>
    <row r="193" spans="1:30">
      <c r="A193" s="213">
        <v>1626</v>
      </c>
      <c r="B193" s="213" t="s">
        <v>2038</v>
      </c>
      <c r="C193" s="213">
        <v>26.9</v>
      </c>
      <c r="D193">
        <f t="shared" si="2"/>
        <v>692</v>
      </c>
      <c r="E193" s="213"/>
      <c r="F193" s="213"/>
      <c r="G193" s="213"/>
      <c r="H193" s="213"/>
      <c r="I193" s="213"/>
      <c r="J193" s="213"/>
      <c r="K193" s="213"/>
      <c r="L193" s="213"/>
      <c r="M193" s="213"/>
      <c r="N193" s="213"/>
      <c r="O193" s="213"/>
      <c r="P193" s="213"/>
      <c r="Y193" s="33"/>
      <c r="Z193" s="33"/>
      <c r="AA193" s="33"/>
      <c r="AD193" s="33"/>
    </row>
    <row r="194" spans="1:30">
      <c r="A194" s="213">
        <v>1701</v>
      </c>
      <c r="B194" s="213" t="s">
        <v>648</v>
      </c>
      <c r="C194" s="213">
        <v>17.850000000000001</v>
      </c>
      <c r="D194">
        <f t="shared" ref="D194:D257" si="3">RANK(C194,C:C,0)</f>
        <v>980</v>
      </c>
      <c r="E194" s="213"/>
      <c r="F194" s="213"/>
      <c r="G194" s="213"/>
      <c r="H194" s="213"/>
      <c r="I194" s="213"/>
      <c r="J194" s="213"/>
      <c r="K194" s="213"/>
      <c r="L194" s="213"/>
      <c r="M194" s="213"/>
      <c r="N194" s="213"/>
      <c r="O194" s="213"/>
      <c r="P194" s="213"/>
      <c r="Y194" s="33"/>
      <c r="Z194" s="33"/>
      <c r="AA194" s="33"/>
      <c r="AD194" s="33"/>
    </row>
    <row r="195" spans="1:30">
      <c r="A195" s="213">
        <v>1702</v>
      </c>
      <c r="B195" s="213" t="s">
        <v>649</v>
      </c>
      <c r="C195" s="213">
        <v>68.3</v>
      </c>
      <c r="D195">
        <f t="shared" si="3"/>
        <v>235</v>
      </c>
      <c r="E195" s="213"/>
      <c r="F195" s="213"/>
      <c r="G195" s="213"/>
      <c r="H195" s="213"/>
      <c r="I195" s="213"/>
      <c r="J195" s="213"/>
      <c r="K195" s="213"/>
      <c r="L195" s="213"/>
      <c r="M195" s="213"/>
      <c r="N195" s="213"/>
      <c r="O195" s="213"/>
      <c r="P195" s="213"/>
      <c r="Y195" s="33"/>
      <c r="Z195" s="33"/>
      <c r="AA195" s="33"/>
      <c r="AD195" s="33"/>
    </row>
    <row r="196" spans="1:30">
      <c r="A196" s="213">
        <v>1704</v>
      </c>
      <c r="B196" s="213" t="s">
        <v>650</v>
      </c>
      <c r="C196" s="213">
        <v>38.9</v>
      </c>
      <c r="D196">
        <f t="shared" si="3"/>
        <v>467</v>
      </c>
      <c r="E196" s="213"/>
      <c r="F196" s="213"/>
      <c r="G196" s="213"/>
      <c r="H196" s="213"/>
      <c r="I196" s="213"/>
      <c r="J196" s="213"/>
      <c r="K196" s="213"/>
      <c r="L196" s="213"/>
      <c r="M196" s="213"/>
      <c r="N196" s="213"/>
      <c r="O196" s="213"/>
      <c r="P196" s="213"/>
      <c r="Y196" s="33"/>
      <c r="Z196" s="33"/>
      <c r="AA196" s="33"/>
      <c r="AD196" s="33"/>
    </row>
    <row r="197" spans="1:30">
      <c r="A197" s="213">
        <v>1707</v>
      </c>
      <c r="B197" s="213" t="s">
        <v>651</v>
      </c>
      <c r="C197" s="213">
        <v>275</v>
      </c>
      <c r="D197">
        <f t="shared" si="3"/>
        <v>25</v>
      </c>
      <c r="E197" s="213"/>
      <c r="F197" s="213"/>
      <c r="G197" s="213"/>
      <c r="H197" s="213"/>
      <c r="I197" s="213"/>
      <c r="J197" s="213"/>
      <c r="K197" s="213"/>
      <c r="L197" s="213"/>
      <c r="M197" s="213"/>
      <c r="N197" s="213"/>
      <c r="O197" s="213"/>
      <c r="P197" s="213"/>
      <c r="Y197" s="33"/>
      <c r="Z197" s="33"/>
      <c r="AA197" s="33"/>
      <c r="AD197" s="33"/>
    </row>
    <row r="198" spans="1:30">
      <c r="A198" s="213">
        <v>1708</v>
      </c>
      <c r="B198" s="213" t="s">
        <v>652</v>
      </c>
      <c r="C198" s="213">
        <v>26.05</v>
      </c>
      <c r="D198">
        <f t="shared" si="3"/>
        <v>709</v>
      </c>
      <c r="E198" s="213"/>
      <c r="F198" s="213"/>
      <c r="G198" s="213"/>
      <c r="H198" s="213"/>
      <c r="I198" s="213"/>
      <c r="J198" s="213"/>
      <c r="K198" s="213"/>
      <c r="L198" s="213"/>
      <c r="M198" s="213"/>
      <c r="N198" s="213"/>
      <c r="O198" s="213"/>
      <c r="P198" s="213"/>
      <c r="Y198" s="33"/>
      <c r="Z198" s="33"/>
      <c r="AA198" s="33"/>
      <c r="AD198" s="33"/>
    </row>
    <row r="199" spans="1:30">
      <c r="A199" s="213">
        <v>1709</v>
      </c>
      <c r="B199" s="213" t="s">
        <v>653</v>
      </c>
      <c r="C199" s="213">
        <v>17.100000000000001</v>
      </c>
      <c r="D199">
        <f t="shared" si="3"/>
        <v>1025</v>
      </c>
      <c r="E199" s="213"/>
      <c r="F199" s="213"/>
      <c r="G199" s="213"/>
      <c r="H199" s="213"/>
      <c r="I199" s="213"/>
      <c r="J199" s="213"/>
      <c r="K199" s="213"/>
      <c r="L199" s="213"/>
      <c r="M199" s="213"/>
      <c r="N199" s="213"/>
      <c r="O199" s="213"/>
      <c r="P199" s="213"/>
      <c r="Y199" s="33"/>
      <c r="Z199" s="33"/>
      <c r="AA199" s="33"/>
      <c r="AD199" s="33"/>
    </row>
    <row r="200" spans="1:30">
      <c r="A200" s="213">
        <v>1710</v>
      </c>
      <c r="B200" s="213" t="s">
        <v>654</v>
      </c>
      <c r="C200" s="213">
        <v>20.75</v>
      </c>
      <c r="D200">
        <f t="shared" si="3"/>
        <v>882</v>
      </c>
      <c r="E200" s="213"/>
      <c r="F200" s="213"/>
      <c r="G200" s="213"/>
      <c r="H200" s="213"/>
      <c r="I200" s="213"/>
      <c r="J200" s="213"/>
      <c r="K200" s="213"/>
      <c r="L200" s="213"/>
      <c r="M200" s="213"/>
      <c r="N200" s="213"/>
      <c r="O200" s="213"/>
      <c r="P200" s="213"/>
      <c r="Y200" s="33"/>
      <c r="Z200" s="33"/>
      <c r="AA200" s="33"/>
      <c r="AD200" s="33"/>
    </row>
    <row r="201" spans="1:30">
      <c r="A201" s="213">
        <v>1711</v>
      </c>
      <c r="B201" s="213" t="s">
        <v>655</v>
      </c>
      <c r="C201" s="213">
        <v>20.2</v>
      </c>
      <c r="D201">
        <f t="shared" si="3"/>
        <v>898</v>
      </c>
      <c r="E201" s="213"/>
      <c r="F201" s="213"/>
      <c r="G201" s="213"/>
      <c r="H201" s="213"/>
      <c r="I201" s="213"/>
      <c r="J201" s="213"/>
      <c r="K201" s="213"/>
      <c r="L201" s="213"/>
      <c r="M201" s="213"/>
      <c r="N201" s="213"/>
      <c r="O201" s="213"/>
      <c r="P201" s="213"/>
      <c r="Y201" s="33"/>
      <c r="Z201" s="33"/>
      <c r="AA201" s="33"/>
      <c r="AD201" s="33"/>
    </row>
    <row r="202" spans="1:30">
      <c r="A202" s="213">
        <v>1712</v>
      </c>
      <c r="B202" s="213" t="s">
        <v>656</v>
      </c>
      <c r="C202" s="213">
        <v>15.45</v>
      </c>
      <c r="D202">
        <f t="shared" si="3"/>
        <v>1102</v>
      </c>
      <c r="E202" s="213"/>
      <c r="F202" s="213"/>
      <c r="G202" s="213"/>
      <c r="H202" s="213"/>
      <c r="I202" s="213"/>
      <c r="J202" s="213"/>
      <c r="K202" s="213"/>
      <c r="L202" s="213"/>
      <c r="M202" s="213"/>
      <c r="N202" s="213"/>
      <c r="O202" s="213"/>
      <c r="P202" s="213"/>
      <c r="Y202" s="33"/>
      <c r="Z202" s="33"/>
      <c r="AA202" s="33"/>
      <c r="AD202" s="33"/>
    </row>
    <row r="203" spans="1:30">
      <c r="A203" s="213">
        <v>1713</v>
      </c>
      <c r="B203" s="213" t="s">
        <v>657</v>
      </c>
      <c r="C203" s="213">
        <v>15</v>
      </c>
      <c r="D203">
        <f t="shared" si="3"/>
        <v>1125</v>
      </c>
      <c r="E203" s="213"/>
      <c r="F203" s="213"/>
      <c r="G203" s="213"/>
      <c r="H203" s="213"/>
      <c r="I203" s="213"/>
      <c r="J203" s="213"/>
      <c r="K203" s="213"/>
      <c r="L203" s="213"/>
      <c r="M203" s="213"/>
      <c r="N203" s="213"/>
      <c r="O203" s="213"/>
      <c r="P203" s="213"/>
      <c r="Y203" s="33"/>
      <c r="Z203" s="33"/>
      <c r="AA203" s="33"/>
      <c r="AD203" s="33"/>
    </row>
    <row r="204" spans="1:30">
      <c r="A204" s="213">
        <v>1714</v>
      </c>
      <c r="B204" s="213" t="s">
        <v>658</v>
      </c>
      <c r="C204" s="213">
        <v>8</v>
      </c>
      <c r="D204">
        <f t="shared" si="3"/>
        <v>1467</v>
      </c>
      <c r="E204" s="213"/>
      <c r="F204" s="213"/>
      <c r="G204" s="213"/>
      <c r="H204" s="213"/>
      <c r="I204" s="213"/>
      <c r="J204" s="213"/>
      <c r="K204" s="213"/>
      <c r="L204" s="213"/>
      <c r="M204" s="213"/>
      <c r="N204" s="213"/>
      <c r="O204" s="213"/>
      <c r="P204" s="213"/>
      <c r="Y204" s="33"/>
      <c r="Z204" s="33"/>
      <c r="AA204" s="33"/>
      <c r="AD204" s="33"/>
    </row>
    <row r="205" spans="1:30">
      <c r="A205" s="213">
        <v>1715</v>
      </c>
      <c r="B205" s="213" t="s">
        <v>659</v>
      </c>
      <c r="C205" s="213">
        <v>11</v>
      </c>
      <c r="D205">
        <f t="shared" si="3"/>
        <v>1306</v>
      </c>
      <c r="E205" s="213"/>
      <c r="F205" s="213"/>
      <c r="G205" s="213"/>
      <c r="H205" s="213"/>
      <c r="I205" s="213"/>
      <c r="J205" s="213"/>
      <c r="K205" s="213"/>
      <c r="L205" s="213"/>
      <c r="M205" s="213"/>
      <c r="N205" s="213"/>
      <c r="O205" s="213"/>
      <c r="P205" s="213"/>
      <c r="Y205" s="33"/>
      <c r="Z205" s="33"/>
      <c r="AA205" s="33"/>
      <c r="AD205" s="33"/>
    </row>
    <row r="206" spans="1:30">
      <c r="A206" s="213">
        <v>1717</v>
      </c>
      <c r="B206" s="213" t="s">
        <v>660</v>
      </c>
      <c r="C206" s="213">
        <v>33.450000000000003</v>
      </c>
      <c r="D206">
        <f t="shared" si="3"/>
        <v>551</v>
      </c>
      <c r="E206" s="213"/>
      <c r="F206" s="213"/>
      <c r="G206" s="213"/>
      <c r="H206" s="213"/>
      <c r="I206" s="213"/>
      <c r="J206" s="213"/>
      <c r="K206" s="213"/>
      <c r="L206" s="213"/>
      <c r="M206" s="213"/>
      <c r="N206" s="213"/>
      <c r="O206" s="213"/>
      <c r="P206" s="213"/>
      <c r="Y206" s="33"/>
      <c r="Z206" s="33"/>
      <c r="AA206" s="33"/>
      <c r="AD206" s="33"/>
    </row>
    <row r="207" spans="1:30">
      <c r="A207" s="213">
        <v>1718</v>
      </c>
      <c r="B207" s="213" t="s">
        <v>661</v>
      </c>
      <c r="C207" s="213">
        <v>7.88</v>
      </c>
      <c r="D207">
        <f t="shared" si="3"/>
        <v>1477</v>
      </c>
      <c r="E207" s="213"/>
      <c r="F207" s="213"/>
      <c r="G207" s="213"/>
      <c r="H207" s="213"/>
      <c r="I207" s="213"/>
      <c r="J207" s="213"/>
      <c r="K207" s="213"/>
      <c r="L207" s="213"/>
      <c r="M207" s="213"/>
      <c r="N207" s="213"/>
      <c r="O207" s="213"/>
      <c r="P207" s="213"/>
      <c r="Y207" s="33"/>
      <c r="Z207" s="33"/>
      <c r="AA207" s="33"/>
      <c r="AD207" s="33"/>
    </row>
    <row r="208" spans="1:30">
      <c r="A208" s="213">
        <v>1720</v>
      </c>
      <c r="B208" s="213" t="s">
        <v>662</v>
      </c>
      <c r="C208" s="213">
        <v>32.35</v>
      </c>
      <c r="D208">
        <f t="shared" si="3"/>
        <v>570</v>
      </c>
      <c r="E208" s="213"/>
      <c r="F208" s="213"/>
      <c r="G208" s="213"/>
      <c r="H208" s="213"/>
      <c r="I208" s="213"/>
      <c r="J208" s="213"/>
      <c r="K208" s="213"/>
      <c r="L208" s="213"/>
      <c r="M208" s="213"/>
      <c r="N208" s="213"/>
      <c r="O208" s="213"/>
      <c r="P208" s="213"/>
      <c r="Y208" s="33"/>
      <c r="Z208" s="33"/>
      <c r="AA208" s="33"/>
      <c r="AD208" s="33"/>
    </row>
    <row r="209" spans="1:30">
      <c r="A209" s="213">
        <v>1721</v>
      </c>
      <c r="B209" s="213" t="s">
        <v>663</v>
      </c>
      <c r="C209" s="213">
        <v>16.899999999999999</v>
      </c>
      <c r="D209">
        <f t="shared" si="3"/>
        <v>1038</v>
      </c>
      <c r="E209" s="213"/>
      <c r="F209" s="213"/>
      <c r="G209" s="213"/>
      <c r="H209" s="213"/>
      <c r="I209" s="213"/>
      <c r="J209" s="213"/>
      <c r="K209" s="213"/>
      <c r="L209" s="213"/>
      <c r="M209" s="213"/>
      <c r="N209" s="213"/>
      <c r="O209" s="213"/>
      <c r="P209" s="213"/>
      <c r="Y209" s="33"/>
      <c r="Z209" s="33"/>
      <c r="AA209" s="33"/>
      <c r="AD209" s="33"/>
    </row>
    <row r="210" spans="1:30">
      <c r="A210" s="213">
        <v>1722</v>
      </c>
      <c r="B210" s="213" t="s">
        <v>664</v>
      </c>
      <c r="C210" s="213">
        <v>42.65</v>
      </c>
      <c r="D210">
        <f t="shared" si="3"/>
        <v>418</v>
      </c>
      <c r="E210" s="213"/>
      <c r="F210" s="213"/>
      <c r="G210" s="213"/>
      <c r="H210" s="213"/>
      <c r="I210" s="213"/>
      <c r="J210" s="213"/>
      <c r="K210" s="213"/>
      <c r="L210" s="213"/>
      <c r="M210" s="213"/>
      <c r="N210" s="213"/>
      <c r="O210" s="213"/>
      <c r="P210" s="213"/>
      <c r="Y210" s="33"/>
      <c r="Z210" s="33"/>
      <c r="AA210" s="33"/>
      <c r="AD210" s="33"/>
    </row>
    <row r="211" spans="1:30">
      <c r="A211" s="213">
        <v>1723</v>
      </c>
      <c r="B211" s="213" t="s">
        <v>665</v>
      </c>
      <c r="C211" s="213">
        <v>112</v>
      </c>
      <c r="D211">
        <f t="shared" si="3"/>
        <v>119</v>
      </c>
      <c r="E211" s="213"/>
      <c r="F211" s="213"/>
      <c r="G211" s="213"/>
      <c r="H211" s="213"/>
      <c r="I211" s="213"/>
      <c r="J211" s="213"/>
      <c r="K211" s="213"/>
      <c r="L211" s="213"/>
      <c r="M211" s="213"/>
      <c r="N211" s="213"/>
      <c r="O211" s="213"/>
      <c r="P211" s="213"/>
      <c r="Y211" s="33"/>
      <c r="Z211" s="33"/>
      <c r="AA211" s="33"/>
      <c r="AD211" s="33"/>
    </row>
    <row r="212" spans="1:30">
      <c r="A212" s="213">
        <v>1724</v>
      </c>
      <c r="B212" s="213" t="s">
        <v>666</v>
      </c>
      <c r="C212" s="213">
        <v>16</v>
      </c>
      <c r="D212">
        <f t="shared" si="3"/>
        <v>1078</v>
      </c>
      <c r="E212" s="213"/>
      <c r="F212" s="213"/>
      <c r="G212" s="213"/>
      <c r="H212" s="213"/>
      <c r="I212" s="213"/>
      <c r="J212" s="213"/>
      <c r="K212" s="213"/>
      <c r="L212" s="213"/>
      <c r="M212" s="213"/>
      <c r="N212" s="213"/>
      <c r="O212" s="213"/>
      <c r="P212" s="213"/>
      <c r="Y212" s="33"/>
      <c r="Z212" s="33"/>
      <c r="AA212" s="33"/>
      <c r="AD212" s="33"/>
    </row>
    <row r="213" spans="1:30">
      <c r="A213" s="213">
        <v>1725</v>
      </c>
      <c r="B213" s="213" t="s">
        <v>667</v>
      </c>
      <c r="C213" s="213">
        <v>12.9</v>
      </c>
      <c r="D213">
        <f t="shared" si="3"/>
        <v>1217</v>
      </c>
      <c r="E213" s="213"/>
      <c r="F213" s="213"/>
      <c r="G213" s="213"/>
      <c r="H213" s="213"/>
      <c r="I213" s="213"/>
      <c r="J213" s="213"/>
      <c r="K213" s="213"/>
      <c r="L213" s="213"/>
      <c r="M213" s="213"/>
      <c r="N213" s="213"/>
      <c r="O213" s="213"/>
      <c r="P213" s="213"/>
      <c r="Y213" s="33"/>
      <c r="Z213" s="33"/>
      <c r="AA213" s="33"/>
      <c r="AD213" s="33"/>
    </row>
    <row r="214" spans="1:30">
      <c r="A214" s="213">
        <v>1726</v>
      </c>
      <c r="B214" s="213" t="s">
        <v>668</v>
      </c>
      <c r="C214" s="213">
        <v>77.099999999999994</v>
      </c>
      <c r="D214">
        <f t="shared" si="3"/>
        <v>203</v>
      </c>
      <c r="E214" s="213"/>
      <c r="F214" s="213"/>
      <c r="G214" s="213"/>
      <c r="H214" s="213"/>
      <c r="I214" s="213"/>
      <c r="J214" s="213"/>
      <c r="K214" s="213"/>
      <c r="L214" s="213"/>
      <c r="M214" s="213"/>
      <c r="N214" s="213"/>
      <c r="O214" s="213"/>
      <c r="P214" s="213"/>
      <c r="Y214" s="33"/>
      <c r="Z214" s="33"/>
      <c r="AA214" s="33"/>
      <c r="AD214" s="33"/>
    </row>
    <row r="215" spans="1:30">
      <c r="A215" s="213">
        <v>1727</v>
      </c>
      <c r="B215" s="213" t="s">
        <v>669</v>
      </c>
      <c r="C215" s="213">
        <v>12.8</v>
      </c>
      <c r="D215">
        <f t="shared" si="3"/>
        <v>1220</v>
      </c>
      <c r="E215" s="213"/>
      <c r="F215" s="213"/>
      <c r="G215" s="213"/>
      <c r="H215" s="213"/>
      <c r="I215" s="213"/>
      <c r="J215" s="213"/>
      <c r="K215" s="213"/>
      <c r="L215" s="213"/>
      <c r="M215" s="213"/>
      <c r="N215" s="213"/>
      <c r="O215" s="213"/>
      <c r="P215" s="213"/>
      <c r="Y215" s="33"/>
      <c r="Z215" s="33"/>
      <c r="AA215" s="33"/>
      <c r="AD215" s="33"/>
    </row>
    <row r="216" spans="1:30">
      <c r="A216" s="213">
        <v>1729</v>
      </c>
      <c r="B216" s="213" t="s">
        <v>670</v>
      </c>
      <c r="C216" s="213">
        <v>76.2</v>
      </c>
      <c r="D216">
        <f t="shared" si="3"/>
        <v>205</v>
      </c>
      <c r="E216" s="213"/>
      <c r="F216" s="213"/>
      <c r="G216" s="213"/>
      <c r="H216" s="213"/>
      <c r="I216" s="213"/>
      <c r="J216" s="213"/>
      <c r="K216" s="213"/>
      <c r="L216" s="213"/>
      <c r="M216" s="213"/>
      <c r="N216" s="213"/>
      <c r="O216" s="213"/>
      <c r="P216" s="213"/>
      <c r="Y216" s="33"/>
      <c r="Z216" s="33"/>
      <c r="AA216" s="33"/>
      <c r="AD216" s="33"/>
    </row>
    <row r="217" spans="1:30">
      <c r="A217" s="213">
        <v>1730</v>
      </c>
      <c r="B217" s="213" t="s">
        <v>671</v>
      </c>
      <c r="C217" s="213">
        <v>36.049999999999997</v>
      </c>
      <c r="D217">
        <f t="shared" si="3"/>
        <v>510</v>
      </c>
      <c r="E217" s="213"/>
      <c r="F217" s="213"/>
      <c r="G217" s="213"/>
      <c r="H217" s="213"/>
      <c r="I217" s="213"/>
      <c r="J217" s="213"/>
      <c r="K217" s="213"/>
      <c r="L217" s="213"/>
      <c r="M217" s="213"/>
      <c r="N217" s="213"/>
      <c r="O217" s="213"/>
      <c r="P217" s="213"/>
      <c r="Y217" s="33"/>
      <c r="Z217" s="33"/>
      <c r="AA217" s="33"/>
      <c r="AD217" s="33"/>
    </row>
    <row r="218" spans="1:30">
      <c r="A218" s="213">
        <v>1731</v>
      </c>
      <c r="B218" s="213" t="s">
        <v>672</v>
      </c>
      <c r="C218" s="213">
        <v>13.15</v>
      </c>
      <c r="D218">
        <f t="shared" si="3"/>
        <v>1203</v>
      </c>
      <c r="E218" s="213"/>
      <c r="F218" s="213"/>
      <c r="G218" s="213"/>
      <c r="H218" s="213"/>
      <c r="I218" s="213"/>
      <c r="J218" s="213"/>
      <c r="K218" s="213"/>
      <c r="L218" s="213"/>
      <c r="M218" s="213"/>
      <c r="N218" s="213"/>
      <c r="O218" s="213"/>
      <c r="P218" s="213"/>
      <c r="Y218" s="33"/>
      <c r="Z218" s="33"/>
      <c r="AA218" s="33"/>
      <c r="AD218" s="33"/>
    </row>
    <row r="219" spans="1:30">
      <c r="A219" s="213">
        <v>1732</v>
      </c>
      <c r="B219" s="213" t="s">
        <v>673</v>
      </c>
      <c r="C219" s="213">
        <v>13.4</v>
      </c>
      <c r="D219">
        <f t="shared" si="3"/>
        <v>1191</v>
      </c>
      <c r="E219" s="213"/>
      <c r="F219" s="213"/>
      <c r="G219" s="213"/>
      <c r="H219" s="213"/>
      <c r="I219" s="213"/>
      <c r="J219" s="213"/>
      <c r="K219" s="213"/>
      <c r="L219" s="213"/>
      <c r="M219" s="213"/>
      <c r="N219" s="213"/>
      <c r="O219" s="213"/>
      <c r="P219" s="213"/>
      <c r="Y219" s="33"/>
      <c r="Z219" s="33"/>
      <c r="AA219" s="33"/>
      <c r="AD219" s="33"/>
    </row>
    <row r="220" spans="1:30">
      <c r="A220" s="213">
        <v>1733</v>
      </c>
      <c r="B220" s="213" t="s">
        <v>674</v>
      </c>
      <c r="C220" s="213">
        <v>41.65</v>
      </c>
      <c r="D220">
        <f t="shared" si="3"/>
        <v>428</v>
      </c>
      <c r="E220" s="213"/>
      <c r="F220" s="213"/>
      <c r="G220" s="213"/>
      <c r="H220" s="213"/>
      <c r="I220" s="213"/>
      <c r="J220" s="213"/>
      <c r="K220" s="213"/>
      <c r="L220" s="213"/>
      <c r="M220" s="213"/>
      <c r="N220" s="213"/>
      <c r="O220" s="213"/>
      <c r="P220" s="213"/>
      <c r="Y220" s="33"/>
      <c r="Z220" s="33"/>
      <c r="AA220" s="33"/>
      <c r="AD220" s="33"/>
    </row>
    <row r="221" spans="1:30">
      <c r="A221" s="213">
        <v>1734</v>
      </c>
      <c r="B221" s="213" t="s">
        <v>675</v>
      </c>
      <c r="C221" s="213">
        <v>25.9</v>
      </c>
      <c r="D221">
        <f t="shared" si="3"/>
        <v>715</v>
      </c>
      <c r="E221" s="213"/>
      <c r="F221" s="213"/>
      <c r="G221" s="213"/>
      <c r="H221" s="213"/>
      <c r="I221" s="213"/>
      <c r="J221" s="213"/>
      <c r="K221" s="213"/>
      <c r="L221" s="213"/>
      <c r="M221" s="213"/>
      <c r="N221" s="213"/>
      <c r="O221" s="213"/>
      <c r="P221" s="213"/>
      <c r="Y221" s="33"/>
      <c r="Z221" s="33"/>
      <c r="AA221" s="33"/>
      <c r="AD221" s="33"/>
    </row>
    <row r="222" spans="1:30">
      <c r="A222" s="213">
        <v>1735</v>
      </c>
      <c r="B222" s="213" t="s">
        <v>676</v>
      </c>
      <c r="C222" s="213">
        <v>12.3</v>
      </c>
      <c r="D222">
        <f t="shared" si="3"/>
        <v>1242</v>
      </c>
      <c r="E222" s="213"/>
      <c r="F222" s="213"/>
      <c r="G222" s="213"/>
      <c r="H222" s="213"/>
      <c r="I222" s="213"/>
      <c r="J222" s="213"/>
      <c r="K222" s="213"/>
      <c r="L222" s="213"/>
      <c r="M222" s="213"/>
      <c r="N222" s="213"/>
      <c r="O222" s="213"/>
      <c r="P222" s="213"/>
      <c r="Y222" s="33"/>
      <c r="Z222" s="33"/>
      <c r="AA222" s="33"/>
      <c r="AD222" s="33"/>
    </row>
    <row r="223" spans="1:30">
      <c r="A223" s="213">
        <v>1736</v>
      </c>
      <c r="B223" s="213" t="s">
        <v>677</v>
      </c>
      <c r="C223" s="213">
        <v>46</v>
      </c>
      <c r="D223">
        <f t="shared" si="3"/>
        <v>385</v>
      </c>
      <c r="E223" s="213"/>
      <c r="F223" s="213"/>
      <c r="G223" s="213"/>
      <c r="H223" s="213"/>
      <c r="I223" s="213"/>
      <c r="J223" s="213"/>
      <c r="K223" s="213"/>
      <c r="L223" s="213"/>
      <c r="M223" s="213"/>
      <c r="N223" s="213"/>
      <c r="O223" s="213"/>
      <c r="P223" s="213"/>
      <c r="Y223" s="33"/>
      <c r="Z223" s="33"/>
      <c r="AA223" s="33"/>
      <c r="AD223" s="33"/>
    </row>
    <row r="224" spans="1:30">
      <c r="A224" s="213">
        <v>1737</v>
      </c>
      <c r="B224" s="213" t="s">
        <v>678</v>
      </c>
      <c r="C224" s="213">
        <v>30.95</v>
      </c>
      <c r="D224">
        <f t="shared" si="3"/>
        <v>593</v>
      </c>
      <c r="E224" s="213"/>
      <c r="F224" s="213"/>
      <c r="G224" s="213"/>
      <c r="H224" s="213"/>
      <c r="I224" s="213"/>
      <c r="J224" s="213"/>
      <c r="K224" s="213"/>
      <c r="L224" s="213"/>
      <c r="M224" s="213"/>
      <c r="N224" s="213"/>
      <c r="O224" s="213"/>
      <c r="P224" s="213"/>
      <c r="Y224" s="33"/>
      <c r="Z224" s="33"/>
      <c r="AA224" s="33"/>
      <c r="AD224" s="33"/>
    </row>
    <row r="225" spans="1:30">
      <c r="A225" s="213">
        <v>1762</v>
      </c>
      <c r="B225" s="213" t="s">
        <v>679</v>
      </c>
      <c r="C225" s="213">
        <v>27.35</v>
      </c>
      <c r="D225">
        <f t="shared" si="3"/>
        <v>680</v>
      </c>
      <c r="E225" s="213"/>
      <c r="F225" s="213"/>
      <c r="G225" s="213"/>
      <c r="H225" s="213"/>
      <c r="I225" s="213"/>
      <c r="J225" s="213"/>
      <c r="K225" s="213"/>
      <c r="L225" s="213"/>
      <c r="M225" s="213"/>
      <c r="N225" s="213"/>
      <c r="O225" s="213"/>
      <c r="P225" s="213"/>
      <c r="Y225" s="33"/>
      <c r="Z225" s="33"/>
      <c r="AA225" s="33"/>
      <c r="AD225" s="33"/>
    </row>
    <row r="226" spans="1:30">
      <c r="A226" s="213">
        <v>1773</v>
      </c>
      <c r="B226" s="213" t="s">
        <v>680</v>
      </c>
      <c r="C226" s="213">
        <v>50.6</v>
      </c>
      <c r="D226">
        <f t="shared" si="3"/>
        <v>333</v>
      </c>
      <c r="E226" s="213"/>
      <c r="F226" s="213"/>
      <c r="G226" s="213"/>
      <c r="H226" s="213"/>
      <c r="I226" s="213"/>
      <c r="J226" s="213"/>
      <c r="K226" s="213"/>
      <c r="L226" s="213"/>
      <c r="M226" s="213"/>
      <c r="N226" s="213"/>
      <c r="O226" s="213"/>
      <c r="P226" s="213"/>
      <c r="Y226" s="33"/>
      <c r="Z226" s="33"/>
      <c r="AA226" s="33"/>
      <c r="AD226" s="33"/>
    </row>
    <row r="227" spans="1:30">
      <c r="A227" s="213">
        <v>1776</v>
      </c>
      <c r="B227" s="213" t="s">
        <v>1911</v>
      </c>
      <c r="C227" s="213">
        <v>21.5</v>
      </c>
      <c r="D227">
        <f t="shared" si="3"/>
        <v>863</v>
      </c>
      <c r="E227" s="213"/>
      <c r="F227" s="213"/>
      <c r="G227" s="213"/>
      <c r="H227" s="213"/>
      <c r="I227" s="213"/>
      <c r="J227" s="213"/>
      <c r="K227" s="213"/>
      <c r="L227" s="213"/>
      <c r="M227" s="213"/>
      <c r="N227" s="213"/>
      <c r="O227" s="213"/>
      <c r="P227" s="213"/>
      <c r="Y227" s="33"/>
      <c r="Z227" s="33"/>
      <c r="AA227" s="33"/>
      <c r="AD227" s="33"/>
    </row>
    <row r="228" spans="1:30">
      <c r="A228" s="213">
        <v>1783</v>
      </c>
      <c r="B228" s="213" t="s">
        <v>681</v>
      </c>
      <c r="C228" s="213">
        <v>24</v>
      </c>
      <c r="D228">
        <f t="shared" si="3"/>
        <v>767</v>
      </c>
      <c r="E228" s="213"/>
      <c r="F228" s="213"/>
      <c r="G228" s="213"/>
      <c r="H228" s="213"/>
      <c r="I228" s="213"/>
      <c r="J228" s="213"/>
      <c r="K228" s="213"/>
      <c r="L228" s="213"/>
      <c r="M228" s="213"/>
      <c r="N228" s="213"/>
      <c r="O228" s="213"/>
      <c r="P228" s="213"/>
      <c r="Y228" s="33"/>
      <c r="Z228" s="33"/>
      <c r="AA228" s="33"/>
      <c r="AD228" s="33"/>
    </row>
    <row r="229" spans="1:30">
      <c r="A229" s="213">
        <v>1786</v>
      </c>
      <c r="B229" s="213" t="s">
        <v>682</v>
      </c>
      <c r="C229" s="213">
        <v>52.5</v>
      </c>
      <c r="D229">
        <f t="shared" si="3"/>
        <v>317</v>
      </c>
      <c r="E229" s="213"/>
      <c r="F229" s="213"/>
      <c r="G229" s="213"/>
      <c r="H229" s="213"/>
      <c r="I229" s="213"/>
      <c r="J229" s="213"/>
      <c r="K229" s="213"/>
      <c r="L229" s="213"/>
      <c r="M229" s="213"/>
      <c r="N229" s="213"/>
      <c r="O229" s="213"/>
      <c r="P229" s="213"/>
      <c r="Y229" s="33"/>
      <c r="Z229" s="33"/>
      <c r="AA229" s="33"/>
      <c r="AD229" s="33"/>
    </row>
    <row r="230" spans="1:30">
      <c r="A230" s="213">
        <v>1789</v>
      </c>
      <c r="B230" s="213" t="s">
        <v>683</v>
      </c>
      <c r="C230" s="213">
        <v>40.75</v>
      </c>
      <c r="D230">
        <f t="shared" si="3"/>
        <v>442</v>
      </c>
      <c r="E230" s="213"/>
      <c r="F230" s="213"/>
      <c r="G230" s="213"/>
      <c r="H230" s="213"/>
      <c r="I230" s="213"/>
      <c r="J230" s="213"/>
      <c r="K230" s="213"/>
      <c r="L230" s="213"/>
      <c r="M230" s="213"/>
      <c r="N230" s="213"/>
      <c r="O230" s="213"/>
      <c r="P230" s="213"/>
      <c r="Y230" s="33"/>
      <c r="Z230" s="33"/>
      <c r="AA230" s="33"/>
      <c r="AD230" s="33"/>
    </row>
    <row r="231" spans="1:30">
      <c r="A231" s="213">
        <v>1802</v>
      </c>
      <c r="B231" s="213" t="s">
        <v>684</v>
      </c>
      <c r="C231" s="213">
        <v>13.8</v>
      </c>
      <c r="D231">
        <f t="shared" si="3"/>
        <v>1177</v>
      </c>
      <c r="E231" s="213"/>
      <c r="F231" s="213"/>
      <c r="G231" s="213"/>
      <c r="H231" s="213"/>
      <c r="I231" s="213"/>
      <c r="J231" s="213"/>
      <c r="K231" s="213"/>
      <c r="L231" s="213"/>
      <c r="M231" s="213"/>
      <c r="N231" s="213"/>
      <c r="O231" s="213"/>
      <c r="P231" s="213"/>
      <c r="Y231" s="33"/>
      <c r="Z231" s="33"/>
      <c r="AD231" s="33"/>
    </row>
    <row r="232" spans="1:30">
      <c r="A232" s="213">
        <v>1805</v>
      </c>
      <c r="B232" s="213" t="s">
        <v>685</v>
      </c>
      <c r="C232" s="213">
        <v>5.52</v>
      </c>
      <c r="D232">
        <f t="shared" si="3"/>
        <v>1565</v>
      </c>
      <c r="E232" s="213"/>
      <c r="F232" s="213"/>
      <c r="G232" s="213"/>
      <c r="H232" s="213"/>
      <c r="I232" s="213"/>
      <c r="J232" s="213"/>
      <c r="K232" s="213"/>
      <c r="L232" s="213"/>
      <c r="M232" s="213"/>
      <c r="N232" s="213"/>
      <c r="O232" s="213"/>
      <c r="P232" s="213"/>
      <c r="Y232" s="33"/>
      <c r="Z232" s="33"/>
      <c r="AA232" s="33"/>
      <c r="AD232" s="33"/>
    </row>
    <row r="233" spans="1:30">
      <c r="A233" s="213">
        <v>1806</v>
      </c>
      <c r="B233" s="213" t="s">
        <v>686</v>
      </c>
      <c r="C233" s="213">
        <v>7</v>
      </c>
      <c r="D233">
        <f t="shared" si="3"/>
        <v>1516</v>
      </c>
      <c r="E233" s="213"/>
      <c r="F233" s="213"/>
      <c r="G233" s="213"/>
      <c r="H233" s="213"/>
      <c r="I233" s="213"/>
      <c r="J233" s="213"/>
      <c r="K233" s="213"/>
      <c r="L233" s="213"/>
      <c r="M233" s="213"/>
      <c r="N233" s="213"/>
      <c r="O233" s="213"/>
      <c r="P233" s="213"/>
      <c r="Y233" s="33"/>
      <c r="Z233" s="33"/>
      <c r="AA233" s="33"/>
      <c r="AD233" s="33"/>
    </row>
    <row r="234" spans="1:30">
      <c r="A234" s="213">
        <v>1808</v>
      </c>
      <c r="B234" s="213" t="s">
        <v>687</v>
      </c>
      <c r="C234" s="213">
        <v>33.200000000000003</v>
      </c>
      <c r="D234">
        <f t="shared" si="3"/>
        <v>557</v>
      </c>
      <c r="E234" s="213"/>
      <c r="F234" s="213"/>
      <c r="G234" s="213"/>
      <c r="H234" s="213"/>
      <c r="I234" s="213"/>
      <c r="J234" s="213"/>
      <c r="K234" s="213"/>
      <c r="L234" s="213"/>
      <c r="M234" s="213"/>
      <c r="N234" s="213"/>
      <c r="O234" s="213"/>
      <c r="P234" s="213"/>
      <c r="Y234" s="33"/>
      <c r="Z234" s="33"/>
      <c r="AA234" s="33"/>
      <c r="AD234" s="33"/>
    </row>
    <row r="235" spans="1:30">
      <c r="A235" s="213">
        <v>1809</v>
      </c>
      <c r="B235" s="213" t="s">
        <v>688</v>
      </c>
      <c r="C235" s="213">
        <v>13.75</v>
      </c>
      <c r="D235">
        <f t="shared" si="3"/>
        <v>1178</v>
      </c>
      <c r="E235" s="213"/>
      <c r="F235" s="213"/>
      <c r="G235" s="213"/>
      <c r="H235" s="213"/>
      <c r="I235" s="213"/>
      <c r="J235" s="213"/>
      <c r="K235" s="213"/>
      <c r="L235" s="213"/>
      <c r="M235" s="213"/>
      <c r="N235" s="213"/>
      <c r="O235" s="213"/>
      <c r="P235" s="213"/>
      <c r="Y235" s="33"/>
      <c r="Z235" s="33"/>
      <c r="AA235" s="33"/>
      <c r="AD235" s="33"/>
    </row>
    <row r="236" spans="1:30">
      <c r="A236" s="213">
        <v>1810</v>
      </c>
      <c r="B236" s="213" t="s">
        <v>689</v>
      </c>
      <c r="C236" s="213">
        <v>8.17</v>
      </c>
      <c r="D236">
        <f t="shared" si="3"/>
        <v>1460</v>
      </c>
      <c r="E236" s="213"/>
      <c r="F236" s="213"/>
      <c r="G236" s="213"/>
      <c r="H236" s="213"/>
      <c r="I236" s="213"/>
      <c r="J236" s="213"/>
      <c r="K236" s="213"/>
      <c r="L236" s="213"/>
      <c r="M236" s="213"/>
      <c r="N236" s="213"/>
      <c r="O236" s="213"/>
      <c r="P236" s="213"/>
      <c r="Y236" s="33"/>
      <c r="Z236" s="33"/>
      <c r="AA236" s="33"/>
      <c r="AD236" s="33"/>
    </row>
    <row r="237" spans="1:30">
      <c r="A237" s="213">
        <v>1817</v>
      </c>
      <c r="B237" s="213" t="s">
        <v>690</v>
      </c>
      <c r="C237" s="213">
        <v>38.25</v>
      </c>
      <c r="D237">
        <f t="shared" si="3"/>
        <v>479</v>
      </c>
      <c r="E237" s="213"/>
      <c r="F237" s="213"/>
      <c r="G237" s="213"/>
      <c r="H237" s="213"/>
      <c r="I237" s="213"/>
      <c r="J237" s="213"/>
      <c r="K237" s="213"/>
      <c r="L237" s="213"/>
      <c r="M237" s="213"/>
      <c r="N237" s="213"/>
      <c r="O237" s="213"/>
      <c r="P237" s="213"/>
      <c r="Y237" s="33"/>
      <c r="Z237" s="33"/>
      <c r="AA237" s="33"/>
      <c r="AD237" s="33"/>
    </row>
    <row r="238" spans="1:30">
      <c r="A238" s="213">
        <v>1902</v>
      </c>
      <c r="B238" s="213" t="s">
        <v>691</v>
      </c>
      <c r="C238" s="213">
        <v>10.3</v>
      </c>
      <c r="D238">
        <f t="shared" si="3"/>
        <v>1338</v>
      </c>
      <c r="E238" s="213"/>
      <c r="F238" s="213"/>
      <c r="G238" s="213"/>
      <c r="H238" s="213"/>
      <c r="I238" s="213"/>
      <c r="J238" s="213"/>
      <c r="K238" s="213"/>
      <c r="L238" s="213"/>
      <c r="M238" s="213"/>
      <c r="N238" s="213"/>
      <c r="O238" s="213"/>
      <c r="P238" s="213"/>
      <c r="Y238" s="33"/>
      <c r="Z238" s="33"/>
      <c r="AA238" s="33"/>
      <c r="AD238" s="33"/>
    </row>
    <row r="239" spans="1:30">
      <c r="A239" s="213">
        <v>1903</v>
      </c>
      <c r="B239" s="213" t="s">
        <v>692</v>
      </c>
      <c r="C239" s="213">
        <v>30.5</v>
      </c>
      <c r="D239">
        <f t="shared" si="3"/>
        <v>603</v>
      </c>
      <c r="E239" s="213"/>
      <c r="F239" s="213"/>
      <c r="G239" s="213"/>
      <c r="H239" s="213"/>
      <c r="I239" s="213"/>
      <c r="J239" s="213"/>
      <c r="K239" s="213"/>
      <c r="L239" s="213"/>
      <c r="M239" s="213"/>
      <c r="N239" s="213"/>
      <c r="O239" s="213"/>
      <c r="P239" s="213"/>
      <c r="Y239" s="33"/>
      <c r="Z239" s="33"/>
      <c r="AA239" s="33"/>
      <c r="AD239" s="33"/>
    </row>
    <row r="240" spans="1:30">
      <c r="A240" s="213">
        <v>1904</v>
      </c>
      <c r="B240" s="213" t="s">
        <v>693</v>
      </c>
      <c r="C240" s="213">
        <v>11.55</v>
      </c>
      <c r="D240">
        <f t="shared" si="3"/>
        <v>1283</v>
      </c>
      <c r="E240" s="213"/>
      <c r="F240" s="213"/>
      <c r="G240" s="213"/>
      <c r="H240" s="213"/>
      <c r="I240" s="213"/>
      <c r="J240" s="213"/>
      <c r="K240" s="213"/>
      <c r="L240" s="213"/>
      <c r="M240" s="213"/>
      <c r="N240" s="213"/>
      <c r="O240" s="213"/>
      <c r="P240" s="213"/>
      <c r="Y240" s="33"/>
      <c r="Z240" s="33"/>
      <c r="AA240" s="33"/>
      <c r="AD240" s="33"/>
    </row>
    <row r="241" spans="1:30">
      <c r="A241" s="213">
        <v>1905</v>
      </c>
      <c r="B241" s="213" t="s">
        <v>1721</v>
      </c>
      <c r="C241" s="213">
        <v>9.11</v>
      </c>
      <c r="D241">
        <f t="shared" si="3"/>
        <v>1414</v>
      </c>
      <c r="E241" s="213"/>
      <c r="F241" s="213"/>
      <c r="G241" s="213"/>
      <c r="H241" s="213"/>
      <c r="I241" s="213"/>
      <c r="J241" s="213"/>
      <c r="K241" s="213"/>
      <c r="L241" s="213"/>
      <c r="M241" s="213"/>
      <c r="N241" s="213"/>
      <c r="O241" s="213"/>
      <c r="P241" s="213"/>
      <c r="Y241" s="33"/>
      <c r="Z241" s="33"/>
      <c r="AA241" s="33"/>
      <c r="AD241" s="33"/>
    </row>
    <row r="242" spans="1:30">
      <c r="A242" s="213">
        <v>1906</v>
      </c>
      <c r="B242" s="213" t="s">
        <v>694</v>
      </c>
      <c r="C242" s="213">
        <v>17.649999999999999</v>
      </c>
      <c r="D242">
        <f t="shared" si="3"/>
        <v>994</v>
      </c>
      <c r="E242" s="213"/>
      <c r="F242" s="213"/>
      <c r="G242" s="213"/>
      <c r="H242" s="213"/>
      <c r="I242" s="213"/>
      <c r="J242" s="213"/>
      <c r="K242" s="213"/>
      <c r="L242" s="213"/>
      <c r="M242" s="213"/>
      <c r="N242" s="213"/>
      <c r="O242" s="213"/>
      <c r="P242" s="213"/>
      <c r="Y242" s="33"/>
      <c r="Z242" s="33"/>
      <c r="AA242" s="33"/>
      <c r="AD242" s="33"/>
    </row>
    <row r="243" spans="1:30">
      <c r="A243" s="213">
        <v>1907</v>
      </c>
      <c r="B243" s="213" t="s">
        <v>695</v>
      </c>
      <c r="C243" s="213">
        <v>9.52</v>
      </c>
      <c r="D243">
        <f t="shared" si="3"/>
        <v>1392</v>
      </c>
      <c r="E243" s="213"/>
      <c r="F243" s="213"/>
      <c r="G243" s="213"/>
      <c r="H243" s="213"/>
      <c r="I243" s="213"/>
      <c r="J243" s="213"/>
      <c r="K243" s="213"/>
      <c r="L243" s="213"/>
      <c r="M243" s="213"/>
      <c r="N243" s="213"/>
      <c r="O243" s="213"/>
      <c r="P243" s="213"/>
      <c r="Y243" s="33"/>
      <c r="Z243" s="33"/>
      <c r="AA243" s="33"/>
      <c r="AD243" s="33"/>
    </row>
    <row r="244" spans="1:30">
      <c r="A244" s="213">
        <v>1909</v>
      </c>
      <c r="B244" s="213" t="s">
        <v>696</v>
      </c>
      <c r="C244" s="213">
        <v>15.25</v>
      </c>
      <c r="D244">
        <f t="shared" si="3"/>
        <v>1109</v>
      </c>
      <c r="E244" s="213"/>
      <c r="F244" s="213"/>
      <c r="G244" s="213"/>
      <c r="H244" s="213"/>
      <c r="I244" s="213"/>
      <c r="J244" s="213"/>
      <c r="K244" s="213"/>
      <c r="L244" s="213"/>
      <c r="M244" s="213"/>
      <c r="N244" s="213"/>
      <c r="O244" s="213"/>
      <c r="P244" s="213"/>
      <c r="Y244" s="33"/>
      <c r="Z244" s="33"/>
      <c r="AA244" s="33"/>
      <c r="AD244" s="33"/>
    </row>
    <row r="245" spans="1:30">
      <c r="A245" s="213">
        <v>2002</v>
      </c>
      <c r="B245" s="213" t="s">
        <v>697</v>
      </c>
      <c r="C245" s="213">
        <v>22.3</v>
      </c>
      <c r="D245">
        <f t="shared" si="3"/>
        <v>834</v>
      </c>
      <c r="E245" s="213"/>
      <c r="F245" s="213"/>
      <c r="G245" s="213"/>
      <c r="H245" s="213"/>
      <c r="I245" s="213"/>
      <c r="J245" s="213"/>
      <c r="K245" s="213"/>
      <c r="L245" s="213"/>
      <c r="M245" s="213"/>
      <c r="N245" s="213"/>
      <c r="O245" s="213"/>
      <c r="P245" s="213"/>
      <c r="Y245" s="33"/>
      <c r="Z245" s="33"/>
      <c r="AA245" s="33"/>
      <c r="AD245" s="33"/>
    </row>
    <row r="246" spans="1:30">
      <c r="A246" s="213" t="s">
        <v>222</v>
      </c>
      <c r="B246" s="213" t="s">
        <v>698</v>
      </c>
      <c r="C246" s="213">
        <v>41.2</v>
      </c>
      <c r="D246">
        <f t="shared" si="3"/>
        <v>434</v>
      </c>
      <c r="E246" s="213"/>
      <c r="F246" s="213"/>
      <c r="G246" s="213"/>
      <c r="H246" s="213"/>
      <c r="I246" s="213"/>
      <c r="J246" s="213"/>
      <c r="K246" s="213"/>
      <c r="L246" s="213"/>
      <c r="M246" s="213"/>
      <c r="N246" s="213"/>
      <c r="O246" s="213"/>
      <c r="P246" s="213"/>
      <c r="Y246" s="33"/>
      <c r="Z246" s="33"/>
      <c r="AA246" s="33"/>
      <c r="AD246" s="33"/>
    </row>
    <row r="247" spans="1:30">
      <c r="A247" s="213">
        <v>2006</v>
      </c>
      <c r="B247" s="213" t="s">
        <v>2039</v>
      </c>
      <c r="C247" s="213">
        <v>19.8</v>
      </c>
      <c r="D247">
        <f t="shared" si="3"/>
        <v>917</v>
      </c>
      <c r="E247" s="213"/>
      <c r="F247" s="213"/>
      <c r="G247" s="213"/>
      <c r="H247" s="213"/>
      <c r="I247" s="213"/>
      <c r="J247" s="213"/>
      <c r="K247" s="213"/>
      <c r="L247" s="213"/>
      <c r="M247" s="213"/>
      <c r="N247" s="213"/>
      <c r="O247" s="213"/>
      <c r="P247" s="213"/>
      <c r="Y247" s="33"/>
      <c r="Z247" s="33"/>
      <c r="AA247" s="33"/>
      <c r="AD247" s="33"/>
    </row>
    <row r="248" spans="1:30">
      <c r="A248" s="213">
        <v>2007</v>
      </c>
      <c r="B248" s="213" t="s">
        <v>699</v>
      </c>
      <c r="C248" s="213">
        <v>4.8</v>
      </c>
      <c r="D248">
        <f t="shared" si="3"/>
        <v>1579</v>
      </c>
      <c r="E248" s="213"/>
      <c r="F248" s="213"/>
      <c r="G248" s="213"/>
      <c r="H248" s="213"/>
      <c r="I248" s="213"/>
      <c r="J248" s="213"/>
      <c r="K248" s="213"/>
      <c r="L248" s="213"/>
      <c r="M248" s="213"/>
      <c r="N248" s="213"/>
      <c r="O248" s="213"/>
      <c r="P248" s="213"/>
      <c r="Y248" s="33"/>
      <c r="Z248" s="33"/>
      <c r="AA248" s="33"/>
      <c r="AD248" s="33"/>
    </row>
    <row r="249" spans="1:30">
      <c r="A249" s="213">
        <v>2008</v>
      </c>
      <c r="B249" s="213" t="s">
        <v>700</v>
      </c>
      <c r="C249" s="213">
        <v>9.9</v>
      </c>
      <c r="D249">
        <f t="shared" si="3"/>
        <v>1378</v>
      </c>
      <c r="E249" s="213"/>
      <c r="F249" s="213"/>
      <c r="G249" s="213"/>
      <c r="H249" s="213"/>
      <c r="I249" s="213"/>
      <c r="J249" s="213"/>
      <c r="K249" s="213"/>
      <c r="L249" s="213"/>
      <c r="M249" s="213"/>
      <c r="N249" s="213"/>
      <c r="O249" s="213"/>
      <c r="P249" s="213"/>
      <c r="Y249" s="33"/>
      <c r="Z249" s="33"/>
      <c r="AA249" s="33"/>
      <c r="AD249" s="33"/>
    </row>
    <row r="250" spans="1:30">
      <c r="A250" s="213">
        <v>2009</v>
      </c>
      <c r="B250" s="213" t="s">
        <v>701</v>
      </c>
      <c r="C250" s="213">
        <v>6.97</v>
      </c>
      <c r="D250">
        <f t="shared" si="3"/>
        <v>1519</v>
      </c>
      <c r="E250" s="213"/>
      <c r="F250" s="213"/>
      <c r="G250" s="213"/>
      <c r="H250" s="213"/>
      <c r="I250" s="213"/>
      <c r="J250" s="213"/>
      <c r="K250" s="213"/>
      <c r="L250" s="213"/>
      <c r="M250" s="213"/>
      <c r="N250" s="213"/>
      <c r="O250" s="213"/>
      <c r="P250" s="213"/>
      <c r="Y250" s="33"/>
      <c r="Z250" s="33"/>
      <c r="AA250" s="33"/>
      <c r="AD250" s="33"/>
    </row>
    <row r="251" spans="1:30">
      <c r="A251" s="213">
        <v>2010</v>
      </c>
      <c r="B251" s="213" t="s">
        <v>702</v>
      </c>
      <c r="C251" s="213">
        <v>10.8</v>
      </c>
      <c r="D251">
        <f t="shared" si="3"/>
        <v>1321</v>
      </c>
      <c r="E251" s="213"/>
      <c r="F251" s="213"/>
      <c r="G251" s="213"/>
      <c r="H251" s="213"/>
      <c r="I251" s="213"/>
      <c r="J251" s="213"/>
      <c r="K251" s="213"/>
      <c r="L251" s="213"/>
      <c r="M251" s="213"/>
      <c r="N251" s="213"/>
      <c r="O251" s="213"/>
      <c r="P251" s="213"/>
      <c r="Y251" s="33"/>
      <c r="Z251" s="33"/>
      <c r="AA251" s="33"/>
      <c r="AD251" s="33"/>
    </row>
    <row r="252" spans="1:30">
      <c r="A252" s="213">
        <v>2012</v>
      </c>
      <c r="B252" s="213" t="s">
        <v>703</v>
      </c>
      <c r="C252" s="213">
        <v>13.05</v>
      </c>
      <c r="D252">
        <f t="shared" si="3"/>
        <v>1210</v>
      </c>
      <c r="E252" s="213"/>
      <c r="F252" s="213"/>
      <c r="G252" s="213"/>
      <c r="H252" s="213"/>
      <c r="I252" s="213"/>
      <c r="J252" s="213"/>
      <c r="K252" s="213"/>
      <c r="L252" s="213"/>
      <c r="M252" s="213"/>
      <c r="N252" s="213"/>
      <c r="O252" s="213"/>
      <c r="P252" s="213"/>
      <c r="Y252" s="33"/>
      <c r="Z252" s="33"/>
      <c r="AA252" s="33"/>
      <c r="AD252" s="33"/>
    </row>
    <row r="253" spans="1:30">
      <c r="A253" s="213">
        <v>2013</v>
      </c>
      <c r="B253" s="213" t="s">
        <v>704</v>
      </c>
      <c r="C253" s="213">
        <v>21.55</v>
      </c>
      <c r="D253">
        <f t="shared" si="3"/>
        <v>862</v>
      </c>
      <c r="E253" s="213"/>
      <c r="F253" s="213"/>
      <c r="G253" s="213"/>
      <c r="H253" s="213"/>
      <c r="I253" s="213"/>
      <c r="J253" s="213"/>
      <c r="K253" s="213"/>
      <c r="L253" s="213"/>
      <c r="M253" s="213"/>
      <c r="N253" s="213"/>
      <c r="O253" s="213"/>
      <c r="P253" s="213"/>
      <c r="Y253" s="33"/>
      <c r="Z253" s="33"/>
      <c r="AA253" s="33"/>
      <c r="AD253" s="33"/>
    </row>
    <row r="254" spans="1:30">
      <c r="A254" s="213">
        <v>2014</v>
      </c>
      <c r="B254" s="213" t="s">
        <v>705</v>
      </c>
      <c r="C254" s="213">
        <v>7.24</v>
      </c>
      <c r="D254">
        <f t="shared" si="3"/>
        <v>1503</v>
      </c>
      <c r="E254" s="213"/>
      <c r="F254" s="213"/>
      <c r="G254" s="213"/>
      <c r="H254" s="213"/>
      <c r="I254" s="213"/>
      <c r="J254" s="213"/>
      <c r="K254" s="213"/>
      <c r="L254" s="213"/>
      <c r="M254" s="213"/>
      <c r="N254" s="213"/>
      <c r="O254" s="213"/>
      <c r="P254" s="213"/>
      <c r="Y254" s="33"/>
      <c r="Z254" s="33"/>
      <c r="AA254" s="33"/>
      <c r="AD254" s="33"/>
    </row>
    <row r="255" spans="1:30">
      <c r="A255" s="213">
        <v>2015</v>
      </c>
      <c r="B255" s="213" t="s">
        <v>706</v>
      </c>
      <c r="C255" s="213">
        <v>42.1</v>
      </c>
      <c r="D255">
        <f t="shared" si="3"/>
        <v>421</v>
      </c>
      <c r="E255" s="213"/>
      <c r="F255" s="213"/>
      <c r="G255" s="213"/>
      <c r="H255" s="213"/>
      <c r="I255" s="213"/>
      <c r="J255" s="213"/>
      <c r="K255" s="213"/>
      <c r="L255" s="213"/>
      <c r="M255" s="213"/>
      <c r="N255" s="213"/>
      <c r="O255" s="213"/>
      <c r="P255" s="213"/>
      <c r="Y255" s="33"/>
      <c r="Z255" s="33"/>
      <c r="AA255" s="33"/>
      <c r="AD255" s="33"/>
    </row>
    <row r="256" spans="1:30">
      <c r="A256" s="213">
        <v>2017</v>
      </c>
      <c r="B256" s="213" t="s">
        <v>707</v>
      </c>
      <c r="C256" s="213">
        <v>8.35</v>
      </c>
      <c r="D256">
        <f t="shared" si="3"/>
        <v>1451</v>
      </c>
      <c r="E256" s="213"/>
      <c r="F256" s="213"/>
      <c r="G256" s="213"/>
      <c r="H256" s="213"/>
      <c r="I256" s="213"/>
      <c r="J256" s="213"/>
      <c r="K256" s="213"/>
      <c r="L256" s="213"/>
      <c r="M256" s="213"/>
      <c r="N256" s="213"/>
      <c r="O256" s="213"/>
      <c r="P256" s="213"/>
      <c r="Y256" s="33"/>
      <c r="Z256" s="33"/>
      <c r="AA256" s="33"/>
      <c r="AD256" s="33"/>
    </row>
    <row r="257" spans="1:30">
      <c r="A257" s="213">
        <v>2020</v>
      </c>
      <c r="B257" s="213" t="s">
        <v>708</v>
      </c>
      <c r="C257" s="213">
        <v>12.9</v>
      </c>
      <c r="D257">
        <f t="shared" si="3"/>
        <v>1217</v>
      </c>
      <c r="E257" s="213"/>
      <c r="F257" s="213"/>
      <c r="G257" s="213"/>
      <c r="H257" s="213"/>
      <c r="I257" s="213"/>
      <c r="J257" s="213"/>
      <c r="K257" s="213"/>
      <c r="L257" s="213"/>
      <c r="M257" s="213"/>
      <c r="N257" s="213"/>
      <c r="O257" s="213"/>
      <c r="P257" s="213"/>
      <c r="Y257" s="33"/>
      <c r="Z257" s="33"/>
      <c r="AA257" s="33"/>
      <c r="AD257" s="33"/>
    </row>
    <row r="258" spans="1:30">
      <c r="A258" s="213">
        <v>2022</v>
      </c>
      <c r="B258" s="213" t="s">
        <v>709</v>
      </c>
      <c r="C258" s="213">
        <v>4.3</v>
      </c>
      <c r="D258">
        <f t="shared" ref="D258:D321" si="4">RANK(C258,C:C,0)</f>
        <v>1585</v>
      </c>
      <c r="E258" s="213"/>
      <c r="F258" s="213"/>
      <c r="G258" s="213"/>
      <c r="H258" s="213"/>
      <c r="I258" s="213"/>
      <c r="J258" s="213"/>
      <c r="K258" s="213"/>
      <c r="L258" s="213"/>
      <c r="M258" s="213"/>
      <c r="N258" s="213"/>
      <c r="O258" s="213"/>
      <c r="P258" s="213"/>
      <c r="Y258" s="33"/>
      <c r="Z258" s="33"/>
      <c r="AA258" s="33"/>
      <c r="AD258" s="33"/>
    </row>
    <row r="259" spans="1:30">
      <c r="A259" s="213">
        <v>2023</v>
      </c>
      <c r="B259" s="213" t="s">
        <v>710</v>
      </c>
      <c r="C259" s="213">
        <v>11.8</v>
      </c>
      <c r="D259">
        <f t="shared" si="4"/>
        <v>1269</v>
      </c>
      <c r="E259" s="213"/>
      <c r="F259" s="213"/>
      <c r="G259" s="213"/>
      <c r="H259" s="213"/>
      <c r="I259" s="213"/>
      <c r="J259" s="213"/>
      <c r="K259" s="213"/>
      <c r="L259" s="213"/>
      <c r="M259" s="213"/>
      <c r="N259" s="213"/>
      <c r="O259" s="213"/>
      <c r="P259" s="213"/>
      <c r="Y259" s="33"/>
      <c r="Z259" s="33"/>
      <c r="AA259" s="33"/>
      <c r="AD259" s="33"/>
    </row>
    <row r="260" spans="1:30">
      <c r="A260" s="213">
        <v>2024</v>
      </c>
      <c r="B260" s="213" t="s">
        <v>711</v>
      </c>
      <c r="C260" s="213">
        <v>7.25</v>
      </c>
      <c r="D260">
        <f t="shared" si="4"/>
        <v>1501</v>
      </c>
      <c r="E260" s="213"/>
      <c r="F260" s="213"/>
      <c r="G260" s="213"/>
      <c r="H260" s="213"/>
      <c r="I260" s="213"/>
      <c r="J260" s="213"/>
      <c r="K260" s="213"/>
      <c r="L260" s="213"/>
      <c r="M260" s="213"/>
      <c r="N260" s="213"/>
      <c r="O260" s="213"/>
      <c r="P260" s="213"/>
      <c r="Y260" s="33"/>
      <c r="Z260" s="33"/>
      <c r="AA260" s="33"/>
      <c r="AD260" s="33"/>
    </row>
    <row r="261" spans="1:30">
      <c r="A261" s="213">
        <v>2025</v>
      </c>
      <c r="B261" s="213" t="s">
        <v>712</v>
      </c>
      <c r="C261" s="213">
        <v>2.1</v>
      </c>
      <c r="D261">
        <f t="shared" si="4"/>
        <v>1613</v>
      </c>
      <c r="E261" s="213"/>
      <c r="F261" s="213"/>
      <c r="G261" s="213"/>
      <c r="H261" s="213"/>
      <c r="I261" s="213"/>
      <c r="J261" s="213"/>
      <c r="K261" s="213"/>
      <c r="L261" s="213"/>
      <c r="M261" s="213"/>
      <c r="N261" s="213"/>
      <c r="O261" s="213"/>
      <c r="P261" s="213"/>
      <c r="Y261" s="33"/>
      <c r="Z261" s="33"/>
      <c r="AA261" s="33"/>
      <c r="AD261" s="33"/>
    </row>
    <row r="262" spans="1:30">
      <c r="A262" s="213">
        <v>2027</v>
      </c>
      <c r="B262" s="213" t="s">
        <v>713</v>
      </c>
      <c r="C262" s="213">
        <v>16.05</v>
      </c>
      <c r="D262">
        <f t="shared" si="4"/>
        <v>1077</v>
      </c>
      <c r="E262" s="213"/>
      <c r="F262" s="213"/>
      <c r="G262" s="213"/>
      <c r="H262" s="213"/>
      <c r="I262" s="213"/>
      <c r="J262" s="213"/>
      <c r="K262" s="213"/>
      <c r="L262" s="213"/>
      <c r="M262" s="213"/>
      <c r="N262" s="213"/>
      <c r="O262" s="213"/>
      <c r="P262" s="213"/>
      <c r="Y262" s="33"/>
      <c r="Z262" s="33"/>
      <c r="AA262" s="33"/>
      <c r="AD262" s="33"/>
    </row>
    <row r="263" spans="1:30">
      <c r="A263" s="213">
        <v>2028</v>
      </c>
      <c r="B263" s="213" t="s">
        <v>714</v>
      </c>
      <c r="C263" s="213">
        <v>1.74</v>
      </c>
      <c r="D263">
        <f t="shared" si="4"/>
        <v>1620</v>
      </c>
      <c r="E263" s="213"/>
      <c r="F263" s="213"/>
      <c r="G263" s="213"/>
      <c r="H263" s="213"/>
      <c r="I263" s="213"/>
      <c r="J263" s="213"/>
      <c r="K263" s="213"/>
      <c r="L263" s="213"/>
      <c r="M263" s="213"/>
      <c r="N263" s="213"/>
      <c r="O263" s="213"/>
      <c r="P263" s="213"/>
      <c r="Y263" s="33"/>
      <c r="Z263" s="33"/>
      <c r="AA263" s="33"/>
      <c r="AD263" s="33"/>
    </row>
    <row r="264" spans="1:30">
      <c r="A264" s="213">
        <v>2029</v>
      </c>
      <c r="B264" s="213" t="s">
        <v>715</v>
      </c>
      <c r="C264" s="213">
        <v>28.85</v>
      </c>
      <c r="D264">
        <f t="shared" si="4"/>
        <v>647</v>
      </c>
      <c r="E264" s="213"/>
      <c r="F264" s="213"/>
      <c r="G264" s="213"/>
      <c r="H264" s="213"/>
      <c r="I264" s="213"/>
      <c r="J264" s="213"/>
      <c r="K264" s="213"/>
      <c r="L264" s="213"/>
      <c r="M264" s="213"/>
      <c r="N264" s="213"/>
      <c r="O264" s="213"/>
      <c r="P264" s="213"/>
      <c r="Y264" s="33"/>
      <c r="Z264" s="33"/>
      <c r="AA264" s="33"/>
      <c r="AD264" s="33"/>
    </row>
    <row r="265" spans="1:30">
      <c r="A265" s="213">
        <v>2030</v>
      </c>
      <c r="B265" s="213" t="s">
        <v>716</v>
      </c>
      <c r="C265" s="213">
        <v>9.4600000000000009</v>
      </c>
      <c r="D265">
        <f t="shared" si="4"/>
        <v>1397</v>
      </c>
      <c r="E265" s="213"/>
      <c r="F265" s="213"/>
      <c r="G265" s="213"/>
      <c r="H265" s="213"/>
      <c r="I265" s="213"/>
      <c r="J265" s="213"/>
      <c r="K265" s="213"/>
      <c r="L265" s="213"/>
      <c r="M265" s="213"/>
      <c r="N265" s="213"/>
      <c r="O265" s="213"/>
      <c r="P265" s="213"/>
      <c r="Y265" s="33"/>
      <c r="Z265" s="33"/>
      <c r="AA265" s="33"/>
      <c r="AD265" s="33"/>
    </row>
    <row r="266" spans="1:30">
      <c r="A266" s="213">
        <v>2031</v>
      </c>
      <c r="B266" s="213" t="s">
        <v>717</v>
      </c>
      <c r="C266" s="213">
        <v>17.3</v>
      </c>
      <c r="D266">
        <f t="shared" si="4"/>
        <v>1011</v>
      </c>
      <c r="E266" s="213"/>
      <c r="F266" s="213"/>
      <c r="G266" s="213"/>
      <c r="H266" s="213"/>
      <c r="I266" s="213"/>
      <c r="J266" s="213"/>
      <c r="K266" s="213"/>
      <c r="L266" s="213"/>
      <c r="M266" s="213"/>
      <c r="N266" s="213"/>
      <c r="O266" s="213"/>
      <c r="P266" s="213"/>
      <c r="Y266" s="33"/>
      <c r="Z266" s="33"/>
      <c r="AA266" s="33"/>
      <c r="AD266" s="33"/>
    </row>
    <row r="267" spans="1:30">
      <c r="A267" s="213">
        <v>2032</v>
      </c>
      <c r="B267" s="213" t="s">
        <v>718</v>
      </c>
      <c r="C267" s="213">
        <v>9.9</v>
      </c>
      <c r="D267">
        <f t="shared" si="4"/>
        <v>1378</v>
      </c>
      <c r="E267" s="213"/>
      <c r="F267" s="213"/>
      <c r="G267" s="213"/>
      <c r="H267" s="213"/>
      <c r="I267" s="213"/>
      <c r="J267" s="213"/>
      <c r="K267" s="213"/>
      <c r="L267" s="213"/>
      <c r="M267" s="213"/>
      <c r="N267" s="213"/>
      <c r="O267" s="213"/>
      <c r="P267" s="213"/>
      <c r="Y267" s="33"/>
      <c r="Z267" s="33"/>
      <c r="AA267" s="33"/>
      <c r="AD267" s="33"/>
    </row>
    <row r="268" spans="1:30">
      <c r="A268" s="213">
        <v>2033</v>
      </c>
      <c r="B268" s="213" t="s">
        <v>719</v>
      </c>
      <c r="C268" s="213">
        <v>8.99</v>
      </c>
      <c r="D268">
        <f t="shared" si="4"/>
        <v>1424</v>
      </c>
      <c r="E268" s="213"/>
      <c r="F268" s="213"/>
      <c r="G268" s="213"/>
      <c r="H268" s="213"/>
      <c r="I268" s="213"/>
      <c r="J268" s="213"/>
      <c r="K268" s="213"/>
      <c r="L268" s="213"/>
      <c r="M268" s="213"/>
      <c r="N268" s="213"/>
      <c r="O268" s="213"/>
      <c r="P268" s="213"/>
      <c r="Y268" s="33"/>
      <c r="Z268" s="33"/>
      <c r="AD268" s="33"/>
    </row>
    <row r="269" spans="1:30">
      <c r="A269" s="213">
        <v>2034</v>
      </c>
      <c r="B269" s="213" t="s">
        <v>720</v>
      </c>
      <c r="C269" s="213">
        <v>22.3</v>
      </c>
      <c r="D269">
        <f t="shared" si="4"/>
        <v>834</v>
      </c>
      <c r="E269" s="213"/>
      <c r="F269" s="213"/>
      <c r="G269" s="213"/>
      <c r="H269" s="213"/>
      <c r="I269" s="213"/>
      <c r="J269" s="213"/>
      <c r="K269" s="213"/>
      <c r="L269" s="213"/>
      <c r="M269" s="213"/>
      <c r="N269" s="213"/>
      <c r="O269" s="213"/>
      <c r="P269" s="213"/>
      <c r="Y269" s="33"/>
      <c r="Z269" s="33"/>
      <c r="AA269" s="33"/>
      <c r="AD269" s="33"/>
    </row>
    <row r="270" spans="1:30">
      <c r="A270" s="213">
        <v>2038</v>
      </c>
      <c r="B270" s="213" t="s">
        <v>721</v>
      </c>
      <c r="C270" s="213">
        <v>6.28</v>
      </c>
      <c r="D270">
        <f t="shared" si="4"/>
        <v>1545</v>
      </c>
      <c r="E270" s="213"/>
      <c r="F270" s="213"/>
      <c r="G270" s="213"/>
      <c r="H270" s="213"/>
      <c r="I270" s="213"/>
      <c r="J270" s="213"/>
      <c r="K270" s="213"/>
      <c r="L270" s="213"/>
      <c r="M270" s="213"/>
      <c r="N270" s="213"/>
      <c r="O270" s="213"/>
      <c r="P270" s="213"/>
      <c r="Y270" s="33"/>
      <c r="Z270" s="33"/>
      <c r="AD270" s="33"/>
    </row>
    <row r="271" spans="1:30">
      <c r="A271" s="213">
        <v>2049</v>
      </c>
      <c r="B271" s="213" t="s">
        <v>722</v>
      </c>
      <c r="C271" s="213">
        <v>144.5</v>
      </c>
      <c r="D271">
        <f t="shared" si="4"/>
        <v>80</v>
      </c>
      <c r="E271" s="213"/>
      <c r="F271" s="213"/>
      <c r="G271" s="213"/>
      <c r="H271" s="213"/>
      <c r="I271" s="213"/>
      <c r="J271" s="213"/>
      <c r="K271" s="213"/>
      <c r="L271" s="213"/>
      <c r="M271" s="213"/>
      <c r="N271" s="213"/>
      <c r="O271" s="213"/>
      <c r="P271" s="213"/>
      <c r="Y271" s="33"/>
      <c r="Z271" s="33"/>
      <c r="AD271" s="33"/>
    </row>
    <row r="272" spans="1:30">
      <c r="A272" s="213">
        <v>2059</v>
      </c>
      <c r="B272" s="213" t="s">
        <v>723</v>
      </c>
      <c r="C272" s="213">
        <v>376.5</v>
      </c>
      <c r="D272">
        <f t="shared" si="4"/>
        <v>14</v>
      </c>
      <c r="E272" s="213"/>
      <c r="F272" s="213"/>
      <c r="G272" s="213"/>
      <c r="H272" s="213"/>
      <c r="I272" s="213"/>
      <c r="J272" s="213"/>
      <c r="K272" s="213"/>
      <c r="L272" s="213"/>
      <c r="M272" s="213"/>
      <c r="N272" s="213"/>
      <c r="O272" s="213"/>
      <c r="P272" s="213"/>
      <c r="Y272" s="33"/>
      <c r="Z272" s="33"/>
      <c r="AA272" s="33"/>
      <c r="AD272" s="33"/>
    </row>
    <row r="273" spans="1:30">
      <c r="A273" s="213">
        <v>2062</v>
      </c>
      <c r="B273" s="213" t="s">
        <v>724</v>
      </c>
      <c r="C273" s="213">
        <v>41</v>
      </c>
      <c r="D273">
        <f t="shared" si="4"/>
        <v>438</v>
      </c>
      <c r="E273" s="213"/>
      <c r="F273" s="213"/>
      <c r="G273" s="213"/>
      <c r="H273" s="213"/>
      <c r="I273" s="213"/>
      <c r="J273" s="213"/>
      <c r="K273" s="213"/>
      <c r="L273" s="213"/>
      <c r="M273" s="213"/>
      <c r="N273" s="213"/>
      <c r="O273" s="213"/>
      <c r="P273" s="213"/>
      <c r="Y273" s="33"/>
      <c r="Z273" s="33"/>
      <c r="AA273" s="33"/>
      <c r="AD273" s="33"/>
    </row>
    <row r="274" spans="1:30">
      <c r="A274" s="213">
        <v>2069</v>
      </c>
      <c r="B274" s="213" t="s">
        <v>1841</v>
      </c>
      <c r="C274" s="213">
        <v>18.75</v>
      </c>
      <c r="D274">
        <f t="shared" si="4"/>
        <v>943</v>
      </c>
      <c r="E274" s="213"/>
      <c r="F274" s="213"/>
      <c r="G274" s="213"/>
      <c r="H274" s="213"/>
      <c r="I274" s="213"/>
      <c r="J274" s="213"/>
      <c r="K274" s="213"/>
      <c r="L274" s="213"/>
      <c r="M274" s="213"/>
      <c r="N274" s="213"/>
      <c r="O274" s="213"/>
      <c r="P274" s="213"/>
      <c r="Y274" s="33"/>
      <c r="Z274" s="33"/>
      <c r="AA274" s="33"/>
      <c r="AD274" s="33"/>
    </row>
    <row r="275" spans="1:30">
      <c r="A275" s="213">
        <v>2101</v>
      </c>
      <c r="B275" s="213" t="s">
        <v>725</v>
      </c>
      <c r="C275" s="213">
        <v>29.45</v>
      </c>
      <c r="D275">
        <f t="shared" si="4"/>
        <v>622</v>
      </c>
      <c r="E275" s="213"/>
      <c r="F275" s="213"/>
      <c r="G275" s="213"/>
      <c r="H275" s="213"/>
      <c r="I275" s="213"/>
      <c r="J275" s="213"/>
      <c r="K275" s="213"/>
      <c r="L275" s="213"/>
      <c r="M275" s="213"/>
      <c r="N275" s="213"/>
      <c r="O275" s="213"/>
      <c r="P275" s="213"/>
      <c r="Y275" s="33"/>
      <c r="Z275" s="33"/>
      <c r="AA275" s="33"/>
      <c r="AD275" s="33"/>
    </row>
    <row r="276" spans="1:30">
      <c r="A276" s="213">
        <v>2102</v>
      </c>
      <c r="B276" s="213" t="s">
        <v>726</v>
      </c>
      <c r="C276" s="213">
        <v>13.6</v>
      </c>
      <c r="D276">
        <f t="shared" si="4"/>
        <v>1184</v>
      </c>
      <c r="E276" s="213"/>
      <c r="F276" s="213"/>
      <c r="G276" s="213"/>
      <c r="H276" s="213"/>
      <c r="I276" s="213"/>
      <c r="J276" s="213"/>
      <c r="K276" s="213"/>
      <c r="L276" s="213"/>
      <c r="M276" s="213"/>
      <c r="N276" s="213"/>
      <c r="O276" s="213"/>
      <c r="P276" s="213"/>
      <c r="Y276" s="33"/>
      <c r="Z276" s="33"/>
      <c r="AD276" s="33"/>
    </row>
    <row r="277" spans="1:30">
      <c r="A277" s="213">
        <v>2103</v>
      </c>
      <c r="B277" s="213" t="s">
        <v>727</v>
      </c>
      <c r="C277" s="213">
        <v>33.35</v>
      </c>
      <c r="D277">
        <f t="shared" si="4"/>
        <v>553</v>
      </c>
      <c r="E277" s="213"/>
      <c r="F277" s="213"/>
      <c r="G277" s="213"/>
      <c r="H277" s="213"/>
      <c r="I277" s="213"/>
      <c r="J277" s="213"/>
      <c r="K277" s="213"/>
      <c r="L277" s="213"/>
      <c r="M277" s="213"/>
      <c r="N277" s="213"/>
      <c r="O277" s="213"/>
      <c r="P277" s="213"/>
      <c r="Y277" s="33"/>
      <c r="Z277" s="33"/>
      <c r="AA277" s="33"/>
      <c r="AD277" s="33"/>
    </row>
    <row r="278" spans="1:30">
      <c r="A278" s="213">
        <v>2104</v>
      </c>
      <c r="B278" s="213" t="s">
        <v>728</v>
      </c>
      <c r="C278" s="213">
        <v>25.2</v>
      </c>
      <c r="D278">
        <f t="shared" si="4"/>
        <v>733</v>
      </c>
      <c r="E278" s="213"/>
      <c r="F278" s="213"/>
      <c r="G278" s="213"/>
      <c r="H278" s="213"/>
      <c r="I278" s="213"/>
      <c r="J278" s="213"/>
      <c r="K278" s="213"/>
      <c r="L278" s="213"/>
      <c r="M278" s="213"/>
      <c r="N278" s="213"/>
      <c r="O278" s="213"/>
      <c r="P278" s="213"/>
      <c r="Y278" s="33"/>
      <c r="Z278" s="33"/>
      <c r="AA278" s="33"/>
      <c r="AD278" s="33"/>
    </row>
    <row r="279" spans="1:30">
      <c r="A279" s="213">
        <v>2105</v>
      </c>
      <c r="B279" s="213" t="s">
        <v>729</v>
      </c>
      <c r="C279" s="213">
        <v>65.900000000000006</v>
      </c>
      <c r="D279">
        <f t="shared" si="4"/>
        <v>248</v>
      </c>
      <c r="E279" s="213"/>
      <c r="F279" s="213"/>
      <c r="G279" s="213"/>
      <c r="H279" s="213"/>
      <c r="I279" s="213"/>
      <c r="J279" s="213"/>
      <c r="K279" s="213"/>
      <c r="L279" s="213"/>
      <c r="M279" s="213"/>
      <c r="N279" s="213"/>
      <c r="O279" s="213"/>
      <c r="P279" s="213"/>
      <c r="Y279" s="33"/>
      <c r="Z279" s="33"/>
      <c r="AA279" s="33"/>
      <c r="AD279" s="33"/>
    </row>
    <row r="280" spans="1:30">
      <c r="A280" s="213">
        <v>2106</v>
      </c>
      <c r="B280" s="213" t="s">
        <v>730</v>
      </c>
      <c r="C280" s="213">
        <v>48.75</v>
      </c>
      <c r="D280">
        <f t="shared" si="4"/>
        <v>352</v>
      </c>
      <c r="E280" s="213"/>
      <c r="F280" s="213"/>
      <c r="G280" s="213"/>
      <c r="H280" s="213"/>
      <c r="I280" s="213"/>
      <c r="J280" s="213"/>
      <c r="K280" s="213"/>
      <c r="L280" s="213"/>
      <c r="M280" s="213"/>
      <c r="N280" s="213"/>
      <c r="O280" s="213"/>
      <c r="P280" s="213"/>
      <c r="Y280" s="33"/>
      <c r="Z280" s="33"/>
      <c r="AA280" s="33"/>
      <c r="AD280" s="33"/>
    </row>
    <row r="281" spans="1:30">
      <c r="A281" s="213">
        <v>2107</v>
      </c>
      <c r="B281" s="213" t="s">
        <v>731</v>
      </c>
      <c r="C281" s="213">
        <v>14.9</v>
      </c>
      <c r="D281">
        <f t="shared" si="4"/>
        <v>1128</v>
      </c>
      <c r="E281" s="213"/>
      <c r="F281" s="213"/>
      <c r="G281" s="213"/>
      <c r="H281" s="213"/>
      <c r="I281" s="213"/>
      <c r="J281" s="213"/>
      <c r="K281" s="213"/>
      <c r="L281" s="213"/>
      <c r="M281" s="213"/>
      <c r="N281" s="213"/>
      <c r="O281" s="213"/>
      <c r="P281" s="213"/>
      <c r="Y281" s="33"/>
      <c r="Z281" s="33"/>
      <c r="AA281" s="33"/>
      <c r="AD281" s="33"/>
    </row>
    <row r="282" spans="1:30">
      <c r="A282" s="213">
        <v>2108</v>
      </c>
      <c r="B282" s="213" t="s">
        <v>732</v>
      </c>
      <c r="C282" s="213">
        <v>23.95</v>
      </c>
      <c r="D282">
        <f t="shared" si="4"/>
        <v>774</v>
      </c>
      <c r="E282" s="213"/>
      <c r="F282" s="213"/>
      <c r="G282" s="213"/>
      <c r="H282" s="213"/>
      <c r="I282" s="213"/>
      <c r="J282" s="213"/>
      <c r="K282" s="213"/>
      <c r="L282" s="213"/>
      <c r="M282" s="213"/>
      <c r="N282" s="213"/>
      <c r="O282" s="213"/>
      <c r="P282" s="213"/>
      <c r="Y282" s="33"/>
      <c r="Z282" s="33"/>
      <c r="AA282" s="33"/>
      <c r="AD282" s="33"/>
    </row>
    <row r="283" spans="1:30">
      <c r="A283" s="213">
        <v>2109</v>
      </c>
      <c r="B283" s="213" t="s">
        <v>733</v>
      </c>
      <c r="C283" s="213">
        <v>10.199999999999999</v>
      </c>
      <c r="D283">
        <f t="shared" si="4"/>
        <v>1345</v>
      </c>
      <c r="E283" s="213"/>
      <c r="F283" s="213"/>
      <c r="G283" s="213"/>
      <c r="H283" s="213"/>
      <c r="I283" s="213"/>
      <c r="J283" s="213"/>
      <c r="K283" s="213"/>
      <c r="L283" s="213"/>
      <c r="M283" s="213"/>
      <c r="N283" s="213"/>
      <c r="O283" s="213"/>
      <c r="P283" s="213"/>
      <c r="Y283" s="33"/>
      <c r="Z283" s="33"/>
      <c r="AA283" s="33"/>
      <c r="AD283" s="33"/>
    </row>
    <row r="284" spans="1:30">
      <c r="A284" s="213">
        <v>2114</v>
      </c>
      <c r="B284" s="213" t="s">
        <v>734</v>
      </c>
      <c r="C284" s="213">
        <v>78.7</v>
      </c>
      <c r="D284">
        <f t="shared" si="4"/>
        <v>196</v>
      </c>
      <c r="E284" s="213"/>
      <c r="F284" s="213"/>
      <c r="G284" s="213"/>
      <c r="H284" s="213"/>
      <c r="I284" s="213"/>
      <c r="J284" s="213"/>
      <c r="K284" s="213"/>
      <c r="L284" s="213"/>
      <c r="M284" s="213"/>
      <c r="N284" s="213"/>
      <c r="O284" s="213"/>
      <c r="P284" s="213"/>
      <c r="Y284" s="33"/>
      <c r="Z284" s="33"/>
      <c r="AA284" s="33"/>
      <c r="AD284" s="33"/>
    </row>
    <row r="285" spans="1:30">
      <c r="A285" s="213">
        <v>2115</v>
      </c>
      <c r="B285" s="213" t="s">
        <v>2040</v>
      </c>
      <c r="C285" s="213">
        <v>58.6</v>
      </c>
      <c r="D285">
        <f t="shared" si="4"/>
        <v>283</v>
      </c>
      <c r="E285" s="213"/>
      <c r="F285" s="213"/>
      <c r="G285" s="213"/>
      <c r="H285" s="213"/>
      <c r="I285" s="213"/>
      <c r="J285" s="213"/>
      <c r="K285" s="213"/>
      <c r="L285" s="213"/>
      <c r="M285" s="213"/>
      <c r="N285" s="213"/>
      <c r="O285" s="213"/>
      <c r="P285" s="213"/>
      <c r="Y285" s="33"/>
      <c r="Z285" s="33"/>
      <c r="AA285" s="33"/>
      <c r="AD285" s="33"/>
    </row>
    <row r="286" spans="1:30">
      <c r="A286" s="213">
        <v>2201</v>
      </c>
      <c r="B286" s="213" t="s">
        <v>735</v>
      </c>
      <c r="C286" s="213">
        <v>27.8</v>
      </c>
      <c r="D286">
        <f t="shared" si="4"/>
        <v>669</v>
      </c>
      <c r="E286" s="213"/>
      <c r="F286" s="213"/>
      <c r="G286" s="213"/>
      <c r="H286" s="213"/>
      <c r="I286" s="213"/>
      <c r="J286" s="213"/>
      <c r="K286" s="213"/>
      <c r="L286" s="213"/>
      <c r="M286" s="213"/>
      <c r="N286" s="213"/>
      <c r="O286" s="213"/>
      <c r="P286" s="213"/>
      <c r="Y286" s="33"/>
      <c r="Z286" s="33"/>
      <c r="AA286" s="33"/>
      <c r="AD286" s="33"/>
    </row>
    <row r="287" spans="1:30">
      <c r="A287" s="213">
        <v>2204</v>
      </c>
      <c r="B287" s="213" t="s">
        <v>736</v>
      </c>
      <c r="C287" s="213">
        <v>24.65</v>
      </c>
      <c r="D287">
        <f t="shared" si="4"/>
        <v>752</v>
      </c>
      <c r="E287" s="213"/>
      <c r="F287" s="213"/>
      <c r="G287" s="213"/>
      <c r="H287" s="213"/>
      <c r="I287" s="213"/>
      <c r="J287" s="213"/>
      <c r="K287" s="213"/>
      <c r="L287" s="213"/>
      <c r="M287" s="213"/>
      <c r="N287" s="213"/>
      <c r="O287" s="213"/>
      <c r="P287" s="213"/>
      <c r="Y287" s="33"/>
      <c r="Z287" s="33"/>
      <c r="AA287" s="33"/>
      <c r="AD287" s="33"/>
    </row>
    <row r="288" spans="1:30">
      <c r="A288" s="213">
        <v>2206</v>
      </c>
      <c r="B288" s="213" t="s">
        <v>2041</v>
      </c>
      <c r="C288" s="213">
        <v>20.25</v>
      </c>
      <c r="D288">
        <f t="shared" si="4"/>
        <v>895</v>
      </c>
      <c r="E288" s="213"/>
      <c r="F288" s="213"/>
      <c r="G288" s="213"/>
      <c r="H288" s="213"/>
      <c r="I288" s="213"/>
      <c r="J288" s="213"/>
      <c r="K288" s="213"/>
      <c r="L288" s="213"/>
      <c r="M288" s="213"/>
      <c r="N288" s="213"/>
      <c r="O288" s="213"/>
      <c r="P288" s="213"/>
      <c r="Y288" s="33"/>
      <c r="Z288" s="33"/>
      <c r="AA288" s="33"/>
      <c r="AD288" s="33"/>
    </row>
    <row r="289" spans="1:30">
      <c r="A289" s="213">
        <v>2207</v>
      </c>
      <c r="B289" s="213" t="s">
        <v>737</v>
      </c>
      <c r="C289" s="213">
        <v>363</v>
      </c>
      <c r="D289">
        <f t="shared" si="4"/>
        <v>16</v>
      </c>
      <c r="E289" s="213"/>
      <c r="F289" s="213"/>
      <c r="G289" s="213"/>
      <c r="H289" s="213"/>
      <c r="I289" s="213"/>
      <c r="J289" s="213"/>
      <c r="K289" s="213"/>
      <c r="L289" s="213"/>
      <c r="M289" s="213"/>
      <c r="N289" s="213"/>
      <c r="O289" s="213"/>
      <c r="P289" s="213"/>
      <c r="Y289" s="33"/>
      <c r="Z289" s="33"/>
      <c r="AA289" s="33"/>
      <c r="AD289" s="33"/>
    </row>
    <row r="290" spans="1:30">
      <c r="A290" s="213">
        <v>2208</v>
      </c>
      <c r="B290" s="213" t="s">
        <v>738</v>
      </c>
      <c r="C290" s="213">
        <v>13.4</v>
      </c>
      <c r="D290">
        <f t="shared" si="4"/>
        <v>1191</v>
      </c>
      <c r="E290" s="213"/>
      <c r="F290" s="213"/>
      <c r="G290" s="213"/>
      <c r="H290" s="213"/>
      <c r="I290" s="213"/>
      <c r="J290" s="213"/>
      <c r="K290" s="213"/>
      <c r="L290" s="213"/>
      <c r="M290" s="213"/>
      <c r="N290" s="213"/>
      <c r="O290" s="213"/>
      <c r="P290" s="213"/>
      <c r="Y290" s="33"/>
      <c r="Z290" s="33"/>
      <c r="AA290" s="33"/>
      <c r="AD290" s="33"/>
    </row>
    <row r="291" spans="1:30">
      <c r="A291" s="213">
        <v>2227</v>
      </c>
      <c r="B291" s="213" t="s">
        <v>739</v>
      </c>
      <c r="C291" s="213">
        <v>198.5</v>
      </c>
      <c r="D291">
        <f t="shared" si="4"/>
        <v>48</v>
      </c>
      <c r="E291" s="213"/>
      <c r="F291" s="213"/>
      <c r="G291" s="213"/>
      <c r="H291" s="213"/>
      <c r="I291" s="213"/>
      <c r="J291" s="213"/>
      <c r="K291" s="213"/>
      <c r="L291" s="213"/>
      <c r="M291" s="213"/>
      <c r="N291" s="213"/>
      <c r="O291" s="213"/>
      <c r="P291" s="213"/>
      <c r="Y291" s="33"/>
      <c r="Z291" s="33"/>
      <c r="AA291" s="33"/>
      <c r="AD291" s="33"/>
    </row>
    <row r="292" spans="1:30">
      <c r="A292" s="213">
        <v>2228</v>
      </c>
      <c r="B292" s="213" t="s">
        <v>740</v>
      </c>
      <c r="C292" s="213">
        <v>192</v>
      </c>
      <c r="D292">
        <f t="shared" si="4"/>
        <v>52</v>
      </c>
      <c r="E292" s="213"/>
      <c r="F292" s="213"/>
      <c r="G292" s="213"/>
      <c r="H292" s="213"/>
      <c r="I292" s="213"/>
      <c r="J292" s="213"/>
      <c r="K292" s="213"/>
      <c r="L292" s="213"/>
      <c r="M292" s="213"/>
      <c r="N292" s="213"/>
      <c r="O292" s="213"/>
      <c r="P292" s="213"/>
      <c r="Y292" s="33"/>
      <c r="Z292" s="33"/>
      <c r="AA292" s="33"/>
      <c r="AD292" s="33"/>
    </row>
    <row r="293" spans="1:30">
      <c r="A293" s="213">
        <v>2231</v>
      </c>
      <c r="B293" s="213" t="s">
        <v>741</v>
      </c>
      <c r="C293" s="213">
        <v>312</v>
      </c>
      <c r="D293">
        <f t="shared" si="4"/>
        <v>21</v>
      </c>
      <c r="E293" s="213"/>
      <c r="F293" s="213"/>
      <c r="G293" s="213"/>
      <c r="H293" s="213"/>
      <c r="I293" s="213"/>
      <c r="J293" s="213"/>
      <c r="K293" s="213"/>
      <c r="L293" s="213"/>
      <c r="M293" s="213"/>
      <c r="N293" s="213"/>
      <c r="O293" s="213"/>
      <c r="P293" s="213"/>
      <c r="Y293" s="33"/>
      <c r="Z293" s="33"/>
      <c r="AA293" s="33"/>
      <c r="AD293" s="33"/>
    </row>
    <row r="294" spans="1:30">
      <c r="A294" s="213">
        <v>2236</v>
      </c>
      <c r="B294" s="213" t="s">
        <v>2042</v>
      </c>
      <c r="C294" s="213">
        <v>56</v>
      </c>
      <c r="D294">
        <f t="shared" si="4"/>
        <v>297</v>
      </c>
      <c r="E294" s="213"/>
      <c r="F294" s="213"/>
      <c r="G294" s="213"/>
      <c r="H294" s="213"/>
      <c r="I294" s="213"/>
      <c r="J294" s="213"/>
      <c r="K294" s="213"/>
      <c r="L294" s="213"/>
      <c r="M294" s="213"/>
      <c r="N294" s="213"/>
      <c r="O294" s="213"/>
      <c r="P294" s="213"/>
      <c r="Y294" s="33"/>
      <c r="Z294" s="33"/>
      <c r="AA294" s="33"/>
      <c r="AD294" s="33"/>
    </row>
    <row r="295" spans="1:30">
      <c r="A295" s="213">
        <v>2239</v>
      </c>
      <c r="B295" s="213" t="s">
        <v>2043</v>
      </c>
      <c r="C295" s="213">
        <v>182</v>
      </c>
      <c r="D295">
        <f t="shared" si="4"/>
        <v>57</v>
      </c>
      <c r="E295" s="213"/>
      <c r="F295" s="213"/>
      <c r="G295" s="213"/>
      <c r="H295" s="213"/>
      <c r="I295" s="213"/>
      <c r="J295" s="213"/>
      <c r="K295" s="213"/>
      <c r="L295" s="213"/>
      <c r="M295" s="213"/>
      <c r="N295" s="213"/>
      <c r="O295" s="213"/>
      <c r="P295" s="213"/>
      <c r="Y295" s="33"/>
      <c r="Z295" s="33"/>
      <c r="AA295" s="33"/>
      <c r="AD295" s="33"/>
    </row>
    <row r="296" spans="1:30">
      <c r="A296" s="213">
        <v>2301</v>
      </c>
      <c r="B296" s="213" t="s">
        <v>742</v>
      </c>
      <c r="C296" s="213">
        <v>45.85</v>
      </c>
      <c r="D296">
        <f t="shared" si="4"/>
        <v>387</v>
      </c>
      <c r="E296" s="213"/>
      <c r="F296" s="213"/>
      <c r="G296" s="213"/>
      <c r="H296" s="213"/>
      <c r="I296" s="213"/>
      <c r="J296" s="213"/>
      <c r="K296" s="213"/>
      <c r="L296" s="213"/>
      <c r="M296" s="213"/>
      <c r="N296" s="213"/>
      <c r="O296" s="213"/>
      <c r="P296" s="213"/>
      <c r="Y296" s="33"/>
      <c r="Z296" s="33"/>
      <c r="AA296" s="33"/>
      <c r="AD296" s="33"/>
    </row>
    <row r="297" spans="1:30">
      <c r="A297" s="213">
        <v>2302</v>
      </c>
      <c r="B297" s="213" t="s">
        <v>743</v>
      </c>
      <c r="C297" s="213">
        <v>6.93</v>
      </c>
      <c r="D297">
        <f t="shared" si="4"/>
        <v>1520</v>
      </c>
      <c r="E297" s="213"/>
      <c r="F297" s="213"/>
      <c r="G297" s="213"/>
      <c r="H297" s="213"/>
      <c r="I297" s="213"/>
      <c r="J297" s="213"/>
      <c r="K297" s="213"/>
      <c r="L297" s="213"/>
      <c r="M297" s="213"/>
      <c r="N297" s="213"/>
      <c r="O297" s="213"/>
      <c r="P297" s="213"/>
      <c r="Y297" s="33"/>
      <c r="Z297" s="33"/>
      <c r="AA297" s="33"/>
      <c r="AD297" s="33"/>
    </row>
    <row r="298" spans="1:30">
      <c r="A298" s="213">
        <v>2303</v>
      </c>
      <c r="B298" s="213" t="s">
        <v>744</v>
      </c>
      <c r="C298" s="213">
        <v>11.65</v>
      </c>
      <c r="D298">
        <f t="shared" si="4"/>
        <v>1278</v>
      </c>
      <c r="E298" s="213"/>
      <c r="F298" s="213"/>
      <c r="G298" s="213"/>
      <c r="H298" s="213"/>
      <c r="I298" s="213"/>
      <c r="J298" s="213"/>
      <c r="K298" s="213"/>
      <c r="L298" s="213"/>
      <c r="M298" s="33"/>
      <c r="N298" s="213"/>
      <c r="O298" s="213"/>
      <c r="P298" s="213"/>
      <c r="Y298" s="33"/>
      <c r="Z298" s="33"/>
      <c r="AA298" s="33"/>
      <c r="AD298" s="33"/>
    </row>
    <row r="299" spans="1:30">
      <c r="A299" s="213">
        <v>2305</v>
      </c>
      <c r="B299" s="213" t="s">
        <v>745</v>
      </c>
      <c r="C299" s="213">
        <v>7.93</v>
      </c>
      <c r="D299">
        <f t="shared" si="4"/>
        <v>1472</v>
      </c>
      <c r="E299" s="213"/>
      <c r="F299" s="213"/>
      <c r="G299" s="213"/>
      <c r="H299" s="213"/>
      <c r="I299" s="213"/>
      <c r="J299" s="213"/>
      <c r="K299" s="213"/>
      <c r="L299" s="213"/>
      <c r="M299" s="213"/>
      <c r="N299" s="213"/>
      <c r="O299" s="213"/>
      <c r="P299" s="213"/>
      <c r="Y299" s="33"/>
      <c r="Z299" s="33"/>
      <c r="AA299" s="33"/>
      <c r="AD299" s="33"/>
    </row>
    <row r="300" spans="1:30">
      <c r="A300" s="213">
        <v>2308</v>
      </c>
      <c r="B300" s="213" t="s">
        <v>746</v>
      </c>
      <c r="C300" s="213">
        <v>166</v>
      </c>
      <c r="D300">
        <f t="shared" si="4"/>
        <v>67</v>
      </c>
      <c r="E300" s="213"/>
      <c r="F300" s="213"/>
      <c r="G300" s="213"/>
      <c r="H300" s="213"/>
      <c r="I300" s="213"/>
      <c r="J300" s="213"/>
      <c r="K300" s="213"/>
      <c r="L300" s="213"/>
      <c r="M300" s="213"/>
      <c r="N300" s="213"/>
      <c r="O300" s="213"/>
      <c r="P300" s="213"/>
      <c r="Y300" s="33"/>
      <c r="Z300" s="33"/>
      <c r="AD300" s="33"/>
    </row>
    <row r="301" spans="1:30">
      <c r="A301" s="213">
        <v>2311</v>
      </c>
      <c r="B301" s="213" t="s">
        <v>747</v>
      </c>
      <c r="C301" s="213">
        <v>37.799999999999997</v>
      </c>
      <c r="D301">
        <f t="shared" si="4"/>
        <v>485</v>
      </c>
      <c r="E301" s="213"/>
      <c r="F301" s="213"/>
      <c r="G301" s="213"/>
      <c r="H301" s="213"/>
      <c r="I301" s="213"/>
      <c r="J301" s="213"/>
      <c r="K301" s="213"/>
      <c r="L301" s="213"/>
      <c r="M301" s="213"/>
      <c r="N301" s="213"/>
      <c r="O301" s="213"/>
      <c r="P301" s="213"/>
      <c r="Y301" s="33"/>
      <c r="Z301" s="33"/>
      <c r="AD301" s="33"/>
    </row>
    <row r="302" spans="1:30">
      <c r="A302" s="213">
        <v>2312</v>
      </c>
      <c r="B302" s="213" t="s">
        <v>748</v>
      </c>
      <c r="C302" s="213">
        <v>11.9</v>
      </c>
      <c r="D302">
        <f t="shared" si="4"/>
        <v>1264</v>
      </c>
      <c r="E302" s="213"/>
      <c r="F302" s="213"/>
      <c r="G302" s="213"/>
      <c r="H302" s="213"/>
      <c r="I302" s="213"/>
      <c r="J302" s="213"/>
      <c r="K302" s="213"/>
      <c r="L302" s="213"/>
      <c r="M302" s="213"/>
      <c r="N302" s="213"/>
      <c r="O302" s="213"/>
      <c r="P302" s="213"/>
      <c r="Y302" s="33"/>
      <c r="Z302" s="33"/>
      <c r="AA302" s="33"/>
      <c r="AD302" s="33"/>
    </row>
    <row r="303" spans="1:30">
      <c r="A303" s="213">
        <v>2313</v>
      </c>
      <c r="B303" s="213" t="s">
        <v>749</v>
      </c>
      <c r="C303" s="213">
        <v>17.149999999999999</v>
      </c>
      <c r="D303">
        <f t="shared" si="4"/>
        <v>1018</v>
      </c>
      <c r="E303" s="213"/>
      <c r="F303" s="213"/>
      <c r="G303" s="213"/>
      <c r="H303" s="213"/>
      <c r="I303" s="213"/>
      <c r="J303" s="213"/>
      <c r="K303" s="213"/>
      <c r="L303" s="213"/>
      <c r="M303" s="213"/>
      <c r="N303" s="213"/>
      <c r="O303" s="213"/>
      <c r="P303" s="213"/>
      <c r="Y303" s="33"/>
      <c r="Z303" s="33"/>
      <c r="AA303" s="33"/>
      <c r="AD303" s="33"/>
    </row>
    <row r="304" spans="1:30">
      <c r="A304" s="213">
        <v>2314</v>
      </c>
      <c r="B304" s="213" t="s">
        <v>750</v>
      </c>
      <c r="C304" s="213">
        <v>25.65</v>
      </c>
      <c r="D304">
        <f t="shared" si="4"/>
        <v>722</v>
      </c>
      <c r="E304" s="213"/>
      <c r="F304" s="213"/>
      <c r="G304" s="213"/>
      <c r="H304" s="213"/>
      <c r="I304" s="213"/>
      <c r="J304" s="213"/>
      <c r="K304" s="213"/>
      <c r="L304" s="213"/>
      <c r="M304" s="213"/>
      <c r="N304" s="213"/>
      <c r="O304" s="213"/>
      <c r="P304" s="213"/>
      <c r="Y304" s="33"/>
      <c r="Z304" s="33"/>
      <c r="AA304" s="33"/>
      <c r="AD304" s="33"/>
    </row>
    <row r="305" spans="1:30">
      <c r="A305" s="213">
        <v>2316</v>
      </c>
      <c r="B305" s="213" t="s">
        <v>751</v>
      </c>
      <c r="C305" s="213">
        <v>17.95</v>
      </c>
      <c r="D305">
        <f t="shared" si="4"/>
        <v>977</v>
      </c>
      <c r="E305" s="213"/>
      <c r="F305" s="213"/>
      <c r="G305" s="213"/>
      <c r="H305" s="213"/>
      <c r="I305" s="213"/>
      <c r="J305" s="213"/>
      <c r="K305" s="213"/>
      <c r="L305" s="213"/>
      <c r="M305" s="213"/>
      <c r="N305" s="213"/>
      <c r="O305" s="213"/>
      <c r="P305" s="213"/>
      <c r="Y305" s="33"/>
      <c r="Z305" s="33"/>
      <c r="AA305" s="33"/>
      <c r="AD305" s="33"/>
    </row>
    <row r="306" spans="1:30">
      <c r="A306" s="213">
        <v>2317</v>
      </c>
      <c r="B306" s="213" t="s">
        <v>752</v>
      </c>
      <c r="C306" s="213">
        <v>84.2</v>
      </c>
      <c r="D306">
        <f t="shared" si="4"/>
        <v>171</v>
      </c>
      <c r="E306" s="213"/>
      <c r="F306" s="213"/>
      <c r="G306" s="213"/>
      <c r="H306" s="213"/>
      <c r="I306" s="213"/>
      <c r="J306" s="213"/>
      <c r="K306" s="213"/>
      <c r="L306" s="213"/>
      <c r="M306" s="213"/>
      <c r="N306" s="213"/>
      <c r="O306" s="213"/>
      <c r="P306" s="213"/>
      <c r="Y306" s="33"/>
      <c r="Z306" s="33"/>
      <c r="AA306" s="33"/>
      <c r="AD306" s="33"/>
    </row>
    <row r="307" spans="1:30">
      <c r="A307" s="213">
        <v>2321</v>
      </c>
      <c r="B307" s="213" t="s">
        <v>753</v>
      </c>
      <c r="C307" s="213">
        <v>2.09</v>
      </c>
      <c r="D307">
        <f t="shared" si="4"/>
        <v>1614</v>
      </c>
      <c r="E307" s="213"/>
      <c r="F307" s="213"/>
      <c r="G307" s="213"/>
      <c r="H307" s="213"/>
      <c r="I307" s="213"/>
      <c r="J307" s="213"/>
      <c r="K307" s="213"/>
      <c r="L307" s="213"/>
      <c r="M307" s="213"/>
      <c r="N307" s="213"/>
      <c r="O307" s="213"/>
      <c r="P307" s="213"/>
      <c r="Y307" s="33"/>
      <c r="Z307" s="33"/>
      <c r="AA307" s="33"/>
      <c r="AD307" s="33"/>
    </row>
    <row r="308" spans="1:30">
      <c r="A308" s="213">
        <v>2323</v>
      </c>
      <c r="B308" s="213" t="s">
        <v>754</v>
      </c>
      <c r="C308" s="213">
        <v>3.74</v>
      </c>
      <c r="D308">
        <f t="shared" si="4"/>
        <v>1594</v>
      </c>
      <c r="E308" s="213"/>
      <c r="F308" s="213"/>
      <c r="G308" s="213"/>
      <c r="H308" s="213"/>
      <c r="I308" s="213"/>
      <c r="J308" s="213"/>
      <c r="K308" s="213"/>
      <c r="L308" s="213"/>
      <c r="M308" s="213"/>
      <c r="N308" s="213"/>
      <c r="O308" s="213"/>
      <c r="P308" s="213"/>
      <c r="Y308" s="33"/>
      <c r="Z308" s="33"/>
      <c r="AA308" s="33"/>
      <c r="AD308" s="33"/>
    </row>
    <row r="309" spans="1:30">
      <c r="A309" s="213">
        <v>2324</v>
      </c>
      <c r="B309" s="213" t="s">
        <v>755</v>
      </c>
      <c r="C309" s="213">
        <v>19.05</v>
      </c>
      <c r="D309">
        <f t="shared" si="4"/>
        <v>933</v>
      </c>
      <c r="E309" s="213"/>
      <c r="F309" s="213"/>
      <c r="G309" s="213"/>
      <c r="H309" s="213"/>
      <c r="I309" s="213"/>
      <c r="J309" s="213"/>
      <c r="K309" s="213"/>
      <c r="L309" s="213"/>
      <c r="M309" s="213"/>
      <c r="N309" s="213"/>
      <c r="O309" s="213"/>
      <c r="P309" s="213"/>
      <c r="Y309" s="33"/>
      <c r="Z309" s="33"/>
      <c r="AA309" s="33"/>
      <c r="AD309" s="33"/>
    </row>
    <row r="310" spans="1:30">
      <c r="A310" s="213">
        <v>2325</v>
      </c>
      <c r="B310" s="213" t="s">
        <v>756</v>
      </c>
      <c r="C310" s="213">
        <v>47.5</v>
      </c>
      <c r="D310">
        <f t="shared" si="4"/>
        <v>371</v>
      </c>
      <c r="E310" s="213"/>
      <c r="F310" s="213"/>
      <c r="G310" s="213"/>
      <c r="H310" s="213"/>
      <c r="I310" s="213"/>
      <c r="J310" s="213"/>
      <c r="K310" s="213"/>
      <c r="L310" s="213"/>
      <c r="M310" s="33"/>
      <c r="N310" s="213"/>
      <c r="O310" s="213"/>
      <c r="P310" s="213"/>
      <c r="Y310" s="33"/>
      <c r="Z310" s="33"/>
      <c r="AA310" s="33"/>
      <c r="AD310" s="33"/>
    </row>
    <row r="311" spans="1:30">
      <c r="A311" s="213">
        <v>2327</v>
      </c>
      <c r="B311" s="213" t="s">
        <v>757</v>
      </c>
      <c r="C311" s="213">
        <v>64.099999999999994</v>
      </c>
      <c r="D311">
        <f t="shared" si="4"/>
        <v>254</v>
      </c>
      <c r="E311" s="213"/>
      <c r="F311" s="213"/>
      <c r="G311" s="213"/>
      <c r="H311" s="213"/>
      <c r="I311" s="213"/>
      <c r="J311" s="213"/>
      <c r="K311" s="213"/>
      <c r="L311" s="213"/>
      <c r="M311" s="213"/>
      <c r="N311" s="213"/>
      <c r="O311" s="213"/>
      <c r="P311" s="213"/>
      <c r="Y311" s="33"/>
      <c r="Z311" s="33"/>
      <c r="AA311" s="33"/>
      <c r="AD311" s="33"/>
    </row>
    <row r="312" spans="1:30">
      <c r="A312" s="213">
        <v>2328</v>
      </c>
      <c r="B312" s="213" t="s">
        <v>758</v>
      </c>
      <c r="C312" s="213">
        <v>27.7</v>
      </c>
      <c r="D312">
        <f t="shared" si="4"/>
        <v>672</v>
      </c>
      <c r="E312" s="213"/>
      <c r="F312" s="213"/>
      <c r="G312" s="213"/>
      <c r="H312" s="213"/>
      <c r="I312" s="213"/>
      <c r="J312" s="213"/>
      <c r="K312" s="213"/>
      <c r="L312" s="213"/>
      <c r="M312" s="213"/>
      <c r="N312" s="213"/>
      <c r="O312" s="213"/>
      <c r="P312" s="213"/>
      <c r="Y312" s="33"/>
      <c r="Z312" s="33"/>
      <c r="AA312" s="33"/>
      <c r="AD312" s="33"/>
    </row>
    <row r="313" spans="1:30">
      <c r="A313" s="213">
        <v>2329</v>
      </c>
      <c r="B313" s="213" t="s">
        <v>759</v>
      </c>
      <c r="C313" s="213">
        <v>11.4</v>
      </c>
      <c r="D313">
        <f t="shared" si="4"/>
        <v>1290</v>
      </c>
      <c r="E313" s="213"/>
      <c r="F313" s="213"/>
      <c r="G313" s="213"/>
      <c r="H313" s="213"/>
      <c r="I313" s="213"/>
      <c r="J313" s="213"/>
      <c r="K313" s="213"/>
      <c r="L313" s="213"/>
      <c r="M313" s="213"/>
      <c r="N313" s="213"/>
      <c r="O313" s="213"/>
      <c r="P313" s="213"/>
      <c r="Y313" s="33"/>
      <c r="Z313" s="33"/>
      <c r="AA313" s="33"/>
      <c r="AD313" s="33"/>
    </row>
    <row r="314" spans="1:30">
      <c r="A314" s="213">
        <v>2330</v>
      </c>
      <c r="B314" s="213" t="s">
        <v>760</v>
      </c>
      <c r="C314" s="213">
        <v>191</v>
      </c>
      <c r="D314">
        <f t="shared" si="4"/>
        <v>54</v>
      </c>
      <c r="E314" s="213"/>
      <c r="F314" s="213"/>
      <c r="G314" s="213"/>
      <c r="H314" s="213"/>
      <c r="I314" s="213"/>
      <c r="J314" s="213"/>
      <c r="K314" s="213"/>
      <c r="L314" s="213"/>
      <c r="M314" s="213"/>
      <c r="N314" s="213"/>
      <c r="O314" s="33"/>
      <c r="P314" s="213"/>
      <c r="Y314" s="33"/>
      <c r="Z314" s="33"/>
      <c r="AA314" s="33"/>
      <c r="AD314" s="33"/>
    </row>
    <row r="315" spans="1:30">
      <c r="A315" s="213">
        <v>2331</v>
      </c>
      <c r="B315" s="213" t="s">
        <v>761</v>
      </c>
      <c r="C315" s="213">
        <v>14.5</v>
      </c>
      <c r="D315">
        <f t="shared" si="4"/>
        <v>1142</v>
      </c>
      <c r="E315" s="213"/>
      <c r="F315" s="213"/>
      <c r="G315" s="213"/>
      <c r="H315" s="213"/>
      <c r="I315" s="213"/>
      <c r="J315" s="213"/>
      <c r="K315" s="213"/>
      <c r="L315" s="213"/>
      <c r="M315" s="213"/>
      <c r="N315" s="213"/>
      <c r="O315" s="213"/>
      <c r="P315" s="213"/>
      <c r="Y315" s="33"/>
      <c r="Z315" s="33"/>
      <c r="AA315" s="33"/>
      <c r="AD315" s="33"/>
    </row>
    <row r="316" spans="1:30">
      <c r="A316" s="213">
        <v>2332</v>
      </c>
      <c r="B316" s="213" t="s">
        <v>762</v>
      </c>
      <c r="C316" s="213">
        <v>10.35</v>
      </c>
      <c r="D316">
        <f t="shared" si="4"/>
        <v>1335</v>
      </c>
      <c r="E316" s="213"/>
      <c r="F316" s="213"/>
      <c r="G316" s="213"/>
      <c r="H316" s="213"/>
      <c r="I316" s="213"/>
      <c r="J316" s="213"/>
      <c r="K316" s="213"/>
      <c r="L316" s="213"/>
      <c r="M316" s="213"/>
      <c r="N316" s="213"/>
      <c r="O316" s="213"/>
      <c r="P316" s="213"/>
      <c r="Y316" s="33"/>
      <c r="Z316" s="33"/>
      <c r="AA316" s="33"/>
      <c r="AD316" s="33"/>
    </row>
    <row r="317" spans="1:30">
      <c r="A317" s="213">
        <v>2337</v>
      </c>
      <c r="B317" s="213" t="s">
        <v>763</v>
      </c>
      <c r="C317" s="213">
        <v>4.62</v>
      </c>
      <c r="D317">
        <f t="shared" si="4"/>
        <v>1583</v>
      </c>
      <c r="E317" s="213"/>
      <c r="F317" s="213"/>
      <c r="G317" s="213"/>
      <c r="H317" s="213"/>
      <c r="I317" s="213"/>
      <c r="J317" s="213"/>
      <c r="K317" s="213"/>
      <c r="L317" s="213"/>
      <c r="M317" s="213"/>
      <c r="N317" s="213"/>
      <c r="O317" s="213"/>
      <c r="P317" s="213"/>
      <c r="Y317" s="33"/>
      <c r="Z317" s="33"/>
      <c r="AA317" s="33"/>
      <c r="AD317" s="33"/>
    </row>
    <row r="318" spans="1:30">
      <c r="A318" s="213">
        <v>2338</v>
      </c>
      <c r="B318" s="213" t="s">
        <v>764</v>
      </c>
      <c r="C318" s="213">
        <v>8.18</v>
      </c>
      <c r="D318">
        <f t="shared" si="4"/>
        <v>1458</v>
      </c>
      <c r="E318" s="213"/>
      <c r="F318" s="213"/>
      <c r="G318" s="213"/>
      <c r="H318" s="213"/>
      <c r="I318" s="213"/>
      <c r="J318" s="213"/>
      <c r="K318" s="213"/>
      <c r="L318" s="213"/>
      <c r="M318" s="213"/>
      <c r="N318" s="213"/>
      <c r="O318" s="213"/>
      <c r="P318" s="213"/>
      <c r="Y318" s="33"/>
      <c r="Z318" s="33"/>
      <c r="AA318" s="33"/>
      <c r="AD318" s="33"/>
    </row>
    <row r="319" spans="1:30">
      <c r="A319" s="213">
        <v>2340</v>
      </c>
      <c r="B319" s="213" t="s">
        <v>765</v>
      </c>
      <c r="C319" s="213">
        <v>13.65</v>
      </c>
      <c r="D319">
        <f t="shared" si="4"/>
        <v>1183</v>
      </c>
      <c r="E319" s="213"/>
      <c r="F319" s="213"/>
      <c r="G319" s="213"/>
      <c r="H319" s="213"/>
      <c r="I319" s="213"/>
      <c r="J319" s="213"/>
      <c r="K319" s="213"/>
      <c r="L319" s="213"/>
      <c r="M319" s="213"/>
      <c r="N319" s="213"/>
      <c r="O319" s="213"/>
      <c r="P319" s="213"/>
      <c r="Y319" s="33"/>
      <c r="Z319" s="33"/>
      <c r="AA319" s="33"/>
      <c r="AD319" s="33"/>
    </row>
    <row r="320" spans="1:30">
      <c r="A320" s="213">
        <v>2342</v>
      </c>
      <c r="B320" s="213" t="s">
        <v>766</v>
      </c>
      <c r="C320" s="213">
        <v>2.31</v>
      </c>
      <c r="D320">
        <f t="shared" si="4"/>
        <v>1609</v>
      </c>
      <c r="E320" s="213"/>
      <c r="F320" s="213"/>
      <c r="G320" s="213"/>
      <c r="H320" s="213"/>
      <c r="I320" s="213"/>
      <c r="J320" s="213"/>
      <c r="K320" s="213"/>
      <c r="L320" s="213"/>
      <c r="M320" s="213"/>
      <c r="N320" s="213"/>
      <c r="O320" s="213"/>
      <c r="P320" s="213"/>
      <c r="Y320" s="33"/>
      <c r="Z320" s="33"/>
      <c r="AA320" s="33"/>
      <c r="AD320" s="33"/>
    </row>
    <row r="321" spans="1:30">
      <c r="A321" s="213">
        <v>2344</v>
      </c>
      <c r="B321" s="213" t="s">
        <v>767</v>
      </c>
      <c r="C321" s="213">
        <v>10.199999999999999</v>
      </c>
      <c r="D321">
        <f t="shared" si="4"/>
        <v>1345</v>
      </c>
      <c r="E321" s="213"/>
      <c r="F321" s="213"/>
      <c r="G321" s="213"/>
      <c r="H321" s="213"/>
      <c r="I321" s="213"/>
      <c r="J321" s="213"/>
      <c r="K321" s="213"/>
      <c r="L321" s="213"/>
      <c r="M321" s="213"/>
      <c r="N321" s="213"/>
      <c r="O321" s="213"/>
      <c r="P321" s="213"/>
      <c r="Y321" s="33"/>
      <c r="Z321" s="33"/>
      <c r="AA321" s="33"/>
      <c r="AD321" s="33"/>
    </row>
    <row r="322" spans="1:30">
      <c r="A322" s="213">
        <v>2345</v>
      </c>
      <c r="B322" s="213" t="s">
        <v>768</v>
      </c>
      <c r="C322" s="213">
        <v>46.95</v>
      </c>
      <c r="D322">
        <f t="shared" ref="D322:D385" si="5">RANK(C322,C:C,0)</f>
        <v>375</v>
      </c>
      <c r="E322" s="213"/>
      <c r="F322" s="213"/>
      <c r="G322" s="213"/>
      <c r="H322" s="213"/>
      <c r="I322" s="213"/>
      <c r="J322" s="213"/>
      <c r="K322" s="213"/>
      <c r="L322" s="213"/>
      <c r="M322" s="213"/>
      <c r="N322" s="213"/>
      <c r="O322" s="213"/>
      <c r="P322" s="213"/>
      <c r="Y322" s="33"/>
      <c r="Z322" s="33"/>
      <c r="AA322" s="33"/>
      <c r="AD322" s="33"/>
    </row>
    <row r="323" spans="1:30">
      <c r="A323" s="213">
        <v>2347</v>
      </c>
      <c r="B323" s="213" t="s">
        <v>769</v>
      </c>
      <c r="C323" s="213">
        <v>34</v>
      </c>
      <c r="D323">
        <f t="shared" si="5"/>
        <v>538</v>
      </c>
      <c r="E323" s="213"/>
      <c r="F323" s="213"/>
      <c r="G323" s="213"/>
      <c r="H323" s="213"/>
      <c r="I323" s="213"/>
      <c r="J323" s="213"/>
      <c r="K323" s="213"/>
      <c r="L323" s="213"/>
      <c r="M323" s="213"/>
      <c r="N323" s="213"/>
      <c r="O323" s="213"/>
      <c r="P323" s="213"/>
      <c r="Y323" s="33"/>
      <c r="Z323" s="33"/>
      <c r="AA323" s="33"/>
      <c r="AD323" s="33"/>
    </row>
    <row r="324" spans="1:30">
      <c r="A324" s="213">
        <v>2348</v>
      </c>
      <c r="B324" s="213" t="s">
        <v>770</v>
      </c>
      <c r="C324" s="213">
        <v>20.6</v>
      </c>
      <c r="D324">
        <f t="shared" si="5"/>
        <v>886</v>
      </c>
      <c r="E324" s="213"/>
      <c r="F324" s="213"/>
      <c r="G324" s="213"/>
      <c r="H324" s="213"/>
      <c r="I324" s="213"/>
      <c r="J324" s="213"/>
      <c r="K324" s="213"/>
      <c r="L324" s="213"/>
      <c r="M324" s="213"/>
      <c r="N324" s="213"/>
      <c r="O324" s="213"/>
      <c r="P324" s="213"/>
      <c r="Y324" s="33"/>
      <c r="Z324" s="33"/>
      <c r="AA324" s="33"/>
      <c r="AD324" s="33"/>
    </row>
    <row r="325" spans="1:30">
      <c r="A325" s="213">
        <v>2349</v>
      </c>
      <c r="B325" s="213" t="s">
        <v>771</v>
      </c>
      <c r="C325" s="213">
        <v>5.55</v>
      </c>
      <c r="D325">
        <f t="shared" si="5"/>
        <v>1564</v>
      </c>
      <c r="E325" s="213"/>
      <c r="F325" s="213"/>
      <c r="G325" s="213"/>
      <c r="H325" s="213"/>
      <c r="I325" s="213"/>
      <c r="J325" s="213"/>
      <c r="K325" s="213"/>
      <c r="L325" s="213"/>
      <c r="M325" s="213"/>
      <c r="N325" s="213"/>
      <c r="O325" s="213"/>
      <c r="P325" s="213"/>
      <c r="Y325" s="33"/>
      <c r="Z325" s="33"/>
      <c r="AA325" s="33"/>
      <c r="AD325" s="33"/>
    </row>
    <row r="326" spans="1:30">
      <c r="A326" s="213">
        <v>2351</v>
      </c>
      <c r="B326" s="213" t="s">
        <v>772</v>
      </c>
      <c r="C326" s="213">
        <v>39.9</v>
      </c>
      <c r="D326">
        <f t="shared" si="5"/>
        <v>453</v>
      </c>
      <c r="E326" s="213"/>
      <c r="F326" s="213"/>
      <c r="G326" s="213"/>
      <c r="H326" s="213"/>
      <c r="I326" s="213"/>
      <c r="J326" s="213"/>
      <c r="K326" s="213"/>
      <c r="L326" s="213"/>
      <c r="M326" s="213"/>
      <c r="N326" s="213"/>
      <c r="O326" s="213"/>
      <c r="P326" s="213"/>
      <c r="Y326" s="33"/>
      <c r="Z326" s="33"/>
      <c r="AA326" s="33"/>
      <c r="AD326" s="33"/>
    </row>
    <row r="327" spans="1:30">
      <c r="A327" s="213">
        <v>2352</v>
      </c>
      <c r="B327" s="213" t="s">
        <v>773</v>
      </c>
      <c r="C327" s="213">
        <v>13.15</v>
      </c>
      <c r="D327">
        <f t="shared" si="5"/>
        <v>1203</v>
      </c>
      <c r="E327" s="213"/>
      <c r="F327" s="213"/>
      <c r="G327" s="213"/>
      <c r="H327" s="213"/>
      <c r="I327" s="213"/>
      <c r="J327" s="213"/>
      <c r="K327" s="213"/>
      <c r="L327" s="213"/>
      <c r="M327" s="213"/>
      <c r="N327" s="213"/>
      <c r="O327" s="213"/>
      <c r="P327" s="213"/>
      <c r="Y327" s="33"/>
      <c r="Z327" s="33"/>
      <c r="AA327" s="33"/>
      <c r="AD327" s="33"/>
    </row>
    <row r="328" spans="1:30">
      <c r="A328" s="213">
        <v>2353</v>
      </c>
      <c r="B328" s="213" t="s">
        <v>774</v>
      </c>
      <c r="C328" s="213">
        <v>14.45</v>
      </c>
      <c r="D328">
        <f t="shared" si="5"/>
        <v>1143</v>
      </c>
      <c r="E328" s="213"/>
      <c r="F328" s="213"/>
      <c r="G328" s="213"/>
      <c r="H328" s="213"/>
      <c r="I328" s="213"/>
      <c r="J328" s="213"/>
      <c r="K328" s="213"/>
      <c r="L328" s="213"/>
      <c r="M328" s="213"/>
      <c r="N328" s="213"/>
      <c r="O328" s="213"/>
      <c r="P328" s="213"/>
      <c r="Y328" s="33"/>
      <c r="Z328" s="33"/>
      <c r="AA328" s="33"/>
      <c r="AD328" s="33"/>
    </row>
    <row r="329" spans="1:30">
      <c r="A329" s="213">
        <v>2354</v>
      </c>
      <c r="B329" s="213" t="s">
        <v>775</v>
      </c>
      <c r="C329" s="213">
        <v>94.9</v>
      </c>
      <c r="D329">
        <f t="shared" si="5"/>
        <v>145</v>
      </c>
      <c r="E329" s="213"/>
      <c r="F329" s="213"/>
      <c r="G329" s="213"/>
      <c r="H329" s="213"/>
      <c r="I329" s="213"/>
      <c r="J329" s="213"/>
      <c r="K329" s="213"/>
      <c r="L329" s="213"/>
      <c r="M329" s="213"/>
      <c r="N329" s="213"/>
      <c r="O329" s="213"/>
      <c r="P329" s="213"/>
      <c r="Y329" s="33"/>
      <c r="Z329" s="33"/>
      <c r="AA329" s="33"/>
      <c r="AD329" s="33"/>
    </row>
    <row r="330" spans="1:30">
      <c r="A330" s="213">
        <v>2355</v>
      </c>
      <c r="B330" s="213" t="s">
        <v>776</v>
      </c>
      <c r="C330" s="213">
        <v>63.4</v>
      </c>
      <c r="D330">
        <f t="shared" si="5"/>
        <v>258</v>
      </c>
      <c r="E330" s="213"/>
      <c r="F330" s="213"/>
      <c r="G330" s="213"/>
      <c r="H330" s="213"/>
      <c r="I330" s="213"/>
      <c r="J330" s="213"/>
      <c r="K330" s="213"/>
      <c r="L330" s="213"/>
      <c r="M330" s="213"/>
      <c r="N330" s="213"/>
      <c r="O330" s="213"/>
      <c r="P330" s="213"/>
      <c r="Y330" s="33"/>
      <c r="Z330" s="33"/>
      <c r="AA330" s="33"/>
      <c r="AD330" s="33"/>
    </row>
    <row r="331" spans="1:30">
      <c r="A331" s="213">
        <v>2356</v>
      </c>
      <c r="B331" s="213" t="s">
        <v>777</v>
      </c>
      <c r="C331" s="213">
        <v>24.85</v>
      </c>
      <c r="D331">
        <f t="shared" si="5"/>
        <v>743</v>
      </c>
      <c r="E331" s="213"/>
      <c r="F331" s="213"/>
      <c r="G331" s="213"/>
      <c r="H331" s="213"/>
      <c r="I331" s="213"/>
      <c r="J331" s="213"/>
      <c r="K331" s="213"/>
      <c r="L331" s="213"/>
      <c r="M331" s="213"/>
      <c r="N331" s="213"/>
      <c r="O331" s="213"/>
      <c r="P331" s="213"/>
      <c r="Y331" s="33"/>
      <c r="Z331" s="33"/>
      <c r="AA331" s="33"/>
      <c r="AD331" s="33"/>
    </row>
    <row r="332" spans="1:30">
      <c r="A332" s="213">
        <v>2357</v>
      </c>
      <c r="B332" s="213" t="s">
        <v>778</v>
      </c>
      <c r="C332" s="213">
        <v>280.5</v>
      </c>
      <c r="D332">
        <f t="shared" si="5"/>
        <v>24</v>
      </c>
      <c r="E332" s="213"/>
      <c r="F332" s="213"/>
      <c r="G332" s="213"/>
      <c r="H332" s="213"/>
      <c r="I332" s="213"/>
      <c r="J332" s="213"/>
      <c r="K332" s="213"/>
      <c r="L332" s="213"/>
      <c r="M332" s="213"/>
      <c r="N332" s="213"/>
      <c r="O332" s="213"/>
      <c r="P332" s="213"/>
      <c r="Y332" s="33"/>
      <c r="Z332" s="33"/>
      <c r="AA332" s="33"/>
      <c r="AD332" s="33"/>
    </row>
    <row r="333" spans="1:30">
      <c r="A333" s="213">
        <v>2359</v>
      </c>
      <c r="B333" s="213" t="s">
        <v>780</v>
      </c>
      <c r="C333" s="213">
        <v>14.55</v>
      </c>
      <c r="D333">
        <f t="shared" si="5"/>
        <v>1141</v>
      </c>
      <c r="E333" s="213"/>
      <c r="F333" s="213"/>
      <c r="G333" s="213"/>
      <c r="H333" s="213"/>
      <c r="I333" s="213"/>
      <c r="J333" s="213"/>
      <c r="K333" s="213"/>
      <c r="L333" s="213"/>
      <c r="M333" s="213"/>
      <c r="N333" s="213"/>
      <c r="O333" s="213"/>
      <c r="P333" s="213"/>
      <c r="Y333" s="33"/>
      <c r="Z333" s="33"/>
      <c r="AA333" s="33"/>
      <c r="AD333" s="33"/>
    </row>
    <row r="334" spans="1:30">
      <c r="A334" s="213">
        <v>2360</v>
      </c>
      <c r="B334" s="213" t="s">
        <v>781</v>
      </c>
      <c r="C334" s="213">
        <v>86.3</v>
      </c>
      <c r="D334">
        <f t="shared" si="5"/>
        <v>167</v>
      </c>
      <c r="E334" s="213"/>
      <c r="F334" s="213"/>
      <c r="G334" s="213"/>
      <c r="H334" s="213"/>
      <c r="I334" s="213"/>
      <c r="J334" s="213"/>
      <c r="K334" s="213"/>
      <c r="L334" s="213"/>
      <c r="M334" s="213"/>
      <c r="N334" s="213"/>
      <c r="O334" s="213"/>
      <c r="P334" s="213"/>
      <c r="Y334" s="33"/>
      <c r="Z334" s="33"/>
      <c r="AA334" s="33"/>
      <c r="AD334" s="33"/>
    </row>
    <row r="335" spans="1:30">
      <c r="A335" s="213">
        <v>2362</v>
      </c>
      <c r="B335" s="213" t="s">
        <v>782</v>
      </c>
      <c r="C335" s="213">
        <v>28.9</v>
      </c>
      <c r="D335">
        <f t="shared" si="5"/>
        <v>644</v>
      </c>
      <c r="E335" s="213"/>
      <c r="F335" s="213"/>
      <c r="G335" s="213"/>
      <c r="H335" s="213"/>
      <c r="I335" s="213"/>
      <c r="J335" s="213"/>
      <c r="K335" s="213"/>
      <c r="L335" s="213"/>
      <c r="M335" s="213"/>
      <c r="N335" s="213"/>
      <c r="O335" s="213"/>
      <c r="P335" s="213"/>
      <c r="Y335" s="33"/>
      <c r="Z335" s="33"/>
      <c r="AA335" s="33"/>
      <c r="AD335" s="33"/>
    </row>
    <row r="336" spans="1:30">
      <c r="A336" s="213">
        <v>2363</v>
      </c>
      <c r="B336" s="213" t="s">
        <v>783</v>
      </c>
      <c r="C336" s="213">
        <v>6.48</v>
      </c>
      <c r="D336">
        <f t="shared" si="5"/>
        <v>1536</v>
      </c>
      <c r="E336" s="213"/>
      <c r="F336" s="213"/>
      <c r="G336" s="213"/>
      <c r="H336" s="213"/>
      <c r="I336" s="213"/>
      <c r="J336" s="213"/>
      <c r="K336" s="213"/>
      <c r="L336" s="213"/>
      <c r="M336" s="213"/>
      <c r="N336" s="213"/>
      <c r="O336" s="213"/>
      <c r="P336" s="213"/>
      <c r="Y336" s="33"/>
      <c r="Z336" s="33"/>
      <c r="AA336" s="33"/>
      <c r="AD336" s="33"/>
    </row>
    <row r="337" spans="1:30">
      <c r="A337" s="213">
        <v>2364</v>
      </c>
      <c r="B337" s="213" t="s">
        <v>784</v>
      </c>
      <c r="C337" s="213">
        <v>2.79</v>
      </c>
      <c r="D337">
        <f t="shared" si="5"/>
        <v>1604</v>
      </c>
      <c r="E337" s="213"/>
      <c r="F337" s="213"/>
      <c r="G337" s="213"/>
      <c r="H337" s="213"/>
      <c r="I337" s="213"/>
      <c r="J337" s="213"/>
      <c r="K337" s="213"/>
      <c r="L337" s="213"/>
      <c r="M337" s="213"/>
      <c r="N337" s="213"/>
      <c r="O337" s="213"/>
      <c r="P337" s="213"/>
      <c r="Y337" s="33"/>
      <c r="Z337" s="33"/>
      <c r="AA337" s="33"/>
      <c r="AD337" s="33"/>
    </row>
    <row r="338" spans="1:30">
      <c r="A338" s="213">
        <v>2365</v>
      </c>
      <c r="B338" s="213" t="s">
        <v>785</v>
      </c>
      <c r="C338" s="213">
        <v>8.9499999999999993</v>
      </c>
      <c r="D338">
        <f t="shared" si="5"/>
        <v>1429</v>
      </c>
      <c r="E338" s="213"/>
      <c r="F338" s="213"/>
      <c r="G338" s="213"/>
      <c r="H338" s="213"/>
      <c r="I338" s="213"/>
      <c r="J338" s="213"/>
      <c r="K338" s="213"/>
      <c r="L338" s="213"/>
      <c r="M338" s="213"/>
      <c r="N338" s="213"/>
      <c r="O338" s="213"/>
      <c r="P338" s="213"/>
      <c r="Y338" s="33"/>
      <c r="Z338" s="33"/>
      <c r="AA338" s="33"/>
      <c r="AD338" s="33"/>
    </row>
    <row r="339" spans="1:30">
      <c r="A339" s="213">
        <v>2367</v>
      </c>
      <c r="B339" s="213" t="s">
        <v>786</v>
      </c>
      <c r="C339" s="213">
        <v>9.99</v>
      </c>
      <c r="D339">
        <f t="shared" si="5"/>
        <v>1369</v>
      </c>
      <c r="E339" s="213"/>
      <c r="F339" s="213"/>
      <c r="G339" s="213"/>
      <c r="H339" s="213"/>
      <c r="I339" s="213"/>
      <c r="J339" s="213"/>
      <c r="K339" s="213"/>
      <c r="L339" s="213"/>
      <c r="M339" s="213"/>
      <c r="N339" s="213"/>
      <c r="O339" s="213"/>
      <c r="P339" s="213"/>
      <c r="Y339" s="33"/>
      <c r="Z339" s="33"/>
      <c r="AA339" s="33"/>
      <c r="AD339" s="33"/>
    </row>
    <row r="340" spans="1:30">
      <c r="A340" s="213">
        <v>2368</v>
      </c>
      <c r="B340" s="213" t="s">
        <v>787</v>
      </c>
      <c r="C340" s="213">
        <v>10.95</v>
      </c>
      <c r="D340">
        <f t="shared" si="5"/>
        <v>1311</v>
      </c>
      <c r="E340" s="213"/>
      <c r="F340" s="213"/>
      <c r="G340" s="213"/>
      <c r="H340" s="213"/>
      <c r="I340" s="213"/>
      <c r="J340" s="213"/>
      <c r="K340" s="213"/>
      <c r="L340" s="213"/>
      <c r="M340" s="213"/>
      <c r="N340" s="213"/>
      <c r="O340" s="213"/>
      <c r="P340" s="213"/>
      <c r="Y340" s="33"/>
      <c r="Z340" s="33"/>
      <c r="AA340" s="33"/>
      <c r="AD340" s="33"/>
    </row>
    <row r="341" spans="1:30">
      <c r="A341" s="213">
        <v>2369</v>
      </c>
      <c r="B341" s="213" t="s">
        <v>788</v>
      </c>
      <c r="C341" s="213">
        <v>11.6</v>
      </c>
      <c r="D341">
        <f t="shared" si="5"/>
        <v>1280</v>
      </c>
      <c r="E341" s="213"/>
      <c r="F341" s="213"/>
      <c r="G341" s="213"/>
      <c r="H341" s="213"/>
      <c r="I341" s="213"/>
      <c r="J341" s="213"/>
      <c r="K341" s="213"/>
      <c r="L341" s="213"/>
      <c r="M341" s="213"/>
      <c r="N341" s="213"/>
      <c r="O341" s="213"/>
      <c r="P341" s="213"/>
      <c r="Y341" s="33"/>
      <c r="Z341" s="33"/>
      <c r="AA341" s="33"/>
      <c r="AD341" s="33"/>
    </row>
    <row r="342" spans="1:30">
      <c r="A342" s="213">
        <v>2371</v>
      </c>
      <c r="B342" s="213" t="s">
        <v>789</v>
      </c>
      <c r="C342" s="213">
        <v>8.02</v>
      </c>
      <c r="D342">
        <f t="shared" si="5"/>
        <v>1465</v>
      </c>
      <c r="E342" s="213"/>
      <c r="F342" s="213"/>
      <c r="G342" s="213"/>
      <c r="H342" s="213"/>
      <c r="I342" s="213"/>
      <c r="J342" s="213"/>
      <c r="K342" s="213"/>
      <c r="L342" s="213"/>
      <c r="M342" s="213"/>
      <c r="N342" s="213"/>
      <c r="O342" s="213"/>
      <c r="P342" s="213"/>
      <c r="Y342" s="33"/>
      <c r="Z342" s="33"/>
      <c r="AA342" s="33"/>
      <c r="AD342" s="33"/>
    </row>
    <row r="343" spans="1:30">
      <c r="A343" s="213">
        <v>2373</v>
      </c>
      <c r="B343" s="213" t="s">
        <v>790</v>
      </c>
      <c r="C343" s="213">
        <v>51.2</v>
      </c>
      <c r="D343">
        <f t="shared" si="5"/>
        <v>328</v>
      </c>
      <c r="E343" s="213"/>
      <c r="F343" s="213"/>
      <c r="G343" s="213"/>
      <c r="H343" s="213"/>
      <c r="I343" s="213"/>
      <c r="J343" s="213"/>
      <c r="K343" s="213"/>
      <c r="L343" s="213"/>
      <c r="M343" s="213"/>
      <c r="N343" s="213"/>
      <c r="O343" s="213"/>
      <c r="P343" s="213"/>
      <c r="Y343" s="33"/>
      <c r="Z343" s="33"/>
      <c r="AA343" s="33"/>
      <c r="AD343" s="33"/>
    </row>
    <row r="344" spans="1:30">
      <c r="A344" s="213">
        <v>2374</v>
      </c>
      <c r="B344" s="213" t="s">
        <v>791</v>
      </c>
      <c r="C344" s="213">
        <v>15.8</v>
      </c>
      <c r="D344">
        <f t="shared" si="5"/>
        <v>1087</v>
      </c>
      <c r="E344" s="213"/>
      <c r="F344" s="213"/>
      <c r="G344" s="213"/>
      <c r="H344" s="213"/>
      <c r="I344" s="213"/>
      <c r="J344" s="213"/>
      <c r="K344" s="213"/>
      <c r="L344" s="213"/>
      <c r="M344" s="213"/>
      <c r="N344" s="213"/>
      <c r="O344" s="213"/>
      <c r="P344" s="213"/>
      <c r="Y344" s="33"/>
      <c r="Z344" s="33"/>
      <c r="AA344" s="33"/>
      <c r="AD344" s="33"/>
    </row>
    <row r="345" spans="1:30">
      <c r="A345" s="213">
        <v>2375</v>
      </c>
      <c r="B345" s="213" t="s">
        <v>792</v>
      </c>
      <c r="C345" s="213">
        <v>17.100000000000001</v>
      </c>
      <c r="D345">
        <f t="shared" si="5"/>
        <v>1025</v>
      </c>
      <c r="E345" s="213"/>
      <c r="F345" s="213"/>
      <c r="G345" s="213"/>
      <c r="H345" s="213"/>
      <c r="I345" s="213"/>
      <c r="J345" s="213"/>
      <c r="K345" s="213"/>
      <c r="L345" s="213"/>
      <c r="M345" s="213"/>
      <c r="N345" s="213"/>
      <c r="O345" s="213"/>
      <c r="P345" s="213"/>
      <c r="Y345" s="33"/>
      <c r="Z345" s="33"/>
      <c r="AA345" s="33"/>
      <c r="AD345" s="33"/>
    </row>
    <row r="346" spans="1:30">
      <c r="A346" s="213">
        <v>2376</v>
      </c>
      <c r="B346" s="213" t="s">
        <v>793</v>
      </c>
      <c r="C346" s="213">
        <v>41.35</v>
      </c>
      <c r="D346">
        <f t="shared" si="5"/>
        <v>433</v>
      </c>
      <c r="E346" s="213"/>
      <c r="F346" s="213"/>
      <c r="G346" s="213"/>
      <c r="H346" s="213"/>
      <c r="I346" s="213"/>
      <c r="J346" s="213"/>
      <c r="K346" s="213"/>
      <c r="L346" s="213"/>
      <c r="M346" s="213"/>
      <c r="N346" s="213"/>
      <c r="O346" s="213"/>
      <c r="P346" s="213"/>
      <c r="Y346" s="33"/>
      <c r="Z346" s="33"/>
      <c r="AA346" s="33"/>
      <c r="AD346" s="33"/>
    </row>
    <row r="347" spans="1:30">
      <c r="A347" s="213">
        <v>2377</v>
      </c>
      <c r="B347" s="213" t="s">
        <v>794</v>
      </c>
      <c r="C347" s="213">
        <v>82.8</v>
      </c>
      <c r="D347">
        <f t="shared" si="5"/>
        <v>181</v>
      </c>
      <c r="E347" s="213"/>
      <c r="F347" s="213"/>
      <c r="G347" s="213"/>
      <c r="H347" s="213"/>
      <c r="I347" s="213"/>
      <c r="J347" s="213"/>
      <c r="K347" s="213"/>
      <c r="L347" s="213"/>
      <c r="M347" s="213"/>
      <c r="N347" s="213"/>
      <c r="O347" s="213"/>
      <c r="P347" s="213"/>
      <c r="Y347" s="33"/>
      <c r="Z347" s="33"/>
      <c r="AA347" s="33"/>
      <c r="AD347" s="33"/>
    </row>
    <row r="348" spans="1:30">
      <c r="A348" s="213">
        <v>2379</v>
      </c>
      <c r="B348" s="213" t="s">
        <v>795</v>
      </c>
      <c r="C348" s="213">
        <v>106</v>
      </c>
      <c r="D348">
        <f t="shared" si="5"/>
        <v>128</v>
      </c>
      <c r="E348" s="213"/>
      <c r="F348" s="213"/>
      <c r="G348" s="213"/>
      <c r="H348" s="213"/>
      <c r="I348" s="213"/>
      <c r="J348" s="213"/>
      <c r="K348" s="213"/>
      <c r="L348" s="213"/>
      <c r="M348" s="213"/>
      <c r="N348" s="213"/>
      <c r="O348" s="213"/>
      <c r="P348" s="213"/>
      <c r="Y348" s="33"/>
      <c r="Z348" s="33"/>
      <c r="AA348" s="33"/>
      <c r="AD348" s="33"/>
    </row>
    <row r="349" spans="1:30">
      <c r="A349" s="213">
        <v>2380</v>
      </c>
      <c r="B349" s="213" t="s">
        <v>796</v>
      </c>
      <c r="C349" s="213">
        <v>6.8</v>
      </c>
      <c r="D349">
        <f t="shared" si="5"/>
        <v>1524</v>
      </c>
      <c r="E349" s="213"/>
      <c r="F349" s="213"/>
      <c r="G349" s="213"/>
      <c r="H349" s="213"/>
      <c r="I349" s="213"/>
      <c r="J349" s="213"/>
      <c r="K349" s="213"/>
      <c r="L349" s="213"/>
      <c r="M349" s="213"/>
      <c r="N349" s="213"/>
      <c r="O349" s="213"/>
      <c r="P349" s="213"/>
      <c r="Y349" s="33"/>
      <c r="Z349" s="33"/>
      <c r="AA349" s="33"/>
      <c r="AD349" s="33"/>
    </row>
    <row r="350" spans="1:30">
      <c r="A350" s="213">
        <v>2382</v>
      </c>
      <c r="B350" s="213" t="s">
        <v>797</v>
      </c>
      <c r="C350" s="213">
        <v>65.3</v>
      </c>
      <c r="D350">
        <f t="shared" si="5"/>
        <v>249</v>
      </c>
      <c r="E350" s="213"/>
      <c r="F350" s="213"/>
      <c r="G350" s="213"/>
      <c r="H350" s="213"/>
      <c r="I350" s="213"/>
      <c r="J350" s="213"/>
      <c r="K350" s="213"/>
      <c r="L350" s="213"/>
      <c r="M350" s="213"/>
      <c r="N350" s="213"/>
      <c r="O350" s="213"/>
      <c r="P350" s="213"/>
      <c r="Y350" s="33"/>
      <c r="Z350" s="33"/>
      <c r="AA350" s="33"/>
      <c r="AD350" s="33"/>
    </row>
    <row r="351" spans="1:30">
      <c r="A351" s="213">
        <v>2383</v>
      </c>
      <c r="B351" s="213" t="s">
        <v>798</v>
      </c>
      <c r="C351" s="213">
        <v>86.7</v>
      </c>
      <c r="D351">
        <f t="shared" si="5"/>
        <v>166</v>
      </c>
      <c r="E351" s="213"/>
      <c r="F351" s="213"/>
      <c r="G351" s="213"/>
      <c r="H351" s="213"/>
      <c r="I351" s="213"/>
      <c r="J351" s="213"/>
      <c r="K351" s="213"/>
      <c r="L351" s="213"/>
      <c r="M351" s="213"/>
      <c r="N351" s="213"/>
      <c r="O351" s="213"/>
      <c r="P351" s="213"/>
      <c r="Y351" s="33"/>
      <c r="Z351" s="33"/>
      <c r="AA351" s="33"/>
      <c r="AD351" s="33"/>
    </row>
    <row r="352" spans="1:30">
      <c r="A352" s="213">
        <v>2385</v>
      </c>
      <c r="B352" s="213" t="s">
        <v>799</v>
      </c>
      <c r="C352" s="213">
        <v>80.7</v>
      </c>
      <c r="D352">
        <f t="shared" si="5"/>
        <v>189</v>
      </c>
      <c r="E352" s="213"/>
      <c r="F352" s="213"/>
      <c r="G352" s="213"/>
      <c r="H352" s="213"/>
      <c r="I352" s="213"/>
      <c r="J352" s="213"/>
      <c r="K352" s="213"/>
      <c r="L352" s="213"/>
      <c r="M352" s="213"/>
      <c r="N352" s="213"/>
      <c r="O352" s="213"/>
      <c r="P352" s="213"/>
      <c r="Y352" s="33"/>
      <c r="Z352" s="33"/>
      <c r="AA352" s="33"/>
      <c r="AD352" s="33"/>
    </row>
    <row r="353" spans="1:30">
      <c r="A353" s="213">
        <v>2387</v>
      </c>
      <c r="B353" s="213" t="s">
        <v>800</v>
      </c>
      <c r="C353" s="213">
        <v>17.8</v>
      </c>
      <c r="D353">
        <f t="shared" si="5"/>
        <v>984</v>
      </c>
      <c r="E353" s="213"/>
      <c r="F353" s="213"/>
      <c r="G353" s="213"/>
      <c r="H353" s="213"/>
      <c r="I353" s="213"/>
      <c r="J353" s="213"/>
      <c r="K353" s="213"/>
      <c r="L353" s="213"/>
      <c r="M353" s="213"/>
      <c r="N353" s="213"/>
      <c r="O353" s="213"/>
      <c r="P353" s="213"/>
      <c r="Y353" s="33"/>
      <c r="Z353" s="33"/>
      <c r="AA353" s="33"/>
      <c r="AD353" s="33"/>
    </row>
    <row r="354" spans="1:30">
      <c r="A354" s="213">
        <v>2388</v>
      </c>
      <c r="B354" s="213" t="s">
        <v>801</v>
      </c>
      <c r="C354" s="213">
        <v>10.95</v>
      </c>
      <c r="D354">
        <f t="shared" si="5"/>
        <v>1311</v>
      </c>
      <c r="E354" s="213"/>
      <c r="F354" s="213"/>
      <c r="G354" s="213"/>
      <c r="H354" s="213"/>
      <c r="I354" s="213"/>
      <c r="J354" s="213"/>
      <c r="K354" s="213"/>
      <c r="L354" s="213"/>
      <c r="M354" s="213"/>
      <c r="N354" s="213"/>
      <c r="O354" s="213"/>
      <c r="P354" s="213"/>
      <c r="Y354" s="33"/>
      <c r="Z354" s="33"/>
      <c r="AA354" s="33"/>
      <c r="AD354" s="33"/>
    </row>
    <row r="355" spans="1:30">
      <c r="A355" s="213">
        <v>2390</v>
      </c>
      <c r="B355" s="213" t="s">
        <v>802</v>
      </c>
      <c r="C355" s="213">
        <v>16.5</v>
      </c>
      <c r="D355">
        <f t="shared" si="5"/>
        <v>1058</v>
      </c>
      <c r="E355" s="213"/>
      <c r="F355" s="213"/>
      <c r="G355" s="213"/>
      <c r="H355" s="213"/>
      <c r="I355" s="213"/>
      <c r="J355" s="213"/>
      <c r="K355" s="213"/>
      <c r="L355" s="213"/>
      <c r="M355" s="213"/>
      <c r="N355" s="213"/>
      <c r="O355" s="213"/>
      <c r="P355" s="213"/>
      <c r="Y355" s="33"/>
      <c r="Z355" s="33"/>
      <c r="AA355" s="33"/>
      <c r="AD355" s="33"/>
    </row>
    <row r="356" spans="1:30">
      <c r="A356" s="213">
        <v>2392</v>
      </c>
      <c r="B356" s="213" t="s">
        <v>803</v>
      </c>
      <c r="C356" s="213">
        <v>39.799999999999997</v>
      </c>
      <c r="D356">
        <f t="shared" si="5"/>
        <v>455</v>
      </c>
      <c r="E356" s="213"/>
      <c r="F356" s="213"/>
      <c r="G356" s="213"/>
      <c r="H356" s="213"/>
      <c r="I356" s="213"/>
      <c r="J356" s="213"/>
      <c r="K356" s="213"/>
      <c r="L356" s="213"/>
      <c r="M356" s="213"/>
      <c r="N356" s="213"/>
      <c r="O356" s="213"/>
      <c r="P356" s="213"/>
      <c r="Y356" s="33"/>
      <c r="Z356" s="33"/>
      <c r="AA356" s="33"/>
      <c r="AD356" s="33"/>
    </row>
    <row r="357" spans="1:30">
      <c r="A357" s="213">
        <v>2393</v>
      </c>
      <c r="B357" s="213" t="s">
        <v>804</v>
      </c>
      <c r="C357" s="213">
        <v>48.1</v>
      </c>
      <c r="D357">
        <f t="shared" si="5"/>
        <v>360</v>
      </c>
      <c r="E357" s="213"/>
      <c r="F357" s="213"/>
      <c r="G357" s="213"/>
      <c r="H357" s="213"/>
      <c r="I357" s="213"/>
      <c r="J357" s="213"/>
      <c r="K357" s="213"/>
      <c r="L357" s="213"/>
      <c r="M357" s="213"/>
      <c r="N357" s="213"/>
      <c r="O357" s="213"/>
      <c r="P357" s="213"/>
      <c r="Y357" s="33"/>
      <c r="Z357" s="33"/>
      <c r="AA357" s="33"/>
      <c r="AD357" s="33"/>
    </row>
    <row r="358" spans="1:30">
      <c r="A358" s="213">
        <v>2395</v>
      </c>
      <c r="B358" s="213" t="s">
        <v>805</v>
      </c>
      <c r="C358" s="213">
        <v>254</v>
      </c>
      <c r="D358">
        <f t="shared" si="5"/>
        <v>29</v>
      </c>
      <c r="E358" s="213"/>
      <c r="F358" s="213"/>
      <c r="G358" s="213"/>
      <c r="H358" s="213"/>
      <c r="I358" s="213"/>
      <c r="J358" s="213"/>
      <c r="K358" s="213"/>
      <c r="L358" s="213"/>
      <c r="M358" s="213"/>
      <c r="N358" s="213"/>
      <c r="O358" s="213"/>
      <c r="P358" s="213"/>
      <c r="Y358" s="33"/>
      <c r="Z358" s="33"/>
      <c r="AA358" s="33"/>
      <c r="AD358" s="33"/>
    </row>
    <row r="359" spans="1:30">
      <c r="A359" s="213">
        <v>2397</v>
      </c>
      <c r="B359" s="213" t="s">
        <v>806</v>
      </c>
      <c r="C359" s="213">
        <v>49</v>
      </c>
      <c r="D359">
        <f t="shared" si="5"/>
        <v>347</v>
      </c>
      <c r="E359" s="213"/>
      <c r="F359" s="213"/>
      <c r="G359" s="213"/>
      <c r="H359" s="213"/>
      <c r="I359" s="213"/>
      <c r="J359" s="213"/>
      <c r="K359" s="213"/>
      <c r="L359" s="213"/>
      <c r="M359" s="213"/>
      <c r="N359" s="213"/>
      <c r="O359" s="213"/>
      <c r="P359" s="213"/>
      <c r="Y359" s="33"/>
      <c r="Z359" s="33"/>
      <c r="AD359" s="33"/>
    </row>
    <row r="360" spans="1:30">
      <c r="A360" s="213">
        <v>2399</v>
      </c>
      <c r="B360" s="213" t="s">
        <v>807</v>
      </c>
      <c r="C360" s="213">
        <v>9.1</v>
      </c>
      <c r="D360">
        <f t="shared" si="5"/>
        <v>1415</v>
      </c>
      <c r="E360" s="213"/>
      <c r="F360" s="213"/>
      <c r="G360" s="213"/>
      <c r="H360" s="213"/>
      <c r="I360" s="213"/>
      <c r="J360" s="213"/>
      <c r="K360" s="213"/>
      <c r="L360" s="213"/>
      <c r="M360" s="213"/>
      <c r="N360" s="213"/>
      <c r="O360" s="213"/>
      <c r="P360" s="213"/>
      <c r="Y360" s="33"/>
      <c r="Z360" s="33"/>
      <c r="AA360" s="33"/>
      <c r="AD360" s="33"/>
    </row>
    <row r="361" spans="1:30">
      <c r="A361" s="213">
        <v>2401</v>
      </c>
      <c r="B361" s="213" t="s">
        <v>808</v>
      </c>
      <c r="C361" s="213">
        <v>11</v>
      </c>
      <c r="D361">
        <f t="shared" si="5"/>
        <v>1306</v>
      </c>
      <c r="E361" s="213"/>
      <c r="F361" s="213"/>
      <c r="G361" s="213"/>
      <c r="H361" s="213"/>
      <c r="I361" s="213"/>
      <c r="J361" s="213"/>
      <c r="K361" s="213"/>
      <c r="L361" s="213"/>
      <c r="M361" s="213"/>
      <c r="N361" s="213"/>
      <c r="O361" s="213"/>
      <c r="P361" s="213"/>
      <c r="Y361" s="33"/>
      <c r="Z361" s="33"/>
      <c r="AA361" s="33"/>
      <c r="AD361" s="33"/>
    </row>
    <row r="362" spans="1:30">
      <c r="A362" s="213">
        <v>2402</v>
      </c>
      <c r="B362" s="213" t="s">
        <v>809</v>
      </c>
      <c r="C362" s="213">
        <v>14.45</v>
      </c>
      <c r="D362">
        <f t="shared" si="5"/>
        <v>1143</v>
      </c>
      <c r="E362" s="213"/>
      <c r="F362" s="213"/>
      <c r="G362" s="213"/>
      <c r="H362" s="213"/>
      <c r="I362" s="213"/>
      <c r="J362" s="213"/>
      <c r="K362" s="213"/>
      <c r="L362" s="213"/>
      <c r="M362" s="213"/>
      <c r="N362" s="213"/>
      <c r="O362" s="213"/>
      <c r="P362" s="213"/>
      <c r="Y362" s="33"/>
      <c r="Z362" s="33"/>
      <c r="AA362" s="33"/>
      <c r="AD362" s="33"/>
    </row>
    <row r="363" spans="1:30">
      <c r="A363" s="213">
        <v>2404</v>
      </c>
      <c r="B363" s="213" t="s">
        <v>810</v>
      </c>
      <c r="C363" s="213">
        <v>47.3</v>
      </c>
      <c r="D363">
        <f t="shared" si="5"/>
        <v>372</v>
      </c>
      <c r="E363" s="213"/>
      <c r="F363" s="213"/>
      <c r="G363" s="213"/>
      <c r="H363" s="213"/>
      <c r="I363" s="213"/>
      <c r="J363" s="213"/>
      <c r="K363" s="213"/>
      <c r="L363" s="213"/>
      <c r="M363" s="213"/>
      <c r="N363" s="213"/>
      <c r="O363" s="213"/>
      <c r="P363" s="213"/>
      <c r="Y363" s="33"/>
      <c r="Z363" s="33"/>
      <c r="AA363" s="33"/>
      <c r="AD363" s="33"/>
    </row>
    <row r="364" spans="1:30">
      <c r="A364" s="213">
        <v>2405</v>
      </c>
      <c r="B364" s="213" t="s">
        <v>811</v>
      </c>
      <c r="C364" s="213">
        <v>8.18</v>
      </c>
      <c r="D364">
        <f t="shared" si="5"/>
        <v>1458</v>
      </c>
      <c r="E364" s="213"/>
      <c r="F364" s="213"/>
      <c r="G364" s="213"/>
      <c r="H364" s="213"/>
      <c r="I364" s="213"/>
      <c r="J364" s="213"/>
      <c r="K364" s="213"/>
      <c r="L364" s="213"/>
      <c r="M364" s="213"/>
      <c r="N364" s="213"/>
      <c r="O364" s="213"/>
      <c r="P364" s="213"/>
      <c r="Y364" s="33"/>
      <c r="Z364" s="33"/>
      <c r="AA364" s="33"/>
      <c r="AD364" s="33"/>
    </row>
    <row r="365" spans="1:30">
      <c r="A365" s="213">
        <v>2406</v>
      </c>
      <c r="B365" s="213" t="s">
        <v>812</v>
      </c>
      <c r="C365" s="213">
        <v>22.65</v>
      </c>
      <c r="D365">
        <f t="shared" si="5"/>
        <v>823</v>
      </c>
      <c r="E365" s="213"/>
      <c r="F365" s="213"/>
      <c r="G365" s="213"/>
      <c r="H365" s="213"/>
      <c r="I365" s="213"/>
      <c r="J365" s="213"/>
      <c r="K365" s="213"/>
      <c r="L365" s="213"/>
      <c r="M365" s="213"/>
      <c r="N365" s="213"/>
      <c r="O365" s="213"/>
      <c r="P365" s="213"/>
      <c r="Y365" s="33"/>
      <c r="Z365" s="33"/>
      <c r="AA365" s="33"/>
      <c r="AD365" s="33"/>
    </row>
    <row r="366" spans="1:30">
      <c r="A366" s="213">
        <v>2408</v>
      </c>
      <c r="B366" s="213" t="s">
        <v>813</v>
      </c>
      <c r="C366" s="213">
        <v>40.950000000000003</v>
      </c>
      <c r="D366">
        <f t="shared" si="5"/>
        <v>441</v>
      </c>
      <c r="E366" s="213"/>
      <c r="F366" s="213"/>
      <c r="G366" s="213"/>
      <c r="H366" s="213"/>
      <c r="I366" s="213"/>
      <c r="J366" s="213"/>
      <c r="K366" s="213"/>
      <c r="L366" s="213"/>
      <c r="M366" s="213"/>
      <c r="N366" s="213"/>
      <c r="O366" s="213"/>
      <c r="P366" s="213"/>
      <c r="Y366" s="33"/>
      <c r="Z366" s="33"/>
      <c r="AA366" s="33"/>
      <c r="AD366" s="33"/>
    </row>
    <row r="367" spans="1:30">
      <c r="A367" s="213">
        <v>2409</v>
      </c>
      <c r="B367" s="213" t="s">
        <v>814</v>
      </c>
      <c r="C367" s="213">
        <v>12.8</v>
      </c>
      <c r="D367">
        <f t="shared" si="5"/>
        <v>1220</v>
      </c>
      <c r="E367" s="213"/>
      <c r="F367" s="213"/>
      <c r="G367" s="213"/>
      <c r="H367" s="213"/>
      <c r="I367" s="213"/>
      <c r="J367" s="213"/>
      <c r="K367" s="213"/>
      <c r="L367" s="213"/>
      <c r="M367" s="213"/>
      <c r="N367" s="213"/>
      <c r="O367" s="33"/>
      <c r="P367" s="213"/>
      <c r="Y367" s="33"/>
      <c r="Z367" s="33"/>
      <c r="AA367" s="33"/>
      <c r="AD367" s="33"/>
    </row>
    <row r="368" spans="1:30">
      <c r="A368" s="213">
        <v>2412</v>
      </c>
      <c r="B368" s="213" t="s">
        <v>815</v>
      </c>
      <c r="C368" s="213">
        <v>112.5</v>
      </c>
      <c r="D368">
        <f t="shared" si="5"/>
        <v>117</v>
      </c>
      <c r="E368" s="213"/>
      <c r="F368" s="213"/>
      <c r="G368" s="213"/>
      <c r="H368" s="213"/>
      <c r="I368" s="213"/>
      <c r="J368" s="213"/>
      <c r="K368" s="213"/>
      <c r="L368" s="213"/>
      <c r="M368" s="213"/>
      <c r="N368" s="213"/>
      <c r="O368" s="213"/>
      <c r="P368" s="213"/>
      <c r="Y368" s="33"/>
      <c r="Z368" s="33"/>
      <c r="AA368" s="33"/>
      <c r="AD368" s="33"/>
    </row>
    <row r="369" spans="1:30">
      <c r="A369" s="213">
        <v>2413</v>
      </c>
      <c r="B369" s="213" t="s">
        <v>816</v>
      </c>
      <c r="C369" s="213">
        <v>11.3</v>
      </c>
      <c r="D369">
        <f t="shared" si="5"/>
        <v>1294</v>
      </c>
      <c r="E369" s="213"/>
      <c r="F369" s="213"/>
      <c r="G369" s="213"/>
      <c r="H369" s="213"/>
      <c r="I369" s="213"/>
      <c r="J369" s="213"/>
      <c r="K369" s="213"/>
      <c r="L369" s="213"/>
      <c r="M369" s="213"/>
      <c r="N369" s="213"/>
      <c r="O369" s="213"/>
      <c r="P369" s="213"/>
      <c r="Y369" s="33"/>
      <c r="Z369" s="33"/>
      <c r="AA369" s="33"/>
      <c r="AD369" s="33"/>
    </row>
    <row r="370" spans="1:30">
      <c r="A370" s="213">
        <v>2414</v>
      </c>
      <c r="B370" s="213" t="s">
        <v>817</v>
      </c>
      <c r="C370" s="213">
        <v>16.45</v>
      </c>
      <c r="D370">
        <f t="shared" si="5"/>
        <v>1063</v>
      </c>
      <c r="E370" s="213"/>
      <c r="F370" s="213"/>
      <c r="G370" s="213"/>
      <c r="H370" s="213"/>
      <c r="I370" s="213"/>
      <c r="J370" s="213"/>
      <c r="K370" s="213"/>
      <c r="L370" s="213"/>
      <c r="M370" s="213"/>
      <c r="N370" s="213"/>
      <c r="O370" s="213"/>
      <c r="P370" s="213"/>
      <c r="Y370" s="33"/>
      <c r="Z370" s="33"/>
      <c r="AA370" s="33"/>
      <c r="AD370" s="33"/>
    </row>
    <row r="371" spans="1:30">
      <c r="A371" s="213">
        <v>2415</v>
      </c>
      <c r="B371" s="213" t="s">
        <v>818</v>
      </c>
      <c r="C371" s="213">
        <v>22.1</v>
      </c>
      <c r="D371">
        <f t="shared" si="5"/>
        <v>843</v>
      </c>
      <c r="E371" s="213"/>
      <c r="F371" s="213"/>
      <c r="G371" s="213"/>
      <c r="H371" s="213"/>
      <c r="I371" s="213"/>
      <c r="J371" s="213"/>
      <c r="K371" s="213"/>
      <c r="L371" s="213"/>
      <c r="M371" s="213"/>
      <c r="N371" s="213"/>
      <c r="O371" s="213"/>
      <c r="P371" s="213"/>
      <c r="Y371" s="33"/>
      <c r="Z371" s="33"/>
      <c r="AA371" s="33"/>
      <c r="AD371" s="33"/>
    </row>
    <row r="372" spans="1:30">
      <c r="A372" s="213">
        <v>2417</v>
      </c>
      <c r="B372" s="213" t="s">
        <v>819</v>
      </c>
      <c r="C372" s="213">
        <v>10.050000000000001</v>
      </c>
      <c r="D372">
        <f t="shared" si="5"/>
        <v>1360</v>
      </c>
      <c r="E372" s="213"/>
      <c r="F372" s="213"/>
      <c r="G372" s="213"/>
      <c r="H372" s="213"/>
      <c r="I372" s="213"/>
      <c r="J372" s="213"/>
      <c r="K372" s="213"/>
      <c r="L372" s="213"/>
      <c r="M372" s="213"/>
      <c r="N372" s="213"/>
      <c r="O372" s="213"/>
      <c r="P372" s="213"/>
      <c r="Y372" s="33"/>
      <c r="Z372" s="33"/>
      <c r="AA372" s="33"/>
      <c r="AD372" s="33"/>
    </row>
    <row r="373" spans="1:30">
      <c r="A373" s="213">
        <v>2419</v>
      </c>
      <c r="B373" s="213" t="s">
        <v>820</v>
      </c>
      <c r="C373" s="213">
        <v>20.05</v>
      </c>
      <c r="D373">
        <f t="shared" si="5"/>
        <v>902</v>
      </c>
      <c r="E373" s="213"/>
      <c r="F373" s="213"/>
      <c r="G373" s="213"/>
      <c r="H373" s="213"/>
      <c r="I373" s="213"/>
      <c r="J373" s="213"/>
      <c r="K373" s="213"/>
      <c r="L373" s="213"/>
      <c r="M373" s="213"/>
      <c r="N373" s="213"/>
      <c r="O373" s="213"/>
      <c r="P373" s="213"/>
      <c r="Y373" s="33"/>
      <c r="Z373" s="33"/>
      <c r="AA373" s="33"/>
      <c r="AD373" s="33"/>
    </row>
    <row r="374" spans="1:30">
      <c r="A374" s="213">
        <v>2420</v>
      </c>
      <c r="B374" s="213" t="s">
        <v>821</v>
      </c>
      <c r="C374" s="213">
        <v>33.950000000000003</v>
      </c>
      <c r="D374">
        <f t="shared" si="5"/>
        <v>540</v>
      </c>
      <c r="E374" s="213"/>
      <c r="F374" s="213"/>
      <c r="G374" s="213"/>
      <c r="H374" s="213"/>
      <c r="I374" s="213"/>
      <c r="J374" s="213"/>
      <c r="K374" s="213"/>
      <c r="L374" s="213"/>
      <c r="M374" s="213"/>
      <c r="N374" s="213"/>
      <c r="O374" s="213"/>
      <c r="P374" s="213"/>
      <c r="Y374" s="33"/>
      <c r="Z374" s="33"/>
      <c r="AA374" s="33"/>
      <c r="AD374" s="33"/>
    </row>
    <row r="375" spans="1:30">
      <c r="A375" s="213">
        <v>2421</v>
      </c>
      <c r="B375" s="213" t="s">
        <v>822</v>
      </c>
      <c r="C375" s="213">
        <v>23.5</v>
      </c>
      <c r="D375">
        <f t="shared" si="5"/>
        <v>793</v>
      </c>
      <c r="E375" s="213"/>
      <c r="F375" s="213"/>
      <c r="G375" s="213"/>
      <c r="H375" s="213"/>
      <c r="I375" s="213"/>
      <c r="J375" s="213"/>
      <c r="K375" s="213"/>
      <c r="L375" s="213"/>
      <c r="M375" s="213"/>
      <c r="N375" s="213"/>
      <c r="O375" s="213"/>
      <c r="P375" s="213"/>
      <c r="Y375" s="33"/>
      <c r="Z375" s="33"/>
      <c r="AA375" s="33"/>
      <c r="AD375" s="33"/>
    </row>
    <row r="376" spans="1:30">
      <c r="A376" s="213">
        <v>2423</v>
      </c>
      <c r="B376" s="213" t="s">
        <v>823</v>
      </c>
      <c r="C376" s="213">
        <v>19.399999999999999</v>
      </c>
      <c r="D376">
        <f t="shared" si="5"/>
        <v>928</v>
      </c>
      <c r="E376" s="213"/>
      <c r="F376" s="213"/>
      <c r="G376" s="213"/>
      <c r="H376" s="213"/>
      <c r="I376" s="213"/>
      <c r="J376" s="213"/>
      <c r="K376" s="213"/>
      <c r="L376" s="213"/>
      <c r="M376" s="213"/>
      <c r="N376" s="213"/>
      <c r="O376" s="213"/>
      <c r="P376" s="213"/>
      <c r="Y376" s="33"/>
      <c r="Z376" s="33"/>
      <c r="AA376" s="33"/>
      <c r="AD376" s="33"/>
    </row>
    <row r="377" spans="1:30">
      <c r="A377" s="213">
        <v>2424</v>
      </c>
      <c r="B377" s="213" t="s">
        <v>824</v>
      </c>
      <c r="C377" s="213" t="s">
        <v>1744</v>
      </c>
      <c r="D377" t="e">
        <f t="shared" si="5"/>
        <v>#VALUE!</v>
      </c>
      <c r="E377" s="213"/>
      <c r="F377" s="213"/>
      <c r="G377" s="213"/>
      <c r="H377" s="213"/>
      <c r="I377" s="213"/>
      <c r="J377" s="213"/>
      <c r="K377" s="213"/>
      <c r="L377" s="213"/>
      <c r="M377" s="213"/>
      <c r="N377" s="213"/>
      <c r="O377" s="213"/>
      <c r="P377" s="213"/>
      <c r="Y377" s="33"/>
      <c r="Z377" s="33"/>
      <c r="AA377" s="33"/>
      <c r="AD377" s="33"/>
    </row>
    <row r="378" spans="1:30">
      <c r="A378" s="213">
        <v>2425</v>
      </c>
      <c r="B378" s="213" t="s">
        <v>825</v>
      </c>
      <c r="C378" s="213">
        <v>21</v>
      </c>
      <c r="D378">
        <f t="shared" si="5"/>
        <v>876</v>
      </c>
      <c r="E378" s="213"/>
      <c r="F378" s="213"/>
      <c r="G378" s="213"/>
      <c r="H378" s="213"/>
      <c r="I378" s="213"/>
      <c r="J378" s="213"/>
      <c r="K378" s="213"/>
      <c r="L378" s="213"/>
      <c r="M378" s="213"/>
      <c r="N378" s="213"/>
      <c r="O378" s="213"/>
      <c r="P378" s="213"/>
      <c r="Y378" s="33"/>
      <c r="Z378" s="33"/>
      <c r="AA378" s="33"/>
      <c r="AD378" s="33"/>
    </row>
    <row r="379" spans="1:30">
      <c r="A379" s="213">
        <v>2426</v>
      </c>
      <c r="B379" s="213" t="s">
        <v>826</v>
      </c>
      <c r="C379" s="213">
        <v>12.15</v>
      </c>
      <c r="D379">
        <f t="shared" si="5"/>
        <v>1254</v>
      </c>
      <c r="E379" s="213"/>
      <c r="F379" s="213"/>
      <c r="G379" s="213"/>
      <c r="H379" s="213"/>
      <c r="I379" s="213"/>
      <c r="J379" s="213"/>
      <c r="K379" s="213"/>
      <c r="L379" s="213"/>
      <c r="M379" s="213"/>
      <c r="N379" s="213"/>
      <c r="O379" s="213"/>
      <c r="P379" s="213"/>
      <c r="Y379" s="33"/>
      <c r="Z379" s="33"/>
      <c r="AA379" s="33"/>
      <c r="AD379" s="33"/>
    </row>
    <row r="380" spans="1:30">
      <c r="A380" s="213">
        <v>2427</v>
      </c>
      <c r="B380" s="213" t="s">
        <v>827</v>
      </c>
      <c r="C380" s="213">
        <v>6.88</v>
      </c>
      <c r="D380">
        <f t="shared" si="5"/>
        <v>1522</v>
      </c>
      <c r="E380" s="213"/>
      <c r="F380" s="213"/>
      <c r="G380" s="213"/>
      <c r="H380" s="213"/>
      <c r="I380" s="213"/>
      <c r="J380" s="213"/>
      <c r="K380" s="213"/>
      <c r="L380" s="213"/>
      <c r="M380" s="213"/>
      <c r="N380" s="213"/>
      <c r="O380" s="213"/>
      <c r="P380" s="213"/>
      <c r="Y380" s="33"/>
      <c r="Z380" s="33"/>
      <c r="AA380" s="33"/>
      <c r="AD380" s="33"/>
    </row>
    <row r="381" spans="1:30">
      <c r="A381" s="213">
        <v>2428</v>
      </c>
      <c r="B381" s="213" t="s">
        <v>828</v>
      </c>
      <c r="C381" s="213">
        <v>66</v>
      </c>
      <c r="D381">
        <f t="shared" si="5"/>
        <v>246</v>
      </c>
      <c r="E381" s="213"/>
      <c r="F381" s="213"/>
      <c r="G381" s="213"/>
      <c r="H381" s="213"/>
      <c r="I381" s="213"/>
      <c r="J381" s="213"/>
      <c r="K381" s="213"/>
      <c r="L381" s="213"/>
      <c r="M381" s="213"/>
      <c r="N381" s="213"/>
      <c r="O381" s="213"/>
      <c r="P381" s="213"/>
      <c r="Y381" s="33"/>
      <c r="Z381" s="33"/>
      <c r="AA381" s="33"/>
      <c r="AD381" s="33"/>
    </row>
    <row r="382" spans="1:30">
      <c r="A382" s="213">
        <v>2429</v>
      </c>
      <c r="B382" s="213" t="s">
        <v>829</v>
      </c>
      <c r="C382" s="213">
        <v>18.100000000000001</v>
      </c>
      <c r="D382">
        <f t="shared" si="5"/>
        <v>967</v>
      </c>
      <c r="E382" s="213"/>
      <c r="F382" s="213"/>
      <c r="G382" s="213"/>
      <c r="H382" s="213"/>
      <c r="I382" s="213"/>
      <c r="J382" s="213"/>
      <c r="K382" s="213"/>
      <c r="L382" s="213"/>
      <c r="M382" s="213"/>
      <c r="N382" s="213"/>
      <c r="O382" s="213"/>
      <c r="P382" s="213"/>
      <c r="Y382" s="33"/>
      <c r="Z382" s="33"/>
      <c r="AA382" s="33"/>
      <c r="AD382" s="33"/>
    </row>
    <row r="383" spans="1:30">
      <c r="A383" s="213">
        <v>2430</v>
      </c>
      <c r="B383" s="213" t="s">
        <v>830</v>
      </c>
      <c r="C383" s="213">
        <v>29.1</v>
      </c>
      <c r="D383">
        <f t="shared" si="5"/>
        <v>636</v>
      </c>
      <c r="E383" s="213"/>
      <c r="F383" s="213"/>
      <c r="G383" s="213"/>
      <c r="H383" s="213"/>
      <c r="I383" s="213"/>
      <c r="J383" s="213"/>
      <c r="K383" s="213"/>
      <c r="L383" s="213"/>
      <c r="M383" s="213"/>
      <c r="N383" s="213"/>
      <c r="O383" s="213"/>
      <c r="P383" s="213"/>
      <c r="Y383" s="33"/>
      <c r="Z383" s="33"/>
      <c r="AA383" s="33"/>
      <c r="AD383" s="33"/>
    </row>
    <row r="384" spans="1:30">
      <c r="A384" s="213">
        <v>2431</v>
      </c>
      <c r="B384" s="213" t="s">
        <v>831</v>
      </c>
      <c r="C384" s="213">
        <v>14.25</v>
      </c>
      <c r="D384">
        <f t="shared" si="5"/>
        <v>1148</v>
      </c>
      <c r="E384" s="213"/>
      <c r="F384" s="213"/>
      <c r="G384" s="213"/>
      <c r="H384" s="213"/>
      <c r="I384" s="213"/>
      <c r="J384" s="213"/>
      <c r="K384" s="213"/>
      <c r="L384" s="213"/>
      <c r="M384" s="213"/>
      <c r="N384" s="213"/>
      <c r="O384" s="213"/>
      <c r="P384" s="213"/>
      <c r="Y384" s="33"/>
      <c r="Z384" s="33"/>
      <c r="AA384" s="33"/>
      <c r="AD384" s="33"/>
    </row>
    <row r="385" spans="1:30">
      <c r="A385" s="213">
        <v>2433</v>
      </c>
      <c r="B385" s="213" t="s">
        <v>832</v>
      </c>
      <c r="C385" s="213">
        <v>38.1</v>
      </c>
      <c r="D385">
        <f t="shared" si="5"/>
        <v>482</v>
      </c>
      <c r="E385" s="213"/>
      <c r="F385" s="213"/>
      <c r="G385" s="213"/>
      <c r="H385" s="213"/>
      <c r="I385" s="213"/>
      <c r="J385" s="213"/>
      <c r="K385" s="213"/>
      <c r="L385" s="213"/>
      <c r="M385" s="213"/>
      <c r="N385" s="213"/>
      <c r="O385" s="213"/>
      <c r="P385" s="213"/>
      <c r="Y385" s="33"/>
      <c r="Z385" s="33"/>
      <c r="AA385" s="33"/>
      <c r="AD385" s="33"/>
    </row>
    <row r="386" spans="1:30">
      <c r="A386" s="213">
        <v>2434</v>
      </c>
      <c r="B386" s="213" t="s">
        <v>833</v>
      </c>
      <c r="C386" s="213">
        <v>6.38</v>
      </c>
      <c r="D386">
        <f t="shared" ref="D386:D449" si="6">RANK(C386,C:C,0)</f>
        <v>1542</v>
      </c>
      <c r="E386" s="213"/>
      <c r="F386" s="213"/>
      <c r="G386" s="213"/>
      <c r="H386" s="213"/>
      <c r="I386" s="213"/>
      <c r="J386" s="213"/>
      <c r="K386" s="213"/>
      <c r="L386" s="213"/>
      <c r="M386" s="213"/>
      <c r="N386" s="213"/>
      <c r="O386" s="213"/>
      <c r="P386" s="213"/>
      <c r="Y386" s="33"/>
      <c r="Z386" s="33"/>
      <c r="AA386" s="33"/>
      <c r="AD386" s="33"/>
    </row>
    <row r="387" spans="1:30">
      <c r="A387" s="213">
        <v>2436</v>
      </c>
      <c r="B387" s="213" t="s">
        <v>834</v>
      </c>
      <c r="C387" s="213">
        <v>23.3</v>
      </c>
      <c r="D387">
        <f t="shared" si="6"/>
        <v>803</v>
      </c>
      <c r="E387" s="213"/>
      <c r="F387" s="213"/>
      <c r="G387" s="213"/>
      <c r="H387" s="213"/>
      <c r="I387" s="213"/>
      <c r="J387" s="213"/>
      <c r="K387" s="213"/>
      <c r="L387" s="213"/>
      <c r="M387" s="213"/>
      <c r="N387" s="213"/>
      <c r="O387" s="213"/>
      <c r="P387" s="213"/>
      <c r="Y387" s="33"/>
      <c r="Z387" s="33"/>
      <c r="AA387" s="33"/>
      <c r="AD387" s="33"/>
    </row>
    <row r="388" spans="1:30">
      <c r="A388" s="213">
        <v>2437</v>
      </c>
      <c r="B388" s="213" t="s">
        <v>835</v>
      </c>
      <c r="C388" s="213">
        <v>47.85</v>
      </c>
      <c r="D388">
        <f t="shared" si="6"/>
        <v>365</v>
      </c>
      <c r="E388" s="213"/>
      <c r="F388" s="213"/>
      <c r="G388" s="213"/>
      <c r="H388" s="213"/>
      <c r="I388" s="213"/>
      <c r="J388" s="213"/>
      <c r="K388" s="213"/>
      <c r="L388" s="213"/>
      <c r="M388" s="213"/>
      <c r="N388" s="213"/>
      <c r="O388" s="213"/>
      <c r="P388" s="213"/>
      <c r="Y388" s="33"/>
      <c r="Z388" s="33"/>
      <c r="AA388" s="33"/>
      <c r="AD388" s="33"/>
    </row>
    <row r="389" spans="1:30">
      <c r="A389" s="213">
        <v>2438</v>
      </c>
      <c r="B389" s="213" t="s">
        <v>836</v>
      </c>
      <c r="C389" s="213">
        <v>11.1</v>
      </c>
      <c r="D389">
        <f t="shared" si="6"/>
        <v>1300</v>
      </c>
      <c r="E389" s="213"/>
      <c r="F389" s="213"/>
      <c r="G389" s="213"/>
      <c r="H389" s="213"/>
      <c r="I389" s="213"/>
      <c r="J389" s="213"/>
      <c r="K389" s="213"/>
      <c r="L389" s="213"/>
      <c r="M389" s="213"/>
      <c r="N389" s="213"/>
      <c r="O389" s="213"/>
      <c r="P389" s="213"/>
      <c r="Y389" s="33"/>
      <c r="Z389" s="33"/>
      <c r="AA389" s="33"/>
      <c r="AD389" s="33"/>
    </row>
    <row r="390" spans="1:30">
      <c r="A390" s="213">
        <v>2439</v>
      </c>
      <c r="B390" s="213" t="s">
        <v>837</v>
      </c>
      <c r="C390" s="213">
        <v>124.5</v>
      </c>
      <c r="D390">
        <f t="shared" si="6"/>
        <v>103</v>
      </c>
      <c r="E390" s="213"/>
      <c r="F390" s="213"/>
      <c r="G390" s="213"/>
      <c r="H390" s="213"/>
      <c r="I390" s="213"/>
      <c r="J390" s="213"/>
      <c r="K390" s="213"/>
      <c r="L390" s="213"/>
      <c r="M390" s="213"/>
      <c r="N390" s="213"/>
      <c r="O390" s="213"/>
      <c r="P390" s="213"/>
      <c r="Y390" s="33"/>
      <c r="Z390" s="33"/>
      <c r="AA390" s="33"/>
      <c r="AD390" s="33"/>
    </row>
    <row r="391" spans="1:30">
      <c r="A391" s="213">
        <v>2440</v>
      </c>
      <c r="B391" s="213" t="s">
        <v>838</v>
      </c>
      <c r="C391" s="213">
        <v>8.39</v>
      </c>
      <c r="D391">
        <f t="shared" si="6"/>
        <v>1449</v>
      </c>
      <c r="E391" s="213"/>
      <c r="F391" s="213"/>
      <c r="G391" s="213"/>
      <c r="H391" s="213"/>
      <c r="I391" s="213"/>
      <c r="J391" s="213"/>
      <c r="K391" s="213"/>
      <c r="L391" s="213"/>
      <c r="M391" s="213"/>
      <c r="N391" s="213"/>
      <c r="O391" s="213"/>
      <c r="P391" s="213"/>
      <c r="Y391" s="33"/>
      <c r="Z391" s="33"/>
      <c r="AA391" s="33"/>
      <c r="AD391" s="33"/>
    </row>
    <row r="392" spans="1:30">
      <c r="A392" s="213">
        <v>2441</v>
      </c>
      <c r="B392" s="213" t="s">
        <v>839</v>
      </c>
      <c r="C392" s="213">
        <v>39.4</v>
      </c>
      <c r="D392">
        <f t="shared" si="6"/>
        <v>458</v>
      </c>
      <c r="E392" s="213"/>
      <c r="F392" s="213"/>
      <c r="G392" s="213"/>
      <c r="H392" s="213"/>
      <c r="I392" s="213"/>
      <c r="J392" s="213"/>
      <c r="K392" s="213"/>
      <c r="L392" s="213"/>
      <c r="M392" s="213"/>
      <c r="N392" s="213"/>
      <c r="O392" s="213"/>
      <c r="P392" s="213"/>
      <c r="Y392" s="33"/>
      <c r="Z392" s="33"/>
      <c r="AA392" s="33"/>
      <c r="AD392" s="33"/>
    </row>
    <row r="393" spans="1:30">
      <c r="A393" s="213">
        <v>2442</v>
      </c>
      <c r="B393" s="213" t="s">
        <v>840</v>
      </c>
      <c r="C393" s="213">
        <v>6.6</v>
      </c>
      <c r="D393">
        <f t="shared" si="6"/>
        <v>1530</v>
      </c>
      <c r="E393" s="213"/>
      <c r="F393" s="213"/>
      <c r="G393" s="213"/>
      <c r="H393" s="213"/>
      <c r="I393" s="213"/>
      <c r="J393" s="213"/>
      <c r="K393" s="213"/>
      <c r="L393" s="213"/>
      <c r="M393" s="213"/>
      <c r="N393" s="213"/>
      <c r="O393" s="213"/>
      <c r="P393" s="213"/>
      <c r="Y393" s="33"/>
      <c r="Z393" s="33"/>
      <c r="AA393" s="33"/>
      <c r="AD393" s="33"/>
    </row>
    <row r="394" spans="1:30">
      <c r="A394" s="213">
        <v>2443</v>
      </c>
      <c r="B394" s="213" t="s">
        <v>841</v>
      </c>
      <c r="C394" s="213">
        <v>7.1</v>
      </c>
      <c r="D394">
        <f t="shared" si="6"/>
        <v>1509</v>
      </c>
      <c r="E394" s="213"/>
      <c r="F394" s="213"/>
      <c r="G394" s="213"/>
      <c r="H394" s="213"/>
      <c r="I394" s="213"/>
      <c r="J394" s="213"/>
      <c r="K394" s="213"/>
      <c r="L394" s="213"/>
      <c r="M394" s="213"/>
      <c r="N394" s="213"/>
      <c r="O394" s="213"/>
      <c r="P394" s="213"/>
      <c r="Y394" s="33"/>
      <c r="Z394" s="33"/>
      <c r="AA394" s="33"/>
      <c r="AD394" s="33"/>
    </row>
    <row r="395" spans="1:30">
      <c r="A395" s="213">
        <v>2444</v>
      </c>
      <c r="B395" s="213" t="s">
        <v>842</v>
      </c>
      <c r="C395" s="213">
        <v>12.25</v>
      </c>
      <c r="D395">
        <f t="shared" si="6"/>
        <v>1245</v>
      </c>
      <c r="E395" s="213"/>
      <c r="F395" s="213"/>
      <c r="G395" s="213"/>
      <c r="H395" s="213"/>
      <c r="I395" s="213"/>
      <c r="J395" s="213"/>
      <c r="K395" s="213"/>
      <c r="L395" s="213"/>
      <c r="M395" s="213"/>
      <c r="N395" s="213"/>
      <c r="O395" s="213"/>
      <c r="P395" s="213"/>
      <c r="Y395" s="33"/>
      <c r="Z395" s="33"/>
      <c r="AA395" s="33"/>
      <c r="AD395" s="33"/>
    </row>
    <row r="396" spans="1:30">
      <c r="A396" s="213">
        <v>2448</v>
      </c>
      <c r="B396" s="213" t="s">
        <v>843</v>
      </c>
      <c r="C396" s="213">
        <v>22.15</v>
      </c>
      <c r="D396">
        <f t="shared" si="6"/>
        <v>842</v>
      </c>
      <c r="E396" s="213"/>
      <c r="F396" s="213"/>
      <c r="G396" s="213"/>
      <c r="H396" s="213"/>
      <c r="I396" s="213"/>
      <c r="J396" s="213"/>
      <c r="K396" s="213"/>
      <c r="L396" s="213"/>
      <c r="M396" s="213"/>
      <c r="N396" s="213"/>
      <c r="O396" s="213"/>
      <c r="P396" s="213"/>
      <c r="Y396" s="33"/>
      <c r="Z396" s="33"/>
      <c r="AA396" s="33"/>
      <c r="AD396" s="33"/>
    </row>
    <row r="397" spans="1:30">
      <c r="A397" s="213">
        <v>2449</v>
      </c>
      <c r="B397" s="213" t="s">
        <v>2044</v>
      </c>
      <c r="C397" s="213">
        <v>28.35</v>
      </c>
      <c r="D397">
        <f t="shared" si="6"/>
        <v>656</v>
      </c>
      <c r="E397" s="213"/>
      <c r="F397" s="213"/>
      <c r="G397" s="213"/>
      <c r="H397" s="213"/>
      <c r="I397" s="213"/>
      <c r="J397" s="213"/>
      <c r="K397" s="213"/>
      <c r="L397" s="213"/>
      <c r="M397" s="213"/>
      <c r="N397" s="213"/>
      <c r="O397" s="213"/>
      <c r="P397" s="213"/>
      <c r="Y397" s="33"/>
      <c r="Z397" s="33"/>
      <c r="AA397" s="33"/>
      <c r="AD397" s="33"/>
    </row>
    <row r="398" spans="1:30">
      <c r="A398" s="213">
        <v>2450</v>
      </c>
      <c r="B398" s="213" t="s">
        <v>844</v>
      </c>
      <c r="C398" s="213">
        <v>49.9</v>
      </c>
      <c r="D398">
        <f t="shared" si="6"/>
        <v>341</v>
      </c>
      <c r="E398" s="213"/>
      <c r="F398" s="213"/>
      <c r="G398" s="213"/>
      <c r="H398" s="213"/>
      <c r="I398" s="213"/>
      <c r="J398" s="213"/>
      <c r="K398" s="213"/>
      <c r="L398" s="213"/>
      <c r="M398" s="213"/>
      <c r="N398" s="213"/>
      <c r="O398" s="213"/>
      <c r="P398" s="213"/>
      <c r="Y398" s="33"/>
      <c r="Z398" s="33"/>
      <c r="AA398" s="33"/>
      <c r="AD398" s="33"/>
    </row>
    <row r="399" spans="1:30">
      <c r="A399" s="213">
        <v>2451</v>
      </c>
      <c r="B399" s="213" t="s">
        <v>845</v>
      </c>
      <c r="C399" s="213">
        <v>88.1</v>
      </c>
      <c r="D399">
        <f t="shared" si="6"/>
        <v>162</v>
      </c>
      <c r="E399" s="213"/>
      <c r="F399" s="213"/>
      <c r="G399" s="213"/>
      <c r="H399" s="213"/>
      <c r="I399" s="213"/>
      <c r="J399" s="213"/>
      <c r="K399" s="213"/>
      <c r="L399" s="213"/>
      <c r="M399" s="213"/>
      <c r="N399" s="213"/>
      <c r="O399" s="213"/>
      <c r="P399" s="213"/>
      <c r="Y399" s="33"/>
      <c r="Z399" s="33"/>
      <c r="AA399" s="33"/>
      <c r="AD399" s="33"/>
    </row>
    <row r="400" spans="1:30">
      <c r="A400" s="213">
        <v>2453</v>
      </c>
      <c r="B400" s="213" t="s">
        <v>846</v>
      </c>
      <c r="C400" s="213">
        <v>10.95</v>
      </c>
      <c r="D400">
        <f t="shared" si="6"/>
        <v>1311</v>
      </c>
      <c r="E400" s="213"/>
      <c r="F400" s="213"/>
      <c r="G400" s="213"/>
      <c r="H400" s="213"/>
      <c r="I400" s="213"/>
      <c r="J400" s="213"/>
      <c r="K400" s="213"/>
      <c r="L400" s="213"/>
      <c r="M400" s="213"/>
      <c r="N400" s="213"/>
      <c r="O400" s="213"/>
      <c r="P400" s="213"/>
      <c r="Y400" s="33"/>
      <c r="Z400" s="33"/>
      <c r="AA400" s="33"/>
      <c r="AD400" s="33"/>
    </row>
    <row r="401" spans="1:30">
      <c r="A401" s="213">
        <v>2454</v>
      </c>
      <c r="B401" s="213" t="s">
        <v>847</v>
      </c>
      <c r="C401" s="213">
        <v>238</v>
      </c>
      <c r="D401">
        <f t="shared" si="6"/>
        <v>33</v>
      </c>
      <c r="E401" s="213"/>
      <c r="F401" s="213"/>
      <c r="G401" s="213"/>
      <c r="H401" s="213"/>
      <c r="I401" s="213"/>
      <c r="J401" s="213"/>
      <c r="K401" s="213"/>
      <c r="L401" s="213"/>
      <c r="M401" s="213"/>
      <c r="N401" s="213"/>
      <c r="O401" s="213"/>
      <c r="P401" s="213"/>
      <c r="Y401" s="33"/>
      <c r="Z401" s="33"/>
      <c r="AA401" s="33"/>
      <c r="AD401" s="33"/>
    </row>
    <row r="402" spans="1:30">
      <c r="A402" s="213">
        <v>2455</v>
      </c>
      <c r="B402" s="213" t="s">
        <v>848</v>
      </c>
      <c r="C402" s="213">
        <v>45.4</v>
      </c>
      <c r="D402">
        <f t="shared" si="6"/>
        <v>389</v>
      </c>
      <c r="E402" s="213"/>
      <c r="F402" s="213"/>
      <c r="G402" s="213"/>
      <c r="H402" s="213"/>
      <c r="I402" s="213"/>
      <c r="J402" s="213"/>
      <c r="K402" s="213"/>
      <c r="L402" s="213"/>
      <c r="M402" s="213"/>
      <c r="N402" s="213"/>
      <c r="O402" s="213"/>
      <c r="P402" s="213"/>
      <c r="Y402" s="33"/>
      <c r="Z402" s="33"/>
      <c r="AA402" s="33"/>
      <c r="AD402" s="33"/>
    </row>
    <row r="403" spans="1:30">
      <c r="A403" s="213">
        <v>2456</v>
      </c>
      <c r="B403" s="213" t="s">
        <v>849</v>
      </c>
      <c r="C403" s="213">
        <v>71.900000000000006</v>
      </c>
      <c r="D403">
        <f t="shared" si="6"/>
        <v>220</v>
      </c>
      <c r="E403" s="213"/>
      <c r="F403" s="213"/>
      <c r="G403" s="213"/>
      <c r="H403" s="213"/>
      <c r="I403" s="213"/>
      <c r="J403" s="213"/>
      <c r="K403" s="213"/>
      <c r="L403" s="213"/>
      <c r="M403" s="213"/>
      <c r="N403" s="213"/>
      <c r="O403" s="213"/>
      <c r="P403" s="213"/>
      <c r="Y403" s="33"/>
      <c r="Z403" s="33"/>
      <c r="AA403" s="33"/>
      <c r="AD403" s="33"/>
    </row>
    <row r="404" spans="1:30">
      <c r="A404" s="213">
        <v>2457</v>
      </c>
      <c r="B404" s="213" t="s">
        <v>850</v>
      </c>
      <c r="C404" s="213">
        <v>9.93</v>
      </c>
      <c r="D404">
        <f t="shared" si="6"/>
        <v>1373</v>
      </c>
      <c r="E404" s="213"/>
      <c r="F404" s="213"/>
      <c r="G404" s="213"/>
      <c r="H404" s="213"/>
      <c r="I404" s="213"/>
      <c r="J404" s="213"/>
      <c r="K404" s="213"/>
      <c r="L404" s="213"/>
      <c r="M404" s="213"/>
      <c r="N404" s="213"/>
      <c r="O404" s="213"/>
      <c r="P404" s="213"/>
      <c r="Y404" s="33"/>
      <c r="Z404" s="33"/>
      <c r="AA404" s="33"/>
      <c r="AD404" s="33"/>
    </row>
    <row r="405" spans="1:30">
      <c r="A405" s="213">
        <v>2458</v>
      </c>
      <c r="B405" s="213" t="s">
        <v>851</v>
      </c>
      <c r="C405" s="213">
        <v>36.1</v>
      </c>
      <c r="D405">
        <f t="shared" si="6"/>
        <v>509</v>
      </c>
      <c r="E405" s="213"/>
      <c r="F405" s="213"/>
      <c r="G405" s="213"/>
      <c r="H405" s="213"/>
      <c r="I405" s="213"/>
      <c r="J405" s="213"/>
      <c r="K405" s="213"/>
      <c r="L405" s="213"/>
      <c r="M405" s="213"/>
      <c r="N405" s="213"/>
      <c r="O405" s="213"/>
      <c r="P405" s="213"/>
      <c r="Y405" s="33"/>
      <c r="Z405" s="33"/>
      <c r="AA405" s="33"/>
      <c r="AD405" s="33"/>
    </row>
    <row r="406" spans="1:30">
      <c r="A406" s="213">
        <v>2459</v>
      </c>
      <c r="B406" s="213" t="s">
        <v>852</v>
      </c>
      <c r="C406" s="213">
        <v>37.1</v>
      </c>
      <c r="D406">
        <f t="shared" si="6"/>
        <v>493</v>
      </c>
      <c r="E406" s="213"/>
      <c r="F406" s="213"/>
      <c r="G406" s="213"/>
      <c r="H406" s="213"/>
      <c r="I406" s="213"/>
      <c r="J406" s="213"/>
      <c r="K406" s="213"/>
      <c r="L406" s="213"/>
      <c r="M406" s="213"/>
      <c r="N406" s="213"/>
      <c r="O406" s="213"/>
      <c r="P406" s="213"/>
      <c r="Y406" s="33"/>
      <c r="Z406" s="33"/>
      <c r="AA406" s="33"/>
      <c r="AD406" s="33"/>
    </row>
    <row r="407" spans="1:30">
      <c r="A407" s="213">
        <v>2460</v>
      </c>
      <c r="B407" s="213" t="s">
        <v>853</v>
      </c>
      <c r="C407" s="213">
        <v>10.9</v>
      </c>
      <c r="D407">
        <f t="shared" si="6"/>
        <v>1317</v>
      </c>
      <c r="E407" s="213"/>
      <c r="F407" s="213"/>
      <c r="G407" s="213"/>
      <c r="H407" s="213"/>
      <c r="I407" s="213"/>
      <c r="J407" s="213"/>
      <c r="K407" s="213"/>
      <c r="L407" s="213"/>
      <c r="M407" s="213"/>
      <c r="N407" s="213"/>
      <c r="O407" s="213"/>
      <c r="P407" s="213"/>
      <c r="Y407" s="33"/>
      <c r="Z407" s="33"/>
      <c r="AA407" s="33"/>
      <c r="AD407" s="33"/>
    </row>
    <row r="408" spans="1:30">
      <c r="A408" s="213">
        <v>2461</v>
      </c>
      <c r="B408" s="213" t="s">
        <v>854</v>
      </c>
      <c r="C408" s="213">
        <v>16.7</v>
      </c>
      <c r="D408">
        <f t="shared" si="6"/>
        <v>1047</v>
      </c>
      <c r="E408" s="213"/>
      <c r="F408" s="213"/>
      <c r="G408" s="213"/>
      <c r="H408" s="213"/>
      <c r="I408" s="213"/>
      <c r="J408" s="213"/>
      <c r="K408" s="213"/>
      <c r="L408" s="213"/>
      <c r="M408" s="213"/>
      <c r="N408" s="213"/>
      <c r="O408" s="213"/>
      <c r="P408" s="213"/>
      <c r="Y408" s="33"/>
      <c r="Z408" s="33"/>
      <c r="AA408" s="33"/>
      <c r="AD408" s="33"/>
    </row>
    <row r="409" spans="1:30">
      <c r="A409" s="213">
        <v>2462</v>
      </c>
      <c r="B409" s="213" t="s">
        <v>855</v>
      </c>
      <c r="C409" s="213">
        <v>20.100000000000001</v>
      </c>
      <c r="D409">
        <f t="shared" si="6"/>
        <v>900</v>
      </c>
      <c r="E409" s="213"/>
      <c r="F409" s="213"/>
      <c r="G409" s="213"/>
      <c r="H409" s="213"/>
      <c r="I409" s="213"/>
      <c r="J409" s="213"/>
      <c r="K409" s="213"/>
      <c r="L409" s="213"/>
      <c r="M409" s="213"/>
      <c r="N409" s="213"/>
      <c r="O409" s="213"/>
      <c r="P409" s="213"/>
      <c r="Y409" s="33"/>
      <c r="Z409" s="33"/>
      <c r="AD409" s="33"/>
    </row>
    <row r="410" spans="1:30">
      <c r="A410" s="213">
        <v>2464</v>
      </c>
      <c r="B410" s="213" t="s">
        <v>856</v>
      </c>
      <c r="C410" s="213">
        <v>41</v>
      </c>
      <c r="D410">
        <f t="shared" si="6"/>
        <v>438</v>
      </c>
      <c r="E410" s="213"/>
      <c r="F410" s="213"/>
      <c r="G410" s="213"/>
      <c r="H410" s="213"/>
      <c r="I410" s="213"/>
      <c r="J410" s="213"/>
      <c r="K410" s="213"/>
      <c r="L410" s="213"/>
      <c r="M410" s="213"/>
      <c r="N410" s="213"/>
      <c r="O410" s="213"/>
      <c r="P410" s="213"/>
      <c r="Y410" s="33"/>
      <c r="Z410" s="33"/>
      <c r="AA410" s="33"/>
      <c r="AD410" s="33"/>
    </row>
    <row r="411" spans="1:30">
      <c r="A411" s="213">
        <v>2465</v>
      </c>
      <c r="B411" s="213" t="s">
        <v>857</v>
      </c>
      <c r="C411" s="213">
        <v>9.51</v>
      </c>
      <c r="D411">
        <f t="shared" si="6"/>
        <v>1394</v>
      </c>
      <c r="E411" s="213"/>
      <c r="F411" s="213"/>
      <c r="G411" s="213"/>
      <c r="H411" s="213"/>
      <c r="I411" s="213"/>
      <c r="J411" s="213"/>
      <c r="K411" s="213"/>
      <c r="L411" s="213"/>
      <c r="M411" s="213"/>
      <c r="N411" s="213"/>
      <c r="O411" s="213"/>
      <c r="P411" s="213"/>
      <c r="Y411" s="33"/>
      <c r="Z411" s="33"/>
      <c r="AA411" s="33"/>
      <c r="AD411" s="33"/>
    </row>
    <row r="412" spans="1:30">
      <c r="A412" s="213">
        <v>2466</v>
      </c>
      <c r="B412" s="213" t="s">
        <v>858</v>
      </c>
      <c r="C412" s="213">
        <v>33.85</v>
      </c>
      <c r="D412">
        <f t="shared" si="6"/>
        <v>543</v>
      </c>
      <c r="E412" s="213"/>
      <c r="F412" s="213"/>
      <c r="G412" s="213"/>
      <c r="H412" s="213"/>
      <c r="I412" s="213"/>
      <c r="J412" s="213"/>
      <c r="K412" s="213"/>
      <c r="L412" s="213"/>
      <c r="M412" s="213"/>
      <c r="N412" s="213"/>
      <c r="O412" s="213"/>
      <c r="P412" s="213"/>
      <c r="Y412" s="33"/>
      <c r="Z412" s="33"/>
      <c r="AA412" s="33"/>
      <c r="AD412" s="33"/>
    </row>
    <row r="413" spans="1:30">
      <c r="A413" s="213">
        <v>2467</v>
      </c>
      <c r="B413" s="213" t="s">
        <v>859</v>
      </c>
      <c r="C413" s="213">
        <v>15.7</v>
      </c>
      <c r="D413">
        <f t="shared" si="6"/>
        <v>1091</v>
      </c>
      <c r="E413" s="213"/>
      <c r="F413" s="213"/>
      <c r="G413" s="213"/>
      <c r="H413" s="213"/>
      <c r="I413" s="213"/>
      <c r="J413" s="213"/>
      <c r="K413" s="213"/>
      <c r="L413" s="213"/>
      <c r="M413" s="213"/>
      <c r="N413" s="213"/>
      <c r="O413" s="213"/>
      <c r="P413" s="213"/>
      <c r="Y413" s="33"/>
      <c r="Z413" s="33"/>
      <c r="AA413" s="33"/>
      <c r="AD413" s="33"/>
    </row>
    <row r="414" spans="1:30">
      <c r="A414" s="213">
        <v>2468</v>
      </c>
      <c r="B414" s="213" t="s">
        <v>860</v>
      </c>
      <c r="C414" s="213">
        <v>10.95</v>
      </c>
      <c r="D414">
        <f t="shared" si="6"/>
        <v>1311</v>
      </c>
      <c r="E414" s="213"/>
      <c r="F414" s="213"/>
      <c r="G414" s="213"/>
      <c r="H414" s="213"/>
      <c r="I414" s="213"/>
      <c r="J414" s="213"/>
      <c r="K414" s="213"/>
      <c r="L414" s="213"/>
      <c r="M414" s="213"/>
      <c r="N414" s="213"/>
      <c r="O414" s="213"/>
      <c r="P414" s="213"/>
      <c r="Y414" s="33"/>
      <c r="Z414" s="33"/>
      <c r="AA414" s="33"/>
      <c r="AD414" s="33"/>
    </row>
    <row r="415" spans="1:30">
      <c r="A415" s="213">
        <v>2471</v>
      </c>
      <c r="B415" s="213" t="s">
        <v>861</v>
      </c>
      <c r="C415" s="213">
        <v>13.5</v>
      </c>
      <c r="D415">
        <f t="shared" si="6"/>
        <v>1188</v>
      </c>
      <c r="E415" s="213"/>
      <c r="F415" s="213"/>
      <c r="G415" s="213"/>
      <c r="H415" s="213"/>
      <c r="I415" s="213"/>
      <c r="J415" s="213"/>
      <c r="K415" s="213"/>
      <c r="L415" s="213"/>
      <c r="M415" s="213"/>
      <c r="N415" s="213"/>
      <c r="O415" s="213"/>
      <c r="P415" s="213"/>
      <c r="Y415" s="33"/>
      <c r="Z415" s="33"/>
      <c r="AA415" s="33"/>
      <c r="AD415" s="33"/>
    </row>
    <row r="416" spans="1:30">
      <c r="A416" s="213">
        <v>2472</v>
      </c>
      <c r="B416" s="213" t="s">
        <v>1722</v>
      </c>
      <c r="C416" s="213">
        <v>39.65</v>
      </c>
      <c r="D416">
        <f t="shared" si="6"/>
        <v>457</v>
      </c>
      <c r="E416" s="213"/>
      <c r="F416" s="213"/>
      <c r="G416" s="213"/>
      <c r="H416" s="213"/>
      <c r="I416" s="213"/>
      <c r="J416" s="213"/>
      <c r="K416" s="213"/>
      <c r="L416" s="213"/>
      <c r="M416" s="213"/>
      <c r="N416" s="213"/>
      <c r="O416" s="213"/>
      <c r="P416" s="213"/>
      <c r="Y416" s="33"/>
      <c r="Z416" s="33"/>
      <c r="AA416" s="33"/>
      <c r="AD416" s="33"/>
    </row>
    <row r="417" spans="1:30">
      <c r="A417" s="213">
        <v>2474</v>
      </c>
      <c r="B417" s="213" t="s">
        <v>862</v>
      </c>
      <c r="C417" s="213">
        <v>246</v>
      </c>
      <c r="D417">
        <f t="shared" si="6"/>
        <v>30</v>
      </c>
      <c r="E417" s="213"/>
      <c r="F417" s="213"/>
      <c r="G417" s="213"/>
      <c r="H417" s="213"/>
      <c r="I417" s="213"/>
      <c r="J417" s="213"/>
      <c r="K417" s="213"/>
      <c r="L417" s="213"/>
      <c r="M417" s="213"/>
      <c r="N417" s="213"/>
      <c r="O417" s="213"/>
      <c r="P417" s="213"/>
      <c r="Y417" s="33"/>
      <c r="Z417" s="33"/>
      <c r="AA417" s="33"/>
      <c r="AD417" s="33"/>
    </row>
    <row r="418" spans="1:30">
      <c r="A418" s="213">
        <v>2475</v>
      </c>
      <c r="B418" s="213" t="s">
        <v>863</v>
      </c>
      <c r="C418" s="213">
        <v>1.58</v>
      </c>
      <c r="D418">
        <f t="shared" si="6"/>
        <v>1621</v>
      </c>
      <c r="E418" s="213"/>
      <c r="F418" s="213"/>
      <c r="G418" s="213"/>
      <c r="H418" s="213"/>
      <c r="I418" s="213"/>
      <c r="J418" s="213"/>
      <c r="K418" s="213"/>
      <c r="L418" s="213"/>
      <c r="M418" s="213"/>
      <c r="N418" s="213"/>
      <c r="O418" s="213"/>
      <c r="P418" s="213"/>
      <c r="Y418" s="33"/>
      <c r="Z418" s="33"/>
      <c r="AA418" s="33"/>
      <c r="AD418" s="33"/>
    </row>
    <row r="419" spans="1:30">
      <c r="A419" s="213">
        <v>2476</v>
      </c>
      <c r="B419" s="213" t="s">
        <v>864</v>
      </c>
      <c r="C419" s="213">
        <v>25.15</v>
      </c>
      <c r="D419">
        <f t="shared" si="6"/>
        <v>734</v>
      </c>
      <c r="E419" s="213"/>
      <c r="F419" s="213"/>
      <c r="G419" s="213"/>
      <c r="H419" s="213"/>
      <c r="I419" s="213"/>
      <c r="J419" s="213"/>
      <c r="K419" s="213"/>
      <c r="L419" s="213"/>
      <c r="M419" s="213"/>
      <c r="N419" s="213"/>
      <c r="O419" s="213"/>
      <c r="P419" s="213"/>
      <c r="Y419" s="33"/>
      <c r="Z419" s="33"/>
      <c r="AA419" s="33"/>
      <c r="AD419" s="33"/>
    </row>
    <row r="420" spans="1:30">
      <c r="A420" s="213">
        <v>2477</v>
      </c>
      <c r="B420" s="213" t="s">
        <v>865</v>
      </c>
      <c r="C420" s="213">
        <v>13.85</v>
      </c>
      <c r="D420">
        <f t="shared" si="6"/>
        <v>1173</v>
      </c>
      <c r="E420" s="213"/>
      <c r="F420" s="213"/>
      <c r="G420" s="213"/>
      <c r="H420" s="213"/>
      <c r="I420" s="213"/>
      <c r="J420" s="213"/>
      <c r="K420" s="213"/>
      <c r="L420" s="213"/>
      <c r="M420" s="213"/>
      <c r="N420" s="213"/>
      <c r="O420" s="213"/>
      <c r="P420" s="213"/>
      <c r="Y420" s="33"/>
      <c r="Z420" s="33"/>
      <c r="AA420" s="33"/>
      <c r="AD420" s="33"/>
    </row>
    <row r="421" spans="1:30">
      <c r="A421" s="213">
        <v>2478</v>
      </c>
      <c r="B421" s="213" t="s">
        <v>866</v>
      </c>
      <c r="C421" s="213">
        <v>19.899999999999999</v>
      </c>
      <c r="D421">
        <f t="shared" si="6"/>
        <v>911</v>
      </c>
      <c r="E421" s="213"/>
      <c r="F421" s="213"/>
      <c r="G421" s="213"/>
      <c r="H421" s="213"/>
      <c r="I421" s="213"/>
      <c r="J421" s="213"/>
      <c r="K421" s="213"/>
      <c r="L421" s="213"/>
      <c r="M421" s="213"/>
      <c r="N421" s="213"/>
      <c r="O421" s="213"/>
      <c r="P421" s="213"/>
      <c r="Y421" s="33"/>
      <c r="Z421" s="33"/>
      <c r="AA421" s="33"/>
      <c r="AD421" s="33"/>
    </row>
    <row r="422" spans="1:30">
      <c r="A422" s="213">
        <v>2480</v>
      </c>
      <c r="B422" s="213" t="s">
        <v>867</v>
      </c>
      <c r="C422" s="213">
        <v>25.85</v>
      </c>
      <c r="D422">
        <f t="shared" si="6"/>
        <v>716</v>
      </c>
      <c r="E422" s="213"/>
      <c r="F422" s="213"/>
      <c r="G422" s="213"/>
      <c r="H422" s="213"/>
      <c r="I422" s="213"/>
      <c r="J422" s="213"/>
      <c r="K422" s="213"/>
      <c r="L422" s="213"/>
      <c r="M422" s="213"/>
      <c r="N422" s="213"/>
      <c r="O422" s="213"/>
      <c r="P422" s="213"/>
      <c r="Y422" s="33"/>
      <c r="Z422" s="33"/>
      <c r="AA422" s="33"/>
      <c r="AD422" s="33"/>
    </row>
    <row r="423" spans="1:30">
      <c r="A423" s="213">
        <v>2481</v>
      </c>
      <c r="B423" s="213" t="s">
        <v>868</v>
      </c>
      <c r="C423" s="213">
        <v>15.15</v>
      </c>
      <c r="D423">
        <f t="shared" si="6"/>
        <v>1115</v>
      </c>
      <c r="E423" s="213"/>
      <c r="F423" s="213"/>
      <c r="G423" s="213"/>
      <c r="H423" s="213"/>
      <c r="I423" s="213"/>
      <c r="J423" s="213"/>
      <c r="K423" s="213"/>
      <c r="L423" s="213"/>
      <c r="M423" s="213"/>
      <c r="N423" s="213"/>
      <c r="O423" s="213"/>
      <c r="P423" s="213"/>
      <c r="Y423" s="33"/>
      <c r="Z423" s="33"/>
      <c r="AA423" s="33"/>
      <c r="AD423" s="33"/>
    </row>
    <row r="424" spans="1:30">
      <c r="A424" s="213">
        <v>2482</v>
      </c>
      <c r="B424" s="213" t="s">
        <v>869</v>
      </c>
      <c r="C424" s="213">
        <v>13.75</v>
      </c>
      <c r="D424">
        <f t="shared" si="6"/>
        <v>1178</v>
      </c>
      <c r="E424" s="213"/>
      <c r="F424" s="213"/>
      <c r="G424" s="213"/>
      <c r="H424" s="213"/>
      <c r="I424" s="213"/>
      <c r="J424" s="213"/>
      <c r="K424" s="213"/>
      <c r="L424" s="213"/>
      <c r="M424" s="213"/>
      <c r="N424" s="213"/>
      <c r="O424" s="213"/>
      <c r="P424" s="213"/>
      <c r="Y424" s="33"/>
      <c r="Z424" s="33"/>
      <c r="AA424" s="33"/>
      <c r="AD424" s="33"/>
    </row>
    <row r="425" spans="1:30">
      <c r="A425" s="213">
        <v>2483</v>
      </c>
      <c r="B425" s="213" t="s">
        <v>870</v>
      </c>
      <c r="C425" s="213">
        <v>17.149999999999999</v>
      </c>
      <c r="D425">
        <f t="shared" si="6"/>
        <v>1018</v>
      </c>
      <c r="E425" s="213"/>
      <c r="F425" s="213"/>
      <c r="G425" s="213"/>
      <c r="H425" s="213"/>
      <c r="I425" s="213"/>
      <c r="J425" s="213"/>
      <c r="K425" s="213"/>
      <c r="L425" s="213"/>
      <c r="M425" s="213"/>
      <c r="N425" s="213"/>
      <c r="O425" s="213"/>
      <c r="P425" s="213"/>
      <c r="Y425" s="33"/>
      <c r="Z425" s="33"/>
      <c r="AA425" s="33"/>
      <c r="AD425" s="33"/>
    </row>
    <row r="426" spans="1:30">
      <c r="A426" s="213">
        <v>2484</v>
      </c>
      <c r="B426" s="213" t="s">
        <v>871</v>
      </c>
      <c r="C426" s="213">
        <v>19.45</v>
      </c>
      <c r="D426">
        <f t="shared" si="6"/>
        <v>924</v>
      </c>
      <c r="E426" s="213"/>
      <c r="F426" s="213"/>
      <c r="G426" s="213"/>
      <c r="H426" s="213"/>
      <c r="I426" s="213"/>
      <c r="J426" s="213"/>
      <c r="K426" s="213"/>
      <c r="L426" s="213"/>
      <c r="M426" s="213"/>
      <c r="N426" s="213"/>
      <c r="O426" s="213"/>
      <c r="P426" s="213"/>
      <c r="Y426" s="33"/>
      <c r="Z426" s="33"/>
      <c r="AA426" s="33"/>
      <c r="AD426" s="33"/>
    </row>
    <row r="427" spans="1:30">
      <c r="A427" s="213">
        <v>2485</v>
      </c>
      <c r="B427" s="213" t="s">
        <v>872</v>
      </c>
      <c r="C427" s="213">
        <v>35.6</v>
      </c>
      <c r="D427">
        <f t="shared" si="6"/>
        <v>518</v>
      </c>
      <c r="E427" s="213"/>
      <c r="F427" s="213"/>
      <c r="G427" s="213"/>
      <c r="H427" s="213"/>
      <c r="I427" s="213"/>
      <c r="J427" s="213"/>
      <c r="K427" s="213"/>
      <c r="L427" s="213"/>
      <c r="M427" s="213"/>
      <c r="N427" s="213"/>
      <c r="O427" s="213"/>
      <c r="P427" s="213"/>
      <c r="Y427" s="33"/>
      <c r="Z427" s="33"/>
      <c r="AA427" s="33"/>
      <c r="AD427" s="33"/>
    </row>
    <row r="428" spans="1:30">
      <c r="A428" s="213">
        <v>2486</v>
      </c>
      <c r="B428" s="213" t="s">
        <v>873</v>
      </c>
      <c r="C428" s="213">
        <v>8.59</v>
      </c>
      <c r="D428">
        <f t="shared" si="6"/>
        <v>1444</v>
      </c>
      <c r="E428" s="213"/>
      <c r="F428" s="213"/>
      <c r="G428" s="213"/>
      <c r="H428" s="213"/>
      <c r="I428" s="213"/>
      <c r="J428" s="213"/>
      <c r="K428" s="213"/>
      <c r="L428" s="213"/>
      <c r="M428" s="213"/>
      <c r="N428" s="213"/>
      <c r="O428" s="213"/>
      <c r="P428" s="213"/>
      <c r="Y428" s="33"/>
      <c r="Z428" s="33"/>
      <c r="AA428" s="33"/>
      <c r="AD428" s="33"/>
    </row>
    <row r="429" spans="1:30">
      <c r="A429" s="213">
        <v>2488</v>
      </c>
      <c r="B429" s="213" t="s">
        <v>874</v>
      </c>
      <c r="C429" s="213">
        <v>47.95</v>
      </c>
      <c r="D429">
        <f t="shared" si="6"/>
        <v>363</v>
      </c>
      <c r="E429" s="213"/>
      <c r="F429" s="213"/>
      <c r="G429" s="213"/>
      <c r="H429" s="213"/>
      <c r="I429" s="213"/>
      <c r="J429" s="213"/>
      <c r="K429" s="213"/>
      <c r="L429" s="213"/>
      <c r="M429" s="213"/>
      <c r="N429" s="213"/>
      <c r="O429" s="213"/>
      <c r="P429" s="213"/>
      <c r="Y429" s="33"/>
      <c r="Z429" s="33"/>
      <c r="AA429" s="33"/>
      <c r="AD429" s="33"/>
    </row>
    <row r="430" spans="1:30">
      <c r="A430" s="213">
        <v>2489</v>
      </c>
      <c r="B430" s="213" t="s">
        <v>875</v>
      </c>
      <c r="C430" s="213">
        <v>24.45</v>
      </c>
      <c r="D430">
        <f t="shared" si="6"/>
        <v>754</v>
      </c>
      <c r="E430" s="213"/>
      <c r="F430" s="213"/>
      <c r="G430" s="213"/>
      <c r="H430" s="213"/>
      <c r="I430" s="213"/>
      <c r="J430" s="213"/>
      <c r="K430" s="213"/>
      <c r="L430" s="213"/>
      <c r="M430" s="213"/>
      <c r="N430" s="213"/>
      <c r="O430" s="213"/>
      <c r="P430" s="213"/>
      <c r="Y430" s="33"/>
      <c r="Z430" s="33"/>
      <c r="AA430" s="33"/>
      <c r="AD430" s="33"/>
    </row>
    <row r="431" spans="1:30">
      <c r="A431" s="213">
        <v>2491</v>
      </c>
      <c r="B431" s="213" t="s">
        <v>876</v>
      </c>
      <c r="C431" s="213">
        <v>7.78</v>
      </c>
      <c r="D431">
        <f t="shared" si="6"/>
        <v>1480</v>
      </c>
      <c r="E431" s="213"/>
      <c r="F431" s="213"/>
      <c r="G431" s="213"/>
      <c r="H431" s="213"/>
      <c r="I431" s="213"/>
      <c r="J431" s="213"/>
      <c r="K431" s="213"/>
      <c r="L431" s="213"/>
      <c r="M431" s="213"/>
      <c r="N431" s="213"/>
      <c r="O431" s="213"/>
      <c r="P431" s="213"/>
      <c r="Y431" s="33"/>
      <c r="Z431" s="33"/>
      <c r="AD431" s="33"/>
    </row>
    <row r="432" spans="1:30">
      <c r="A432" s="213">
        <v>2492</v>
      </c>
      <c r="B432" s="213" t="s">
        <v>877</v>
      </c>
      <c r="C432" s="213">
        <v>38.799999999999997</v>
      </c>
      <c r="D432">
        <f t="shared" si="6"/>
        <v>468</v>
      </c>
      <c r="E432" s="213"/>
      <c r="F432" s="213"/>
      <c r="G432" s="213"/>
      <c r="H432" s="213"/>
      <c r="I432" s="213"/>
      <c r="J432" s="213"/>
      <c r="K432" s="213"/>
      <c r="L432" s="213"/>
      <c r="M432" s="213"/>
      <c r="N432" s="213"/>
      <c r="O432" s="213"/>
      <c r="P432" s="213"/>
      <c r="Y432" s="33"/>
      <c r="Z432" s="33"/>
      <c r="AD432" s="33"/>
    </row>
    <row r="433" spans="1:30">
      <c r="A433" s="213">
        <v>2493</v>
      </c>
      <c r="B433" s="213" t="s">
        <v>878</v>
      </c>
      <c r="C433" s="213">
        <v>25.35</v>
      </c>
      <c r="D433">
        <f t="shared" si="6"/>
        <v>729</v>
      </c>
      <c r="E433" s="213"/>
      <c r="F433" s="213"/>
      <c r="G433" s="213"/>
      <c r="H433" s="213"/>
      <c r="I433" s="213"/>
      <c r="J433" s="213"/>
      <c r="K433" s="213"/>
      <c r="L433" s="213"/>
      <c r="M433" s="213"/>
      <c r="N433" s="213"/>
      <c r="O433" s="213"/>
      <c r="P433" s="213"/>
      <c r="Y433" s="33"/>
      <c r="Z433" s="33"/>
      <c r="AA433" s="33"/>
      <c r="AD433" s="33"/>
    </row>
    <row r="434" spans="1:30">
      <c r="A434" s="213">
        <v>2495</v>
      </c>
      <c r="B434" s="213" t="s">
        <v>879</v>
      </c>
      <c r="C434" s="213">
        <v>15.85</v>
      </c>
      <c r="D434">
        <f t="shared" si="6"/>
        <v>1085</v>
      </c>
      <c r="E434" s="213"/>
      <c r="F434" s="213"/>
      <c r="G434" s="213"/>
      <c r="H434" s="213"/>
      <c r="I434" s="213"/>
      <c r="J434" s="213"/>
      <c r="K434" s="213"/>
      <c r="L434" s="213"/>
      <c r="M434" s="213"/>
      <c r="N434" s="213"/>
      <c r="O434" s="213"/>
      <c r="P434" s="213"/>
      <c r="Y434" s="33"/>
      <c r="Z434" s="33"/>
      <c r="AA434" s="33"/>
      <c r="AD434" s="33"/>
    </row>
    <row r="435" spans="1:30">
      <c r="A435" s="213">
        <v>2496</v>
      </c>
      <c r="B435" s="213" t="s">
        <v>880</v>
      </c>
      <c r="C435" s="213">
        <v>104</v>
      </c>
      <c r="D435">
        <f t="shared" si="6"/>
        <v>132</v>
      </c>
      <c r="E435" s="213"/>
      <c r="F435" s="213"/>
      <c r="G435" s="213"/>
      <c r="H435" s="213"/>
      <c r="I435" s="213"/>
      <c r="J435" s="213"/>
      <c r="K435" s="213"/>
      <c r="L435" s="213"/>
      <c r="M435" s="213"/>
      <c r="N435" s="213"/>
      <c r="O435" s="213"/>
      <c r="P435" s="213"/>
      <c r="Y435" s="33"/>
      <c r="Z435" s="33"/>
      <c r="AA435" s="33"/>
      <c r="AD435" s="33"/>
    </row>
    <row r="436" spans="1:30">
      <c r="A436" s="213">
        <v>2497</v>
      </c>
      <c r="B436" s="213" t="s">
        <v>881</v>
      </c>
      <c r="C436" s="213">
        <v>29.9</v>
      </c>
      <c r="D436">
        <f t="shared" si="6"/>
        <v>614</v>
      </c>
      <c r="E436" s="213"/>
      <c r="F436" s="213"/>
      <c r="G436" s="213"/>
      <c r="H436" s="213"/>
      <c r="I436" s="213"/>
      <c r="J436" s="213"/>
      <c r="K436" s="213"/>
      <c r="L436" s="213"/>
      <c r="M436" s="213"/>
      <c r="N436" s="213"/>
      <c r="O436" s="213"/>
      <c r="P436" s="213"/>
      <c r="Y436" s="33"/>
      <c r="Z436" s="33"/>
      <c r="AA436" s="33"/>
      <c r="AD436" s="33"/>
    </row>
    <row r="437" spans="1:30">
      <c r="A437" s="213">
        <v>2498</v>
      </c>
      <c r="B437" s="213" t="s">
        <v>882</v>
      </c>
      <c r="C437" s="213">
        <v>94.4</v>
      </c>
      <c r="D437">
        <f t="shared" si="6"/>
        <v>147</v>
      </c>
      <c r="E437" s="213"/>
      <c r="F437" s="213"/>
      <c r="G437" s="213"/>
      <c r="H437" s="213"/>
      <c r="I437" s="213"/>
      <c r="J437" s="213"/>
      <c r="K437" s="213"/>
      <c r="L437" s="213"/>
      <c r="M437" s="213"/>
      <c r="N437" s="213"/>
      <c r="O437" s="213"/>
      <c r="P437" s="213"/>
      <c r="Y437" s="33"/>
      <c r="Z437" s="33"/>
      <c r="AA437" s="33"/>
      <c r="AD437" s="33"/>
    </row>
    <row r="438" spans="1:30">
      <c r="A438" s="213">
        <v>2499</v>
      </c>
      <c r="B438" s="213" t="s">
        <v>883</v>
      </c>
      <c r="C438" s="213">
        <v>15.1</v>
      </c>
      <c r="D438">
        <f t="shared" si="6"/>
        <v>1119</v>
      </c>
      <c r="E438" s="213"/>
      <c r="F438" s="213"/>
      <c r="G438" s="213"/>
      <c r="H438" s="213"/>
      <c r="I438" s="213"/>
      <c r="J438" s="213"/>
      <c r="K438" s="213"/>
      <c r="L438" s="213"/>
      <c r="M438" s="213"/>
      <c r="N438" s="213"/>
      <c r="O438" s="213"/>
      <c r="P438" s="213"/>
      <c r="Y438" s="33"/>
      <c r="Z438" s="33"/>
      <c r="AA438" s="33"/>
      <c r="AD438" s="33"/>
    </row>
    <row r="439" spans="1:30">
      <c r="A439" s="213">
        <v>2504</v>
      </c>
      <c r="B439" s="213" t="s">
        <v>885</v>
      </c>
      <c r="C439" s="213">
        <v>7.34</v>
      </c>
      <c r="D439">
        <f t="shared" si="6"/>
        <v>1496</v>
      </c>
      <c r="E439" s="213"/>
      <c r="F439" s="213"/>
      <c r="G439" s="213"/>
      <c r="H439" s="213"/>
      <c r="I439" s="213"/>
      <c r="J439" s="213"/>
      <c r="K439" s="213"/>
      <c r="L439" s="213"/>
      <c r="M439" s="213"/>
      <c r="N439" s="213"/>
      <c r="O439" s="213"/>
      <c r="P439" s="213"/>
      <c r="Y439" s="33"/>
      <c r="Z439" s="33"/>
      <c r="AA439" s="33"/>
      <c r="AD439" s="33"/>
    </row>
    <row r="440" spans="1:30">
      <c r="A440" s="213">
        <v>2505</v>
      </c>
      <c r="B440" s="213" t="s">
        <v>886</v>
      </c>
      <c r="C440" s="213">
        <v>12.7</v>
      </c>
      <c r="D440">
        <f t="shared" si="6"/>
        <v>1230</v>
      </c>
      <c r="E440" s="213"/>
      <c r="F440" s="213"/>
      <c r="G440" s="213"/>
      <c r="H440" s="213"/>
      <c r="I440" s="213"/>
      <c r="J440" s="213"/>
      <c r="K440" s="213"/>
      <c r="L440" s="213"/>
      <c r="M440" s="213"/>
      <c r="N440" s="213"/>
      <c r="O440" s="213"/>
      <c r="P440" s="213"/>
      <c r="Y440" s="33"/>
      <c r="Z440" s="33"/>
      <c r="AA440" s="33"/>
      <c r="AD440" s="33"/>
    </row>
    <row r="441" spans="1:30">
      <c r="A441" s="213">
        <v>2506</v>
      </c>
      <c r="B441" s="213" t="s">
        <v>887</v>
      </c>
      <c r="C441" s="213">
        <v>11.35</v>
      </c>
      <c r="D441">
        <f t="shared" si="6"/>
        <v>1293</v>
      </c>
      <c r="E441" s="213"/>
      <c r="F441" s="213"/>
      <c r="G441" s="213"/>
      <c r="H441" s="213"/>
      <c r="I441" s="213"/>
      <c r="J441" s="213"/>
      <c r="K441" s="213"/>
      <c r="L441" s="213"/>
      <c r="M441" s="213"/>
      <c r="N441" s="213"/>
      <c r="O441" s="213"/>
      <c r="P441" s="213"/>
      <c r="Y441" s="33"/>
      <c r="Z441" s="33"/>
      <c r="AA441" s="33"/>
      <c r="AD441" s="33"/>
    </row>
    <row r="442" spans="1:30">
      <c r="A442" s="213">
        <v>2509</v>
      </c>
      <c r="B442" s="213" t="s">
        <v>888</v>
      </c>
      <c r="C442" s="213">
        <v>18.399999999999999</v>
      </c>
      <c r="D442">
        <f t="shared" si="6"/>
        <v>954</v>
      </c>
      <c r="E442" s="213"/>
      <c r="F442" s="213"/>
      <c r="G442" s="213"/>
      <c r="H442" s="213"/>
      <c r="I442" s="213"/>
      <c r="J442" s="213"/>
      <c r="K442" s="213"/>
      <c r="L442" s="213"/>
      <c r="M442" s="213"/>
      <c r="N442" s="213"/>
      <c r="O442" s="213"/>
      <c r="P442" s="213"/>
      <c r="Y442" s="33"/>
      <c r="Z442" s="33"/>
      <c r="AA442" s="33"/>
      <c r="AD442" s="33"/>
    </row>
    <row r="443" spans="1:30">
      <c r="A443" s="213">
        <v>2511</v>
      </c>
      <c r="B443" s="213" t="s">
        <v>889</v>
      </c>
      <c r="C443" s="213">
        <v>10.1</v>
      </c>
      <c r="D443">
        <f t="shared" si="6"/>
        <v>1355</v>
      </c>
      <c r="E443" s="213"/>
      <c r="F443" s="213"/>
      <c r="G443" s="213"/>
      <c r="H443" s="213"/>
      <c r="I443" s="213"/>
      <c r="J443" s="213"/>
      <c r="K443" s="213"/>
      <c r="L443" s="213"/>
      <c r="M443" s="213"/>
      <c r="N443" s="213"/>
      <c r="O443" s="213"/>
      <c r="P443" s="213"/>
      <c r="Y443" s="33"/>
      <c r="Z443" s="33"/>
      <c r="AA443" s="33"/>
      <c r="AD443" s="33"/>
    </row>
    <row r="444" spans="1:30">
      <c r="A444" s="213">
        <v>2514</v>
      </c>
      <c r="B444" s="213" t="s">
        <v>890</v>
      </c>
      <c r="C444" s="213">
        <v>17.05</v>
      </c>
      <c r="D444">
        <f t="shared" si="6"/>
        <v>1031</v>
      </c>
      <c r="E444" s="213"/>
      <c r="F444" s="213"/>
      <c r="G444" s="213"/>
      <c r="H444" s="213"/>
      <c r="I444" s="213"/>
      <c r="J444" s="213"/>
      <c r="K444" s="213"/>
      <c r="L444" s="213"/>
      <c r="M444" s="213"/>
      <c r="N444" s="213"/>
      <c r="O444" s="213"/>
      <c r="P444" s="213"/>
      <c r="Y444" s="33"/>
      <c r="Z444" s="33"/>
      <c r="AA444" s="33"/>
      <c r="AD444" s="33"/>
    </row>
    <row r="445" spans="1:30">
      <c r="A445" s="213">
        <v>2515</v>
      </c>
      <c r="B445" s="213" t="s">
        <v>891</v>
      </c>
      <c r="C445" s="213">
        <v>5.48</v>
      </c>
      <c r="D445">
        <f t="shared" si="6"/>
        <v>1568</v>
      </c>
      <c r="E445" s="213"/>
      <c r="F445" s="213"/>
      <c r="G445" s="213"/>
      <c r="H445" s="213"/>
      <c r="I445" s="213"/>
      <c r="J445" s="213"/>
      <c r="K445" s="213"/>
      <c r="L445" s="213"/>
      <c r="M445" s="213"/>
      <c r="N445" s="213"/>
      <c r="O445" s="213"/>
      <c r="P445" s="213"/>
      <c r="Y445" s="33"/>
      <c r="Z445" s="33"/>
      <c r="AA445" s="33"/>
      <c r="AD445" s="33"/>
    </row>
    <row r="446" spans="1:30">
      <c r="A446" s="213">
        <v>2516</v>
      </c>
      <c r="B446" s="213" t="s">
        <v>892</v>
      </c>
      <c r="C446" s="213">
        <v>6.27</v>
      </c>
      <c r="D446">
        <f t="shared" si="6"/>
        <v>1547</v>
      </c>
      <c r="E446" s="213"/>
      <c r="F446" s="213"/>
      <c r="G446" s="213"/>
      <c r="H446" s="213"/>
      <c r="I446" s="213"/>
      <c r="J446" s="213"/>
      <c r="K446" s="213"/>
      <c r="L446" s="213"/>
      <c r="M446" s="213"/>
      <c r="N446" s="213"/>
      <c r="O446" s="213"/>
      <c r="P446" s="213"/>
      <c r="Y446" s="33"/>
      <c r="Z446" s="33"/>
      <c r="AA446" s="33"/>
      <c r="AD446" s="33"/>
    </row>
    <row r="447" spans="1:30">
      <c r="A447" s="213">
        <v>2520</v>
      </c>
      <c r="B447" s="213" t="s">
        <v>893</v>
      </c>
      <c r="C447" s="213">
        <v>15.6</v>
      </c>
      <c r="D447">
        <f t="shared" si="6"/>
        <v>1095</v>
      </c>
      <c r="E447" s="213"/>
      <c r="F447" s="213"/>
      <c r="G447" s="213"/>
      <c r="H447" s="213"/>
      <c r="I447" s="213"/>
      <c r="J447" s="213"/>
      <c r="K447" s="213"/>
      <c r="L447" s="213"/>
      <c r="M447" s="213"/>
      <c r="N447" s="213"/>
      <c r="O447" s="213"/>
      <c r="P447" s="213"/>
      <c r="Y447" s="33"/>
      <c r="Z447" s="33"/>
      <c r="AD447" s="33"/>
    </row>
    <row r="448" spans="1:30">
      <c r="A448" s="213">
        <v>2524</v>
      </c>
      <c r="B448" s="213" t="s">
        <v>894</v>
      </c>
      <c r="C448" s="213">
        <v>18.8</v>
      </c>
      <c r="D448">
        <f t="shared" si="6"/>
        <v>939</v>
      </c>
      <c r="E448" s="213"/>
      <c r="F448" s="213"/>
      <c r="G448" s="213"/>
      <c r="H448" s="213"/>
      <c r="I448" s="213"/>
      <c r="J448" s="213"/>
      <c r="K448" s="213"/>
      <c r="L448" s="213"/>
      <c r="M448" s="213"/>
      <c r="N448" s="213"/>
      <c r="O448" s="213"/>
      <c r="P448" s="213"/>
      <c r="Y448" s="33"/>
      <c r="Z448" s="33"/>
      <c r="AA448" s="33"/>
      <c r="AD448" s="33"/>
    </row>
    <row r="449" spans="1:30">
      <c r="A449" s="213">
        <v>2527</v>
      </c>
      <c r="B449" s="213" t="s">
        <v>895</v>
      </c>
      <c r="C449" s="213">
        <v>17.399999999999999</v>
      </c>
      <c r="D449">
        <f t="shared" si="6"/>
        <v>1008</v>
      </c>
      <c r="E449" s="213"/>
      <c r="F449" s="213"/>
      <c r="G449" s="213"/>
      <c r="H449" s="213"/>
      <c r="I449" s="213"/>
      <c r="J449" s="213"/>
      <c r="K449" s="213"/>
      <c r="L449" s="213"/>
      <c r="M449" s="213"/>
      <c r="N449" s="213"/>
      <c r="O449" s="213"/>
      <c r="P449" s="213"/>
      <c r="Y449" s="33"/>
      <c r="Z449" s="33"/>
      <c r="AA449" s="33"/>
      <c r="AD449" s="33"/>
    </row>
    <row r="450" spans="1:30">
      <c r="A450" s="213">
        <v>2528</v>
      </c>
      <c r="B450" s="213" t="s">
        <v>896</v>
      </c>
      <c r="C450" s="213" t="s">
        <v>1744</v>
      </c>
      <c r="D450" t="e">
        <f t="shared" ref="D450:D513" si="7">RANK(C450,C:C,0)</f>
        <v>#VALUE!</v>
      </c>
      <c r="E450" s="213"/>
      <c r="F450" s="213"/>
      <c r="G450" s="213"/>
      <c r="H450" s="213"/>
      <c r="I450" s="213"/>
      <c r="J450" s="213"/>
      <c r="K450" s="213"/>
      <c r="L450" s="213"/>
      <c r="M450" s="213"/>
      <c r="N450" s="213"/>
      <c r="O450" s="213"/>
      <c r="P450" s="213"/>
      <c r="Y450" s="33"/>
      <c r="Z450" s="33"/>
      <c r="AA450" s="33"/>
      <c r="AD450" s="33"/>
    </row>
    <row r="451" spans="1:30">
      <c r="A451" s="213">
        <v>2530</v>
      </c>
      <c r="B451" s="213" t="s">
        <v>897</v>
      </c>
      <c r="C451" s="213">
        <v>13.4</v>
      </c>
      <c r="D451">
        <f t="shared" si="7"/>
        <v>1191</v>
      </c>
      <c r="E451" s="213"/>
      <c r="F451" s="213"/>
      <c r="G451" s="213"/>
      <c r="H451" s="213"/>
      <c r="I451" s="213"/>
      <c r="J451" s="213"/>
      <c r="K451" s="213"/>
      <c r="L451" s="213"/>
      <c r="M451" s="213"/>
      <c r="N451" s="213"/>
      <c r="O451" s="213"/>
      <c r="P451" s="213"/>
      <c r="Y451" s="33"/>
      <c r="Z451" s="33"/>
      <c r="AA451" s="33"/>
      <c r="AD451" s="33"/>
    </row>
    <row r="452" spans="1:30">
      <c r="A452" s="213">
        <v>2534</v>
      </c>
      <c r="B452" s="213" t="s">
        <v>898</v>
      </c>
      <c r="C452" s="213">
        <v>17.25</v>
      </c>
      <c r="D452">
        <f t="shared" si="7"/>
        <v>1013</v>
      </c>
      <c r="E452" s="213"/>
      <c r="F452" s="213"/>
      <c r="G452" s="213"/>
      <c r="H452" s="213"/>
      <c r="I452" s="213"/>
      <c r="J452" s="213"/>
      <c r="K452" s="213"/>
      <c r="L452" s="213"/>
      <c r="M452" s="213"/>
      <c r="N452" s="213"/>
      <c r="O452" s="213"/>
      <c r="P452" s="213"/>
      <c r="Y452" s="33"/>
      <c r="Z452" s="33"/>
      <c r="AA452" s="33"/>
      <c r="AD452" s="33"/>
    </row>
    <row r="453" spans="1:30">
      <c r="A453" s="213">
        <v>2535</v>
      </c>
      <c r="B453" s="213" t="s">
        <v>899</v>
      </c>
      <c r="C453" s="213">
        <v>19.149999999999999</v>
      </c>
      <c r="D453">
        <f t="shared" si="7"/>
        <v>930</v>
      </c>
      <c r="E453" s="213"/>
      <c r="F453" s="213"/>
      <c r="G453" s="213"/>
      <c r="H453" s="213"/>
      <c r="I453" s="213"/>
      <c r="J453" s="213"/>
      <c r="K453" s="213"/>
      <c r="L453" s="213"/>
      <c r="M453" s="213"/>
      <c r="N453" s="213"/>
      <c r="O453" s="213"/>
      <c r="P453" s="213"/>
      <c r="Y453" s="33"/>
      <c r="Z453" s="33"/>
      <c r="AA453" s="33"/>
      <c r="AD453" s="33"/>
    </row>
    <row r="454" spans="1:30">
      <c r="A454" s="213">
        <v>2536</v>
      </c>
      <c r="B454" s="213" t="s">
        <v>900</v>
      </c>
      <c r="C454" s="213">
        <v>26.25</v>
      </c>
      <c r="D454">
        <f t="shared" si="7"/>
        <v>702</v>
      </c>
      <c r="E454" s="213"/>
      <c r="F454" s="213"/>
      <c r="G454" s="213"/>
      <c r="H454" s="213"/>
      <c r="I454" s="213"/>
      <c r="J454" s="213"/>
      <c r="K454" s="213"/>
      <c r="L454" s="213"/>
      <c r="M454" s="213"/>
      <c r="N454" s="213"/>
      <c r="O454" s="213"/>
      <c r="P454" s="213"/>
      <c r="Y454" s="33"/>
      <c r="Z454" s="33"/>
      <c r="AA454" s="33"/>
      <c r="AD454" s="33"/>
    </row>
    <row r="455" spans="1:30">
      <c r="A455" s="213">
        <v>2537</v>
      </c>
      <c r="B455" s="213" t="s">
        <v>901</v>
      </c>
      <c r="C455" s="213">
        <v>9.34</v>
      </c>
      <c r="D455">
        <f t="shared" si="7"/>
        <v>1404</v>
      </c>
      <c r="E455" s="213"/>
      <c r="F455" s="213"/>
      <c r="G455" s="213"/>
      <c r="H455" s="213"/>
      <c r="I455" s="213"/>
      <c r="J455" s="213"/>
      <c r="K455" s="213"/>
      <c r="L455" s="213"/>
      <c r="M455" s="213"/>
      <c r="N455" s="213"/>
      <c r="O455" s="213"/>
      <c r="P455" s="213"/>
      <c r="Y455" s="33"/>
      <c r="Z455" s="33"/>
      <c r="AA455" s="33"/>
      <c r="AD455" s="33"/>
    </row>
    <row r="456" spans="1:30">
      <c r="A456" s="213">
        <v>2538</v>
      </c>
      <c r="B456" s="213" t="s">
        <v>902</v>
      </c>
      <c r="C456" s="213">
        <v>10.25</v>
      </c>
      <c r="D456">
        <f t="shared" si="7"/>
        <v>1343</v>
      </c>
      <c r="E456" s="213"/>
      <c r="F456" s="213"/>
      <c r="G456" s="213"/>
      <c r="H456" s="213"/>
      <c r="I456" s="213"/>
      <c r="J456" s="213"/>
      <c r="K456" s="213"/>
      <c r="L456" s="213"/>
      <c r="M456" s="213"/>
      <c r="N456" s="213"/>
      <c r="O456" s="213"/>
      <c r="P456" s="213"/>
      <c r="Y456" s="33"/>
      <c r="Z456" s="33"/>
      <c r="AA456" s="33"/>
      <c r="AD456" s="33"/>
    </row>
    <row r="457" spans="1:30">
      <c r="A457" s="213">
        <v>2539</v>
      </c>
      <c r="B457" s="213" t="s">
        <v>903</v>
      </c>
      <c r="C457" s="213">
        <v>25</v>
      </c>
      <c r="D457">
        <f t="shared" si="7"/>
        <v>738</v>
      </c>
      <c r="E457" s="213"/>
      <c r="F457" s="213"/>
      <c r="G457" s="213"/>
      <c r="H457" s="213"/>
      <c r="I457" s="213"/>
      <c r="J457" s="213"/>
      <c r="K457" s="213"/>
      <c r="L457" s="213"/>
      <c r="M457" s="213"/>
      <c r="N457" s="213"/>
      <c r="O457" s="213"/>
      <c r="P457" s="213"/>
      <c r="Y457" s="33"/>
      <c r="Z457" s="33"/>
      <c r="AA457" s="33"/>
      <c r="AD457" s="33"/>
    </row>
    <row r="458" spans="1:30">
      <c r="A458" s="213">
        <v>2540</v>
      </c>
      <c r="B458" s="213" t="s">
        <v>904</v>
      </c>
      <c r="C458" s="213">
        <v>25.7</v>
      </c>
      <c r="D458">
        <f t="shared" si="7"/>
        <v>719</v>
      </c>
      <c r="E458" s="213"/>
      <c r="F458" s="213"/>
      <c r="G458" s="213"/>
      <c r="H458" s="213"/>
      <c r="I458" s="213"/>
      <c r="J458" s="213"/>
      <c r="K458" s="213"/>
      <c r="L458" s="213"/>
      <c r="M458" s="213"/>
      <c r="N458" s="213"/>
      <c r="O458" s="213"/>
      <c r="P458" s="213"/>
      <c r="Y458" s="33"/>
      <c r="Z458" s="33"/>
      <c r="AA458" s="33"/>
      <c r="AD458" s="33"/>
    </row>
    <row r="459" spans="1:30">
      <c r="A459" s="213">
        <v>2542</v>
      </c>
      <c r="B459" s="213" t="s">
        <v>905</v>
      </c>
      <c r="C459" s="213">
        <v>47.85</v>
      </c>
      <c r="D459">
        <f t="shared" si="7"/>
        <v>365</v>
      </c>
      <c r="E459" s="213"/>
      <c r="F459" s="213"/>
      <c r="G459" s="213"/>
      <c r="H459" s="213"/>
      <c r="I459" s="213"/>
      <c r="J459" s="213"/>
      <c r="K459" s="213"/>
      <c r="L459" s="213"/>
      <c r="M459" s="213"/>
      <c r="N459" s="213"/>
      <c r="O459" s="213"/>
      <c r="P459" s="213"/>
      <c r="Y459" s="33"/>
      <c r="Z459" s="33"/>
      <c r="AA459" s="33"/>
      <c r="AD459" s="33"/>
    </row>
    <row r="460" spans="1:30">
      <c r="A460" s="213">
        <v>2543</v>
      </c>
      <c r="B460" s="213" t="s">
        <v>906</v>
      </c>
      <c r="C460" s="213">
        <v>9.7899999999999991</v>
      </c>
      <c r="D460">
        <f t="shared" si="7"/>
        <v>1384</v>
      </c>
      <c r="E460" s="213"/>
      <c r="F460" s="213"/>
      <c r="G460" s="213"/>
      <c r="H460" s="213"/>
      <c r="I460" s="213"/>
      <c r="J460" s="213"/>
      <c r="K460" s="213"/>
      <c r="L460" s="213"/>
      <c r="M460" s="213"/>
      <c r="N460" s="213"/>
      <c r="O460" s="213"/>
      <c r="P460" s="213"/>
      <c r="Y460" s="33"/>
      <c r="Z460" s="33"/>
      <c r="AA460" s="33"/>
      <c r="AD460" s="33"/>
    </row>
    <row r="461" spans="1:30">
      <c r="A461" s="213">
        <v>2545</v>
      </c>
      <c r="B461" s="213" t="s">
        <v>907</v>
      </c>
      <c r="C461" s="213">
        <v>38.1</v>
      </c>
      <c r="D461">
        <f t="shared" si="7"/>
        <v>482</v>
      </c>
      <c r="E461" s="213"/>
      <c r="F461" s="213"/>
      <c r="G461" s="213"/>
      <c r="H461" s="213"/>
      <c r="I461" s="213"/>
      <c r="J461" s="213"/>
      <c r="K461" s="213"/>
      <c r="L461" s="213"/>
      <c r="M461" s="213"/>
      <c r="N461" s="213"/>
      <c r="O461" s="213"/>
      <c r="P461" s="213"/>
      <c r="Y461" s="33"/>
      <c r="Z461" s="33"/>
      <c r="AA461" s="33"/>
      <c r="AD461" s="33"/>
    </row>
    <row r="462" spans="1:30">
      <c r="A462" s="213">
        <v>2546</v>
      </c>
      <c r="B462" s="213" t="s">
        <v>908</v>
      </c>
      <c r="C462" s="213">
        <v>15.15</v>
      </c>
      <c r="D462">
        <f t="shared" si="7"/>
        <v>1115</v>
      </c>
      <c r="E462" s="213"/>
      <c r="F462" s="213"/>
      <c r="G462" s="213"/>
      <c r="H462" s="213"/>
      <c r="I462" s="213"/>
      <c r="J462" s="213"/>
      <c r="K462" s="213"/>
      <c r="L462" s="213"/>
      <c r="M462" s="213"/>
      <c r="N462" s="213"/>
      <c r="O462" s="213"/>
      <c r="P462" s="213"/>
      <c r="Y462" s="33"/>
      <c r="Z462" s="33"/>
      <c r="AA462" s="33"/>
      <c r="AD462" s="33"/>
    </row>
    <row r="463" spans="1:30">
      <c r="A463" s="213">
        <v>2547</v>
      </c>
      <c r="B463" s="213" t="s">
        <v>909</v>
      </c>
      <c r="C463" s="213">
        <v>9.35</v>
      </c>
      <c r="D463">
        <f t="shared" si="7"/>
        <v>1400</v>
      </c>
      <c r="E463" s="213"/>
      <c r="F463" s="213"/>
      <c r="G463" s="213"/>
      <c r="H463" s="213"/>
      <c r="I463" s="213"/>
      <c r="J463" s="213"/>
      <c r="K463" s="213"/>
      <c r="L463" s="213"/>
      <c r="M463" s="213"/>
      <c r="N463" s="213"/>
      <c r="O463" s="213"/>
      <c r="P463" s="213"/>
      <c r="Y463" s="33"/>
      <c r="Z463" s="33"/>
      <c r="AA463" s="33"/>
      <c r="AD463" s="33"/>
    </row>
    <row r="464" spans="1:30">
      <c r="A464" s="213">
        <v>2548</v>
      </c>
      <c r="B464" s="213" t="s">
        <v>910</v>
      </c>
      <c r="C464" s="213">
        <v>55.8</v>
      </c>
      <c r="D464">
        <f t="shared" si="7"/>
        <v>299</v>
      </c>
      <c r="E464" s="213"/>
      <c r="F464" s="213"/>
      <c r="G464" s="213"/>
      <c r="H464" s="213"/>
      <c r="I464" s="213"/>
      <c r="J464" s="213"/>
      <c r="K464" s="213"/>
      <c r="L464" s="213"/>
      <c r="M464" s="213"/>
      <c r="N464" s="213"/>
      <c r="O464" s="213"/>
      <c r="P464" s="213"/>
      <c r="Y464" s="33"/>
      <c r="Z464" s="33"/>
      <c r="AA464" s="33"/>
      <c r="AD464" s="33"/>
    </row>
    <row r="465" spans="1:30">
      <c r="A465" s="213">
        <v>2597</v>
      </c>
      <c r="B465" s="213" t="s">
        <v>911</v>
      </c>
      <c r="C465" s="213">
        <v>36.6</v>
      </c>
      <c r="D465">
        <f t="shared" si="7"/>
        <v>502</v>
      </c>
      <c r="E465" s="213"/>
      <c r="F465" s="213"/>
      <c r="G465" s="213"/>
      <c r="H465" s="213"/>
      <c r="I465" s="213"/>
      <c r="J465" s="213"/>
      <c r="K465" s="213"/>
      <c r="L465" s="213"/>
      <c r="M465" s="213"/>
      <c r="N465" s="213"/>
      <c r="O465" s="213"/>
      <c r="P465" s="213"/>
      <c r="Y465" s="33"/>
      <c r="Z465" s="33"/>
      <c r="AA465" s="33"/>
      <c r="AD465" s="33"/>
    </row>
    <row r="466" spans="1:30">
      <c r="A466" s="213">
        <v>2601</v>
      </c>
      <c r="B466" s="213" t="s">
        <v>912</v>
      </c>
      <c r="C466" s="213">
        <v>7.19</v>
      </c>
      <c r="D466">
        <f t="shared" si="7"/>
        <v>1507</v>
      </c>
      <c r="E466" s="213"/>
      <c r="F466" s="213"/>
      <c r="G466" s="213"/>
      <c r="H466" s="213"/>
      <c r="I466" s="213"/>
      <c r="J466" s="213"/>
      <c r="K466" s="213"/>
      <c r="L466" s="213"/>
      <c r="M466" s="213"/>
      <c r="N466" s="213"/>
      <c r="O466" s="213"/>
      <c r="P466" s="213"/>
      <c r="Y466" s="33"/>
      <c r="Z466" s="33"/>
      <c r="AD466" s="33"/>
    </row>
    <row r="467" spans="1:30">
      <c r="A467" s="213">
        <v>2603</v>
      </c>
      <c r="B467" s="213" t="s">
        <v>913</v>
      </c>
      <c r="C467" s="213">
        <v>12</v>
      </c>
      <c r="D467">
        <f t="shared" si="7"/>
        <v>1258</v>
      </c>
      <c r="E467" s="213"/>
      <c r="F467" s="213"/>
      <c r="G467" s="213"/>
      <c r="H467" s="213"/>
      <c r="I467" s="213"/>
      <c r="J467" s="213"/>
      <c r="K467" s="213"/>
      <c r="L467" s="213"/>
      <c r="M467" s="213"/>
      <c r="N467" s="213"/>
      <c r="O467" s="213"/>
      <c r="P467" s="213"/>
      <c r="Y467" s="33"/>
      <c r="Z467" s="33"/>
      <c r="AA467" s="33"/>
      <c r="AD467" s="33"/>
    </row>
    <row r="468" spans="1:30">
      <c r="A468" s="213">
        <v>2605</v>
      </c>
      <c r="B468" s="213" t="s">
        <v>914</v>
      </c>
      <c r="C468" s="213">
        <v>17.649999999999999</v>
      </c>
      <c r="D468">
        <f t="shared" si="7"/>
        <v>994</v>
      </c>
      <c r="E468" s="213"/>
      <c r="F468" s="213"/>
      <c r="G468" s="213"/>
      <c r="H468" s="213"/>
      <c r="I468" s="213"/>
      <c r="J468" s="213"/>
      <c r="K468" s="213"/>
      <c r="L468" s="213"/>
      <c r="M468" s="213"/>
      <c r="N468" s="213"/>
      <c r="O468" s="213"/>
      <c r="P468" s="213"/>
      <c r="Y468" s="33"/>
      <c r="Z468" s="33"/>
      <c r="AA468" s="33"/>
      <c r="AD468" s="33"/>
    </row>
    <row r="469" spans="1:30">
      <c r="A469" s="213">
        <v>2606</v>
      </c>
      <c r="B469" s="213" t="s">
        <v>915</v>
      </c>
      <c r="C469" s="213">
        <v>22</v>
      </c>
      <c r="D469">
        <f t="shared" si="7"/>
        <v>846</v>
      </c>
      <c r="E469" s="213"/>
      <c r="F469" s="213"/>
      <c r="G469" s="213"/>
      <c r="H469" s="213"/>
      <c r="I469" s="213"/>
      <c r="J469" s="213"/>
      <c r="K469" s="213"/>
      <c r="L469" s="213"/>
      <c r="M469" s="213"/>
      <c r="N469" s="213"/>
      <c r="O469" s="213"/>
      <c r="P469" s="213"/>
      <c r="Y469" s="33"/>
      <c r="Z469" s="33"/>
      <c r="AA469" s="33"/>
      <c r="AD469" s="33"/>
    </row>
    <row r="470" spans="1:30">
      <c r="A470" s="213">
        <v>2607</v>
      </c>
      <c r="B470" s="213" t="s">
        <v>916</v>
      </c>
      <c r="C470" s="213">
        <v>12.95</v>
      </c>
      <c r="D470">
        <f t="shared" si="7"/>
        <v>1215</v>
      </c>
      <c r="E470" s="213"/>
      <c r="F470" s="213"/>
      <c r="G470" s="213"/>
      <c r="H470" s="213"/>
      <c r="I470" s="213"/>
      <c r="J470" s="213"/>
      <c r="K470" s="213"/>
      <c r="L470" s="213"/>
      <c r="M470" s="213"/>
      <c r="N470" s="213"/>
      <c r="O470" s="213"/>
      <c r="P470" s="213"/>
      <c r="Y470" s="33"/>
      <c r="Z470" s="33"/>
      <c r="AD470" s="33"/>
    </row>
    <row r="471" spans="1:30">
      <c r="A471" s="213">
        <v>2608</v>
      </c>
      <c r="B471" s="213" t="s">
        <v>917</v>
      </c>
      <c r="C471" s="213">
        <v>41</v>
      </c>
      <c r="D471">
        <f t="shared" si="7"/>
        <v>438</v>
      </c>
      <c r="E471" s="213"/>
      <c r="F471" s="213"/>
      <c r="G471" s="213"/>
      <c r="H471" s="213"/>
      <c r="I471" s="213"/>
      <c r="J471" s="213"/>
      <c r="K471" s="213"/>
      <c r="L471" s="213"/>
      <c r="M471" s="213"/>
      <c r="N471" s="213"/>
      <c r="O471" s="213"/>
      <c r="P471" s="213"/>
      <c r="Y471" s="33"/>
      <c r="Z471" s="33"/>
      <c r="AA471" s="33"/>
      <c r="AD471" s="33"/>
    </row>
    <row r="472" spans="1:30">
      <c r="A472" s="213">
        <v>2609</v>
      </c>
      <c r="B472" s="213" t="s">
        <v>918</v>
      </c>
      <c r="C472" s="213">
        <v>7.09</v>
      </c>
      <c r="D472">
        <f t="shared" si="7"/>
        <v>1511</v>
      </c>
      <c r="E472" s="213"/>
      <c r="F472" s="213"/>
      <c r="G472" s="213"/>
      <c r="H472" s="213"/>
      <c r="I472" s="213"/>
      <c r="J472" s="213"/>
      <c r="K472" s="213"/>
      <c r="L472" s="213"/>
      <c r="M472" s="213"/>
      <c r="N472" s="213"/>
      <c r="O472" s="213"/>
      <c r="P472" s="213"/>
      <c r="Y472" s="33"/>
      <c r="Z472" s="33"/>
      <c r="AA472" s="33"/>
      <c r="AD472" s="33"/>
    </row>
    <row r="473" spans="1:30">
      <c r="A473" s="213">
        <v>2610</v>
      </c>
      <c r="B473" s="213" t="s">
        <v>919</v>
      </c>
      <c r="C473" s="213">
        <v>9.42</v>
      </c>
      <c r="D473">
        <f t="shared" si="7"/>
        <v>1399</v>
      </c>
      <c r="E473" s="213"/>
      <c r="F473" s="213"/>
      <c r="G473" s="213"/>
      <c r="H473" s="213"/>
      <c r="I473" s="213"/>
      <c r="J473" s="213"/>
      <c r="K473" s="213"/>
      <c r="L473" s="213"/>
      <c r="M473" s="213"/>
      <c r="N473" s="213"/>
      <c r="O473" s="213"/>
      <c r="P473" s="213"/>
      <c r="Y473" s="33"/>
      <c r="Z473" s="33"/>
      <c r="AA473" s="33"/>
      <c r="AD473" s="33"/>
    </row>
    <row r="474" spans="1:30">
      <c r="A474" s="213">
        <v>2611</v>
      </c>
      <c r="B474" s="213" t="s">
        <v>920</v>
      </c>
      <c r="C474" s="213">
        <v>6.78</v>
      </c>
      <c r="D474">
        <f t="shared" si="7"/>
        <v>1525</v>
      </c>
      <c r="E474" s="213"/>
      <c r="F474" s="213"/>
      <c r="G474" s="213"/>
      <c r="H474" s="213"/>
      <c r="I474" s="213"/>
      <c r="J474" s="213"/>
      <c r="K474" s="213"/>
      <c r="L474" s="213"/>
      <c r="M474" s="213"/>
      <c r="N474" s="213"/>
      <c r="O474" s="213"/>
      <c r="P474" s="213"/>
      <c r="Y474" s="33"/>
      <c r="Z474" s="33"/>
      <c r="AA474" s="33"/>
      <c r="AD474" s="33"/>
    </row>
    <row r="475" spans="1:30">
      <c r="A475" s="213">
        <v>2612</v>
      </c>
      <c r="B475" s="213" t="s">
        <v>921</v>
      </c>
      <c r="C475" s="213">
        <v>24.75</v>
      </c>
      <c r="D475">
        <f t="shared" si="7"/>
        <v>748</v>
      </c>
      <c r="E475" s="213"/>
      <c r="F475" s="213"/>
      <c r="G475" s="213"/>
      <c r="H475" s="213"/>
      <c r="I475" s="213"/>
      <c r="J475" s="213"/>
      <c r="K475" s="213"/>
      <c r="L475" s="213"/>
      <c r="M475" s="213"/>
      <c r="N475" s="213"/>
      <c r="O475" s="213"/>
      <c r="P475" s="213"/>
      <c r="Y475" s="33"/>
      <c r="Z475" s="33"/>
      <c r="AA475" s="33"/>
      <c r="AD475" s="33"/>
    </row>
    <row r="476" spans="1:30">
      <c r="A476" s="213">
        <v>2613</v>
      </c>
      <c r="B476" s="213" t="s">
        <v>922</v>
      </c>
      <c r="C476" s="213">
        <v>13.4</v>
      </c>
      <c r="D476">
        <f t="shared" si="7"/>
        <v>1191</v>
      </c>
      <c r="E476" s="213"/>
      <c r="F476" s="213"/>
      <c r="G476" s="213"/>
      <c r="H476" s="213"/>
      <c r="I476" s="213"/>
      <c r="J476" s="213"/>
      <c r="K476" s="213"/>
      <c r="L476" s="213"/>
      <c r="M476" s="213"/>
      <c r="N476" s="213"/>
      <c r="O476" s="213"/>
      <c r="P476" s="213"/>
      <c r="Y476" s="33"/>
      <c r="Z476" s="33"/>
      <c r="AA476" s="33"/>
      <c r="AD476" s="33"/>
    </row>
    <row r="477" spans="1:30">
      <c r="A477" s="213">
        <v>2614</v>
      </c>
      <c r="B477" s="213" t="s">
        <v>923</v>
      </c>
      <c r="C477" s="213">
        <v>7.72</v>
      </c>
      <c r="D477">
        <f t="shared" si="7"/>
        <v>1485</v>
      </c>
      <c r="E477" s="213"/>
      <c r="F477" s="213"/>
      <c r="G477" s="213"/>
      <c r="H477" s="213"/>
      <c r="I477" s="213"/>
      <c r="J477" s="213"/>
      <c r="K477" s="213"/>
      <c r="L477" s="213"/>
      <c r="M477" s="213"/>
      <c r="N477" s="213"/>
      <c r="O477" s="213"/>
      <c r="P477" s="213"/>
      <c r="Y477" s="33"/>
      <c r="Z477" s="33"/>
      <c r="AA477" s="33"/>
      <c r="AD477" s="33"/>
    </row>
    <row r="478" spans="1:30">
      <c r="A478" s="213">
        <v>2615</v>
      </c>
      <c r="B478" s="213" t="s">
        <v>924</v>
      </c>
      <c r="C478" s="213">
        <v>15.85</v>
      </c>
      <c r="D478">
        <f t="shared" si="7"/>
        <v>1085</v>
      </c>
      <c r="E478" s="213"/>
      <c r="F478" s="213"/>
      <c r="G478" s="213"/>
      <c r="H478" s="213"/>
      <c r="I478" s="213"/>
      <c r="J478" s="213"/>
      <c r="K478" s="213"/>
      <c r="L478" s="213"/>
      <c r="M478" s="213"/>
      <c r="N478" s="213"/>
      <c r="O478" s="213"/>
      <c r="P478" s="213"/>
      <c r="Y478" s="33"/>
      <c r="Z478" s="33"/>
      <c r="AA478" s="33"/>
      <c r="AD478" s="33"/>
    </row>
    <row r="479" spans="1:30">
      <c r="A479" s="213">
        <v>2616</v>
      </c>
      <c r="B479" s="213" t="s">
        <v>925</v>
      </c>
      <c r="C479" s="213">
        <v>25.3</v>
      </c>
      <c r="D479">
        <f t="shared" si="7"/>
        <v>731</v>
      </c>
      <c r="E479" s="213"/>
      <c r="F479" s="213"/>
      <c r="G479" s="213"/>
      <c r="H479" s="213"/>
      <c r="I479" s="213"/>
      <c r="J479" s="213"/>
      <c r="K479" s="213"/>
      <c r="L479" s="213"/>
      <c r="M479" s="213"/>
      <c r="N479" s="213"/>
      <c r="O479" s="213"/>
      <c r="P479" s="213"/>
      <c r="Y479" s="33"/>
      <c r="Z479" s="33"/>
      <c r="AA479" s="33"/>
      <c r="AD479" s="33"/>
    </row>
    <row r="480" spans="1:30">
      <c r="A480" s="213">
        <v>2617</v>
      </c>
      <c r="B480" s="213" t="s">
        <v>926</v>
      </c>
      <c r="C480" s="213">
        <v>11.95</v>
      </c>
      <c r="D480">
        <f t="shared" si="7"/>
        <v>1261</v>
      </c>
      <c r="E480" s="213"/>
      <c r="F480" s="213"/>
      <c r="G480" s="213"/>
      <c r="H480" s="213"/>
      <c r="I480" s="213"/>
      <c r="J480" s="213"/>
      <c r="K480" s="213"/>
      <c r="L480" s="213"/>
      <c r="M480" s="213"/>
      <c r="N480" s="213"/>
      <c r="O480" s="213"/>
      <c r="P480" s="213"/>
      <c r="Y480" s="33"/>
      <c r="Z480" s="33"/>
      <c r="AA480" s="33"/>
      <c r="AD480" s="33"/>
    </row>
    <row r="481" spans="1:30">
      <c r="A481" s="213">
        <v>2618</v>
      </c>
      <c r="B481" s="213" t="s">
        <v>927</v>
      </c>
      <c r="C481" s="213">
        <v>14.7</v>
      </c>
      <c r="D481">
        <f t="shared" si="7"/>
        <v>1135</v>
      </c>
      <c r="E481" s="213"/>
      <c r="F481" s="213"/>
      <c r="G481" s="213"/>
      <c r="H481" s="213"/>
      <c r="I481" s="213"/>
      <c r="J481" s="213"/>
      <c r="K481" s="213"/>
      <c r="L481" s="213"/>
      <c r="M481" s="213"/>
      <c r="N481" s="213"/>
      <c r="O481" s="33"/>
      <c r="P481" s="213"/>
      <c r="Y481" s="33"/>
      <c r="Z481" s="33"/>
      <c r="AA481" s="33"/>
      <c r="AD481" s="33"/>
    </row>
    <row r="482" spans="1:30">
      <c r="A482" s="213">
        <v>2634</v>
      </c>
      <c r="B482" s="213" t="s">
        <v>928</v>
      </c>
      <c r="C482" s="213">
        <v>40.049999999999997</v>
      </c>
      <c r="D482">
        <f t="shared" si="7"/>
        <v>448</v>
      </c>
      <c r="E482" s="213"/>
      <c r="F482" s="213"/>
      <c r="G482" s="213"/>
      <c r="H482" s="213"/>
      <c r="I482" s="213"/>
      <c r="J482" s="213"/>
      <c r="K482" s="213"/>
      <c r="L482" s="213"/>
      <c r="M482" s="213"/>
      <c r="N482" s="213"/>
      <c r="O482" s="213"/>
      <c r="P482" s="213"/>
      <c r="Y482" s="33"/>
      <c r="Z482" s="33"/>
      <c r="AA482" s="33"/>
      <c r="AD482" s="33"/>
    </row>
    <row r="483" spans="1:30">
      <c r="A483" s="213">
        <v>2637</v>
      </c>
      <c r="B483" s="213" t="s">
        <v>2045</v>
      </c>
      <c r="C483" s="213">
        <v>28.5</v>
      </c>
      <c r="D483">
        <f t="shared" si="7"/>
        <v>654</v>
      </c>
      <c r="E483" s="213"/>
      <c r="F483" s="213"/>
      <c r="G483" s="213"/>
      <c r="H483" s="213"/>
      <c r="I483" s="213"/>
      <c r="J483" s="213"/>
      <c r="K483" s="213"/>
      <c r="L483" s="213"/>
      <c r="M483" s="213"/>
      <c r="N483" s="213"/>
      <c r="O483" s="213"/>
      <c r="P483" s="213"/>
      <c r="Y483" s="33"/>
      <c r="Z483" s="33"/>
      <c r="AA483" s="33"/>
      <c r="AD483" s="33"/>
    </row>
    <row r="484" spans="1:30">
      <c r="A484" s="213">
        <v>2642</v>
      </c>
      <c r="B484" s="213" t="s">
        <v>929</v>
      </c>
      <c r="C484" s="213">
        <v>25.15</v>
      </c>
      <c r="D484">
        <f t="shared" si="7"/>
        <v>734</v>
      </c>
      <c r="E484" s="213"/>
      <c r="F484" s="213"/>
      <c r="G484" s="213"/>
      <c r="H484" s="213"/>
      <c r="I484" s="213"/>
      <c r="J484" s="213"/>
      <c r="K484" s="213"/>
      <c r="L484" s="213"/>
      <c r="M484" s="213"/>
      <c r="N484" s="213"/>
      <c r="O484" s="213"/>
      <c r="P484" s="213"/>
      <c r="Y484" s="33"/>
      <c r="Z484" s="33"/>
      <c r="AD484" s="33"/>
    </row>
    <row r="485" spans="1:30">
      <c r="A485" s="213">
        <v>2701</v>
      </c>
      <c r="B485" s="213" t="s">
        <v>930</v>
      </c>
      <c r="C485" s="213">
        <v>13.9</v>
      </c>
      <c r="D485">
        <f t="shared" si="7"/>
        <v>1169</v>
      </c>
      <c r="E485" s="213"/>
      <c r="F485" s="213"/>
      <c r="G485" s="213"/>
      <c r="H485" s="213"/>
      <c r="I485" s="213"/>
      <c r="J485" s="213"/>
      <c r="K485" s="213"/>
      <c r="L485" s="213"/>
      <c r="M485" s="213"/>
      <c r="N485" s="213"/>
      <c r="O485" s="213"/>
      <c r="P485" s="213"/>
      <c r="Y485" s="33"/>
      <c r="Z485" s="33"/>
      <c r="AA485" s="33"/>
      <c r="AD485" s="33"/>
    </row>
    <row r="486" spans="1:30">
      <c r="A486" s="213">
        <v>2702</v>
      </c>
      <c r="B486" s="213" t="s">
        <v>931</v>
      </c>
      <c r="C486" s="213">
        <v>16.7</v>
      </c>
      <c r="D486">
        <f t="shared" si="7"/>
        <v>1047</v>
      </c>
      <c r="E486" s="213"/>
      <c r="F486" s="213"/>
      <c r="G486" s="213"/>
      <c r="H486" s="213"/>
      <c r="I486" s="213"/>
      <c r="J486" s="213"/>
      <c r="K486" s="213"/>
      <c r="L486" s="213"/>
      <c r="M486" s="213"/>
      <c r="N486" s="213"/>
      <c r="O486" s="213"/>
      <c r="P486" s="213"/>
      <c r="Y486" s="33"/>
      <c r="Z486" s="33"/>
      <c r="AA486" s="33"/>
      <c r="AD486" s="33"/>
    </row>
    <row r="487" spans="1:30">
      <c r="A487" s="213">
        <v>2704</v>
      </c>
      <c r="B487" s="213" t="s">
        <v>932</v>
      </c>
      <c r="C487" s="213">
        <v>23.65</v>
      </c>
      <c r="D487">
        <f t="shared" si="7"/>
        <v>788</v>
      </c>
      <c r="E487" s="213"/>
      <c r="F487" s="213"/>
      <c r="G487" s="213"/>
      <c r="H487" s="213"/>
      <c r="I487" s="213"/>
      <c r="J487" s="213"/>
      <c r="K487" s="213"/>
      <c r="L487" s="213"/>
      <c r="M487" s="213"/>
      <c r="N487" s="213"/>
      <c r="O487" s="213"/>
      <c r="P487" s="213"/>
      <c r="Y487" s="33"/>
      <c r="Z487" s="33"/>
      <c r="AA487" s="33"/>
      <c r="AD487" s="33"/>
    </row>
    <row r="488" spans="1:30">
      <c r="A488" s="213">
        <v>2705</v>
      </c>
      <c r="B488" s="213" t="s">
        <v>933</v>
      </c>
      <c r="C488" s="213">
        <v>8.6300000000000008</v>
      </c>
      <c r="D488">
        <f t="shared" si="7"/>
        <v>1441</v>
      </c>
      <c r="E488" s="213"/>
      <c r="F488" s="213"/>
      <c r="G488" s="213"/>
      <c r="H488" s="213"/>
      <c r="I488" s="213"/>
      <c r="J488" s="213"/>
      <c r="K488" s="213"/>
      <c r="L488" s="213"/>
      <c r="M488" s="213"/>
      <c r="N488" s="213"/>
      <c r="O488" s="213"/>
      <c r="P488" s="213"/>
      <c r="Y488" s="33"/>
      <c r="Z488" s="33"/>
      <c r="AA488" s="33"/>
      <c r="AD488" s="33"/>
    </row>
    <row r="489" spans="1:30">
      <c r="A489" s="213">
        <v>2706</v>
      </c>
      <c r="B489" s="213" t="s">
        <v>934</v>
      </c>
      <c r="C489" s="213">
        <v>16.55</v>
      </c>
      <c r="D489">
        <f t="shared" si="7"/>
        <v>1053</v>
      </c>
      <c r="E489" s="213"/>
      <c r="F489" s="213"/>
      <c r="G489" s="213"/>
      <c r="H489" s="213"/>
      <c r="I489" s="213"/>
      <c r="J489" s="213"/>
      <c r="K489" s="213"/>
      <c r="L489" s="213"/>
      <c r="M489" s="213"/>
      <c r="N489" s="213"/>
      <c r="O489" s="213"/>
      <c r="P489" s="213"/>
      <c r="Y489" s="33"/>
      <c r="Z489" s="33"/>
      <c r="AA489" s="33"/>
      <c r="AD489" s="33"/>
    </row>
    <row r="490" spans="1:30">
      <c r="A490" s="213">
        <v>2707</v>
      </c>
      <c r="B490" s="213" t="s">
        <v>935</v>
      </c>
      <c r="C490" s="213">
        <v>176</v>
      </c>
      <c r="D490">
        <f t="shared" si="7"/>
        <v>60</v>
      </c>
      <c r="E490" s="213"/>
      <c r="F490" s="213"/>
      <c r="G490" s="213"/>
      <c r="H490" s="213"/>
      <c r="I490" s="213"/>
      <c r="J490" s="213"/>
      <c r="K490" s="213"/>
      <c r="L490" s="213"/>
      <c r="M490" s="213"/>
      <c r="N490" s="213"/>
      <c r="O490" s="213"/>
      <c r="P490" s="213"/>
      <c r="Y490" s="33"/>
      <c r="Z490" s="33"/>
      <c r="AA490" s="33"/>
      <c r="AD490" s="33"/>
    </row>
    <row r="491" spans="1:30">
      <c r="A491" s="213">
        <v>2712</v>
      </c>
      <c r="B491" s="213" t="s">
        <v>936</v>
      </c>
      <c r="C491" s="213">
        <v>25.7</v>
      </c>
      <c r="D491">
        <f t="shared" si="7"/>
        <v>719</v>
      </c>
      <c r="E491" s="213"/>
      <c r="F491" s="213"/>
      <c r="G491" s="213"/>
      <c r="H491" s="213"/>
      <c r="I491" s="213"/>
      <c r="J491" s="213"/>
      <c r="K491" s="213"/>
      <c r="L491" s="213"/>
      <c r="M491" s="213"/>
      <c r="N491" s="213"/>
      <c r="O491" s="213"/>
      <c r="P491" s="213"/>
      <c r="Y491" s="33"/>
      <c r="Z491" s="33"/>
      <c r="AA491" s="33"/>
      <c r="AD491" s="33"/>
    </row>
    <row r="492" spans="1:30">
      <c r="A492" s="213">
        <v>2722</v>
      </c>
      <c r="B492" s="213" t="s">
        <v>937</v>
      </c>
      <c r="C492" s="213">
        <v>41.75</v>
      </c>
      <c r="D492">
        <f t="shared" si="7"/>
        <v>426</v>
      </c>
      <c r="E492" s="213"/>
      <c r="F492" s="213"/>
      <c r="G492" s="213"/>
      <c r="H492" s="213"/>
      <c r="I492" s="213"/>
      <c r="J492" s="213"/>
      <c r="K492" s="213"/>
      <c r="L492" s="213"/>
      <c r="M492" s="213"/>
      <c r="N492" s="213"/>
      <c r="O492" s="213"/>
      <c r="P492" s="213"/>
      <c r="Y492" s="33"/>
      <c r="Z492" s="33"/>
      <c r="AA492" s="33"/>
      <c r="AD492" s="33"/>
    </row>
    <row r="493" spans="1:30">
      <c r="A493" s="213">
        <v>2723</v>
      </c>
      <c r="B493" s="213" t="s">
        <v>2046</v>
      </c>
      <c r="C493" s="213">
        <v>285</v>
      </c>
      <c r="D493">
        <f t="shared" si="7"/>
        <v>23</v>
      </c>
      <c r="E493" s="213"/>
      <c r="F493" s="213"/>
      <c r="G493" s="213"/>
      <c r="H493" s="213"/>
      <c r="I493" s="213"/>
      <c r="J493" s="213"/>
      <c r="K493" s="213"/>
      <c r="L493" s="213"/>
      <c r="M493" s="213"/>
      <c r="N493" s="213"/>
      <c r="O493" s="213"/>
      <c r="P493" s="213"/>
      <c r="Y493" s="33"/>
      <c r="Z493" s="33"/>
      <c r="AA493" s="33"/>
      <c r="AD493" s="33"/>
    </row>
    <row r="494" spans="1:30">
      <c r="A494" s="213">
        <v>2727</v>
      </c>
      <c r="B494" s="213" t="s">
        <v>938</v>
      </c>
      <c r="C494" s="213">
        <v>116</v>
      </c>
      <c r="D494">
        <f t="shared" si="7"/>
        <v>111</v>
      </c>
      <c r="E494" s="213"/>
      <c r="F494" s="213"/>
      <c r="G494" s="213"/>
      <c r="H494" s="213"/>
      <c r="I494" s="213"/>
      <c r="J494" s="213"/>
      <c r="K494" s="213"/>
      <c r="L494" s="213"/>
      <c r="M494" s="213"/>
      <c r="N494" s="213"/>
      <c r="O494" s="213"/>
      <c r="P494" s="213"/>
      <c r="Y494" s="33"/>
      <c r="Z494" s="33"/>
      <c r="AA494" s="33"/>
      <c r="AD494" s="33"/>
    </row>
    <row r="495" spans="1:30">
      <c r="A495" s="213">
        <v>2731</v>
      </c>
      <c r="B495" s="213" t="s">
        <v>939</v>
      </c>
      <c r="C495" s="213">
        <v>79.5</v>
      </c>
      <c r="D495">
        <f t="shared" si="7"/>
        <v>193</v>
      </c>
      <c r="E495" s="213"/>
      <c r="F495" s="213"/>
      <c r="G495" s="213"/>
      <c r="H495" s="213"/>
      <c r="I495" s="213"/>
      <c r="J495" s="213"/>
      <c r="K495" s="213"/>
      <c r="L495" s="213"/>
      <c r="M495" s="213"/>
      <c r="N495" s="213"/>
      <c r="O495" s="213"/>
      <c r="P495" s="213"/>
      <c r="Y495" s="33"/>
      <c r="Z495" s="33"/>
      <c r="AA495" s="33"/>
      <c r="AD495" s="33"/>
    </row>
    <row r="496" spans="1:30">
      <c r="A496" s="213">
        <v>2739</v>
      </c>
      <c r="B496" s="213" t="s">
        <v>1914</v>
      </c>
      <c r="C496" s="213">
        <v>33.6</v>
      </c>
      <c r="D496">
        <f t="shared" si="7"/>
        <v>547</v>
      </c>
      <c r="E496" s="213"/>
      <c r="F496" s="213"/>
      <c r="G496" s="213"/>
      <c r="H496" s="213"/>
      <c r="I496" s="213"/>
      <c r="J496" s="213"/>
      <c r="K496" s="213"/>
      <c r="L496" s="213"/>
      <c r="M496" s="213"/>
      <c r="N496" s="213"/>
      <c r="O496" s="213"/>
      <c r="P496" s="213"/>
      <c r="Y496" s="33"/>
      <c r="Z496" s="33"/>
      <c r="AA496" s="33"/>
      <c r="AD496" s="33"/>
    </row>
    <row r="497" spans="1:30">
      <c r="A497" s="213">
        <v>2801</v>
      </c>
      <c r="B497" s="213" t="s">
        <v>940</v>
      </c>
      <c r="C497" s="213">
        <v>16.149999999999999</v>
      </c>
      <c r="D497">
        <f t="shared" si="7"/>
        <v>1074</v>
      </c>
      <c r="E497" s="213"/>
      <c r="F497" s="213"/>
      <c r="G497" s="213"/>
      <c r="H497" s="213"/>
      <c r="I497" s="213"/>
      <c r="J497" s="213"/>
      <c r="K497" s="213"/>
      <c r="L497" s="213"/>
      <c r="M497" s="213"/>
      <c r="N497" s="213"/>
      <c r="O497" s="213"/>
      <c r="P497" s="213"/>
      <c r="Y497" s="33"/>
      <c r="Z497" s="33"/>
      <c r="AA497" s="33"/>
      <c r="AD497" s="33"/>
    </row>
    <row r="498" spans="1:30">
      <c r="A498" s="213">
        <v>2809</v>
      </c>
      <c r="B498" s="213" t="s">
        <v>941</v>
      </c>
      <c r="C498" s="213">
        <v>26.05</v>
      </c>
      <c r="D498">
        <f t="shared" si="7"/>
        <v>709</v>
      </c>
      <c r="E498" s="213"/>
      <c r="F498" s="213"/>
      <c r="G498" s="213"/>
      <c r="H498" s="213"/>
      <c r="I498" s="213"/>
      <c r="J498" s="213"/>
      <c r="K498" s="213"/>
      <c r="L498" s="213"/>
      <c r="M498" s="213"/>
      <c r="N498" s="213"/>
      <c r="O498" s="213"/>
      <c r="P498" s="213"/>
      <c r="Y498" s="33"/>
      <c r="Z498" s="33"/>
      <c r="AA498" s="33"/>
      <c r="AD498" s="33"/>
    </row>
    <row r="499" spans="1:30">
      <c r="A499" s="213">
        <v>2812</v>
      </c>
      <c r="B499" s="213" t="s">
        <v>942</v>
      </c>
      <c r="C499" s="213">
        <v>9.07</v>
      </c>
      <c r="D499">
        <f t="shared" si="7"/>
        <v>1416</v>
      </c>
      <c r="E499" s="213"/>
      <c r="F499" s="213"/>
      <c r="G499" s="213"/>
      <c r="H499" s="213"/>
      <c r="I499" s="213"/>
      <c r="J499" s="213"/>
      <c r="K499" s="213"/>
      <c r="L499" s="213"/>
      <c r="M499" s="213"/>
      <c r="N499" s="213"/>
      <c r="O499" s="213"/>
      <c r="P499" s="213"/>
      <c r="Y499" s="33"/>
      <c r="Z499" s="33"/>
      <c r="AA499" s="33"/>
      <c r="AD499" s="33"/>
    </row>
    <row r="500" spans="1:30">
      <c r="A500" s="213">
        <v>2816</v>
      </c>
      <c r="B500" s="213" t="s">
        <v>943</v>
      </c>
      <c r="C500" s="213">
        <v>11.95</v>
      </c>
      <c r="D500">
        <f t="shared" si="7"/>
        <v>1261</v>
      </c>
      <c r="E500" s="213"/>
      <c r="F500" s="213"/>
      <c r="G500" s="213"/>
      <c r="H500" s="213"/>
      <c r="I500" s="213"/>
      <c r="J500" s="213"/>
      <c r="K500" s="213"/>
      <c r="L500" s="213"/>
      <c r="M500" s="213"/>
      <c r="N500" s="213"/>
      <c r="O500" s="213"/>
      <c r="P500" s="213"/>
      <c r="Y500" s="33"/>
      <c r="Z500" s="33"/>
      <c r="AA500" s="33"/>
      <c r="AD500" s="33"/>
    </row>
    <row r="501" spans="1:30">
      <c r="A501" s="213">
        <v>2820</v>
      </c>
      <c r="B501" s="213" t="s">
        <v>944</v>
      </c>
      <c r="C501" s="213">
        <v>12.7</v>
      </c>
      <c r="D501">
        <f t="shared" si="7"/>
        <v>1230</v>
      </c>
      <c r="E501" s="213"/>
      <c r="F501" s="213"/>
      <c r="G501" s="213"/>
      <c r="H501" s="213"/>
      <c r="I501" s="213"/>
      <c r="J501" s="213"/>
      <c r="K501" s="213"/>
      <c r="L501" s="213"/>
      <c r="M501" s="213"/>
      <c r="N501" s="213"/>
      <c r="O501" s="213"/>
      <c r="P501" s="213"/>
      <c r="Y501" s="33"/>
      <c r="Z501" s="33"/>
      <c r="AA501" s="33"/>
      <c r="AD501" s="33"/>
    </row>
    <row r="502" spans="1:30">
      <c r="A502" s="213">
        <v>2823</v>
      </c>
      <c r="B502" s="213" t="s">
        <v>945</v>
      </c>
      <c r="C502" s="213">
        <v>29</v>
      </c>
      <c r="D502">
        <f t="shared" si="7"/>
        <v>641</v>
      </c>
      <c r="E502" s="213"/>
      <c r="F502" s="213"/>
      <c r="G502" s="213"/>
      <c r="H502" s="213"/>
      <c r="I502" s="213"/>
      <c r="J502" s="213"/>
      <c r="K502" s="213"/>
      <c r="L502" s="213"/>
      <c r="M502" s="213"/>
      <c r="N502" s="213"/>
      <c r="O502" s="213"/>
      <c r="P502" s="213"/>
      <c r="Y502" s="33"/>
      <c r="Z502" s="33"/>
      <c r="AA502" s="33"/>
      <c r="AD502" s="33"/>
    </row>
    <row r="503" spans="1:30">
      <c r="A503" s="213">
        <v>2832</v>
      </c>
      <c r="B503" s="213" t="s">
        <v>946</v>
      </c>
      <c r="C503" s="213">
        <v>18.600000000000001</v>
      </c>
      <c r="D503">
        <f t="shared" si="7"/>
        <v>948</v>
      </c>
      <c r="E503" s="213"/>
      <c r="F503" s="213"/>
      <c r="G503" s="213"/>
      <c r="H503" s="213"/>
      <c r="I503" s="213"/>
      <c r="J503" s="213"/>
      <c r="K503" s="213"/>
      <c r="L503" s="213"/>
      <c r="M503" s="213"/>
      <c r="N503" s="213"/>
      <c r="O503" s="213"/>
      <c r="P503" s="213"/>
      <c r="Y503" s="33"/>
      <c r="Z503" s="33"/>
      <c r="AA503" s="33"/>
      <c r="AD503" s="33"/>
    </row>
    <row r="504" spans="1:30">
      <c r="A504" s="213">
        <v>2834</v>
      </c>
      <c r="B504" s="213" t="s">
        <v>947</v>
      </c>
      <c r="C504" s="213">
        <v>8</v>
      </c>
      <c r="D504">
        <f t="shared" si="7"/>
        <v>1467</v>
      </c>
      <c r="E504" s="213"/>
      <c r="F504" s="213"/>
      <c r="G504" s="213"/>
      <c r="H504" s="213"/>
      <c r="I504" s="213"/>
      <c r="J504" s="213"/>
      <c r="K504" s="213"/>
      <c r="L504" s="213"/>
      <c r="M504" s="213"/>
      <c r="N504" s="213"/>
      <c r="O504" s="33"/>
      <c r="P504" s="213"/>
      <c r="Y504" s="33"/>
      <c r="Z504" s="33"/>
      <c r="AA504" s="33"/>
      <c r="AD504" s="33"/>
    </row>
    <row r="505" spans="1:30">
      <c r="A505" s="213">
        <v>2836</v>
      </c>
      <c r="B505" s="213" t="s">
        <v>948</v>
      </c>
      <c r="C505" s="213">
        <v>8.99</v>
      </c>
      <c r="D505">
        <f t="shared" si="7"/>
        <v>1424</v>
      </c>
      <c r="E505" s="213"/>
      <c r="F505" s="213"/>
      <c r="G505" s="213"/>
      <c r="H505" s="213"/>
      <c r="I505" s="213"/>
      <c r="J505" s="213"/>
      <c r="K505" s="213"/>
      <c r="L505" s="213"/>
      <c r="M505" s="213"/>
      <c r="N505" s="213"/>
      <c r="O505" s="213"/>
      <c r="P505" s="213"/>
      <c r="Y505" s="33"/>
      <c r="Z505" s="33"/>
      <c r="AA505" s="33"/>
      <c r="AD505" s="33"/>
    </row>
    <row r="506" spans="1:30">
      <c r="A506" s="213">
        <v>2838</v>
      </c>
      <c r="B506" s="213" t="s">
        <v>949</v>
      </c>
      <c r="C506" s="213">
        <v>8.77</v>
      </c>
      <c r="D506">
        <f t="shared" si="7"/>
        <v>1436</v>
      </c>
      <c r="E506" s="213"/>
      <c r="F506" s="213"/>
      <c r="G506" s="213"/>
      <c r="H506" s="213"/>
      <c r="I506" s="213"/>
      <c r="J506" s="213"/>
      <c r="K506" s="213"/>
      <c r="L506" s="213"/>
      <c r="M506" s="213"/>
      <c r="N506" s="213"/>
      <c r="O506" s="213"/>
      <c r="P506" s="213"/>
      <c r="Y506" s="33"/>
      <c r="Z506" s="33"/>
      <c r="AA506" s="33"/>
      <c r="AD506" s="33"/>
    </row>
    <row r="507" spans="1:30">
      <c r="A507" s="213">
        <v>2841</v>
      </c>
      <c r="B507" s="213" t="s">
        <v>950</v>
      </c>
      <c r="C507" s="213">
        <v>9.91</v>
      </c>
      <c r="D507">
        <f t="shared" si="7"/>
        <v>1374</v>
      </c>
      <c r="E507" s="213"/>
      <c r="F507" s="213"/>
      <c r="G507" s="213"/>
      <c r="H507" s="213"/>
      <c r="I507" s="213"/>
      <c r="J507" s="213"/>
      <c r="K507" s="213"/>
      <c r="L507" s="213"/>
      <c r="M507" s="213"/>
      <c r="N507" s="213"/>
      <c r="O507" s="213"/>
      <c r="P507" s="213"/>
      <c r="Y507" s="33"/>
      <c r="Z507" s="33"/>
      <c r="AA507" s="33"/>
      <c r="AD507" s="33"/>
    </row>
    <row r="508" spans="1:30">
      <c r="A508" s="213">
        <v>2845</v>
      </c>
      <c r="B508" s="213" t="s">
        <v>951</v>
      </c>
      <c r="C508" s="213">
        <v>9.0299999999999994</v>
      </c>
      <c r="D508">
        <f t="shared" si="7"/>
        <v>1418</v>
      </c>
      <c r="E508" s="213"/>
      <c r="F508" s="213"/>
      <c r="G508" s="213"/>
      <c r="H508" s="213"/>
      <c r="I508" s="213"/>
      <c r="J508" s="213"/>
      <c r="K508" s="213"/>
      <c r="L508" s="213"/>
      <c r="M508" s="213"/>
      <c r="N508" s="213"/>
      <c r="O508" s="213"/>
      <c r="P508" s="213"/>
      <c r="Y508" s="33"/>
      <c r="Z508" s="33"/>
      <c r="AA508" s="33"/>
      <c r="AD508" s="33"/>
    </row>
    <row r="509" spans="1:30">
      <c r="A509" s="213">
        <v>2849</v>
      </c>
      <c r="B509" s="213" t="s">
        <v>952</v>
      </c>
      <c r="C509" s="213">
        <v>12.15</v>
      </c>
      <c r="D509">
        <f t="shared" si="7"/>
        <v>1254</v>
      </c>
      <c r="E509" s="213"/>
      <c r="F509" s="213"/>
      <c r="G509" s="213"/>
      <c r="H509" s="213"/>
      <c r="I509" s="213"/>
      <c r="J509" s="213"/>
      <c r="K509" s="213"/>
      <c r="L509" s="213"/>
      <c r="M509" s="213"/>
      <c r="N509" s="213"/>
      <c r="O509" s="213"/>
      <c r="P509" s="213"/>
      <c r="Y509" s="33"/>
      <c r="Z509" s="33"/>
      <c r="AA509" s="33"/>
      <c r="AD509" s="33"/>
    </row>
    <row r="510" spans="1:30">
      <c r="A510" s="213">
        <v>2850</v>
      </c>
      <c r="B510" s="213" t="s">
        <v>953</v>
      </c>
      <c r="C510" s="213">
        <v>23.95</v>
      </c>
      <c r="D510">
        <f t="shared" si="7"/>
        <v>774</v>
      </c>
      <c r="E510" s="213"/>
      <c r="F510" s="213"/>
      <c r="G510" s="213"/>
      <c r="H510" s="213"/>
      <c r="I510" s="213"/>
      <c r="J510" s="213"/>
      <c r="K510" s="213"/>
      <c r="L510" s="213"/>
      <c r="M510" s="213"/>
      <c r="N510" s="213"/>
      <c r="O510" s="213"/>
      <c r="P510" s="213"/>
      <c r="Y510" s="33"/>
      <c r="Z510" s="33"/>
      <c r="AA510" s="33"/>
      <c r="AD510" s="33"/>
    </row>
    <row r="511" spans="1:30">
      <c r="A511" s="213">
        <v>2851</v>
      </c>
      <c r="B511" s="213" t="s">
        <v>954</v>
      </c>
      <c r="C511" s="213">
        <v>13.85</v>
      </c>
      <c r="D511">
        <f t="shared" si="7"/>
        <v>1173</v>
      </c>
      <c r="E511" s="213"/>
      <c r="F511" s="213"/>
      <c r="G511" s="213"/>
      <c r="H511" s="213"/>
      <c r="I511" s="213"/>
      <c r="J511" s="213"/>
      <c r="K511" s="213"/>
      <c r="L511" s="213"/>
      <c r="M511" s="213"/>
      <c r="N511" s="213"/>
      <c r="O511" s="213"/>
      <c r="P511" s="213"/>
      <c r="Y511" s="33"/>
      <c r="Z511" s="33"/>
      <c r="AA511" s="33"/>
      <c r="AD511" s="33"/>
    </row>
    <row r="512" spans="1:30">
      <c r="A512" s="213">
        <v>2852</v>
      </c>
      <c r="B512" s="213" t="s">
        <v>955</v>
      </c>
      <c r="C512" s="213">
        <v>11.3</v>
      </c>
      <c r="D512">
        <f t="shared" si="7"/>
        <v>1294</v>
      </c>
      <c r="E512" s="213"/>
      <c r="F512" s="213"/>
      <c r="G512" s="213"/>
      <c r="H512" s="213"/>
      <c r="I512" s="213"/>
      <c r="J512" s="213"/>
      <c r="K512" s="213"/>
      <c r="L512" s="213"/>
      <c r="M512" s="213"/>
      <c r="N512" s="213"/>
      <c r="O512" s="213"/>
      <c r="P512" s="213"/>
      <c r="Y512" s="33"/>
      <c r="Z512" s="33"/>
      <c r="AA512" s="33"/>
      <c r="AD512" s="33"/>
    </row>
    <row r="513" spans="1:30">
      <c r="A513" s="213">
        <v>2855</v>
      </c>
      <c r="B513" s="213" t="s">
        <v>956</v>
      </c>
      <c r="C513" s="213">
        <v>10.9</v>
      </c>
      <c r="D513">
        <f t="shared" si="7"/>
        <v>1317</v>
      </c>
      <c r="E513" s="213"/>
      <c r="F513" s="213"/>
      <c r="G513" s="213"/>
      <c r="H513" s="213"/>
      <c r="I513" s="213"/>
      <c r="J513" s="213"/>
      <c r="K513" s="213"/>
      <c r="L513" s="213"/>
      <c r="M513" s="213"/>
      <c r="N513" s="213"/>
      <c r="O513" s="213"/>
      <c r="P513" s="213"/>
      <c r="Y513" s="33"/>
      <c r="Z513" s="33"/>
      <c r="AA513" s="33"/>
      <c r="AD513" s="33"/>
    </row>
    <row r="514" spans="1:30">
      <c r="A514" s="213">
        <v>2856</v>
      </c>
      <c r="B514" s="213" t="s">
        <v>957</v>
      </c>
      <c r="C514" s="213">
        <v>8.0399999999999991</v>
      </c>
      <c r="D514">
        <f t="shared" ref="D514:D577" si="8">RANK(C514,C:C,0)</f>
        <v>1464</v>
      </c>
      <c r="E514" s="213"/>
      <c r="F514" s="213"/>
      <c r="G514" s="213"/>
      <c r="H514" s="213"/>
      <c r="I514" s="213"/>
      <c r="J514" s="213"/>
      <c r="K514" s="213"/>
      <c r="L514" s="213"/>
      <c r="M514" s="213"/>
      <c r="N514" s="213"/>
      <c r="O514" s="213"/>
      <c r="P514" s="213"/>
      <c r="Y514" s="33"/>
      <c r="Z514" s="33"/>
      <c r="AA514" s="33"/>
      <c r="AD514" s="33"/>
    </row>
    <row r="515" spans="1:30">
      <c r="A515" s="213">
        <v>2867</v>
      </c>
      <c r="B515" s="213" t="s">
        <v>958</v>
      </c>
      <c r="C515" s="213">
        <v>15.25</v>
      </c>
      <c r="D515">
        <f t="shared" si="8"/>
        <v>1109</v>
      </c>
      <c r="E515" s="213"/>
      <c r="F515" s="213"/>
      <c r="G515" s="213"/>
      <c r="H515" s="213"/>
      <c r="I515" s="213"/>
      <c r="J515" s="213"/>
      <c r="K515" s="213"/>
      <c r="L515" s="213"/>
      <c r="M515" s="213"/>
      <c r="N515" s="213"/>
      <c r="O515" s="213"/>
      <c r="P515" s="213"/>
      <c r="Y515" s="33"/>
      <c r="Z515" s="33"/>
      <c r="AA515" s="33"/>
      <c r="AD515" s="33"/>
    </row>
    <row r="516" spans="1:30">
      <c r="A516" s="213">
        <v>2880</v>
      </c>
      <c r="B516" s="213" t="s">
        <v>959</v>
      </c>
      <c r="C516" s="213">
        <v>16.100000000000001</v>
      </c>
      <c r="D516">
        <f t="shared" si="8"/>
        <v>1076</v>
      </c>
      <c r="E516" s="213"/>
      <c r="F516" s="213"/>
      <c r="G516" s="213"/>
      <c r="H516" s="213"/>
      <c r="I516" s="213"/>
      <c r="J516" s="213"/>
      <c r="K516" s="213"/>
      <c r="L516" s="213"/>
      <c r="M516" s="213"/>
      <c r="N516" s="213"/>
      <c r="O516" s="213"/>
      <c r="P516" s="213"/>
      <c r="Y516" s="33"/>
      <c r="Z516" s="33"/>
      <c r="AA516" s="33"/>
      <c r="AD516" s="33"/>
    </row>
    <row r="517" spans="1:30">
      <c r="A517" s="213">
        <v>2881</v>
      </c>
      <c r="B517" s="213" t="s">
        <v>960</v>
      </c>
      <c r="C517" s="213">
        <v>44.85</v>
      </c>
      <c r="D517">
        <f t="shared" si="8"/>
        <v>398</v>
      </c>
      <c r="E517" s="213"/>
      <c r="F517" s="213"/>
      <c r="G517" s="213"/>
      <c r="H517" s="213"/>
      <c r="I517" s="213"/>
      <c r="J517" s="213"/>
      <c r="K517" s="213"/>
      <c r="L517" s="213"/>
      <c r="M517" s="213"/>
      <c r="N517" s="213"/>
      <c r="O517" s="213"/>
      <c r="P517" s="213"/>
      <c r="Y517" s="33"/>
      <c r="Z517" s="33"/>
      <c r="AA517" s="33"/>
      <c r="AD517" s="33"/>
    </row>
    <row r="518" spans="1:30">
      <c r="A518" s="213" t="s">
        <v>1916</v>
      </c>
      <c r="B518" s="213" t="s">
        <v>1917</v>
      </c>
      <c r="C518" s="213">
        <v>62</v>
      </c>
      <c r="D518">
        <f t="shared" si="8"/>
        <v>266</v>
      </c>
      <c r="E518" s="213"/>
      <c r="F518" s="213"/>
      <c r="G518" s="213"/>
      <c r="H518" s="213"/>
      <c r="I518" s="213"/>
      <c r="J518" s="213"/>
      <c r="K518" s="213"/>
      <c r="L518" s="213"/>
      <c r="M518" s="213"/>
      <c r="N518" s="213"/>
      <c r="O518" s="213"/>
      <c r="P518" s="213"/>
      <c r="Y518" s="33"/>
      <c r="Z518" s="33"/>
      <c r="AA518" s="33"/>
      <c r="AD518" s="33"/>
    </row>
    <row r="519" spans="1:30">
      <c r="A519" s="213">
        <v>2882</v>
      </c>
      <c r="B519" s="213" t="s">
        <v>961</v>
      </c>
      <c r="C519" s="213">
        <v>40.25</v>
      </c>
      <c r="D519">
        <f t="shared" si="8"/>
        <v>447</v>
      </c>
      <c r="E519" s="213"/>
      <c r="F519" s="213"/>
      <c r="G519" s="213"/>
      <c r="H519" s="213"/>
      <c r="I519" s="213"/>
      <c r="J519" s="213"/>
      <c r="K519" s="213"/>
      <c r="L519" s="213"/>
      <c r="M519" s="213"/>
      <c r="N519" s="213"/>
      <c r="O519" s="213"/>
      <c r="P519" s="213"/>
      <c r="Y519" s="33"/>
      <c r="Z519" s="33"/>
      <c r="AA519" s="33"/>
      <c r="AD519" s="33"/>
    </row>
    <row r="520" spans="1:30">
      <c r="A520" s="213">
        <v>2883</v>
      </c>
      <c r="B520" s="213" t="s">
        <v>962</v>
      </c>
      <c r="C520" s="213">
        <v>7.99</v>
      </c>
      <c r="D520">
        <f t="shared" si="8"/>
        <v>1470</v>
      </c>
      <c r="E520" s="213"/>
      <c r="F520" s="213"/>
      <c r="G520" s="213"/>
      <c r="H520" s="213"/>
      <c r="I520" s="213"/>
      <c r="J520" s="213"/>
      <c r="K520" s="213"/>
      <c r="L520" s="213"/>
      <c r="M520" s="213"/>
      <c r="N520" s="213"/>
      <c r="O520" s="33"/>
      <c r="P520" s="213"/>
      <c r="Y520" s="33"/>
      <c r="Z520" s="33"/>
      <c r="AA520" s="33"/>
      <c r="AD520" s="33"/>
    </row>
    <row r="521" spans="1:30">
      <c r="A521" s="213">
        <v>2884</v>
      </c>
      <c r="B521" s="213" t="s">
        <v>963</v>
      </c>
      <c r="C521" s="213">
        <v>17.95</v>
      </c>
      <c r="D521">
        <f t="shared" si="8"/>
        <v>977</v>
      </c>
      <c r="E521" s="213"/>
      <c r="F521" s="213"/>
      <c r="G521" s="213"/>
      <c r="H521" s="213"/>
      <c r="I521" s="213"/>
      <c r="J521" s="213"/>
      <c r="K521" s="213"/>
      <c r="L521" s="213"/>
      <c r="M521" s="213"/>
      <c r="N521" s="213"/>
      <c r="O521" s="33"/>
      <c r="P521" s="213"/>
      <c r="Y521" s="33"/>
      <c r="Z521" s="33"/>
      <c r="AA521" s="33"/>
      <c r="AD521" s="33"/>
    </row>
    <row r="522" spans="1:30">
      <c r="A522" s="213">
        <v>2885</v>
      </c>
      <c r="B522" s="213" t="s">
        <v>964</v>
      </c>
      <c r="C522" s="213">
        <v>11.7</v>
      </c>
      <c r="D522">
        <f t="shared" si="8"/>
        <v>1276</v>
      </c>
      <c r="E522" s="213"/>
      <c r="F522" s="213"/>
      <c r="G522" s="213"/>
      <c r="H522" s="213"/>
      <c r="I522" s="213"/>
      <c r="J522" s="213"/>
      <c r="K522" s="213"/>
      <c r="L522" s="213"/>
      <c r="M522" s="33"/>
      <c r="N522" s="213"/>
      <c r="O522" s="33"/>
      <c r="P522" s="213"/>
      <c r="Y522" s="33"/>
      <c r="Z522" s="33"/>
      <c r="AA522" s="33"/>
      <c r="AD522" s="33"/>
    </row>
    <row r="523" spans="1:30">
      <c r="A523" s="213">
        <v>2886</v>
      </c>
      <c r="B523" s="213" t="s">
        <v>965</v>
      </c>
      <c r="C523" s="213">
        <v>21.8</v>
      </c>
      <c r="D523">
        <f t="shared" si="8"/>
        <v>854</v>
      </c>
      <c r="E523" s="213"/>
      <c r="F523" s="213"/>
      <c r="G523" s="213"/>
      <c r="H523" s="213"/>
      <c r="I523" s="213"/>
      <c r="J523" s="213"/>
      <c r="K523" s="213"/>
      <c r="L523" s="213"/>
      <c r="M523" s="213"/>
      <c r="N523" s="213"/>
      <c r="O523" s="213"/>
      <c r="P523" s="213"/>
      <c r="Y523" s="33"/>
      <c r="Z523" s="33"/>
      <c r="AA523" s="33"/>
      <c r="AD523" s="33"/>
    </row>
    <row r="524" spans="1:30">
      <c r="A524" s="213">
        <v>2887</v>
      </c>
      <c r="B524" s="213" t="s">
        <v>966</v>
      </c>
      <c r="C524" s="213">
        <v>11.4</v>
      </c>
      <c r="D524">
        <f t="shared" si="8"/>
        <v>1290</v>
      </c>
      <c r="E524" s="213"/>
      <c r="F524" s="213"/>
      <c r="G524" s="213"/>
      <c r="H524" s="213"/>
      <c r="I524" s="213"/>
      <c r="J524" s="213"/>
      <c r="K524" s="213"/>
      <c r="L524" s="213"/>
      <c r="M524" s="33"/>
      <c r="N524" s="213"/>
      <c r="O524" s="213"/>
      <c r="P524" s="213"/>
      <c r="Y524" s="33"/>
      <c r="Z524" s="33"/>
      <c r="AA524" s="33"/>
      <c r="AD524" s="33"/>
    </row>
    <row r="525" spans="1:30">
      <c r="A525" s="213">
        <v>2888</v>
      </c>
      <c r="B525" s="213" t="s">
        <v>967</v>
      </c>
      <c r="C525" s="213">
        <v>6.87</v>
      </c>
      <c r="D525">
        <f t="shared" si="8"/>
        <v>1523</v>
      </c>
      <c r="E525" s="213"/>
      <c r="F525" s="213"/>
      <c r="G525" s="213"/>
      <c r="H525" s="213"/>
      <c r="I525" s="213"/>
      <c r="J525" s="213"/>
      <c r="K525" s="213"/>
      <c r="L525" s="213"/>
      <c r="M525" s="213"/>
      <c r="N525" s="213"/>
      <c r="O525" s="213"/>
      <c r="P525" s="213"/>
      <c r="Y525" s="33"/>
      <c r="Z525" s="33"/>
      <c r="AA525" s="33"/>
      <c r="AD525" s="33"/>
    </row>
    <row r="526" spans="1:30">
      <c r="A526" s="213">
        <v>2889</v>
      </c>
      <c r="B526" s="213" t="s">
        <v>968</v>
      </c>
      <c r="C526" s="213">
        <v>8.01</v>
      </c>
      <c r="D526">
        <f t="shared" si="8"/>
        <v>1466</v>
      </c>
      <c r="E526" s="213"/>
      <c r="F526" s="213"/>
      <c r="G526" s="213"/>
      <c r="H526" s="213"/>
      <c r="I526" s="213"/>
      <c r="J526" s="213"/>
      <c r="K526" s="213"/>
      <c r="L526" s="213"/>
      <c r="M526" s="213"/>
      <c r="N526" s="213"/>
      <c r="O526" s="213"/>
      <c r="P526" s="213"/>
      <c r="Y526" s="33"/>
      <c r="Z526" s="33"/>
      <c r="AA526" s="33"/>
      <c r="AD526" s="33"/>
    </row>
    <row r="527" spans="1:30">
      <c r="A527" s="213">
        <v>2890</v>
      </c>
      <c r="B527" s="213" t="s">
        <v>969</v>
      </c>
      <c r="C527" s="213">
        <v>9.18</v>
      </c>
      <c r="D527">
        <f t="shared" si="8"/>
        <v>1409</v>
      </c>
      <c r="E527" s="213"/>
      <c r="F527" s="213"/>
      <c r="G527" s="213"/>
      <c r="H527" s="213"/>
      <c r="I527" s="213"/>
      <c r="J527" s="213"/>
      <c r="K527" s="213"/>
      <c r="L527" s="213"/>
      <c r="M527" s="213"/>
      <c r="N527" s="213"/>
      <c r="O527" s="213"/>
      <c r="P527" s="213"/>
      <c r="Y527" s="33"/>
      <c r="Z527" s="33"/>
      <c r="AA527" s="33"/>
      <c r="AD527" s="33"/>
    </row>
    <row r="528" spans="1:30">
      <c r="A528" s="213">
        <v>2891</v>
      </c>
      <c r="B528" s="213" t="s">
        <v>970</v>
      </c>
      <c r="C528" s="213">
        <v>17.149999999999999</v>
      </c>
      <c r="D528">
        <f t="shared" si="8"/>
        <v>1018</v>
      </c>
      <c r="E528" s="213"/>
      <c r="F528" s="213"/>
      <c r="G528" s="213"/>
      <c r="H528" s="213"/>
      <c r="I528" s="213"/>
      <c r="J528" s="213"/>
      <c r="K528" s="213"/>
      <c r="L528" s="213"/>
      <c r="M528" s="213"/>
      <c r="N528" s="213"/>
      <c r="O528" s="213"/>
      <c r="P528" s="213"/>
      <c r="Y528" s="33"/>
      <c r="Z528" s="33"/>
      <c r="AA528" s="33"/>
      <c r="AD528" s="33"/>
    </row>
    <row r="529" spans="1:30">
      <c r="A529" s="213">
        <v>2892</v>
      </c>
      <c r="B529" s="213" t="s">
        <v>971</v>
      </c>
      <c r="C529" s="213">
        <v>16.5</v>
      </c>
      <c r="D529">
        <f t="shared" si="8"/>
        <v>1058</v>
      </c>
      <c r="E529" s="213"/>
      <c r="F529" s="213"/>
      <c r="G529" s="213"/>
      <c r="H529" s="213"/>
      <c r="I529" s="213"/>
      <c r="J529" s="213"/>
      <c r="K529" s="213"/>
      <c r="L529" s="213"/>
      <c r="M529" s="33"/>
      <c r="N529" s="213"/>
      <c r="O529" s="213"/>
      <c r="P529" s="213"/>
      <c r="Y529" s="33"/>
      <c r="Z529" s="33"/>
      <c r="AA529" s="33"/>
      <c r="AD529" s="33"/>
    </row>
    <row r="530" spans="1:30">
      <c r="A530" s="213">
        <v>2901</v>
      </c>
      <c r="B530" s="213" t="s">
        <v>972</v>
      </c>
      <c r="C530" s="213">
        <v>25.7</v>
      </c>
      <c r="D530">
        <f t="shared" si="8"/>
        <v>719</v>
      </c>
      <c r="E530" s="213"/>
      <c r="F530" s="213"/>
      <c r="G530" s="213"/>
      <c r="H530" s="213"/>
      <c r="I530" s="213"/>
      <c r="J530" s="213"/>
      <c r="K530" s="213"/>
      <c r="L530" s="213"/>
      <c r="M530" s="213"/>
      <c r="N530" s="213"/>
      <c r="O530" s="213"/>
      <c r="P530" s="213"/>
      <c r="Y530" s="33"/>
      <c r="Z530" s="33"/>
      <c r="AA530" s="33"/>
      <c r="AD530" s="33"/>
    </row>
    <row r="531" spans="1:30">
      <c r="A531" s="213">
        <v>2903</v>
      </c>
      <c r="B531" s="213" t="s">
        <v>973</v>
      </c>
      <c r="C531" s="213">
        <v>16.899999999999999</v>
      </c>
      <c r="D531">
        <f t="shared" si="8"/>
        <v>1038</v>
      </c>
      <c r="E531" s="213"/>
      <c r="F531" s="213"/>
      <c r="G531" s="213"/>
      <c r="H531" s="213"/>
      <c r="I531" s="213"/>
      <c r="J531" s="213"/>
      <c r="K531" s="213"/>
      <c r="L531" s="213"/>
      <c r="M531" s="213"/>
      <c r="N531" s="213"/>
      <c r="O531" s="213"/>
      <c r="P531" s="213"/>
      <c r="Y531" s="33"/>
      <c r="Z531" s="33"/>
      <c r="AA531" s="33"/>
      <c r="AD531" s="33"/>
    </row>
    <row r="532" spans="1:30">
      <c r="A532" s="213">
        <v>2904</v>
      </c>
      <c r="B532" s="213" t="s">
        <v>974</v>
      </c>
      <c r="C532" s="213">
        <v>25.5</v>
      </c>
      <c r="D532">
        <f t="shared" si="8"/>
        <v>724</v>
      </c>
      <c r="E532" s="213"/>
      <c r="F532" s="213"/>
      <c r="G532" s="213"/>
      <c r="H532" s="213"/>
      <c r="I532" s="213"/>
      <c r="J532" s="213"/>
      <c r="K532" s="213"/>
      <c r="L532" s="213"/>
      <c r="M532" s="213"/>
      <c r="N532" s="213"/>
      <c r="O532" s="213"/>
      <c r="P532" s="213"/>
      <c r="Y532" s="33"/>
      <c r="Z532" s="33"/>
      <c r="AA532" s="33"/>
      <c r="AD532" s="33"/>
    </row>
    <row r="533" spans="1:30">
      <c r="A533" s="213">
        <v>2905</v>
      </c>
      <c r="B533" s="213" t="s">
        <v>975</v>
      </c>
      <c r="C533" s="213">
        <v>19.7</v>
      </c>
      <c r="D533">
        <f t="shared" si="8"/>
        <v>920</v>
      </c>
      <c r="E533" s="213"/>
      <c r="F533" s="213"/>
      <c r="G533" s="213"/>
      <c r="H533" s="213"/>
      <c r="I533" s="213"/>
      <c r="J533" s="213"/>
      <c r="K533" s="213"/>
      <c r="L533" s="213"/>
      <c r="M533" s="213"/>
      <c r="N533" s="213"/>
      <c r="O533" s="213"/>
      <c r="P533" s="213"/>
      <c r="Y533" s="33"/>
      <c r="Z533" s="33"/>
      <c r="AA533" s="33"/>
      <c r="AD533" s="33"/>
    </row>
    <row r="534" spans="1:30">
      <c r="A534" s="213">
        <v>2906</v>
      </c>
      <c r="B534" s="213" t="s">
        <v>976</v>
      </c>
      <c r="C534" s="213">
        <v>10.7</v>
      </c>
      <c r="D534">
        <f t="shared" si="8"/>
        <v>1325</v>
      </c>
      <c r="E534" s="213"/>
      <c r="F534" s="213"/>
      <c r="G534" s="213"/>
      <c r="H534" s="213"/>
      <c r="I534" s="213"/>
      <c r="J534" s="213"/>
      <c r="K534" s="213"/>
      <c r="L534" s="213"/>
      <c r="M534" s="213"/>
      <c r="N534" s="213"/>
      <c r="O534" s="213"/>
      <c r="P534" s="213"/>
      <c r="Y534" s="33"/>
      <c r="Z534" s="33"/>
      <c r="AD534" s="33"/>
    </row>
    <row r="535" spans="1:30">
      <c r="A535" s="213">
        <v>2908</v>
      </c>
      <c r="B535" s="213" t="s">
        <v>977</v>
      </c>
      <c r="C535" s="213">
        <v>19.45</v>
      </c>
      <c r="D535">
        <f t="shared" si="8"/>
        <v>924</v>
      </c>
      <c r="E535" s="213"/>
      <c r="F535" s="213"/>
      <c r="G535" s="213"/>
      <c r="H535" s="213"/>
      <c r="I535" s="213"/>
      <c r="J535" s="213"/>
      <c r="K535" s="213"/>
      <c r="L535" s="213"/>
      <c r="M535" s="213"/>
      <c r="N535" s="213"/>
      <c r="O535" s="213"/>
      <c r="P535" s="213"/>
      <c r="Y535" s="33"/>
      <c r="Z535" s="33"/>
      <c r="AA535" s="33"/>
      <c r="AD535" s="33"/>
    </row>
    <row r="536" spans="1:30">
      <c r="A536" s="213">
        <v>2910</v>
      </c>
      <c r="B536" s="213" t="s">
        <v>978</v>
      </c>
      <c r="C536" s="213">
        <v>22.6</v>
      </c>
      <c r="D536">
        <f t="shared" si="8"/>
        <v>825</v>
      </c>
      <c r="E536" s="213"/>
      <c r="F536" s="213"/>
      <c r="G536" s="213"/>
      <c r="H536" s="213"/>
      <c r="I536" s="213"/>
      <c r="J536" s="213"/>
      <c r="K536" s="213"/>
      <c r="L536" s="213"/>
      <c r="M536" s="213"/>
      <c r="N536" s="213"/>
      <c r="O536" s="213"/>
      <c r="P536" s="213"/>
      <c r="Y536" s="33"/>
      <c r="Z536" s="33"/>
      <c r="AA536" s="33"/>
      <c r="AD536" s="33"/>
    </row>
    <row r="537" spans="1:30">
      <c r="A537" s="213">
        <v>2911</v>
      </c>
      <c r="B537" s="213" t="s">
        <v>979</v>
      </c>
      <c r="C537" s="213">
        <v>12.7</v>
      </c>
      <c r="D537">
        <f t="shared" si="8"/>
        <v>1230</v>
      </c>
      <c r="E537" s="213"/>
      <c r="F537" s="213"/>
      <c r="G537" s="213"/>
      <c r="H537" s="213"/>
      <c r="I537" s="213"/>
      <c r="J537" s="213"/>
      <c r="K537" s="213"/>
      <c r="L537" s="213"/>
      <c r="M537" s="213"/>
      <c r="N537" s="213"/>
      <c r="O537" s="213"/>
      <c r="P537" s="213"/>
      <c r="Y537" s="33"/>
      <c r="Z537" s="33"/>
      <c r="AA537" s="33"/>
      <c r="AD537" s="33"/>
    </row>
    <row r="538" spans="1:30">
      <c r="A538" s="213">
        <v>2912</v>
      </c>
      <c r="B538" s="213" t="s">
        <v>980</v>
      </c>
      <c r="C538" s="213">
        <v>242.5</v>
      </c>
      <c r="D538">
        <f t="shared" si="8"/>
        <v>32</v>
      </c>
      <c r="E538" s="213"/>
      <c r="F538" s="213"/>
      <c r="G538" s="213"/>
      <c r="H538" s="213"/>
      <c r="I538" s="213"/>
      <c r="J538" s="213"/>
      <c r="K538" s="213"/>
      <c r="L538" s="213"/>
      <c r="M538" s="213"/>
      <c r="N538" s="213"/>
      <c r="O538" s="213"/>
      <c r="P538" s="213"/>
      <c r="Y538" s="33"/>
      <c r="Z538" s="33"/>
      <c r="AA538" s="33"/>
      <c r="AD538" s="33"/>
    </row>
    <row r="539" spans="1:30">
      <c r="A539" s="213">
        <v>2913</v>
      </c>
      <c r="B539" s="213" t="s">
        <v>981</v>
      </c>
      <c r="C539" s="213">
        <v>14.05</v>
      </c>
      <c r="D539">
        <f t="shared" si="8"/>
        <v>1159</v>
      </c>
      <c r="E539" s="213"/>
      <c r="F539" s="213"/>
      <c r="G539" s="213"/>
      <c r="H539" s="213"/>
      <c r="I539" s="213"/>
      <c r="J539" s="213"/>
      <c r="K539" s="213"/>
      <c r="L539" s="213"/>
      <c r="M539" s="213"/>
      <c r="N539" s="213"/>
      <c r="O539" s="213"/>
      <c r="P539" s="213"/>
      <c r="Y539" s="33"/>
      <c r="Z539" s="33"/>
      <c r="AA539" s="33"/>
      <c r="AD539" s="33"/>
    </row>
    <row r="540" spans="1:30">
      <c r="A540" s="213">
        <v>2915</v>
      </c>
      <c r="B540" s="213" t="s">
        <v>982</v>
      </c>
      <c r="C540" s="213">
        <v>49.05</v>
      </c>
      <c r="D540">
        <f t="shared" si="8"/>
        <v>346</v>
      </c>
      <c r="E540" s="213"/>
      <c r="F540" s="213"/>
      <c r="G540" s="213"/>
      <c r="H540" s="213"/>
      <c r="I540" s="213"/>
      <c r="J540" s="213"/>
      <c r="K540" s="213"/>
      <c r="L540" s="213"/>
      <c r="M540" s="213"/>
      <c r="N540" s="213"/>
      <c r="O540" s="213"/>
      <c r="P540" s="213"/>
      <c r="Y540" s="33"/>
      <c r="Z540" s="33"/>
      <c r="AA540" s="33"/>
      <c r="AD540" s="33"/>
    </row>
    <row r="541" spans="1:30">
      <c r="A541" s="213">
        <v>2923</v>
      </c>
      <c r="B541" s="213" t="s">
        <v>2047</v>
      </c>
      <c r="C541" s="213">
        <v>21.75</v>
      </c>
      <c r="D541">
        <f t="shared" si="8"/>
        <v>857</v>
      </c>
      <c r="E541" s="213"/>
      <c r="F541" s="213"/>
      <c r="G541" s="213"/>
      <c r="H541" s="213"/>
      <c r="I541" s="213"/>
      <c r="J541" s="213"/>
      <c r="K541" s="213"/>
      <c r="L541" s="213"/>
      <c r="M541" s="213"/>
      <c r="N541" s="213"/>
      <c r="O541" s="213"/>
      <c r="P541" s="213"/>
      <c r="Y541" s="33"/>
      <c r="Z541" s="33"/>
      <c r="AA541" s="33"/>
      <c r="AD541" s="33"/>
    </row>
    <row r="542" spans="1:30">
      <c r="A542" s="213">
        <v>2929</v>
      </c>
      <c r="B542" s="213" t="s">
        <v>2048</v>
      </c>
      <c r="C542" s="213">
        <v>161</v>
      </c>
      <c r="D542">
        <f t="shared" si="8"/>
        <v>72</v>
      </c>
      <c r="E542" s="213"/>
      <c r="F542" s="213"/>
      <c r="G542" s="213"/>
      <c r="H542" s="213"/>
      <c r="I542" s="213"/>
      <c r="J542" s="213"/>
      <c r="K542" s="213"/>
      <c r="L542" s="213"/>
      <c r="M542" s="213"/>
      <c r="N542" s="213"/>
      <c r="O542" s="213"/>
      <c r="P542" s="213"/>
      <c r="Y542" s="33"/>
      <c r="Z542" s="33"/>
      <c r="AA542" s="33"/>
      <c r="AD542" s="33"/>
    </row>
    <row r="543" spans="1:30">
      <c r="A543" s="213">
        <v>2936</v>
      </c>
      <c r="B543" s="213" t="s">
        <v>3162</v>
      </c>
      <c r="C543" s="213">
        <v>35.75</v>
      </c>
      <c r="D543">
        <f t="shared" si="8"/>
        <v>515</v>
      </c>
      <c r="E543" s="213"/>
      <c r="F543" s="213"/>
      <c r="G543" s="213"/>
      <c r="H543" s="213"/>
      <c r="I543" s="213"/>
      <c r="J543" s="213"/>
      <c r="K543" s="213"/>
      <c r="L543" s="213"/>
      <c r="M543" s="213"/>
      <c r="N543" s="213"/>
      <c r="O543" s="213"/>
      <c r="P543" s="213"/>
      <c r="Y543" s="33"/>
      <c r="Z543" s="33"/>
      <c r="AA543" s="33"/>
      <c r="AD543" s="33"/>
    </row>
    <row r="544" spans="1:30">
      <c r="A544" s="213">
        <v>3002</v>
      </c>
      <c r="B544" s="213" t="s">
        <v>983</v>
      </c>
      <c r="C544" s="213">
        <v>10</v>
      </c>
      <c r="D544">
        <f t="shared" si="8"/>
        <v>1365</v>
      </c>
      <c r="E544" s="213"/>
      <c r="F544" s="213"/>
      <c r="G544" s="213"/>
      <c r="H544" s="213"/>
      <c r="I544" s="213"/>
      <c r="J544" s="213"/>
      <c r="K544" s="213"/>
      <c r="L544" s="213"/>
      <c r="M544" s="213"/>
      <c r="N544" s="213"/>
      <c r="O544" s="213"/>
      <c r="P544" s="213"/>
      <c r="Y544" s="33"/>
      <c r="Z544" s="33"/>
      <c r="AA544" s="33"/>
      <c r="AD544" s="33"/>
    </row>
    <row r="545" spans="1:30">
      <c r="A545" s="213">
        <v>3003</v>
      </c>
      <c r="B545" s="213" t="s">
        <v>984</v>
      </c>
      <c r="C545" s="213">
        <v>35.799999999999997</v>
      </c>
      <c r="D545">
        <f t="shared" si="8"/>
        <v>514</v>
      </c>
      <c r="E545" s="213"/>
      <c r="F545" s="213"/>
      <c r="G545" s="213"/>
      <c r="H545" s="213"/>
      <c r="I545" s="213"/>
      <c r="J545" s="213"/>
      <c r="K545" s="213"/>
      <c r="L545" s="213"/>
      <c r="M545" s="213"/>
      <c r="N545" s="213"/>
      <c r="O545" s="213"/>
      <c r="P545" s="213"/>
      <c r="Y545" s="33"/>
      <c r="Z545" s="33"/>
      <c r="AA545" s="33"/>
      <c r="AD545" s="33"/>
    </row>
    <row r="546" spans="1:30">
      <c r="A546" s="213">
        <v>3004</v>
      </c>
      <c r="B546" s="213" t="s">
        <v>985</v>
      </c>
      <c r="C546" s="213">
        <v>57.2</v>
      </c>
      <c r="D546">
        <f t="shared" si="8"/>
        <v>291</v>
      </c>
      <c r="E546" s="213"/>
      <c r="F546" s="213"/>
      <c r="G546" s="213"/>
      <c r="H546" s="213"/>
      <c r="I546" s="213"/>
      <c r="J546" s="213"/>
      <c r="K546" s="213"/>
      <c r="L546" s="213"/>
      <c r="M546" s="213"/>
      <c r="N546" s="213"/>
      <c r="O546" s="213"/>
      <c r="P546" s="213"/>
      <c r="Y546" s="33"/>
      <c r="Z546" s="33"/>
      <c r="AA546" s="33"/>
      <c r="AD546" s="33"/>
    </row>
    <row r="547" spans="1:30">
      <c r="A547" s="213">
        <v>3005</v>
      </c>
      <c r="B547" s="213" t="s">
        <v>986</v>
      </c>
      <c r="C547" s="213">
        <v>42.2</v>
      </c>
      <c r="D547">
        <f t="shared" si="8"/>
        <v>420</v>
      </c>
      <c r="E547" s="213"/>
      <c r="F547" s="213"/>
      <c r="G547" s="213"/>
      <c r="H547" s="213"/>
      <c r="I547" s="213"/>
      <c r="J547" s="213"/>
      <c r="K547" s="213"/>
      <c r="L547" s="213"/>
      <c r="M547" s="213"/>
      <c r="N547" s="213"/>
      <c r="O547" s="213"/>
      <c r="P547" s="213"/>
      <c r="Y547" s="33"/>
      <c r="Z547" s="33"/>
      <c r="AA547" s="33"/>
      <c r="AD547" s="33"/>
    </row>
    <row r="548" spans="1:30">
      <c r="A548" s="213">
        <v>3006</v>
      </c>
      <c r="B548" s="213" t="s">
        <v>987</v>
      </c>
      <c r="C548" s="213">
        <v>33.5</v>
      </c>
      <c r="D548">
        <f t="shared" si="8"/>
        <v>549</v>
      </c>
      <c r="E548" s="213"/>
      <c r="F548" s="213"/>
      <c r="G548" s="213"/>
      <c r="H548" s="213"/>
      <c r="I548" s="213"/>
      <c r="J548" s="213"/>
      <c r="K548" s="213"/>
      <c r="L548" s="213"/>
      <c r="M548" s="213"/>
      <c r="N548" s="213"/>
      <c r="O548" s="213"/>
      <c r="P548" s="213"/>
      <c r="Y548" s="33"/>
      <c r="Z548" s="33"/>
      <c r="AA548" s="33"/>
      <c r="AD548" s="33"/>
    </row>
    <row r="549" spans="1:30">
      <c r="A549" s="213">
        <v>3008</v>
      </c>
      <c r="B549" s="213" t="s">
        <v>988</v>
      </c>
      <c r="C549" s="213">
        <v>3770</v>
      </c>
      <c r="D549">
        <f t="shared" si="8"/>
        <v>1</v>
      </c>
      <c r="E549" s="213"/>
      <c r="F549" s="213"/>
      <c r="G549" s="213"/>
      <c r="H549" s="213"/>
      <c r="I549" s="213"/>
      <c r="J549" s="213"/>
      <c r="K549" s="213"/>
      <c r="L549" s="213"/>
      <c r="M549" s="213"/>
      <c r="N549" s="213"/>
      <c r="O549" s="213"/>
      <c r="P549" s="213"/>
      <c r="Y549" s="33"/>
      <c r="Z549" s="33"/>
      <c r="AA549" s="33"/>
      <c r="AD549" s="33"/>
    </row>
    <row r="550" spans="1:30">
      <c r="A550" s="213">
        <v>3010</v>
      </c>
      <c r="B550" s="213" t="s">
        <v>989</v>
      </c>
      <c r="C550" s="213">
        <v>45.55</v>
      </c>
      <c r="D550">
        <f t="shared" si="8"/>
        <v>388</v>
      </c>
      <c r="E550" s="213"/>
      <c r="F550" s="213"/>
      <c r="G550" s="213"/>
      <c r="H550" s="213"/>
      <c r="I550" s="213"/>
      <c r="J550" s="213"/>
      <c r="K550" s="213"/>
      <c r="L550" s="213"/>
      <c r="M550" s="213"/>
      <c r="N550" s="213"/>
      <c r="O550" s="213"/>
      <c r="P550" s="213"/>
      <c r="Y550" s="33"/>
      <c r="Z550" s="33"/>
      <c r="AA550" s="33"/>
      <c r="AD550" s="33"/>
    </row>
    <row r="551" spans="1:30">
      <c r="A551" s="213">
        <v>3011</v>
      </c>
      <c r="B551" s="213" t="s">
        <v>990</v>
      </c>
      <c r="C551" s="213">
        <v>7.07</v>
      </c>
      <c r="D551">
        <f t="shared" si="8"/>
        <v>1514</v>
      </c>
      <c r="E551" s="213"/>
      <c r="F551" s="213"/>
      <c r="G551" s="213"/>
      <c r="H551" s="213"/>
      <c r="I551" s="213"/>
      <c r="J551" s="213"/>
      <c r="K551" s="213"/>
      <c r="L551" s="213"/>
      <c r="M551" s="213"/>
      <c r="N551" s="213"/>
      <c r="O551" s="213"/>
      <c r="P551" s="213"/>
      <c r="Y551" s="33"/>
      <c r="Z551" s="33"/>
      <c r="AA551" s="33"/>
      <c r="AD551" s="33"/>
    </row>
    <row r="552" spans="1:30">
      <c r="A552" s="213">
        <v>3013</v>
      </c>
      <c r="B552" s="213" t="s">
        <v>991</v>
      </c>
      <c r="C552" s="213">
        <v>18.45</v>
      </c>
      <c r="D552">
        <f t="shared" si="8"/>
        <v>951</v>
      </c>
      <c r="E552" s="213"/>
      <c r="F552" s="213"/>
      <c r="G552" s="213"/>
      <c r="H552" s="213"/>
      <c r="I552" s="213"/>
      <c r="J552" s="213"/>
      <c r="K552" s="213"/>
      <c r="L552" s="213"/>
      <c r="M552" s="213"/>
      <c r="N552" s="213"/>
      <c r="O552" s="213"/>
      <c r="P552" s="213"/>
      <c r="Y552" s="33"/>
      <c r="Z552" s="33"/>
      <c r="AA552" s="33"/>
      <c r="AD552" s="33"/>
    </row>
    <row r="553" spans="1:30">
      <c r="A553" s="213">
        <v>3014</v>
      </c>
      <c r="B553" s="213" t="s">
        <v>992</v>
      </c>
      <c r="C553" s="213">
        <v>29.45</v>
      </c>
      <c r="D553">
        <f t="shared" si="8"/>
        <v>622</v>
      </c>
      <c r="E553" s="213"/>
      <c r="F553" s="213"/>
      <c r="G553" s="213"/>
      <c r="H553" s="213"/>
      <c r="I553" s="213"/>
      <c r="J553" s="213"/>
      <c r="K553" s="213"/>
      <c r="L553" s="213"/>
      <c r="M553" s="213"/>
      <c r="N553" s="213"/>
      <c r="O553" s="213"/>
      <c r="P553" s="213"/>
      <c r="Y553" s="33"/>
      <c r="Z553" s="33"/>
      <c r="AA553" s="33"/>
      <c r="AD553" s="33"/>
    </row>
    <row r="554" spans="1:30">
      <c r="A554" s="213">
        <v>3015</v>
      </c>
      <c r="B554" s="213" t="s">
        <v>1723</v>
      </c>
      <c r="C554" s="213">
        <v>24.4</v>
      </c>
      <c r="D554">
        <f t="shared" si="8"/>
        <v>755</v>
      </c>
      <c r="E554" s="213"/>
      <c r="F554" s="213"/>
      <c r="G554" s="213"/>
      <c r="H554" s="213"/>
      <c r="I554" s="213"/>
      <c r="J554" s="213"/>
      <c r="K554" s="213"/>
      <c r="L554" s="213"/>
      <c r="M554" s="213"/>
      <c r="N554" s="213"/>
      <c r="O554" s="213"/>
      <c r="P554" s="213"/>
      <c r="Y554" s="33"/>
      <c r="Z554" s="33"/>
      <c r="AA554" s="33"/>
      <c r="AD554" s="33"/>
    </row>
    <row r="555" spans="1:30">
      <c r="A555" s="213">
        <v>3016</v>
      </c>
      <c r="B555" s="213" t="s">
        <v>993</v>
      </c>
      <c r="C555" s="213">
        <v>18.3</v>
      </c>
      <c r="D555">
        <f t="shared" si="8"/>
        <v>958</v>
      </c>
      <c r="E555" s="213"/>
      <c r="F555" s="213"/>
      <c r="G555" s="213"/>
      <c r="H555" s="213"/>
      <c r="I555" s="213"/>
      <c r="J555" s="213"/>
      <c r="K555" s="213"/>
      <c r="L555" s="213"/>
      <c r="M555" s="213"/>
      <c r="N555" s="213"/>
      <c r="O555" s="213"/>
      <c r="P555" s="213"/>
      <c r="Y555" s="33"/>
      <c r="Z555" s="33"/>
      <c r="AA555" s="33"/>
      <c r="AD555" s="33"/>
    </row>
    <row r="556" spans="1:30">
      <c r="A556" s="213">
        <v>3017</v>
      </c>
      <c r="B556" s="213" t="s">
        <v>994</v>
      </c>
      <c r="C556" s="213">
        <v>24</v>
      </c>
      <c r="D556">
        <f t="shared" si="8"/>
        <v>767</v>
      </c>
      <c r="E556" s="213"/>
      <c r="F556" s="213"/>
      <c r="G556" s="213"/>
      <c r="H556" s="213"/>
      <c r="I556" s="213"/>
      <c r="J556" s="213"/>
      <c r="K556" s="213"/>
      <c r="L556" s="213"/>
      <c r="M556" s="213"/>
      <c r="N556" s="213"/>
      <c r="O556" s="213"/>
      <c r="P556" s="213"/>
      <c r="Y556" s="33"/>
      <c r="Z556" s="33"/>
      <c r="AA556" s="33"/>
      <c r="AD556" s="33"/>
    </row>
    <row r="557" spans="1:30">
      <c r="A557" s="213">
        <v>3018</v>
      </c>
      <c r="B557" s="213" t="s">
        <v>995</v>
      </c>
      <c r="C557" s="213">
        <v>17.8</v>
      </c>
      <c r="D557">
        <f t="shared" si="8"/>
        <v>984</v>
      </c>
      <c r="E557" s="213"/>
      <c r="F557" s="213"/>
      <c r="G557" s="213"/>
      <c r="H557" s="213"/>
      <c r="I557" s="213"/>
      <c r="J557" s="213"/>
      <c r="K557" s="213"/>
      <c r="L557" s="213"/>
      <c r="M557" s="213"/>
      <c r="N557" s="213"/>
      <c r="O557" s="213"/>
      <c r="P557" s="213"/>
      <c r="Y557" s="33"/>
      <c r="Z557" s="33"/>
      <c r="AA557" s="33"/>
      <c r="AD557" s="33"/>
    </row>
    <row r="558" spans="1:30">
      <c r="A558" s="213">
        <v>3019</v>
      </c>
      <c r="B558" s="213" t="s">
        <v>996</v>
      </c>
      <c r="C558" s="213">
        <v>29.8</v>
      </c>
      <c r="D558">
        <f t="shared" si="8"/>
        <v>616</v>
      </c>
      <c r="E558" s="213"/>
      <c r="F558" s="213"/>
      <c r="G558" s="213"/>
      <c r="H558" s="213"/>
      <c r="I558" s="213"/>
      <c r="J558" s="213"/>
      <c r="K558" s="213"/>
      <c r="L558" s="213"/>
      <c r="M558" s="213"/>
      <c r="N558" s="213"/>
      <c r="O558" s="213"/>
      <c r="P558" s="213"/>
      <c r="Y558" s="33"/>
      <c r="Z558" s="33"/>
      <c r="AA558" s="33"/>
      <c r="AD558" s="33"/>
    </row>
    <row r="559" spans="1:30">
      <c r="A559" s="213">
        <v>3021</v>
      </c>
      <c r="B559" s="213" t="s">
        <v>997</v>
      </c>
      <c r="C559" s="213">
        <v>13.75</v>
      </c>
      <c r="D559">
        <f t="shared" si="8"/>
        <v>1178</v>
      </c>
      <c r="E559" s="213"/>
      <c r="F559" s="213"/>
      <c r="G559" s="213"/>
      <c r="H559" s="213"/>
      <c r="I559" s="213"/>
      <c r="J559" s="213"/>
      <c r="K559" s="213"/>
      <c r="L559" s="213"/>
      <c r="M559" s="213"/>
      <c r="N559" s="213"/>
      <c r="O559" s="213"/>
      <c r="P559" s="213"/>
      <c r="Y559" s="33"/>
      <c r="Z559" s="33"/>
      <c r="AA559" s="33"/>
      <c r="AD559" s="33"/>
    </row>
    <row r="560" spans="1:30">
      <c r="A560" s="213">
        <v>3022</v>
      </c>
      <c r="B560" s="213" t="s">
        <v>998</v>
      </c>
      <c r="C560" s="213">
        <v>46.8</v>
      </c>
      <c r="D560">
        <f t="shared" si="8"/>
        <v>378</v>
      </c>
      <c r="E560" s="213"/>
      <c r="F560" s="213"/>
      <c r="G560" s="213"/>
      <c r="H560" s="213"/>
      <c r="I560" s="213"/>
      <c r="J560" s="213"/>
      <c r="K560" s="213"/>
      <c r="L560" s="213"/>
      <c r="M560" s="213"/>
      <c r="N560" s="213"/>
      <c r="O560" s="213"/>
      <c r="P560" s="213"/>
      <c r="Y560" s="33"/>
      <c r="Z560" s="33"/>
      <c r="AA560" s="33"/>
      <c r="AD560" s="33"/>
    </row>
    <row r="561" spans="1:30">
      <c r="A561" s="213">
        <v>3023</v>
      </c>
      <c r="B561" s="213" t="s">
        <v>999</v>
      </c>
      <c r="C561" s="213">
        <v>71</v>
      </c>
      <c r="D561">
        <f t="shared" si="8"/>
        <v>223</v>
      </c>
      <c r="E561" s="213"/>
      <c r="F561" s="213"/>
      <c r="G561" s="213"/>
      <c r="H561" s="213"/>
      <c r="I561" s="213"/>
      <c r="J561" s="213"/>
      <c r="K561" s="213"/>
      <c r="L561" s="213"/>
      <c r="M561" s="213"/>
      <c r="N561" s="213"/>
      <c r="O561" s="213"/>
      <c r="P561" s="213"/>
      <c r="Y561" s="33"/>
      <c r="Z561" s="33"/>
      <c r="AA561" s="33"/>
      <c r="AD561" s="33"/>
    </row>
    <row r="562" spans="1:30">
      <c r="A562" s="213">
        <v>3024</v>
      </c>
      <c r="B562" s="213" t="s">
        <v>1000</v>
      </c>
      <c r="C562" s="213">
        <v>6.64</v>
      </c>
      <c r="D562">
        <f t="shared" si="8"/>
        <v>1529</v>
      </c>
      <c r="E562" s="213"/>
      <c r="F562" s="213"/>
      <c r="G562" s="213"/>
      <c r="H562" s="213"/>
      <c r="I562" s="213"/>
      <c r="J562" s="213"/>
      <c r="K562" s="213"/>
      <c r="L562" s="213"/>
      <c r="M562" s="213"/>
      <c r="N562" s="213"/>
      <c r="O562" s="213"/>
      <c r="P562" s="213"/>
      <c r="Y562" s="33"/>
      <c r="Z562" s="33"/>
      <c r="AA562" s="33"/>
      <c r="AD562" s="33"/>
    </row>
    <row r="563" spans="1:30">
      <c r="A563" s="213">
        <v>3025</v>
      </c>
      <c r="B563" s="213" t="s">
        <v>1001</v>
      </c>
      <c r="C563" s="213">
        <v>11.05</v>
      </c>
      <c r="D563">
        <f t="shared" si="8"/>
        <v>1304</v>
      </c>
      <c r="E563" s="213"/>
      <c r="F563" s="213"/>
      <c r="G563" s="213"/>
      <c r="H563" s="213"/>
      <c r="I563" s="213"/>
      <c r="J563" s="213"/>
      <c r="K563" s="213"/>
      <c r="L563" s="213"/>
      <c r="M563" s="213"/>
      <c r="N563" s="213"/>
      <c r="O563" s="213"/>
      <c r="P563" s="213"/>
      <c r="Y563" s="33"/>
      <c r="Z563" s="33"/>
      <c r="AA563" s="33"/>
      <c r="AD563" s="33"/>
    </row>
    <row r="564" spans="1:30">
      <c r="A564" s="213">
        <v>3026</v>
      </c>
      <c r="B564" s="213" t="s">
        <v>1002</v>
      </c>
      <c r="C564" s="213">
        <v>31.8</v>
      </c>
      <c r="D564">
        <f t="shared" si="8"/>
        <v>580</v>
      </c>
      <c r="E564" s="213"/>
      <c r="F564" s="213"/>
      <c r="G564" s="213"/>
      <c r="H564" s="213"/>
      <c r="I564" s="213"/>
      <c r="J564" s="213"/>
      <c r="K564" s="213"/>
      <c r="L564" s="213"/>
      <c r="M564" s="213"/>
      <c r="N564" s="213"/>
      <c r="O564" s="213"/>
      <c r="P564" s="213"/>
      <c r="Y564" s="33"/>
      <c r="Z564" s="33"/>
      <c r="AA564" s="33"/>
      <c r="AD564" s="33"/>
    </row>
    <row r="565" spans="1:30">
      <c r="A565" s="213">
        <v>3027</v>
      </c>
      <c r="B565" s="213" t="s">
        <v>1003</v>
      </c>
      <c r="C565" s="213">
        <v>12.7</v>
      </c>
      <c r="D565">
        <f t="shared" si="8"/>
        <v>1230</v>
      </c>
      <c r="E565" s="213"/>
      <c r="F565" s="213"/>
      <c r="G565" s="213"/>
      <c r="H565" s="213"/>
      <c r="I565" s="213"/>
      <c r="J565" s="213"/>
      <c r="K565" s="213"/>
      <c r="L565" s="213"/>
      <c r="M565" s="213"/>
      <c r="N565" s="213"/>
      <c r="O565" s="213"/>
      <c r="P565" s="213"/>
      <c r="Y565" s="33"/>
      <c r="Z565" s="33"/>
      <c r="AA565" s="33"/>
      <c r="AD565" s="33"/>
    </row>
    <row r="566" spans="1:30">
      <c r="A566" s="213">
        <v>3028</v>
      </c>
      <c r="B566" s="213" t="s">
        <v>1004</v>
      </c>
      <c r="C566" s="213">
        <v>16.850000000000001</v>
      </c>
      <c r="D566">
        <f t="shared" si="8"/>
        <v>1043</v>
      </c>
      <c r="E566" s="213"/>
      <c r="F566" s="213"/>
      <c r="G566" s="213"/>
      <c r="H566" s="213"/>
      <c r="I566" s="213"/>
      <c r="J566" s="213"/>
      <c r="K566" s="213"/>
      <c r="L566" s="213"/>
      <c r="M566" s="213"/>
      <c r="N566" s="213"/>
      <c r="O566" s="213"/>
      <c r="P566" s="213"/>
      <c r="Y566" s="33"/>
      <c r="Z566" s="33"/>
      <c r="AA566" s="33"/>
      <c r="AD566" s="33"/>
    </row>
    <row r="567" spans="1:30">
      <c r="A567" s="213">
        <v>3029</v>
      </c>
      <c r="B567" s="213" t="s">
        <v>1005</v>
      </c>
      <c r="C567" s="213">
        <v>16.55</v>
      </c>
      <c r="D567">
        <f t="shared" si="8"/>
        <v>1053</v>
      </c>
      <c r="E567" s="213"/>
      <c r="F567" s="213"/>
      <c r="G567" s="213"/>
      <c r="H567" s="213"/>
      <c r="I567" s="213"/>
      <c r="J567" s="213"/>
      <c r="K567" s="213"/>
      <c r="L567" s="213"/>
      <c r="M567" s="213"/>
      <c r="N567" s="213"/>
      <c r="O567" s="213"/>
      <c r="P567" s="213"/>
      <c r="Y567" s="33"/>
      <c r="Z567" s="33"/>
      <c r="AA567" s="33"/>
      <c r="AD567" s="33"/>
    </row>
    <row r="568" spans="1:30">
      <c r="A568" s="213">
        <v>3030</v>
      </c>
      <c r="B568" s="213" t="s">
        <v>1006</v>
      </c>
      <c r="C568" s="213">
        <v>41.4</v>
      </c>
      <c r="D568">
        <f t="shared" si="8"/>
        <v>429</v>
      </c>
      <c r="E568" s="213"/>
      <c r="F568" s="213"/>
      <c r="G568" s="213"/>
      <c r="H568" s="213"/>
      <c r="I568" s="213"/>
      <c r="J568" s="213"/>
      <c r="K568" s="213"/>
      <c r="L568" s="213"/>
      <c r="M568" s="213"/>
      <c r="N568" s="213"/>
      <c r="O568" s="213"/>
      <c r="P568" s="213"/>
      <c r="Y568" s="33"/>
      <c r="Z568" s="33"/>
      <c r="AA568" s="33"/>
      <c r="AD568" s="33"/>
    </row>
    <row r="569" spans="1:30">
      <c r="A569" s="213">
        <v>3031</v>
      </c>
      <c r="B569" s="213" t="s">
        <v>1007</v>
      </c>
      <c r="C569" s="213">
        <v>9.9499999999999993</v>
      </c>
      <c r="D569">
        <f t="shared" si="8"/>
        <v>1372</v>
      </c>
      <c r="E569" s="213"/>
      <c r="F569" s="213"/>
      <c r="G569" s="213"/>
      <c r="H569" s="213"/>
      <c r="I569" s="213"/>
      <c r="J569" s="213"/>
      <c r="K569" s="213"/>
      <c r="L569" s="213"/>
      <c r="M569" s="213"/>
      <c r="N569" s="213"/>
      <c r="O569" s="213"/>
      <c r="P569" s="213"/>
      <c r="Y569" s="33"/>
      <c r="Z569" s="33"/>
      <c r="AA569" s="33"/>
      <c r="AD569" s="33"/>
    </row>
    <row r="570" spans="1:30">
      <c r="A570" s="213">
        <v>3032</v>
      </c>
      <c r="B570" s="213" t="s">
        <v>1008</v>
      </c>
      <c r="C570" s="213">
        <v>45</v>
      </c>
      <c r="D570">
        <f t="shared" si="8"/>
        <v>394</v>
      </c>
      <c r="E570" s="213"/>
      <c r="F570" s="213"/>
      <c r="G570" s="213"/>
      <c r="H570" s="213"/>
      <c r="I570" s="213"/>
      <c r="J570" s="213"/>
      <c r="K570" s="213"/>
      <c r="L570" s="213"/>
      <c r="M570" s="213"/>
      <c r="N570" s="213"/>
      <c r="O570" s="213"/>
      <c r="P570" s="213"/>
      <c r="Y570" s="33"/>
      <c r="Z570" s="33"/>
      <c r="AA570" s="33"/>
      <c r="AD570" s="33"/>
    </row>
    <row r="571" spans="1:30">
      <c r="A571" s="213">
        <v>3033</v>
      </c>
      <c r="B571" s="213" t="s">
        <v>1009</v>
      </c>
      <c r="C571" s="213">
        <v>17.649999999999999</v>
      </c>
      <c r="D571">
        <f t="shared" si="8"/>
        <v>994</v>
      </c>
      <c r="E571" s="213"/>
      <c r="F571" s="213"/>
      <c r="G571" s="213"/>
      <c r="H571" s="213"/>
      <c r="I571" s="213"/>
      <c r="J571" s="213"/>
      <c r="K571" s="213"/>
      <c r="L571" s="213"/>
      <c r="M571" s="213"/>
      <c r="N571" s="213"/>
      <c r="O571" s="213"/>
      <c r="P571" s="213"/>
      <c r="Y571" s="33"/>
      <c r="Z571" s="33"/>
      <c r="AA571" s="33"/>
      <c r="AD571" s="33"/>
    </row>
    <row r="572" spans="1:30">
      <c r="A572" s="213">
        <v>3034</v>
      </c>
      <c r="B572" s="213" t="s">
        <v>1010</v>
      </c>
      <c r="C572" s="213">
        <v>119</v>
      </c>
      <c r="D572">
        <f t="shared" si="8"/>
        <v>107</v>
      </c>
      <c r="E572" s="213"/>
      <c r="F572" s="213"/>
      <c r="G572" s="213"/>
      <c r="H572" s="213"/>
      <c r="I572" s="213"/>
      <c r="J572" s="213"/>
      <c r="K572" s="213"/>
      <c r="L572" s="213"/>
      <c r="M572" s="213"/>
      <c r="N572" s="213"/>
      <c r="O572" s="213"/>
      <c r="P572" s="213"/>
      <c r="Y572" s="33"/>
      <c r="Z572" s="33"/>
      <c r="AA572" s="33"/>
      <c r="AD572" s="33"/>
    </row>
    <row r="573" spans="1:30">
      <c r="A573" s="213">
        <v>3035</v>
      </c>
      <c r="B573" s="213" t="s">
        <v>1011</v>
      </c>
      <c r="C573" s="213">
        <v>31.55</v>
      </c>
      <c r="D573">
        <f t="shared" si="8"/>
        <v>585</v>
      </c>
      <c r="E573" s="213"/>
      <c r="F573" s="213"/>
      <c r="G573" s="213"/>
      <c r="H573" s="213"/>
      <c r="I573" s="213"/>
      <c r="J573" s="213"/>
      <c r="K573" s="213"/>
      <c r="L573" s="213"/>
      <c r="M573" s="213"/>
      <c r="N573" s="213"/>
      <c r="O573" s="213"/>
      <c r="P573" s="213"/>
      <c r="Y573" s="33"/>
      <c r="Z573" s="33"/>
      <c r="AA573" s="33"/>
      <c r="AD573" s="33"/>
    </row>
    <row r="574" spans="1:30">
      <c r="A574" s="213">
        <v>3036</v>
      </c>
      <c r="B574" s="213" t="s">
        <v>1012</v>
      </c>
      <c r="C574" s="213">
        <v>44.7</v>
      </c>
      <c r="D574">
        <f t="shared" si="8"/>
        <v>401</v>
      </c>
      <c r="E574" s="213"/>
      <c r="F574" s="213"/>
      <c r="G574" s="213"/>
      <c r="H574" s="213"/>
      <c r="I574" s="213"/>
      <c r="J574" s="213"/>
      <c r="K574" s="213"/>
      <c r="L574" s="213"/>
      <c r="M574" s="213"/>
      <c r="N574" s="213"/>
      <c r="O574" s="213"/>
      <c r="P574" s="213"/>
      <c r="Y574" s="33"/>
      <c r="Z574" s="33"/>
      <c r="AA574" s="33"/>
      <c r="AD574" s="33"/>
    </row>
    <row r="575" spans="1:30">
      <c r="A575" s="213">
        <v>3037</v>
      </c>
      <c r="B575" s="213" t="s">
        <v>1013</v>
      </c>
      <c r="C575" s="213">
        <v>13.05</v>
      </c>
      <c r="D575">
        <f t="shared" si="8"/>
        <v>1210</v>
      </c>
      <c r="E575" s="213"/>
      <c r="F575" s="213"/>
      <c r="G575" s="213"/>
      <c r="H575" s="213"/>
      <c r="I575" s="213"/>
      <c r="J575" s="213"/>
      <c r="K575" s="213"/>
      <c r="L575" s="213"/>
      <c r="M575" s="213"/>
      <c r="N575" s="213"/>
      <c r="O575" s="213"/>
      <c r="P575" s="213"/>
      <c r="Y575" s="33"/>
      <c r="Z575" s="33"/>
      <c r="AA575" s="33"/>
      <c r="AD575" s="33"/>
    </row>
    <row r="576" spans="1:30">
      <c r="A576" s="213">
        <v>3038</v>
      </c>
      <c r="B576" s="213" t="s">
        <v>1014</v>
      </c>
      <c r="C576" s="213">
        <v>10.050000000000001</v>
      </c>
      <c r="D576">
        <f t="shared" si="8"/>
        <v>1360</v>
      </c>
      <c r="E576" s="213"/>
      <c r="F576" s="213"/>
      <c r="G576" s="213"/>
      <c r="H576" s="213"/>
      <c r="I576" s="213"/>
      <c r="J576" s="213"/>
      <c r="K576" s="213"/>
      <c r="L576" s="213"/>
      <c r="M576" s="213"/>
      <c r="N576" s="213"/>
      <c r="O576" s="213"/>
      <c r="P576" s="213"/>
      <c r="Y576" s="33"/>
      <c r="Z576" s="33"/>
      <c r="AA576" s="33"/>
      <c r="AD576" s="33"/>
    </row>
    <row r="577" spans="1:30">
      <c r="A577" s="213">
        <v>3040</v>
      </c>
      <c r="B577" s="213" t="s">
        <v>1015</v>
      </c>
      <c r="C577" s="213">
        <v>28.8</v>
      </c>
      <c r="D577">
        <f t="shared" si="8"/>
        <v>648</v>
      </c>
      <c r="E577" s="213"/>
      <c r="F577" s="213"/>
      <c r="G577" s="213"/>
      <c r="H577" s="213"/>
      <c r="I577" s="213"/>
      <c r="J577" s="213"/>
      <c r="K577" s="213"/>
      <c r="L577" s="213"/>
      <c r="M577" s="213"/>
      <c r="N577" s="213"/>
      <c r="O577" s="213"/>
      <c r="P577" s="213"/>
      <c r="Y577" s="33"/>
      <c r="Z577" s="33"/>
      <c r="AA577" s="33"/>
      <c r="AD577" s="33"/>
    </row>
    <row r="578" spans="1:30">
      <c r="A578" s="213">
        <v>3041</v>
      </c>
      <c r="B578" s="213" t="s">
        <v>1016</v>
      </c>
      <c r="C578" s="213">
        <v>15.1</v>
      </c>
      <c r="D578">
        <f t="shared" ref="D578:D641" si="9">RANK(C578,C:C,0)</f>
        <v>1119</v>
      </c>
      <c r="E578" s="213"/>
      <c r="F578" s="213"/>
      <c r="G578" s="213"/>
      <c r="H578" s="213"/>
      <c r="I578" s="213"/>
      <c r="J578" s="213"/>
      <c r="K578" s="213"/>
      <c r="L578" s="213"/>
      <c r="M578" s="213"/>
      <c r="N578" s="213"/>
      <c r="O578" s="213"/>
      <c r="P578" s="213"/>
      <c r="Y578" s="33"/>
      <c r="Z578" s="33"/>
      <c r="AA578" s="33"/>
      <c r="AD578" s="33"/>
    </row>
    <row r="579" spans="1:30">
      <c r="A579" s="213">
        <v>3042</v>
      </c>
      <c r="B579" s="213" t="s">
        <v>1017</v>
      </c>
      <c r="C579" s="213">
        <v>44.4</v>
      </c>
      <c r="D579">
        <f t="shared" si="9"/>
        <v>404</v>
      </c>
      <c r="E579" s="213"/>
      <c r="F579" s="213"/>
      <c r="G579" s="213"/>
      <c r="H579" s="213"/>
      <c r="I579" s="213"/>
      <c r="J579" s="213"/>
      <c r="K579" s="213"/>
      <c r="L579" s="213"/>
      <c r="M579" s="213"/>
      <c r="N579" s="213"/>
      <c r="O579" s="213"/>
      <c r="P579" s="213"/>
      <c r="Y579" s="33"/>
      <c r="Z579" s="33"/>
      <c r="AA579" s="33"/>
      <c r="AD579" s="33"/>
    </row>
    <row r="580" spans="1:30">
      <c r="A580" s="213">
        <v>3043</v>
      </c>
      <c r="B580" s="213" t="s">
        <v>1018</v>
      </c>
      <c r="C580" s="213">
        <v>2.21</v>
      </c>
      <c r="D580">
        <f t="shared" si="9"/>
        <v>1612</v>
      </c>
      <c r="E580" s="213"/>
      <c r="F580" s="213"/>
      <c r="G580" s="213"/>
      <c r="H580" s="213"/>
      <c r="I580" s="213"/>
      <c r="J580" s="213"/>
      <c r="K580" s="213"/>
      <c r="L580" s="213"/>
      <c r="M580" s="213"/>
      <c r="N580" s="213"/>
      <c r="O580" s="213"/>
      <c r="P580" s="213"/>
      <c r="Y580" s="33"/>
      <c r="Z580" s="33"/>
      <c r="AA580" s="33"/>
      <c r="AD580" s="33"/>
    </row>
    <row r="581" spans="1:30">
      <c r="A581" s="213">
        <v>3044</v>
      </c>
      <c r="B581" s="213" t="s">
        <v>1019</v>
      </c>
      <c r="C581" s="213">
        <v>74.8</v>
      </c>
      <c r="D581">
        <f t="shared" si="9"/>
        <v>209</v>
      </c>
      <c r="E581" s="213"/>
      <c r="F581" s="213"/>
      <c r="G581" s="213"/>
      <c r="H581" s="213"/>
      <c r="I581" s="213"/>
      <c r="J581" s="213"/>
      <c r="K581" s="213"/>
      <c r="L581" s="213"/>
      <c r="M581" s="213"/>
      <c r="N581" s="213"/>
      <c r="O581" s="213"/>
      <c r="P581" s="213"/>
      <c r="Y581" s="33"/>
      <c r="Z581" s="33"/>
      <c r="AA581" s="33"/>
      <c r="AD581" s="33"/>
    </row>
    <row r="582" spans="1:30">
      <c r="A582" s="213">
        <v>3045</v>
      </c>
      <c r="B582" s="213" t="s">
        <v>1020</v>
      </c>
      <c r="C582" s="213">
        <v>111.5</v>
      </c>
      <c r="D582">
        <f t="shared" si="9"/>
        <v>120</v>
      </c>
      <c r="E582" s="213"/>
      <c r="F582" s="213"/>
      <c r="G582" s="213"/>
      <c r="H582" s="213"/>
      <c r="I582" s="213"/>
      <c r="J582" s="213"/>
      <c r="K582" s="213"/>
      <c r="L582" s="213"/>
      <c r="M582" s="213"/>
      <c r="N582" s="213"/>
      <c r="O582" s="213"/>
      <c r="P582" s="213"/>
      <c r="Y582" s="33"/>
      <c r="Z582" s="33"/>
      <c r="AA582" s="33"/>
      <c r="AD582" s="33"/>
    </row>
    <row r="583" spans="1:30">
      <c r="A583" s="213">
        <v>3046</v>
      </c>
      <c r="B583" s="213" t="s">
        <v>1021</v>
      </c>
      <c r="C583" s="213">
        <v>6.14</v>
      </c>
      <c r="D583">
        <f t="shared" si="9"/>
        <v>1549</v>
      </c>
      <c r="E583" s="213"/>
      <c r="F583" s="213"/>
      <c r="G583" s="213"/>
      <c r="H583" s="213"/>
      <c r="I583" s="213"/>
      <c r="J583" s="213"/>
      <c r="K583" s="213"/>
      <c r="L583" s="213"/>
      <c r="M583" s="213"/>
      <c r="N583" s="213"/>
      <c r="O583" s="213"/>
      <c r="P583" s="213"/>
      <c r="Y583" s="33"/>
      <c r="Z583" s="33"/>
      <c r="AA583" s="33"/>
      <c r="AD583" s="33"/>
    </row>
    <row r="584" spans="1:30">
      <c r="A584" s="213">
        <v>3047</v>
      </c>
      <c r="B584" s="213" t="s">
        <v>1022</v>
      </c>
      <c r="C584" s="213">
        <v>10.4</v>
      </c>
      <c r="D584">
        <f t="shared" si="9"/>
        <v>1333</v>
      </c>
      <c r="E584" s="213"/>
      <c r="F584" s="213"/>
      <c r="G584" s="213"/>
      <c r="H584" s="213"/>
      <c r="I584" s="213"/>
      <c r="J584" s="213"/>
      <c r="K584" s="213"/>
      <c r="L584" s="213"/>
      <c r="M584" s="213"/>
      <c r="N584" s="213"/>
      <c r="O584" s="213"/>
      <c r="P584" s="213"/>
      <c r="Y584" s="33"/>
      <c r="Z584" s="33"/>
      <c r="AA584" s="33"/>
      <c r="AD584" s="33"/>
    </row>
    <row r="585" spans="1:30">
      <c r="A585" s="213">
        <v>3048</v>
      </c>
      <c r="B585" s="213" t="s">
        <v>1023</v>
      </c>
      <c r="C585" s="213">
        <v>17.399999999999999</v>
      </c>
      <c r="D585">
        <f t="shared" si="9"/>
        <v>1008</v>
      </c>
      <c r="E585" s="213"/>
      <c r="F585" s="213"/>
      <c r="G585" s="213"/>
      <c r="H585" s="213"/>
      <c r="I585" s="213"/>
      <c r="J585" s="213"/>
      <c r="K585" s="213"/>
      <c r="L585" s="213"/>
      <c r="M585" s="213"/>
      <c r="N585" s="213"/>
      <c r="O585" s="213"/>
      <c r="P585" s="213"/>
      <c r="Y585" s="33"/>
      <c r="Z585" s="33"/>
      <c r="AA585" s="33"/>
      <c r="AD585" s="33"/>
    </row>
    <row r="586" spans="1:30">
      <c r="A586" s="213">
        <v>3049</v>
      </c>
      <c r="B586" s="213" t="s">
        <v>1024</v>
      </c>
      <c r="C586" s="213">
        <v>7.27</v>
      </c>
      <c r="D586">
        <f t="shared" si="9"/>
        <v>1500</v>
      </c>
      <c r="E586" s="213"/>
      <c r="F586" s="213"/>
      <c r="G586" s="213"/>
      <c r="H586" s="213"/>
      <c r="I586" s="213"/>
      <c r="J586" s="213"/>
      <c r="K586" s="213"/>
      <c r="L586" s="213"/>
      <c r="M586" s="213"/>
      <c r="N586" s="213"/>
      <c r="O586" s="213"/>
      <c r="P586" s="213"/>
      <c r="Y586" s="33"/>
      <c r="Z586" s="33"/>
      <c r="AA586" s="33"/>
      <c r="AD586" s="33"/>
    </row>
    <row r="587" spans="1:30">
      <c r="A587" s="213">
        <v>3050</v>
      </c>
      <c r="B587" s="213" t="s">
        <v>1025</v>
      </c>
      <c r="C587" s="213">
        <v>13.1</v>
      </c>
      <c r="D587">
        <f t="shared" si="9"/>
        <v>1208</v>
      </c>
      <c r="E587" s="213"/>
      <c r="F587" s="213"/>
      <c r="G587" s="213"/>
      <c r="H587" s="213"/>
      <c r="I587" s="213"/>
      <c r="J587" s="213"/>
      <c r="K587" s="213"/>
      <c r="L587" s="213"/>
      <c r="M587" s="213"/>
      <c r="N587" s="213"/>
      <c r="O587" s="213"/>
      <c r="P587" s="213"/>
      <c r="Y587" s="33"/>
      <c r="Z587" s="33"/>
      <c r="AA587" s="33"/>
      <c r="AD587" s="33"/>
    </row>
    <row r="588" spans="1:30">
      <c r="A588" s="213">
        <v>3051</v>
      </c>
      <c r="B588" s="213" t="s">
        <v>1026</v>
      </c>
      <c r="C588" s="213">
        <v>3.91</v>
      </c>
      <c r="D588">
        <f t="shared" si="9"/>
        <v>1592</v>
      </c>
      <c r="E588" s="213"/>
      <c r="F588" s="213"/>
      <c r="G588" s="213"/>
      <c r="H588" s="213"/>
      <c r="I588" s="213"/>
      <c r="J588" s="213"/>
      <c r="K588" s="213"/>
      <c r="L588" s="213"/>
      <c r="M588" s="213"/>
      <c r="N588" s="213"/>
      <c r="O588" s="213"/>
      <c r="P588" s="213"/>
      <c r="Y588" s="33"/>
      <c r="Z588" s="33"/>
      <c r="AA588" s="33"/>
      <c r="AD588" s="33"/>
    </row>
    <row r="589" spans="1:30">
      <c r="A589" s="213">
        <v>3052</v>
      </c>
      <c r="B589" s="213" t="s">
        <v>1027</v>
      </c>
      <c r="C589" s="213">
        <v>8.09</v>
      </c>
      <c r="D589">
        <f t="shared" si="9"/>
        <v>1461</v>
      </c>
      <c r="E589" s="213"/>
      <c r="F589" s="213"/>
      <c r="G589" s="213"/>
      <c r="H589" s="213"/>
      <c r="I589" s="213"/>
      <c r="J589" s="213"/>
      <c r="K589" s="213"/>
      <c r="L589" s="213"/>
      <c r="M589" s="213"/>
      <c r="N589" s="213"/>
      <c r="O589" s="213"/>
      <c r="P589" s="213"/>
      <c r="Y589" s="33"/>
      <c r="Z589" s="33"/>
      <c r="AA589" s="33"/>
      <c r="AD589" s="33"/>
    </row>
    <row r="590" spans="1:30">
      <c r="A590" s="213">
        <v>3054</v>
      </c>
      <c r="B590" s="213" t="s">
        <v>1028</v>
      </c>
      <c r="C590" s="213">
        <v>20.8</v>
      </c>
      <c r="D590">
        <f t="shared" si="9"/>
        <v>881</v>
      </c>
      <c r="E590" s="213"/>
      <c r="F590" s="213"/>
      <c r="G590" s="213"/>
      <c r="H590" s="213"/>
      <c r="I590" s="213"/>
      <c r="J590" s="213"/>
      <c r="K590" s="213"/>
      <c r="L590" s="213"/>
      <c r="M590" s="213"/>
      <c r="N590" s="213"/>
      <c r="O590" s="213"/>
      <c r="P590" s="213"/>
      <c r="Y590" s="33"/>
      <c r="Z590" s="33"/>
      <c r="AA590" s="33"/>
      <c r="AD590" s="33"/>
    </row>
    <row r="591" spans="1:30">
      <c r="A591" s="213">
        <v>3055</v>
      </c>
      <c r="B591" s="213" t="s">
        <v>1029</v>
      </c>
      <c r="C591" s="213">
        <v>18</v>
      </c>
      <c r="D591">
        <f t="shared" si="9"/>
        <v>976</v>
      </c>
      <c r="E591" s="213"/>
      <c r="F591" s="213"/>
      <c r="G591" s="213"/>
      <c r="H591" s="213"/>
      <c r="I591" s="213"/>
      <c r="J591" s="213"/>
      <c r="K591" s="213"/>
      <c r="L591" s="213"/>
      <c r="M591" s="213"/>
      <c r="N591" s="213"/>
      <c r="O591" s="213"/>
      <c r="P591" s="213"/>
      <c r="Y591" s="33"/>
      <c r="Z591" s="33"/>
      <c r="AA591" s="33"/>
      <c r="AD591" s="33"/>
    </row>
    <row r="592" spans="1:30">
      <c r="A592" s="213">
        <v>3056</v>
      </c>
      <c r="B592" s="213" t="s">
        <v>1030</v>
      </c>
      <c r="C592" s="213">
        <v>18.850000000000001</v>
      </c>
      <c r="D592">
        <f t="shared" si="9"/>
        <v>938</v>
      </c>
      <c r="E592" s="213"/>
      <c r="F592" s="213"/>
      <c r="G592" s="213"/>
      <c r="H592" s="213"/>
      <c r="I592" s="213"/>
      <c r="J592" s="213"/>
      <c r="K592" s="213"/>
      <c r="L592" s="213"/>
      <c r="M592" s="213"/>
      <c r="N592" s="213"/>
      <c r="O592" s="213"/>
      <c r="P592" s="213"/>
      <c r="Y592" s="33"/>
      <c r="Z592" s="33"/>
      <c r="AA592" s="33"/>
      <c r="AD592" s="33"/>
    </row>
    <row r="593" spans="1:30">
      <c r="A593" s="213">
        <v>3057</v>
      </c>
      <c r="B593" s="213" t="s">
        <v>1031</v>
      </c>
      <c r="C593" s="213">
        <v>14.65</v>
      </c>
      <c r="D593">
        <f t="shared" si="9"/>
        <v>1138</v>
      </c>
      <c r="E593" s="213"/>
      <c r="F593" s="213"/>
      <c r="G593" s="213"/>
      <c r="H593" s="213"/>
      <c r="I593" s="213"/>
      <c r="J593" s="213"/>
      <c r="K593" s="213"/>
      <c r="L593" s="213"/>
      <c r="M593" s="213"/>
      <c r="N593" s="213"/>
      <c r="O593" s="213"/>
      <c r="P593" s="213"/>
      <c r="Y593" s="33"/>
      <c r="Z593" s="33"/>
      <c r="AA593" s="33"/>
      <c r="AD593" s="33"/>
    </row>
    <row r="594" spans="1:30">
      <c r="A594" s="213">
        <v>3058</v>
      </c>
      <c r="B594" s="213" t="s">
        <v>1032</v>
      </c>
      <c r="C594" s="213">
        <v>10.65</v>
      </c>
      <c r="D594">
        <f t="shared" si="9"/>
        <v>1326</v>
      </c>
      <c r="E594" s="213"/>
      <c r="F594" s="213"/>
      <c r="G594" s="213"/>
      <c r="H594" s="213"/>
      <c r="I594" s="213"/>
      <c r="J594" s="213"/>
      <c r="K594" s="213"/>
      <c r="L594" s="213"/>
      <c r="M594" s="213"/>
      <c r="N594" s="213"/>
      <c r="O594" s="213"/>
      <c r="P594" s="213"/>
      <c r="Y594" s="33"/>
      <c r="Z594" s="33"/>
      <c r="AA594" s="33"/>
      <c r="AD594" s="33"/>
    </row>
    <row r="595" spans="1:30">
      <c r="A595" s="213">
        <v>3059</v>
      </c>
      <c r="B595" s="213" t="s">
        <v>1033</v>
      </c>
      <c r="C595" s="213">
        <v>23.45</v>
      </c>
      <c r="D595">
        <f t="shared" si="9"/>
        <v>795</v>
      </c>
      <c r="E595" s="213"/>
      <c r="F595" s="213"/>
      <c r="G595" s="213"/>
      <c r="H595" s="213"/>
      <c r="I595" s="213"/>
      <c r="J595" s="213"/>
      <c r="K595" s="213"/>
      <c r="L595" s="213"/>
      <c r="M595" s="213"/>
      <c r="N595" s="213"/>
      <c r="O595" s="213"/>
      <c r="P595" s="213"/>
      <c r="Y595" s="33"/>
      <c r="Z595" s="33"/>
      <c r="AA595" s="33"/>
      <c r="AD595" s="33"/>
    </row>
    <row r="596" spans="1:30">
      <c r="A596" s="213">
        <v>3060</v>
      </c>
      <c r="B596" s="213" t="s">
        <v>1034</v>
      </c>
      <c r="C596" s="213">
        <v>38.700000000000003</v>
      </c>
      <c r="D596">
        <f t="shared" si="9"/>
        <v>472</v>
      </c>
      <c r="E596" s="213"/>
      <c r="F596" s="213"/>
      <c r="G596" s="213"/>
      <c r="H596" s="213"/>
      <c r="I596" s="213"/>
      <c r="J596" s="213"/>
      <c r="K596" s="213"/>
      <c r="L596" s="213"/>
      <c r="M596" s="213"/>
      <c r="N596" s="213"/>
      <c r="O596" s="213"/>
      <c r="P596" s="213"/>
      <c r="Y596" s="33"/>
      <c r="Z596" s="33"/>
      <c r="AA596" s="33"/>
      <c r="AD596" s="33"/>
    </row>
    <row r="597" spans="1:30">
      <c r="A597" s="213">
        <v>3062</v>
      </c>
      <c r="B597" s="213" t="s">
        <v>1035</v>
      </c>
      <c r="C597" s="213">
        <v>19.7</v>
      </c>
      <c r="D597">
        <f t="shared" si="9"/>
        <v>920</v>
      </c>
      <c r="E597" s="213"/>
      <c r="F597" s="213"/>
      <c r="G597" s="213"/>
      <c r="H597" s="213"/>
      <c r="I597" s="213"/>
      <c r="J597" s="213"/>
      <c r="K597" s="213"/>
      <c r="L597" s="213"/>
      <c r="M597" s="213"/>
      <c r="N597" s="213"/>
      <c r="O597" s="213"/>
      <c r="P597" s="213"/>
      <c r="Y597" s="33"/>
      <c r="Z597" s="33"/>
      <c r="AA597" s="33"/>
      <c r="AD597" s="33"/>
    </row>
    <row r="598" spans="1:30">
      <c r="A598" s="213">
        <v>3090</v>
      </c>
      <c r="B598" s="213" t="s">
        <v>1036</v>
      </c>
      <c r="C598" s="213">
        <v>24.7</v>
      </c>
      <c r="D598">
        <f t="shared" si="9"/>
        <v>750</v>
      </c>
      <c r="E598" s="213"/>
      <c r="F598" s="213"/>
      <c r="G598" s="213"/>
      <c r="H598" s="213"/>
      <c r="I598" s="213"/>
      <c r="J598" s="213"/>
      <c r="K598" s="213"/>
      <c r="L598" s="213"/>
      <c r="M598" s="213"/>
      <c r="N598" s="213"/>
      <c r="O598" s="213"/>
      <c r="P598" s="213"/>
      <c r="Y598" s="33"/>
      <c r="Z598" s="33"/>
      <c r="AA598" s="33"/>
      <c r="AD598" s="33"/>
    </row>
    <row r="599" spans="1:30">
      <c r="A599" s="213">
        <v>3094</v>
      </c>
      <c r="B599" s="213" t="s">
        <v>1037</v>
      </c>
      <c r="C599" s="213">
        <v>21.65</v>
      </c>
      <c r="D599">
        <f t="shared" si="9"/>
        <v>860</v>
      </c>
      <c r="E599" s="213"/>
      <c r="F599" s="213"/>
      <c r="G599" s="213"/>
      <c r="H599" s="213"/>
      <c r="I599" s="213"/>
      <c r="J599" s="213"/>
      <c r="K599" s="213"/>
      <c r="L599" s="213"/>
      <c r="M599" s="213"/>
      <c r="N599" s="213"/>
      <c r="O599" s="213"/>
      <c r="P599" s="213"/>
      <c r="Y599" s="33"/>
      <c r="Z599" s="33"/>
      <c r="AA599" s="33"/>
      <c r="AD599" s="33"/>
    </row>
    <row r="600" spans="1:30">
      <c r="A600" s="213">
        <v>3130</v>
      </c>
      <c r="B600" s="213" t="s">
        <v>1038</v>
      </c>
      <c r="C600" s="213">
        <v>137.5</v>
      </c>
      <c r="D600">
        <f t="shared" si="9"/>
        <v>88</v>
      </c>
      <c r="E600" s="213"/>
      <c r="F600" s="213"/>
      <c r="G600" s="213"/>
      <c r="H600" s="213"/>
      <c r="I600" s="213"/>
      <c r="J600" s="213"/>
      <c r="K600" s="213"/>
      <c r="L600" s="213"/>
      <c r="M600" s="213"/>
      <c r="N600" s="213"/>
      <c r="O600" s="213"/>
      <c r="P600" s="213"/>
      <c r="Y600" s="33"/>
      <c r="Z600" s="33"/>
      <c r="AA600" s="33"/>
      <c r="AD600" s="33"/>
    </row>
    <row r="601" spans="1:30">
      <c r="A601" s="213">
        <v>3149</v>
      </c>
      <c r="B601" s="213" t="s">
        <v>1039</v>
      </c>
      <c r="C601" s="213">
        <v>16.55</v>
      </c>
      <c r="D601">
        <f t="shared" si="9"/>
        <v>1053</v>
      </c>
      <c r="E601" s="213"/>
      <c r="F601" s="213"/>
      <c r="G601" s="213"/>
      <c r="H601" s="213"/>
      <c r="I601" s="213"/>
      <c r="J601" s="213"/>
      <c r="K601" s="213"/>
      <c r="L601" s="213"/>
      <c r="M601" s="33"/>
      <c r="N601" s="213"/>
      <c r="O601" s="213"/>
      <c r="P601" s="213"/>
      <c r="Y601" s="33"/>
      <c r="Z601" s="33"/>
      <c r="AA601" s="33"/>
      <c r="AD601" s="33"/>
    </row>
    <row r="602" spans="1:30">
      <c r="A602" s="213">
        <v>3164</v>
      </c>
      <c r="B602" s="213" t="s">
        <v>1040</v>
      </c>
      <c r="C602" s="213">
        <v>20.5</v>
      </c>
      <c r="D602">
        <f t="shared" si="9"/>
        <v>889</v>
      </c>
      <c r="E602" s="213"/>
      <c r="F602" s="213"/>
      <c r="G602" s="213"/>
      <c r="H602" s="213"/>
      <c r="I602" s="213"/>
      <c r="J602" s="213"/>
      <c r="K602" s="213"/>
      <c r="L602" s="213"/>
      <c r="M602" s="213"/>
      <c r="N602" s="213"/>
      <c r="O602" s="213"/>
      <c r="P602" s="213"/>
      <c r="Y602" s="33"/>
      <c r="Z602" s="33"/>
      <c r="AA602" s="33"/>
      <c r="AD602" s="33"/>
    </row>
    <row r="603" spans="1:30">
      <c r="A603" s="213">
        <v>3167</v>
      </c>
      <c r="B603" s="213" t="s">
        <v>1041</v>
      </c>
      <c r="C603" s="213">
        <v>23.85</v>
      </c>
      <c r="D603">
        <f t="shared" si="9"/>
        <v>778</v>
      </c>
      <c r="E603" s="213"/>
      <c r="F603" s="213"/>
      <c r="G603" s="213"/>
      <c r="H603" s="213"/>
      <c r="I603" s="213"/>
      <c r="J603" s="213"/>
      <c r="K603" s="213"/>
      <c r="L603" s="213"/>
      <c r="M603" s="213"/>
      <c r="N603" s="213"/>
      <c r="O603" s="213"/>
      <c r="P603" s="213"/>
      <c r="Y603" s="33"/>
      <c r="Z603" s="33"/>
      <c r="AA603" s="33"/>
      <c r="AD603" s="33"/>
    </row>
    <row r="604" spans="1:30">
      <c r="A604" s="213">
        <v>3189</v>
      </c>
      <c r="B604" s="213" t="s">
        <v>1042</v>
      </c>
      <c r="C604" s="213">
        <v>71</v>
      </c>
      <c r="D604">
        <f t="shared" si="9"/>
        <v>223</v>
      </c>
      <c r="E604" s="213"/>
      <c r="F604" s="213"/>
      <c r="G604" s="213"/>
      <c r="H604" s="213"/>
      <c r="I604" s="213"/>
      <c r="J604" s="213"/>
      <c r="K604" s="213"/>
      <c r="L604" s="213"/>
      <c r="M604" s="213"/>
      <c r="N604" s="213"/>
      <c r="O604" s="213"/>
      <c r="P604" s="213"/>
      <c r="Y604" s="33"/>
      <c r="Z604" s="33"/>
      <c r="AA604" s="33"/>
      <c r="AD604" s="33"/>
    </row>
    <row r="605" spans="1:30">
      <c r="A605" s="213">
        <v>3209</v>
      </c>
      <c r="B605" s="213" t="s">
        <v>1043</v>
      </c>
      <c r="C605" s="213">
        <v>25.75</v>
      </c>
      <c r="D605">
        <f t="shared" si="9"/>
        <v>718</v>
      </c>
      <c r="E605" s="213"/>
      <c r="F605" s="213"/>
      <c r="G605" s="213"/>
      <c r="H605" s="213"/>
      <c r="I605" s="213"/>
      <c r="J605" s="213"/>
      <c r="K605" s="213"/>
      <c r="L605" s="213"/>
      <c r="M605" s="213"/>
      <c r="N605" s="213"/>
      <c r="O605" s="213"/>
      <c r="P605" s="213"/>
      <c r="Y605" s="33"/>
      <c r="Z605" s="33"/>
      <c r="AA605" s="33"/>
      <c r="AD605" s="33"/>
    </row>
    <row r="606" spans="1:30">
      <c r="A606" s="213">
        <v>3229</v>
      </c>
      <c r="B606" s="213" t="s">
        <v>1044</v>
      </c>
      <c r="C606" s="213">
        <v>12.35</v>
      </c>
      <c r="D606">
        <f t="shared" si="9"/>
        <v>1241</v>
      </c>
      <c r="E606" s="213"/>
      <c r="F606" s="213"/>
      <c r="G606" s="213"/>
      <c r="H606" s="213"/>
      <c r="I606" s="213"/>
      <c r="J606" s="213"/>
      <c r="K606" s="213"/>
      <c r="L606" s="213"/>
      <c r="M606" s="213"/>
      <c r="N606" s="213"/>
      <c r="O606" s="213"/>
      <c r="P606" s="213"/>
      <c r="Y606" s="33"/>
      <c r="Z606" s="33"/>
      <c r="AA606" s="33"/>
      <c r="AD606" s="33"/>
    </row>
    <row r="607" spans="1:30">
      <c r="A607" s="213">
        <v>3231</v>
      </c>
      <c r="B607" s="213" t="s">
        <v>1045</v>
      </c>
      <c r="C607" s="213">
        <v>23.5</v>
      </c>
      <c r="D607">
        <f t="shared" si="9"/>
        <v>793</v>
      </c>
      <c r="E607" s="213"/>
      <c r="F607" s="213"/>
      <c r="G607" s="213"/>
      <c r="H607" s="213"/>
      <c r="I607" s="213"/>
      <c r="J607" s="213"/>
      <c r="K607" s="213"/>
      <c r="L607" s="213"/>
      <c r="M607" s="213"/>
      <c r="N607" s="213"/>
      <c r="O607" s="213"/>
      <c r="P607" s="213"/>
      <c r="Y607" s="33"/>
      <c r="Z607" s="33"/>
      <c r="AA607" s="33"/>
      <c r="AD607" s="33"/>
    </row>
    <row r="608" spans="1:30">
      <c r="A608" s="213">
        <v>3257</v>
      </c>
      <c r="B608" s="213" t="s">
        <v>1046</v>
      </c>
      <c r="C608" s="213">
        <v>37.25</v>
      </c>
      <c r="D608">
        <f t="shared" si="9"/>
        <v>490</v>
      </c>
      <c r="E608" s="213"/>
      <c r="F608" s="213"/>
      <c r="G608" s="213"/>
      <c r="H608" s="213"/>
      <c r="I608" s="213"/>
      <c r="J608" s="213"/>
      <c r="K608" s="213"/>
      <c r="L608" s="213"/>
      <c r="M608" s="213"/>
      <c r="N608" s="213"/>
      <c r="O608" s="213"/>
      <c r="P608" s="213"/>
      <c r="Y608" s="33"/>
      <c r="Z608" s="33"/>
      <c r="AA608" s="33"/>
      <c r="AD608" s="33"/>
    </row>
    <row r="609" spans="1:30">
      <c r="A609" s="213">
        <v>3266</v>
      </c>
      <c r="B609" s="213" t="s">
        <v>1047</v>
      </c>
      <c r="C609" s="213">
        <v>11.6</v>
      </c>
      <c r="D609">
        <f t="shared" si="9"/>
        <v>1280</v>
      </c>
      <c r="E609" s="213"/>
      <c r="F609" s="213"/>
      <c r="G609" s="213"/>
      <c r="H609" s="213"/>
      <c r="I609" s="213"/>
      <c r="J609" s="213"/>
      <c r="K609" s="213"/>
      <c r="L609" s="213"/>
      <c r="M609" s="213"/>
      <c r="N609" s="213"/>
      <c r="O609" s="213"/>
      <c r="P609" s="213"/>
      <c r="Y609" s="33"/>
      <c r="Z609" s="33"/>
      <c r="AA609" s="33"/>
      <c r="AD609" s="33"/>
    </row>
    <row r="610" spans="1:30">
      <c r="A610" s="213">
        <v>3296</v>
      </c>
      <c r="B610" s="213" t="s">
        <v>1048</v>
      </c>
      <c r="C610" s="213">
        <v>11.85</v>
      </c>
      <c r="D610">
        <f t="shared" si="9"/>
        <v>1267</v>
      </c>
      <c r="E610" s="213"/>
      <c r="F610" s="213"/>
      <c r="G610" s="213"/>
      <c r="H610" s="213"/>
      <c r="I610" s="213"/>
      <c r="J610" s="213"/>
      <c r="K610" s="213"/>
      <c r="L610" s="213"/>
      <c r="M610" s="213"/>
      <c r="N610" s="213"/>
      <c r="O610" s="213"/>
      <c r="P610" s="213"/>
      <c r="Y610" s="33"/>
      <c r="Z610" s="33"/>
      <c r="AA610" s="33"/>
      <c r="AD610" s="33"/>
    </row>
    <row r="611" spans="1:30">
      <c r="A611" s="213">
        <v>3305</v>
      </c>
      <c r="B611" s="213" t="s">
        <v>1049</v>
      </c>
      <c r="C611" s="213">
        <v>29.4</v>
      </c>
      <c r="D611">
        <f t="shared" si="9"/>
        <v>625</v>
      </c>
      <c r="E611" s="213"/>
      <c r="F611" s="213"/>
      <c r="G611" s="213"/>
      <c r="H611" s="213"/>
      <c r="I611" s="213"/>
      <c r="J611" s="213"/>
      <c r="K611" s="213"/>
      <c r="L611" s="213"/>
      <c r="M611" s="213"/>
      <c r="N611" s="213"/>
      <c r="O611" s="213"/>
      <c r="P611" s="213"/>
      <c r="Y611" s="33"/>
      <c r="Z611" s="33"/>
      <c r="AA611" s="33"/>
      <c r="AD611" s="33"/>
    </row>
    <row r="612" spans="1:30">
      <c r="A612" s="213">
        <v>3308</v>
      </c>
      <c r="B612" s="213" t="s">
        <v>1050</v>
      </c>
      <c r="C612" s="213">
        <v>7.23</v>
      </c>
      <c r="D612">
        <f t="shared" si="9"/>
        <v>1504</v>
      </c>
      <c r="E612" s="213"/>
      <c r="F612" s="213"/>
      <c r="G612" s="213"/>
      <c r="H612" s="213"/>
      <c r="I612" s="213"/>
      <c r="J612" s="213"/>
      <c r="K612" s="213"/>
      <c r="L612" s="213"/>
      <c r="M612" s="213"/>
      <c r="N612" s="213"/>
      <c r="O612" s="213"/>
      <c r="P612" s="213"/>
      <c r="Y612" s="33"/>
      <c r="Z612" s="33"/>
      <c r="AA612" s="33"/>
      <c r="AD612" s="33"/>
    </row>
    <row r="613" spans="1:30">
      <c r="A613" s="213">
        <v>3311</v>
      </c>
      <c r="B613" s="213" t="s">
        <v>1051</v>
      </c>
      <c r="C613" s="213">
        <v>16.2</v>
      </c>
      <c r="D613">
        <f t="shared" si="9"/>
        <v>1070</v>
      </c>
      <c r="E613" s="213"/>
      <c r="F613" s="213"/>
      <c r="G613" s="213"/>
      <c r="H613" s="213"/>
      <c r="I613" s="213"/>
      <c r="J613" s="213"/>
      <c r="K613" s="213"/>
      <c r="L613" s="213"/>
      <c r="M613" s="213"/>
      <c r="N613" s="213"/>
      <c r="O613" s="213"/>
      <c r="P613" s="213"/>
      <c r="Y613" s="33"/>
      <c r="Z613" s="33"/>
      <c r="AA613" s="33"/>
      <c r="AD613" s="33"/>
    </row>
    <row r="614" spans="1:30">
      <c r="A614" s="213">
        <v>3312</v>
      </c>
      <c r="B614" s="213" t="s">
        <v>1052</v>
      </c>
      <c r="C614" s="213">
        <v>7.2</v>
      </c>
      <c r="D614">
        <f t="shared" si="9"/>
        <v>1505</v>
      </c>
      <c r="E614" s="213"/>
      <c r="F614" s="213"/>
      <c r="G614" s="213"/>
      <c r="H614" s="213"/>
      <c r="I614" s="213"/>
      <c r="J614" s="213"/>
      <c r="K614" s="213"/>
      <c r="L614" s="213"/>
      <c r="M614" s="213"/>
      <c r="N614" s="213"/>
      <c r="O614" s="213"/>
      <c r="P614" s="213"/>
      <c r="Y614" s="33"/>
      <c r="Z614" s="33"/>
      <c r="AA614" s="33"/>
      <c r="AD614" s="33"/>
    </row>
    <row r="615" spans="1:30">
      <c r="A615" s="213">
        <v>3315</v>
      </c>
      <c r="B615" s="213" t="s">
        <v>1053</v>
      </c>
      <c r="C615" s="213">
        <v>18.350000000000001</v>
      </c>
      <c r="D615">
        <f t="shared" si="9"/>
        <v>955</v>
      </c>
      <c r="E615" s="213"/>
      <c r="F615" s="213"/>
      <c r="G615" s="213"/>
      <c r="H615" s="213"/>
      <c r="I615" s="213"/>
      <c r="J615" s="213"/>
      <c r="K615" s="213"/>
      <c r="L615" s="213"/>
      <c r="M615" s="213"/>
      <c r="N615" s="213"/>
      <c r="O615" s="213"/>
      <c r="P615" s="213"/>
      <c r="Y615" s="33"/>
      <c r="Z615" s="33"/>
      <c r="AA615" s="33"/>
      <c r="AD615" s="33"/>
    </row>
    <row r="616" spans="1:30">
      <c r="A616" s="213">
        <v>3321</v>
      </c>
      <c r="B616" s="213" t="s">
        <v>1785</v>
      </c>
      <c r="C616" s="213">
        <v>16.399999999999999</v>
      </c>
      <c r="D616">
        <f t="shared" si="9"/>
        <v>1065</v>
      </c>
      <c r="E616" s="213"/>
      <c r="F616" s="213"/>
      <c r="G616" s="213"/>
      <c r="H616" s="213"/>
      <c r="I616" s="213"/>
      <c r="J616" s="213"/>
      <c r="K616" s="213"/>
      <c r="L616" s="213"/>
      <c r="M616" s="213"/>
      <c r="N616" s="213"/>
      <c r="O616" s="213"/>
      <c r="P616" s="213"/>
      <c r="Y616" s="33"/>
      <c r="Z616" s="33"/>
      <c r="AA616" s="33"/>
      <c r="AD616" s="33"/>
    </row>
    <row r="617" spans="1:30">
      <c r="A617" s="213">
        <v>3338</v>
      </c>
      <c r="B617" s="213" t="s">
        <v>1054</v>
      </c>
      <c r="C617" s="213">
        <v>30.7</v>
      </c>
      <c r="D617">
        <f t="shared" si="9"/>
        <v>597</v>
      </c>
      <c r="E617" s="213"/>
      <c r="F617" s="213"/>
      <c r="G617" s="213"/>
      <c r="H617" s="213"/>
      <c r="I617" s="213"/>
      <c r="J617" s="213"/>
      <c r="K617" s="213"/>
      <c r="L617" s="213"/>
      <c r="M617" s="213"/>
      <c r="N617" s="213"/>
      <c r="O617" s="213"/>
      <c r="P617" s="213"/>
      <c r="Y617" s="33"/>
      <c r="Z617" s="33"/>
      <c r="AA617" s="33"/>
      <c r="AD617" s="33"/>
    </row>
    <row r="618" spans="1:30">
      <c r="A618" s="213">
        <v>3356</v>
      </c>
      <c r="B618" s="213" t="s">
        <v>1055</v>
      </c>
      <c r="C618" s="213">
        <v>48.9</v>
      </c>
      <c r="D618">
        <f t="shared" si="9"/>
        <v>349</v>
      </c>
      <c r="E618" s="213"/>
      <c r="F618" s="213"/>
      <c r="G618" s="213"/>
      <c r="H618" s="213"/>
      <c r="I618" s="213"/>
      <c r="J618" s="213"/>
      <c r="K618" s="213"/>
      <c r="L618" s="213"/>
      <c r="M618" s="213"/>
      <c r="N618" s="213"/>
      <c r="O618" s="213"/>
      <c r="P618" s="213"/>
      <c r="Y618" s="33"/>
      <c r="Z618" s="33"/>
      <c r="AA618" s="33"/>
      <c r="AD618" s="33"/>
    </row>
    <row r="619" spans="1:30">
      <c r="A619" s="213">
        <v>3376</v>
      </c>
      <c r="B619" s="213" t="s">
        <v>1056</v>
      </c>
      <c r="C619" s="213">
        <v>107.5</v>
      </c>
      <c r="D619">
        <f t="shared" si="9"/>
        <v>126</v>
      </c>
      <c r="E619" s="213"/>
      <c r="F619" s="213"/>
      <c r="G619" s="213"/>
      <c r="H619" s="213"/>
      <c r="I619" s="213"/>
      <c r="J619" s="213"/>
      <c r="K619" s="213"/>
      <c r="L619" s="213"/>
      <c r="M619" s="213"/>
      <c r="N619" s="213"/>
      <c r="O619" s="213"/>
      <c r="P619" s="213"/>
      <c r="Y619" s="33"/>
      <c r="Z619" s="33"/>
      <c r="AA619" s="33"/>
      <c r="AD619" s="33"/>
    </row>
    <row r="620" spans="1:30">
      <c r="A620" s="213">
        <v>3380</v>
      </c>
      <c r="B620" s="213" t="s">
        <v>1057</v>
      </c>
      <c r="C620" s="213">
        <v>18.8</v>
      </c>
      <c r="D620">
        <f t="shared" si="9"/>
        <v>939</v>
      </c>
      <c r="E620" s="213"/>
      <c r="F620" s="213"/>
      <c r="G620" s="213"/>
      <c r="H620" s="213"/>
      <c r="I620" s="213"/>
      <c r="J620" s="213"/>
      <c r="K620" s="213"/>
      <c r="L620" s="213"/>
      <c r="M620" s="213"/>
      <c r="N620" s="213"/>
      <c r="O620" s="213"/>
      <c r="P620" s="213"/>
      <c r="Y620" s="33"/>
      <c r="Z620" s="33"/>
      <c r="AA620" s="33"/>
      <c r="AD620" s="33"/>
    </row>
    <row r="621" spans="1:30">
      <c r="A621" s="213">
        <v>3383</v>
      </c>
      <c r="B621" s="213" t="s">
        <v>1058</v>
      </c>
      <c r="C621" s="213">
        <v>4.75</v>
      </c>
      <c r="D621">
        <f t="shared" si="9"/>
        <v>1581</v>
      </c>
      <c r="E621" s="213"/>
      <c r="F621" s="213"/>
      <c r="G621" s="213"/>
      <c r="H621" s="213"/>
      <c r="I621" s="213"/>
      <c r="J621" s="213"/>
      <c r="K621" s="213"/>
      <c r="L621" s="213"/>
      <c r="M621" s="213"/>
      <c r="N621" s="213"/>
      <c r="O621" s="213"/>
      <c r="P621" s="213"/>
      <c r="Y621" s="33"/>
      <c r="Z621" s="33"/>
      <c r="AA621" s="33"/>
      <c r="AD621" s="33"/>
    </row>
    <row r="622" spans="1:30">
      <c r="A622" s="213">
        <v>3406</v>
      </c>
      <c r="B622" s="213" t="s">
        <v>1059</v>
      </c>
      <c r="C622" s="213">
        <v>51.3</v>
      </c>
      <c r="D622">
        <f t="shared" si="9"/>
        <v>326</v>
      </c>
      <c r="E622" s="213"/>
      <c r="F622" s="213"/>
      <c r="G622" s="213"/>
      <c r="H622" s="213"/>
      <c r="I622" s="213"/>
      <c r="J622" s="213"/>
      <c r="K622" s="213"/>
      <c r="L622" s="213"/>
      <c r="M622" s="213"/>
      <c r="N622" s="213"/>
      <c r="O622" s="213"/>
      <c r="P622" s="213"/>
      <c r="Y622" s="33"/>
      <c r="Z622" s="33"/>
      <c r="AA622" s="33"/>
      <c r="AD622" s="33"/>
    </row>
    <row r="623" spans="1:30">
      <c r="A623" s="213">
        <v>3413</v>
      </c>
      <c r="B623" s="213" t="s">
        <v>1060</v>
      </c>
      <c r="C623" s="213">
        <v>81.400000000000006</v>
      </c>
      <c r="D623">
        <f t="shared" si="9"/>
        <v>185</v>
      </c>
      <c r="E623" s="213"/>
      <c r="F623" s="213"/>
      <c r="G623" s="213"/>
      <c r="H623" s="213"/>
      <c r="I623" s="213"/>
      <c r="J623" s="213"/>
      <c r="K623" s="213"/>
      <c r="L623" s="213"/>
      <c r="M623" s="213"/>
      <c r="N623" s="213"/>
      <c r="O623" s="213"/>
      <c r="P623" s="213"/>
      <c r="Y623" s="33"/>
      <c r="Z623" s="33"/>
      <c r="AA623" s="33"/>
      <c r="AD623" s="33"/>
    </row>
    <row r="624" spans="1:30">
      <c r="A624" s="213">
        <v>3416</v>
      </c>
      <c r="B624" s="213" t="s">
        <v>1061</v>
      </c>
      <c r="C624" s="213">
        <v>46.5</v>
      </c>
      <c r="D624">
        <f t="shared" si="9"/>
        <v>380</v>
      </c>
      <c r="E624" s="213"/>
      <c r="F624" s="213"/>
      <c r="G624" s="213"/>
      <c r="H624" s="213"/>
      <c r="I624" s="213"/>
      <c r="J624" s="213"/>
      <c r="K624" s="213"/>
      <c r="L624" s="213"/>
      <c r="M624" s="213"/>
      <c r="N624" s="213"/>
      <c r="O624" s="213"/>
      <c r="P624" s="213"/>
      <c r="Y624" s="33"/>
      <c r="Z624" s="33"/>
      <c r="AA624" s="33"/>
      <c r="AD624" s="33"/>
    </row>
    <row r="625" spans="1:30">
      <c r="A625" s="213">
        <v>3419</v>
      </c>
      <c r="B625" s="213" t="s">
        <v>1062</v>
      </c>
      <c r="C625" s="213">
        <v>15.95</v>
      </c>
      <c r="D625">
        <f t="shared" si="9"/>
        <v>1081</v>
      </c>
      <c r="E625" s="213"/>
      <c r="F625" s="213"/>
      <c r="G625" s="213"/>
      <c r="H625" s="213"/>
      <c r="I625" s="213"/>
      <c r="J625" s="213"/>
      <c r="K625" s="213"/>
      <c r="L625" s="213"/>
      <c r="M625" s="213"/>
      <c r="N625" s="213"/>
      <c r="O625" s="213"/>
      <c r="P625" s="213"/>
      <c r="Y625" s="33"/>
      <c r="Z625" s="33"/>
      <c r="AA625" s="33"/>
      <c r="AD625" s="33"/>
    </row>
    <row r="626" spans="1:30">
      <c r="A626" s="213">
        <v>3432</v>
      </c>
      <c r="B626" s="213" t="s">
        <v>1063</v>
      </c>
      <c r="C626" s="213">
        <v>13.2</v>
      </c>
      <c r="D626">
        <f t="shared" si="9"/>
        <v>1200</v>
      </c>
      <c r="E626" s="213"/>
      <c r="F626" s="213"/>
      <c r="G626" s="213"/>
      <c r="H626" s="213"/>
      <c r="I626" s="213"/>
      <c r="J626" s="213"/>
      <c r="K626" s="213"/>
      <c r="L626" s="213"/>
      <c r="M626" s="213"/>
      <c r="N626" s="213"/>
      <c r="O626" s="213"/>
      <c r="P626" s="213"/>
      <c r="Y626" s="33"/>
      <c r="Z626" s="33"/>
      <c r="AA626" s="33"/>
      <c r="AD626" s="33"/>
    </row>
    <row r="627" spans="1:30">
      <c r="A627" s="213">
        <v>3437</v>
      </c>
      <c r="B627" s="213" t="s">
        <v>1064</v>
      </c>
      <c r="C627" s="213">
        <v>23.8</v>
      </c>
      <c r="D627">
        <f t="shared" si="9"/>
        <v>780</v>
      </c>
      <c r="E627" s="213"/>
      <c r="F627" s="213"/>
      <c r="G627" s="213"/>
      <c r="H627" s="213"/>
      <c r="I627" s="213"/>
      <c r="J627" s="213"/>
      <c r="K627" s="213"/>
      <c r="L627" s="213"/>
      <c r="M627" s="213"/>
      <c r="N627" s="213"/>
      <c r="O627" s="213"/>
      <c r="P627" s="213"/>
      <c r="Y627" s="33"/>
      <c r="Z627" s="33"/>
      <c r="AA627" s="33"/>
      <c r="AD627" s="33"/>
    </row>
    <row r="628" spans="1:30">
      <c r="A628" s="213">
        <v>3443</v>
      </c>
      <c r="B628" s="213" t="s">
        <v>1065</v>
      </c>
      <c r="C628" s="213">
        <v>78.5</v>
      </c>
      <c r="D628">
        <f t="shared" si="9"/>
        <v>198</v>
      </c>
      <c r="E628" s="213"/>
      <c r="F628" s="213"/>
      <c r="G628" s="213"/>
      <c r="H628" s="213"/>
      <c r="I628" s="213"/>
      <c r="J628" s="213"/>
      <c r="K628" s="213"/>
      <c r="L628" s="213"/>
      <c r="M628" s="213"/>
      <c r="N628" s="213"/>
      <c r="O628" s="213"/>
      <c r="P628" s="213"/>
      <c r="Y628" s="33"/>
      <c r="Z628" s="33"/>
      <c r="AA628" s="33"/>
      <c r="AD628" s="33"/>
    </row>
    <row r="629" spans="1:30">
      <c r="A629" s="213">
        <v>3450</v>
      </c>
      <c r="B629" s="213" t="s">
        <v>1066</v>
      </c>
      <c r="C629" s="213">
        <v>115</v>
      </c>
      <c r="D629">
        <f t="shared" si="9"/>
        <v>113</v>
      </c>
      <c r="E629" s="213"/>
      <c r="F629" s="213"/>
      <c r="G629" s="213"/>
      <c r="H629" s="213"/>
      <c r="I629" s="213"/>
      <c r="J629" s="213"/>
      <c r="K629" s="213"/>
      <c r="L629" s="213"/>
      <c r="M629" s="213"/>
      <c r="N629" s="213"/>
      <c r="O629" s="213"/>
      <c r="P629" s="213"/>
      <c r="Y629" s="33"/>
      <c r="Z629" s="33"/>
      <c r="AA629" s="33"/>
      <c r="AD629" s="33"/>
    </row>
    <row r="630" spans="1:30">
      <c r="A630" s="213">
        <v>3454</v>
      </c>
      <c r="B630" s="213" t="s">
        <v>1067</v>
      </c>
      <c r="C630" s="213">
        <v>79.5</v>
      </c>
      <c r="D630">
        <f t="shared" si="9"/>
        <v>193</v>
      </c>
      <c r="E630" s="213"/>
      <c r="F630" s="213"/>
      <c r="G630" s="213"/>
      <c r="H630" s="213"/>
      <c r="I630" s="213"/>
      <c r="J630" s="213"/>
      <c r="K630" s="213"/>
      <c r="L630" s="213"/>
      <c r="M630" s="213"/>
      <c r="N630" s="213"/>
      <c r="O630" s="213"/>
      <c r="P630" s="213"/>
      <c r="Y630" s="33"/>
      <c r="Z630" s="33"/>
      <c r="AA630" s="33"/>
      <c r="AD630" s="33"/>
    </row>
    <row r="631" spans="1:30">
      <c r="A631" s="213">
        <v>3474</v>
      </c>
      <c r="B631" s="213" t="s">
        <v>1068</v>
      </c>
      <c r="C631" s="213">
        <v>29.5</v>
      </c>
      <c r="D631">
        <f t="shared" si="9"/>
        <v>621</v>
      </c>
      <c r="E631" s="213"/>
      <c r="F631" s="213"/>
      <c r="G631" s="213"/>
      <c r="H631" s="213"/>
      <c r="I631" s="213"/>
      <c r="J631" s="213"/>
      <c r="K631" s="213"/>
      <c r="L631" s="213"/>
      <c r="M631" s="33"/>
      <c r="N631" s="213"/>
      <c r="O631" s="213"/>
      <c r="P631" s="213"/>
      <c r="Y631" s="33"/>
      <c r="Z631" s="33"/>
      <c r="AA631" s="33"/>
      <c r="AD631" s="33"/>
    </row>
    <row r="632" spans="1:30">
      <c r="A632" s="213">
        <v>3481</v>
      </c>
      <c r="B632" s="213" t="s">
        <v>1069</v>
      </c>
      <c r="C632" s="213">
        <v>11</v>
      </c>
      <c r="D632">
        <f t="shared" si="9"/>
        <v>1306</v>
      </c>
      <c r="E632" s="213"/>
      <c r="F632" s="213"/>
      <c r="G632" s="213"/>
      <c r="H632" s="213"/>
      <c r="I632" s="213"/>
      <c r="J632" s="213"/>
      <c r="K632" s="213"/>
      <c r="L632" s="213"/>
      <c r="M632" s="213"/>
      <c r="N632" s="213"/>
      <c r="O632" s="33"/>
      <c r="P632" s="213"/>
      <c r="Y632" s="33"/>
      <c r="Z632" s="33"/>
      <c r="AA632" s="33"/>
      <c r="AD632" s="33"/>
    </row>
    <row r="633" spans="1:30">
      <c r="A633" s="213">
        <v>3494</v>
      </c>
      <c r="B633" s="213" t="s">
        <v>1070</v>
      </c>
      <c r="C633" s="213">
        <v>13.15</v>
      </c>
      <c r="D633">
        <f t="shared" si="9"/>
        <v>1203</v>
      </c>
      <c r="E633" s="213"/>
      <c r="F633" s="213"/>
      <c r="G633" s="213"/>
      <c r="H633" s="213"/>
      <c r="I633" s="213"/>
      <c r="J633" s="213"/>
      <c r="K633" s="213"/>
      <c r="L633" s="213"/>
      <c r="M633" s="213"/>
      <c r="N633" s="213"/>
      <c r="O633" s="213"/>
      <c r="P633" s="213"/>
      <c r="Y633" s="33"/>
      <c r="Z633" s="33"/>
      <c r="AA633" s="33"/>
      <c r="AD633" s="33"/>
    </row>
    <row r="634" spans="1:30">
      <c r="A634" s="213">
        <v>3501</v>
      </c>
      <c r="B634" s="213" t="s">
        <v>1071</v>
      </c>
      <c r="C634" s="213">
        <v>47.05</v>
      </c>
      <c r="D634">
        <f t="shared" si="9"/>
        <v>373</v>
      </c>
      <c r="E634" s="213"/>
      <c r="F634" s="213"/>
      <c r="G634" s="213"/>
      <c r="H634" s="213"/>
      <c r="I634" s="213"/>
      <c r="J634" s="213"/>
      <c r="K634" s="213"/>
      <c r="L634" s="213"/>
      <c r="M634" s="213"/>
      <c r="N634" s="213"/>
      <c r="O634" s="213"/>
      <c r="P634" s="213"/>
      <c r="Y634" s="33"/>
      <c r="Z634" s="33"/>
      <c r="AA634" s="33"/>
      <c r="AD634" s="33"/>
    </row>
    <row r="635" spans="1:30">
      <c r="A635" s="213">
        <v>3504</v>
      </c>
      <c r="B635" s="213" t="s">
        <v>1072</v>
      </c>
      <c r="C635" s="213">
        <v>27.55</v>
      </c>
      <c r="D635">
        <f t="shared" si="9"/>
        <v>679</v>
      </c>
      <c r="E635" s="213"/>
      <c r="F635" s="213"/>
      <c r="G635" s="213"/>
      <c r="H635" s="213"/>
      <c r="I635" s="213"/>
      <c r="J635" s="213"/>
      <c r="K635" s="213"/>
      <c r="L635" s="213"/>
      <c r="M635" s="213"/>
      <c r="N635" s="213"/>
      <c r="O635" s="213"/>
      <c r="P635" s="213"/>
      <c r="Y635" s="33"/>
      <c r="Z635" s="33"/>
      <c r="AA635" s="33"/>
      <c r="AD635" s="33"/>
    </row>
    <row r="636" spans="1:30">
      <c r="A636" s="213">
        <v>3514</v>
      </c>
      <c r="B636" s="213" t="s">
        <v>1073</v>
      </c>
      <c r="C636" s="213">
        <v>23.1</v>
      </c>
      <c r="D636">
        <f t="shared" si="9"/>
        <v>807</v>
      </c>
      <c r="E636" s="213"/>
      <c r="F636" s="213"/>
      <c r="G636" s="213"/>
      <c r="H636" s="213"/>
      <c r="I636" s="213"/>
      <c r="J636" s="213"/>
      <c r="K636" s="213"/>
      <c r="L636" s="213"/>
      <c r="M636" s="213"/>
      <c r="N636" s="213"/>
      <c r="O636" s="213"/>
      <c r="P636" s="213"/>
      <c r="Y636" s="33"/>
      <c r="Z636" s="33"/>
      <c r="AA636" s="33"/>
      <c r="AD636" s="33"/>
    </row>
    <row r="637" spans="1:30">
      <c r="A637" s="213">
        <v>3515</v>
      </c>
      <c r="B637" s="213" t="s">
        <v>1074</v>
      </c>
      <c r="C637" s="213">
        <v>38.200000000000003</v>
      </c>
      <c r="D637">
        <f t="shared" si="9"/>
        <v>481</v>
      </c>
      <c r="E637" s="213"/>
      <c r="F637" s="213"/>
      <c r="G637" s="213"/>
      <c r="H637" s="213"/>
      <c r="I637" s="213"/>
      <c r="J637" s="213"/>
      <c r="K637" s="213"/>
      <c r="L637" s="213"/>
      <c r="M637" s="213"/>
      <c r="N637" s="213"/>
      <c r="O637" s="213"/>
      <c r="P637" s="213"/>
      <c r="Y637" s="33"/>
      <c r="Z637" s="33"/>
      <c r="AA637" s="33"/>
      <c r="AD637" s="33"/>
    </row>
    <row r="638" spans="1:30">
      <c r="A638" s="213">
        <v>3518</v>
      </c>
      <c r="B638" s="213" t="s">
        <v>1075</v>
      </c>
      <c r="C638" s="213">
        <v>23.6</v>
      </c>
      <c r="D638">
        <f t="shared" si="9"/>
        <v>789</v>
      </c>
      <c r="E638" s="213"/>
      <c r="F638" s="213"/>
      <c r="G638" s="213"/>
      <c r="H638" s="213"/>
      <c r="I638" s="213"/>
      <c r="J638" s="213"/>
      <c r="K638" s="213"/>
      <c r="L638" s="213"/>
      <c r="M638" s="213"/>
      <c r="N638" s="213"/>
      <c r="O638" s="213"/>
      <c r="P638" s="213"/>
      <c r="Y638" s="33"/>
      <c r="Z638" s="33"/>
      <c r="AA638" s="33"/>
      <c r="AD638" s="33"/>
    </row>
    <row r="639" spans="1:30">
      <c r="A639" s="213">
        <v>3519</v>
      </c>
      <c r="B639" s="213" t="s">
        <v>1076</v>
      </c>
      <c r="C639" s="213">
        <v>17.649999999999999</v>
      </c>
      <c r="D639">
        <f t="shared" si="9"/>
        <v>994</v>
      </c>
      <c r="E639" s="213"/>
      <c r="F639" s="213"/>
      <c r="G639" s="213"/>
      <c r="H639" s="213"/>
      <c r="I639" s="213"/>
      <c r="J639" s="213"/>
      <c r="K639" s="213"/>
      <c r="L639" s="213"/>
      <c r="M639" s="213"/>
      <c r="N639" s="213"/>
      <c r="O639" s="213"/>
      <c r="P639" s="213"/>
      <c r="Y639" s="33"/>
      <c r="Z639" s="33"/>
      <c r="AA639" s="33"/>
      <c r="AD639" s="33"/>
    </row>
    <row r="640" spans="1:30">
      <c r="A640" s="213">
        <v>3528</v>
      </c>
      <c r="B640" s="213" t="s">
        <v>1915</v>
      </c>
      <c r="C640" s="213">
        <v>29.8</v>
      </c>
      <c r="D640">
        <f t="shared" si="9"/>
        <v>616</v>
      </c>
      <c r="E640" s="213"/>
      <c r="F640" s="213"/>
      <c r="G640" s="213"/>
      <c r="H640" s="213"/>
      <c r="I640" s="213"/>
      <c r="J640" s="213"/>
      <c r="K640" s="213"/>
      <c r="L640" s="213"/>
      <c r="M640" s="213"/>
      <c r="N640" s="213"/>
      <c r="O640" s="213"/>
      <c r="P640" s="213"/>
      <c r="Y640" s="33"/>
      <c r="Z640" s="33"/>
      <c r="AA640" s="33"/>
      <c r="AD640" s="33"/>
    </row>
    <row r="641" spans="1:30">
      <c r="A641" s="213">
        <v>3532</v>
      </c>
      <c r="B641" s="213" t="s">
        <v>1077</v>
      </c>
      <c r="C641" s="213">
        <v>32.6</v>
      </c>
      <c r="D641">
        <f t="shared" si="9"/>
        <v>562</v>
      </c>
      <c r="E641" s="213"/>
      <c r="F641" s="213"/>
      <c r="G641" s="213"/>
      <c r="H641" s="213"/>
      <c r="I641" s="213"/>
      <c r="J641" s="213"/>
      <c r="K641" s="213"/>
      <c r="L641" s="213"/>
      <c r="M641" s="213"/>
      <c r="N641" s="213"/>
      <c r="O641" s="213"/>
      <c r="P641" s="213"/>
      <c r="Y641" s="33"/>
      <c r="Z641" s="33"/>
      <c r="AA641" s="33"/>
      <c r="AD641" s="33"/>
    </row>
    <row r="642" spans="1:30">
      <c r="A642" s="213">
        <v>3533</v>
      </c>
      <c r="B642" s="213" t="s">
        <v>1078</v>
      </c>
      <c r="C642" s="213">
        <v>80.5</v>
      </c>
      <c r="D642">
        <f t="shared" ref="D642:D705" si="10">RANK(C642,C:C,0)</f>
        <v>190</v>
      </c>
      <c r="E642" s="213"/>
      <c r="F642" s="213"/>
      <c r="G642" s="213"/>
      <c r="H642" s="213"/>
      <c r="I642" s="213"/>
      <c r="J642" s="213"/>
      <c r="K642" s="213"/>
      <c r="L642" s="213"/>
      <c r="M642" s="213"/>
      <c r="N642" s="213"/>
      <c r="O642" s="213"/>
      <c r="P642" s="213"/>
      <c r="Y642" s="33"/>
      <c r="Z642" s="33"/>
      <c r="AA642" s="33"/>
      <c r="AD642" s="33"/>
    </row>
    <row r="643" spans="1:30">
      <c r="A643" s="213">
        <v>3535</v>
      </c>
      <c r="B643" s="213" t="s">
        <v>1079</v>
      </c>
      <c r="C643" s="213">
        <v>14.2</v>
      </c>
      <c r="D643">
        <f t="shared" si="10"/>
        <v>1151</v>
      </c>
      <c r="E643" s="213"/>
      <c r="F643" s="213"/>
      <c r="G643" s="213"/>
      <c r="H643" s="213"/>
      <c r="I643" s="213"/>
      <c r="J643" s="213"/>
      <c r="K643" s="213"/>
      <c r="L643" s="213"/>
      <c r="M643" s="213"/>
      <c r="N643" s="213"/>
      <c r="O643" s="213"/>
      <c r="P643" s="213"/>
      <c r="Y643" s="33"/>
      <c r="Z643" s="33"/>
      <c r="AA643" s="33"/>
      <c r="AD643" s="33"/>
    </row>
    <row r="644" spans="1:30">
      <c r="A644" s="213">
        <v>3536</v>
      </c>
      <c r="B644" s="213" t="s">
        <v>1080</v>
      </c>
      <c r="C644" s="213">
        <v>15</v>
      </c>
      <c r="D644">
        <f t="shared" si="10"/>
        <v>1125</v>
      </c>
      <c r="E644" s="213"/>
      <c r="F644" s="213"/>
      <c r="G644" s="213"/>
      <c r="H644" s="213"/>
      <c r="I644" s="213"/>
      <c r="J644" s="213"/>
      <c r="K644" s="213"/>
      <c r="L644" s="213"/>
      <c r="M644" s="213"/>
      <c r="N644" s="213"/>
      <c r="O644" s="213"/>
      <c r="P644" s="213"/>
      <c r="Y644" s="33"/>
      <c r="Z644" s="33"/>
      <c r="AA644" s="33"/>
      <c r="AD644" s="33"/>
    </row>
    <row r="645" spans="1:30">
      <c r="A645" s="213">
        <v>3545</v>
      </c>
      <c r="B645" s="213" t="s">
        <v>1081</v>
      </c>
      <c r="C645" s="213">
        <v>33.65</v>
      </c>
      <c r="D645">
        <f t="shared" si="10"/>
        <v>546</v>
      </c>
      <c r="E645" s="213"/>
      <c r="F645" s="213"/>
      <c r="G645" s="213"/>
      <c r="H645" s="213"/>
      <c r="I645" s="213"/>
      <c r="J645" s="213"/>
      <c r="K645" s="213"/>
      <c r="L645" s="213"/>
      <c r="M645" s="213"/>
      <c r="N645" s="213"/>
      <c r="O645" s="213"/>
      <c r="P645" s="213"/>
      <c r="Y645" s="33"/>
      <c r="Z645" s="33"/>
      <c r="AA645" s="33"/>
      <c r="AD645" s="33"/>
    </row>
    <row r="646" spans="1:30">
      <c r="A646" s="213">
        <v>3550</v>
      </c>
      <c r="B646" s="213" t="s">
        <v>1082</v>
      </c>
      <c r="C646" s="213">
        <v>15.9</v>
      </c>
      <c r="D646">
        <f t="shared" si="10"/>
        <v>1083</v>
      </c>
      <c r="E646" s="213"/>
      <c r="F646" s="213"/>
      <c r="G646" s="213"/>
      <c r="H646" s="213"/>
      <c r="I646" s="213"/>
      <c r="J646" s="213"/>
      <c r="K646" s="213"/>
      <c r="L646" s="213"/>
      <c r="M646" s="213"/>
      <c r="N646" s="213"/>
      <c r="O646" s="213"/>
      <c r="P646" s="213"/>
      <c r="Y646" s="33"/>
      <c r="Z646" s="33"/>
      <c r="AA646" s="33"/>
      <c r="AD646" s="33"/>
    </row>
    <row r="647" spans="1:30">
      <c r="A647" s="213">
        <v>3557</v>
      </c>
      <c r="B647" s="213" t="s">
        <v>1083</v>
      </c>
      <c r="C647" s="213">
        <v>5.61</v>
      </c>
      <c r="D647">
        <f t="shared" si="10"/>
        <v>1562</v>
      </c>
      <c r="E647" s="213"/>
      <c r="F647" s="213"/>
      <c r="G647" s="213"/>
      <c r="H647" s="213"/>
      <c r="I647" s="213"/>
      <c r="J647" s="213"/>
      <c r="K647" s="213"/>
      <c r="L647" s="213"/>
      <c r="M647" s="213"/>
      <c r="N647" s="213"/>
      <c r="O647" s="213"/>
      <c r="P647" s="213"/>
      <c r="Y647" s="33"/>
      <c r="Z647" s="33"/>
      <c r="AA647" s="33"/>
      <c r="AD647" s="33"/>
    </row>
    <row r="648" spans="1:30">
      <c r="A648" s="213">
        <v>3559</v>
      </c>
      <c r="B648" s="213" t="s">
        <v>1084</v>
      </c>
      <c r="C648" s="213">
        <v>23.25</v>
      </c>
      <c r="D648">
        <f t="shared" si="10"/>
        <v>806</v>
      </c>
      <c r="E648" s="213"/>
      <c r="F648" s="213"/>
      <c r="G648" s="213"/>
      <c r="H648" s="213"/>
      <c r="I648" s="213"/>
      <c r="J648" s="213"/>
      <c r="K648" s="213"/>
      <c r="L648" s="213"/>
      <c r="M648" s="213"/>
      <c r="N648" s="213"/>
      <c r="O648" s="213"/>
      <c r="P648" s="213"/>
      <c r="Y648" s="33"/>
      <c r="Z648" s="33"/>
      <c r="AA648" s="33"/>
      <c r="AD648" s="33"/>
    </row>
    <row r="649" spans="1:30">
      <c r="A649" s="213">
        <v>3561</v>
      </c>
      <c r="B649" s="213" t="s">
        <v>2049</v>
      </c>
      <c r="C649" s="213">
        <v>15.9</v>
      </c>
      <c r="D649">
        <f t="shared" si="10"/>
        <v>1083</v>
      </c>
      <c r="E649" s="213"/>
      <c r="F649" s="213"/>
      <c r="G649" s="213"/>
      <c r="H649" s="213"/>
      <c r="I649" s="213"/>
      <c r="J649" s="213"/>
      <c r="K649" s="213"/>
      <c r="L649" s="213"/>
      <c r="M649" s="213"/>
      <c r="N649" s="213"/>
      <c r="O649" s="213"/>
      <c r="P649" s="213"/>
      <c r="Y649" s="33"/>
      <c r="Z649" s="33"/>
      <c r="AA649" s="33"/>
      <c r="AD649" s="33"/>
    </row>
    <row r="650" spans="1:30">
      <c r="A650" s="213">
        <v>3576</v>
      </c>
      <c r="B650" s="213" t="s">
        <v>1086</v>
      </c>
      <c r="C650" s="213">
        <v>16.149999999999999</v>
      </c>
      <c r="D650">
        <f t="shared" si="10"/>
        <v>1074</v>
      </c>
      <c r="E650" s="213"/>
      <c r="F650" s="213"/>
      <c r="G650" s="213"/>
      <c r="H650" s="213"/>
      <c r="I650" s="213"/>
      <c r="J650" s="213"/>
      <c r="K650" s="213"/>
      <c r="L650" s="213"/>
      <c r="M650" s="213"/>
      <c r="N650" s="213"/>
      <c r="O650" s="213"/>
      <c r="P650" s="213"/>
      <c r="Y650" s="33"/>
      <c r="Z650" s="33"/>
      <c r="AA650" s="33"/>
      <c r="AD650" s="33"/>
    </row>
    <row r="651" spans="1:30">
      <c r="A651" s="213">
        <v>3579</v>
      </c>
      <c r="B651" s="213" t="s">
        <v>1087</v>
      </c>
      <c r="C651" s="213">
        <v>12.25</v>
      </c>
      <c r="D651">
        <f t="shared" si="10"/>
        <v>1245</v>
      </c>
      <c r="E651" s="213"/>
      <c r="F651" s="213"/>
      <c r="G651" s="213"/>
      <c r="H651" s="213"/>
      <c r="I651" s="213"/>
      <c r="J651" s="213"/>
      <c r="K651" s="213"/>
      <c r="L651" s="213"/>
      <c r="M651" s="213"/>
      <c r="N651" s="213"/>
      <c r="O651" s="213"/>
      <c r="P651" s="213"/>
      <c r="Y651" s="33"/>
      <c r="Z651" s="33"/>
      <c r="AD651" s="33"/>
    </row>
    <row r="652" spans="1:30">
      <c r="A652" s="213">
        <v>3583</v>
      </c>
      <c r="B652" s="213" t="s">
        <v>1088</v>
      </c>
      <c r="C652" s="213">
        <v>61.2</v>
      </c>
      <c r="D652">
        <f t="shared" si="10"/>
        <v>270</v>
      </c>
      <c r="E652" s="213"/>
      <c r="F652" s="213"/>
      <c r="G652" s="213"/>
      <c r="H652" s="213"/>
      <c r="I652" s="213"/>
      <c r="J652" s="213"/>
      <c r="K652" s="213"/>
      <c r="L652" s="213"/>
      <c r="M652" s="213"/>
      <c r="N652" s="213"/>
      <c r="O652" s="213"/>
      <c r="P652" s="213"/>
      <c r="Y652" s="33"/>
      <c r="Z652" s="33"/>
      <c r="AA652" s="33"/>
      <c r="AD652" s="33"/>
    </row>
    <row r="653" spans="1:30">
      <c r="A653" s="213">
        <v>3588</v>
      </c>
      <c r="B653" s="213" t="s">
        <v>1089</v>
      </c>
      <c r="C653" s="213">
        <v>37.299999999999997</v>
      </c>
      <c r="D653">
        <f t="shared" si="10"/>
        <v>488</v>
      </c>
      <c r="E653" s="213"/>
      <c r="F653" s="213"/>
      <c r="G653" s="213"/>
      <c r="H653" s="213"/>
      <c r="I653" s="213"/>
      <c r="J653" s="213"/>
      <c r="K653" s="213"/>
      <c r="L653" s="213"/>
      <c r="M653" s="213"/>
      <c r="N653" s="213"/>
      <c r="O653" s="213"/>
      <c r="P653" s="213"/>
      <c r="Y653" s="33"/>
      <c r="Z653" s="33"/>
      <c r="AD653" s="33"/>
    </row>
    <row r="654" spans="1:30">
      <c r="A654" s="213">
        <v>3591</v>
      </c>
      <c r="B654" s="213" t="s">
        <v>1090</v>
      </c>
      <c r="C654" s="213">
        <v>13.35</v>
      </c>
      <c r="D654">
        <f t="shared" si="10"/>
        <v>1197</v>
      </c>
      <c r="E654" s="213"/>
      <c r="F654" s="213"/>
      <c r="G654" s="213"/>
      <c r="H654" s="213"/>
      <c r="I654" s="213"/>
      <c r="J654" s="213"/>
      <c r="K654" s="213"/>
      <c r="L654" s="213"/>
      <c r="M654" s="213"/>
      <c r="N654" s="213"/>
      <c r="O654" s="213"/>
      <c r="P654" s="213"/>
      <c r="Y654" s="33"/>
      <c r="Z654" s="33"/>
      <c r="AA654" s="33"/>
      <c r="AD654" s="33"/>
    </row>
    <row r="655" spans="1:30">
      <c r="A655" s="213">
        <v>3593</v>
      </c>
      <c r="B655" s="213" t="s">
        <v>1091</v>
      </c>
      <c r="C655" s="213">
        <v>7.25</v>
      </c>
      <c r="D655">
        <f t="shared" si="10"/>
        <v>1501</v>
      </c>
      <c r="E655" s="213"/>
      <c r="F655" s="213"/>
      <c r="G655" s="213"/>
      <c r="H655" s="213"/>
      <c r="I655" s="213"/>
      <c r="J655" s="213"/>
      <c r="K655" s="213"/>
      <c r="L655" s="213"/>
      <c r="M655" s="213"/>
      <c r="N655" s="213"/>
      <c r="O655" s="213"/>
      <c r="P655" s="213"/>
      <c r="Y655" s="33"/>
      <c r="Z655" s="33"/>
      <c r="AD655" s="33"/>
    </row>
    <row r="656" spans="1:30">
      <c r="A656" s="213">
        <v>3596</v>
      </c>
      <c r="B656" s="213" t="s">
        <v>1092</v>
      </c>
      <c r="C656" s="213">
        <v>57.2</v>
      </c>
      <c r="D656">
        <f t="shared" si="10"/>
        <v>291</v>
      </c>
      <c r="E656" s="213"/>
      <c r="F656" s="213"/>
      <c r="G656" s="213"/>
      <c r="H656" s="213"/>
      <c r="I656" s="213"/>
      <c r="J656" s="213"/>
      <c r="K656" s="213"/>
      <c r="L656" s="213"/>
      <c r="M656" s="213"/>
      <c r="N656" s="213"/>
      <c r="O656" s="213"/>
      <c r="P656" s="213"/>
      <c r="Y656" s="33"/>
      <c r="Z656" s="33"/>
      <c r="AA656" s="33"/>
      <c r="AD656" s="33"/>
    </row>
    <row r="657" spans="1:30">
      <c r="A657" s="213">
        <v>3605</v>
      </c>
      <c r="B657" s="213" t="s">
        <v>1094</v>
      </c>
      <c r="C657" s="213">
        <v>25.35</v>
      </c>
      <c r="D657">
        <f t="shared" si="10"/>
        <v>729</v>
      </c>
      <c r="E657" s="213"/>
      <c r="F657" s="213"/>
      <c r="G657" s="213"/>
      <c r="H657" s="213"/>
      <c r="I657" s="213"/>
      <c r="J657" s="213"/>
      <c r="K657" s="213"/>
      <c r="L657" s="213"/>
      <c r="M657" s="213"/>
      <c r="N657" s="213"/>
      <c r="O657" s="213"/>
      <c r="P657" s="213"/>
      <c r="Y657" s="33"/>
      <c r="Z657" s="33"/>
      <c r="AA657" s="33"/>
      <c r="AD657" s="33"/>
    </row>
    <row r="658" spans="1:30">
      <c r="A658" s="213">
        <v>3607</v>
      </c>
      <c r="B658" s="213" t="s">
        <v>1095</v>
      </c>
      <c r="C658" s="213">
        <v>30.65</v>
      </c>
      <c r="D658">
        <f t="shared" si="10"/>
        <v>599</v>
      </c>
      <c r="E658" s="213"/>
      <c r="F658" s="213"/>
      <c r="G658" s="213"/>
      <c r="H658" s="213"/>
      <c r="I658" s="213"/>
      <c r="J658" s="213"/>
      <c r="K658" s="213"/>
      <c r="L658" s="213"/>
      <c r="M658" s="213"/>
      <c r="N658" s="213"/>
      <c r="O658" s="213"/>
      <c r="P658" s="213"/>
      <c r="Y658" s="33"/>
      <c r="Z658" s="33"/>
      <c r="AA658" s="33"/>
      <c r="AD658" s="33"/>
    </row>
    <row r="659" spans="1:30">
      <c r="A659" s="213">
        <v>3617</v>
      </c>
      <c r="B659" s="213" t="s">
        <v>1096</v>
      </c>
      <c r="C659" s="213">
        <v>92.7</v>
      </c>
      <c r="D659">
        <f t="shared" si="10"/>
        <v>150</v>
      </c>
      <c r="E659" s="213"/>
      <c r="F659" s="213"/>
      <c r="G659" s="213"/>
      <c r="H659" s="213"/>
      <c r="I659" s="213"/>
      <c r="J659" s="213"/>
      <c r="K659" s="213"/>
      <c r="L659" s="213"/>
      <c r="M659" s="213"/>
      <c r="N659" s="213"/>
      <c r="O659" s="213"/>
      <c r="P659" s="213"/>
      <c r="Y659" s="33"/>
      <c r="Z659" s="33"/>
      <c r="AA659" s="33"/>
      <c r="AD659" s="33"/>
    </row>
    <row r="660" spans="1:30">
      <c r="A660" s="213">
        <v>3622</v>
      </c>
      <c r="B660" s="213" t="s">
        <v>1097</v>
      </c>
      <c r="C660" s="213">
        <v>12.3</v>
      </c>
      <c r="D660">
        <f t="shared" si="10"/>
        <v>1242</v>
      </c>
      <c r="E660" s="213"/>
      <c r="F660" s="213"/>
      <c r="G660" s="213"/>
      <c r="H660" s="213"/>
      <c r="I660" s="213"/>
      <c r="J660" s="213"/>
      <c r="K660" s="213"/>
      <c r="L660" s="213"/>
      <c r="M660" s="213"/>
      <c r="N660" s="213"/>
      <c r="O660" s="213"/>
      <c r="P660" s="213"/>
      <c r="Y660" s="33"/>
      <c r="Z660" s="33"/>
      <c r="AD660" s="33"/>
    </row>
    <row r="661" spans="1:30">
      <c r="A661" s="213">
        <v>3645</v>
      </c>
      <c r="B661" s="213" t="s">
        <v>1098</v>
      </c>
      <c r="C661" s="213">
        <v>31.5</v>
      </c>
      <c r="D661">
        <f t="shared" si="10"/>
        <v>586</v>
      </c>
      <c r="E661" s="213"/>
      <c r="F661" s="213"/>
      <c r="G661" s="213"/>
      <c r="H661" s="213"/>
      <c r="I661" s="213"/>
      <c r="J661" s="213"/>
      <c r="K661" s="213"/>
      <c r="L661" s="213"/>
      <c r="M661" s="213"/>
      <c r="N661" s="213"/>
      <c r="O661" s="213"/>
      <c r="P661" s="213"/>
      <c r="Y661" s="33"/>
      <c r="Z661" s="33"/>
      <c r="AA661" s="33"/>
      <c r="AD661" s="33"/>
    </row>
    <row r="662" spans="1:30">
      <c r="A662" s="213">
        <v>3653</v>
      </c>
      <c r="B662" s="213" t="s">
        <v>1099</v>
      </c>
      <c r="C662" s="213">
        <v>51.2</v>
      </c>
      <c r="D662">
        <f t="shared" si="10"/>
        <v>328</v>
      </c>
      <c r="E662" s="213"/>
      <c r="F662" s="213"/>
      <c r="G662" s="213"/>
      <c r="H662" s="213"/>
      <c r="I662" s="213"/>
      <c r="J662" s="213"/>
      <c r="K662" s="213"/>
      <c r="L662" s="213"/>
      <c r="M662" s="213"/>
      <c r="N662" s="213"/>
      <c r="O662" s="213"/>
      <c r="P662" s="213"/>
      <c r="Y662" s="33"/>
      <c r="Z662" s="33"/>
      <c r="AA662" s="33"/>
      <c r="AD662" s="33"/>
    </row>
    <row r="663" spans="1:30">
      <c r="A663" s="213">
        <v>3661</v>
      </c>
      <c r="B663" s="213" t="s">
        <v>2050</v>
      </c>
      <c r="C663" s="213">
        <v>27.7</v>
      </c>
      <c r="D663">
        <f t="shared" si="10"/>
        <v>672</v>
      </c>
      <c r="E663" s="213"/>
      <c r="F663" s="213"/>
      <c r="G663" s="213"/>
      <c r="H663" s="213"/>
      <c r="I663" s="213"/>
      <c r="J663" s="213"/>
      <c r="K663" s="213"/>
      <c r="L663" s="213"/>
      <c r="M663" s="213"/>
      <c r="N663" s="213"/>
      <c r="O663" s="213"/>
      <c r="P663" s="213"/>
      <c r="Y663" s="33"/>
      <c r="Z663" s="33"/>
      <c r="AA663" s="33"/>
      <c r="AD663" s="33"/>
    </row>
    <row r="664" spans="1:30">
      <c r="A664" s="213">
        <v>3665</v>
      </c>
      <c r="B664" s="213" t="s">
        <v>2051</v>
      </c>
      <c r="C664" s="213">
        <v>157</v>
      </c>
      <c r="D664">
        <f t="shared" si="10"/>
        <v>74</v>
      </c>
      <c r="E664" s="213"/>
      <c r="F664" s="213"/>
      <c r="G664" s="213"/>
      <c r="H664" s="213"/>
      <c r="I664" s="213"/>
      <c r="J664" s="213"/>
      <c r="K664" s="213"/>
      <c r="L664" s="213"/>
      <c r="M664" s="213"/>
      <c r="N664" s="213"/>
      <c r="O664" s="213"/>
      <c r="P664" s="213"/>
      <c r="Y664" s="33"/>
      <c r="Z664" s="33"/>
      <c r="AA664" s="33"/>
      <c r="AD664" s="33"/>
    </row>
    <row r="665" spans="1:30">
      <c r="A665" s="213">
        <v>3669</v>
      </c>
      <c r="B665" s="213" t="s">
        <v>1100</v>
      </c>
      <c r="C665" s="213">
        <v>20.75</v>
      </c>
      <c r="D665">
        <f t="shared" si="10"/>
        <v>882</v>
      </c>
      <c r="E665" s="213"/>
      <c r="F665" s="213"/>
      <c r="G665" s="213"/>
      <c r="H665" s="213"/>
      <c r="I665" s="213"/>
      <c r="J665" s="213"/>
      <c r="K665" s="213"/>
      <c r="L665" s="213"/>
      <c r="M665" s="213"/>
      <c r="N665" s="213"/>
      <c r="O665" s="213"/>
      <c r="P665" s="213"/>
      <c r="Y665" s="33"/>
      <c r="Z665" s="33"/>
      <c r="AA665" s="33"/>
      <c r="AD665" s="33"/>
    </row>
    <row r="666" spans="1:30">
      <c r="A666" s="213">
        <v>3673</v>
      </c>
      <c r="B666" s="213" t="s">
        <v>2052</v>
      </c>
      <c r="C666" s="213">
        <v>48.7</v>
      </c>
      <c r="D666">
        <f t="shared" si="10"/>
        <v>353</v>
      </c>
      <c r="E666" s="213"/>
      <c r="F666" s="213"/>
      <c r="G666" s="213"/>
      <c r="H666" s="213"/>
      <c r="I666" s="213"/>
      <c r="J666" s="213"/>
      <c r="K666" s="213"/>
      <c r="L666" s="213"/>
      <c r="M666" s="213"/>
      <c r="N666" s="213"/>
      <c r="O666" s="213"/>
      <c r="P666" s="213"/>
      <c r="Y666" s="33"/>
      <c r="Z666" s="33"/>
      <c r="AA666" s="33"/>
      <c r="AD666" s="33"/>
    </row>
    <row r="667" spans="1:30">
      <c r="A667" s="213">
        <v>3679</v>
      </c>
      <c r="B667" s="213" t="s">
        <v>1101</v>
      </c>
      <c r="C667" s="213">
        <v>73.5</v>
      </c>
      <c r="D667">
        <f t="shared" si="10"/>
        <v>212</v>
      </c>
      <c r="E667" s="213"/>
      <c r="F667" s="213"/>
      <c r="G667" s="213"/>
      <c r="H667" s="213"/>
      <c r="I667" s="213"/>
      <c r="J667" s="213"/>
      <c r="K667" s="213"/>
      <c r="L667" s="213"/>
      <c r="M667" s="213"/>
      <c r="N667" s="213"/>
      <c r="O667" s="213"/>
      <c r="P667" s="213"/>
      <c r="Y667" s="33"/>
      <c r="Z667" s="33"/>
      <c r="AA667" s="33"/>
      <c r="AD667" s="33"/>
    </row>
    <row r="668" spans="1:30">
      <c r="A668" s="213">
        <v>3682</v>
      </c>
      <c r="B668" s="213" t="s">
        <v>1102</v>
      </c>
      <c r="C668" s="213">
        <v>10.199999999999999</v>
      </c>
      <c r="D668">
        <f t="shared" si="10"/>
        <v>1345</v>
      </c>
      <c r="E668" s="213"/>
      <c r="F668" s="213"/>
      <c r="G668" s="213"/>
      <c r="H668" s="213"/>
      <c r="I668" s="213"/>
      <c r="J668" s="213"/>
      <c r="K668" s="213"/>
      <c r="L668" s="213"/>
      <c r="M668" s="213"/>
      <c r="N668" s="213"/>
      <c r="O668" s="213"/>
      <c r="P668" s="213"/>
      <c r="Y668" s="33"/>
      <c r="Z668" s="33"/>
      <c r="AA668" s="33"/>
      <c r="AD668" s="33"/>
    </row>
    <row r="669" spans="1:30">
      <c r="A669" s="213">
        <v>3686</v>
      </c>
      <c r="B669" s="213" t="s">
        <v>1103</v>
      </c>
      <c r="C669" s="213">
        <v>7.5</v>
      </c>
      <c r="D669">
        <f t="shared" si="10"/>
        <v>1491</v>
      </c>
      <c r="E669" s="213"/>
      <c r="F669" s="213"/>
      <c r="G669" s="213"/>
      <c r="H669" s="213"/>
      <c r="I669" s="213"/>
      <c r="J669" s="213"/>
      <c r="K669" s="213"/>
      <c r="L669" s="213"/>
      <c r="M669" s="213"/>
      <c r="N669" s="213"/>
      <c r="O669" s="213"/>
      <c r="P669" s="213"/>
      <c r="Y669" s="33"/>
      <c r="Z669" s="33"/>
      <c r="AA669" s="33"/>
      <c r="AD669" s="33"/>
    </row>
    <row r="670" spans="1:30">
      <c r="A670" s="213">
        <v>3694</v>
      </c>
      <c r="B670" s="213" t="s">
        <v>1104</v>
      </c>
      <c r="C670" s="213">
        <v>14.8</v>
      </c>
      <c r="D670">
        <f t="shared" si="10"/>
        <v>1130</v>
      </c>
      <c r="E670" s="213"/>
      <c r="F670" s="213"/>
      <c r="G670" s="213"/>
      <c r="H670" s="213"/>
      <c r="I670" s="213"/>
      <c r="J670" s="213"/>
      <c r="K670" s="213"/>
      <c r="L670" s="213"/>
      <c r="M670" s="213"/>
      <c r="N670" s="213"/>
      <c r="O670" s="213"/>
      <c r="P670" s="213"/>
      <c r="Y670" s="33"/>
      <c r="Z670" s="33"/>
      <c r="AA670" s="33"/>
      <c r="AD670" s="33"/>
    </row>
    <row r="671" spans="1:30">
      <c r="A671" s="213">
        <v>3698</v>
      </c>
      <c r="B671" s="213" t="s">
        <v>1105</v>
      </c>
      <c r="C671" s="213">
        <v>13.2</v>
      </c>
      <c r="D671">
        <f t="shared" si="10"/>
        <v>1200</v>
      </c>
      <c r="E671" s="213"/>
      <c r="F671" s="213"/>
      <c r="G671" s="213"/>
      <c r="H671" s="213"/>
      <c r="I671" s="213"/>
      <c r="J671" s="213"/>
      <c r="K671" s="213"/>
      <c r="L671" s="213"/>
      <c r="M671" s="213"/>
      <c r="N671" s="213"/>
      <c r="O671" s="213"/>
      <c r="P671" s="213"/>
      <c r="Y671" s="33"/>
      <c r="Z671" s="33"/>
      <c r="AA671" s="33"/>
      <c r="AD671" s="33"/>
    </row>
    <row r="672" spans="1:30">
      <c r="A672" s="213">
        <v>3702</v>
      </c>
      <c r="B672" s="213" t="s">
        <v>1107</v>
      </c>
      <c r="C672" s="213">
        <v>36.85</v>
      </c>
      <c r="D672">
        <f t="shared" si="10"/>
        <v>498</v>
      </c>
      <c r="E672" s="213"/>
      <c r="F672" s="213"/>
      <c r="G672" s="213"/>
      <c r="H672" s="213"/>
      <c r="I672" s="213"/>
      <c r="J672" s="213"/>
      <c r="K672" s="213"/>
      <c r="L672" s="213"/>
      <c r="M672" s="213"/>
      <c r="N672" s="213"/>
      <c r="O672" s="213"/>
      <c r="P672" s="213"/>
      <c r="Y672" s="33"/>
      <c r="Z672" s="33"/>
      <c r="AA672" s="33"/>
      <c r="AD672" s="33"/>
    </row>
    <row r="673" spans="1:30">
      <c r="A673" s="213">
        <v>3703</v>
      </c>
      <c r="B673" s="213" t="s">
        <v>1108</v>
      </c>
      <c r="C673" s="213">
        <v>10.1</v>
      </c>
      <c r="D673">
        <f t="shared" si="10"/>
        <v>1355</v>
      </c>
      <c r="E673" s="213"/>
      <c r="F673" s="213"/>
      <c r="G673" s="213"/>
      <c r="H673" s="213"/>
      <c r="I673" s="213"/>
      <c r="J673" s="213"/>
      <c r="K673" s="213"/>
      <c r="L673" s="213"/>
      <c r="M673" s="213"/>
      <c r="N673" s="213"/>
      <c r="O673" s="213"/>
      <c r="P673" s="213"/>
      <c r="Y673" s="33"/>
      <c r="Z673" s="33"/>
      <c r="AA673" s="33"/>
      <c r="AD673" s="33"/>
    </row>
    <row r="674" spans="1:30">
      <c r="A674" s="213">
        <v>3704</v>
      </c>
      <c r="B674" s="213" t="s">
        <v>1109</v>
      </c>
      <c r="C674" s="213">
        <v>14.2</v>
      </c>
      <c r="D674">
        <f t="shared" si="10"/>
        <v>1151</v>
      </c>
      <c r="E674" s="213"/>
      <c r="F674" s="213"/>
      <c r="G674" s="213"/>
      <c r="H674" s="213"/>
      <c r="I674" s="213"/>
      <c r="J674" s="213"/>
      <c r="K674" s="213"/>
      <c r="L674" s="213"/>
      <c r="M674" s="213"/>
      <c r="N674" s="213"/>
      <c r="O674" s="213"/>
      <c r="P674" s="213"/>
      <c r="Y674" s="33"/>
      <c r="Z674" s="33"/>
      <c r="AD674" s="33"/>
    </row>
    <row r="675" spans="1:30">
      <c r="A675" s="213">
        <v>3705</v>
      </c>
      <c r="B675" s="213" t="s">
        <v>1110</v>
      </c>
      <c r="C675" s="213">
        <v>46.95</v>
      </c>
      <c r="D675">
        <f t="shared" si="10"/>
        <v>375</v>
      </c>
      <c r="E675" s="213"/>
      <c r="F675" s="213"/>
      <c r="G675" s="213"/>
      <c r="H675" s="213"/>
      <c r="I675" s="213"/>
      <c r="J675" s="213"/>
      <c r="K675" s="213"/>
      <c r="L675" s="213"/>
      <c r="M675" s="213"/>
      <c r="N675" s="213"/>
      <c r="O675" s="213"/>
      <c r="P675" s="213"/>
      <c r="Y675" s="33"/>
      <c r="Z675" s="33"/>
      <c r="AA675" s="33"/>
      <c r="AD675" s="33"/>
    </row>
    <row r="676" spans="1:30">
      <c r="A676" s="213">
        <v>3706</v>
      </c>
      <c r="B676" s="213" t="s">
        <v>1111</v>
      </c>
      <c r="C676" s="213">
        <v>29.55</v>
      </c>
      <c r="D676">
        <f t="shared" si="10"/>
        <v>619</v>
      </c>
      <c r="E676" s="213"/>
      <c r="F676" s="213"/>
      <c r="G676" s="213"/>
      <c r="H676" s="213"/>
      <c r="I676" s="213"/>
      <c r="J676" s="213"/>
      <c r="K676" s="213"/>
      <c r="L676" s="213"/>
      <c r="M676" s="213"/>
      <c r="N676" s="213"/>
      <c r="O676" s="213"/>
      <c r="P676" s="213"/>
      <c r="Y676" s="33"/>
      <c r="Z676" s="33"/>
      <c r="AA676" s="33"/>
      <c r="AD676" s="33"/>
    </row>
    <row r="677" spans="1:30">
      <c r="A677" s="213">
        <v>3708</v>
      </c>
      <c r="B677" s="213" t="s">
        <v>3143</v>
      </c>
      <c r="C677" s="213">
        <v>69.599999999999994</v>
      </c>
      <c r="D677">
        <f t="shared" si="10"/>
        <v>229</v>
      </c>
      <c r="E677" s="213"/>
      <c r="F677" s="213"/>
      <c r="G677" s="213"/>
      <c r="H677" s="213"/>
      <c r="I677" s="213"/>
      <c r="J677" s="213"/>
      <c r="K677" s="213"/>
      <c r="L677" s="213"/>
      <c r="M677" s="213"/>
      <c r="N677" s="213"/>
      <c r="O677" s="213"/>
      <c r="P677" s="213"/>
      <c r="Y677" s="33"/>
      <c r="Z677" s="33"/>
      <c r="AD677" s="33"/>
    </row>
    <row r="678" spans="1:30">
      <c r="A678" s="213">
        <v>4104</v>
      </c>
      <c r="B678" s="213" t="s">
        <v>1112</v>
      </c>
      <c r="C678" s="213">
        <v>45.25</v>
      </c>
      <c r="D678">
        <f t="shared" si="10"/>
        <v>392</v>
      </c>
      <c r="E678" s="213"/>
      <c r="F678" s="213"/>
      <c r="G678" s="213"/>
      <c r="H678" s="213"/>
      <c r="I678" s="213"/>
      <c r="J678" s="213"/>
      <c r="K678" s="213"/>
      <c r="L678" s="213"/>
      <c r="M678" s="213"/>
      <c r="N678" s="213"/>
      <c r="O678" s="213"/>
      <c r="P678" s="213"/>
      <c r="Y678" s="33"/>
      <c r="Z678" s="33"/>
      <c r="AA678" s="33"/>
      <c r="AD678" s="33"/>
    </row>
    <row r="679" spans="1:30">
      <c r="A679" s="213">
        <v>4106</v>
      </c>
      <c r="B679" s="213" t="s">
        <v>1113</v>
      </c>
      <c r="C679" s="213">
        <v>34.299999999999997</v>
      </c>
      <c r="D679">
        <f t="shared" si="10"/>
        <v>534</v>
      </c>
      <c r="E679" s="213"/>
      <c r="F679" s="213"/>
      <c r="G679" s="213"/>
      <c r="H679" s="213"/>
      <c r="I679" s="213"/>
      <c r="J679" s="213"/>
      <c r="K679" s="213"/>
      <c r="L679" s="213"/>
      <c r="M679" s="213"/>
      <c r="N679" s="213"/>
      <c r="O679" s="213"/>
      <c r="P679" s="213"/>
      <c r="Y679" s="33"/>
      <c r="Z679" s="33"/>
      <c r="AD679" s="33"/>
    </row>
    <row r="680" spans="1:30">
      <c r="A680" s="213">
        <v>4108</v>
      </c>
      <c r="B680" s="213" t="s">
        <v>1114</v>
      </c>
      <c r="C680" s="213">
        <v>29.85</v>
      </c>
      <c r="D680">
        <f t="shared" si="10"/>
        <v>615</v>
      </c>
      <c r="E680" s="213"/>
      <c r="F680" s="213"/>
      <c r="G680" s="213"/>
      <c r="H680" s="213"/>
      <c r="I680" s="213"/>
      <c r="J680" s="213"/>
      <c r="K680" s="213"/>
      <c r="L680" s="213"/>
      <c r="M680" s="213"/>
      <c r="N680" s="213"/>
      <c r="O680" s="213"/>
      <c r="P680" s="213"/>
      <c r="Y680" s="33"/>
      <c r="Z680" s="33"/>
      <c r="AD680" s="33"/>
    </row>
    <row r="681" spans="1:30">
      <c r="A681" s="213">
        <v>4119</v>
      </c>
      <c r="B681" s="213" t="s">
        <v>1115</v>
      </c>
      <c r="C681" s="213">
        <v>82.2</v>
      </c>
      <c r="D681">
        <f t="shared" si="10"/>
        <v>183</v>
      </c>
      <c r="E681" s="213"/>
      <c r="F681" s="213"/>
      <c r="G681" s="213"/>
      <c r="H681" s="213"/>
      <c r="I681" s="213"/>
      <c r="J681" s="213"/>
      <c r="K681" s="213"/>
      <c r="L681" s="213"/>
      <c r="M681" s="213"/>
      <c r="N681" s="213"/>
      <c r="O681" s="213"/>
      <c r="P681" s="213"/>
      <c r="Y681" s="33"/>
      <c r="Z681" s="33"/>
      <c r="AD681" s="33"/>
    </row>
    <row r="682" spans="1:30">
      <c r="A682" s="213">
        <v>4133</v>
      </c>
      <c r="B682" s="213" t="s">
        <v>1116</v>
      </c>
      <c r="C682" s="213">
        <v>36</v>
      </c>
      <c r="D682">
        <f t="shared" si="10"/>
        <v>511</v>
      </c>
      <c r="E682" s="213"/>
      <c r="F682" s="213"/>
      <c r="G682" s="213"/>
      <c r="H682" s="213"/>
      <c r="I682" s="213"/>
      <c r="J682" s="213"/>
      <c r="K682" s="213"/>
      <c r="L682" s="213"/>
      <c r="M682" s="213"/>
      <c r="N682" s="213"/>
      <c r="O682" s="213"/>
      <c r="P682" s="213"/>
      <c r="Y682" s="33"/>
      <c r="Z682" s="33"/>
      <c r="AA682" s="33"/>
      <c r="AD682" s="33"/>
    </row>
    <row r="683" spans="1:30">
      <c r="A683" s="213">
        <v>4137</v>
      </c>
      <c r="B683" s="213" t="s">
        <v>2053</v>
      </c>
      <c r="C683" s="213">
        <v>141</v>
      </c>
      <c r="D683">
        <f t="shared" si="10"/>
        <v>85</v>
      </c>
      <c r="E683" s="213"/>
      <c r="F683" s="213"/>
      <c r="G683" s="213"/>
      <c r="H683" s="213"/>
      <c r="I683" s="213"/>
      <c r="J683" s="213"/>
      <c r="K683" s="213"/>
      <c r="L683" s="213"/>
      <c r="M683" s="213"/>
      <c r="N683" s="213"/>
      <c r="O683" s="213"/>
      <c r="P683" s="213"/>
      <c r="Y683" s="33"/>
      <c r="Z683" s="33"/>
      <c r="AD683" s="33"/>
    </row>
    <row r="684" spans="1:30">
      <c r="A684" s="213">
        <v>4141</v>
      </c>
      <c r="B684" s="213" t="s">
        <v>2054</v>
      </c>
      <c r="C684" s="213">
        <v>37.15</v>
      </c>
      <c r="D684">
        <f t="shared" si="10"/>
        <v>492</v>
      </c>
      <c r="E684" s="213"/>
      <c r="F684" s="213"/>
      <c r="G684" s="213"/>
      <c r="H684" s="213"/>
      <c r="I684" s="213"/>
      <c r="J684" s="213"/>
      <c r="K684" s="213"/>
      <c r="L684" s="213"/>
      <c r="M684" s="213"/>
      <c r="N684" s="213"/>
      <c r="O684" s="213"/>
      <c r="P684" s="213"/>
      <c r="Y684" s="33"/>
      <c r="Z684" s="33"/>
      <c r="AD684" s="33"/>
    </row>
    <row r="685" spans="1:30">
      <c r="A685" s="213">
        <v>4142</v>
      </c>
      <c r="B685" s="213" t="s">
        <v>1117</v>
      </c>
      <c r="C685" s="213">
        <v>23</v>
      </c>
      <c r="D685">
        <f t="shared" si="10"/>
        <v>808</v>
      </c>
      <c r="E685" s="213"/>
      <c r="F685" s="213"/>
      <c r="G685" s="213"/>
      <c r="H685" s="213"/>
      <c r="I685" s="213"/>
      <c r="J685" s="213"/>
      <c r="K685" s="213"/>
      <c r="L685" s="213"/>
      <c r="M685" s="213"/>
      <c r="N685" s="213"/>
      <c r="O685" s="213"/>
      <c r="P685" s="213"/>
      <c r="Y685" s="33"/>
      <c r="Z685" s="33"/>
      <c r="AA685" s="33"/>
      <c r="AD685" s="33"/>
    </row>
    <row r="686" spans="1:30">
      <c r="A686" s="213">
        <v>4144</v>
      </c>
      <c r="B686" s="213" t="s">
        <v>2055</v>
      </c>
      <c r="C686" s="213">
        <v>46.8</v>
      </c>
      <c r="D686">
        <f t="shared" si="10"/>
        <v>378</v>
      </c>
      <c r="E686" s="213"/>
      <c r="F686" s="213"/>
      <c r="G686" s="213"/>
      <c r="H686" s="213"/>
      <c r="I686" s="213"/>
      <c r="J686" s="213"/>
      <c r="K686" s="213"/>
      <c r="L686" s="213"/>
      <c r="M686" s="213"/>
      <c r="N686" s="213"/>
      <c r="O686" s="213"/>
      <c r="P686" s="213"/>
      <c r="Y686" s="33"/>
      <c r="Z686" s="33"/>
      <c r="AA686" s="33"/>
      <c r="AD686" s="33"/>
    </row>
    <row r="687" spans="1:30">
      <c r="A687" s="213">
        <v>4164</v>
      </c>
      <c r="B687" s="213" t="s">
        <v>1118</v>
      </c>
      <c r="C687" s="213">
        <v>43.9</v>
      </c>
      <c r="D687">
        <f t="shared" si="10"/>
        <v>405</v>
      </c>
      <c r="E687" s="213"/>
      <c r="F687" s="213"/>
      <c r="G687" s="213"/>
      <c r="H687" s="213"/>
      <c r="I687" s="213"/>
      <c r="J687" s="213"/>
      <c r="K687" s="213"/>
      <c r="L687" s="213"/>
      <c r="M687" s="213"/>
      <c r="N687" s="213"/>
      <c r="O687" s="213"/>
      <c r="P687" s="213"/>
      <c r="Y687" s="33"/>
      <c r="Z687" s="33"/>
      <c r="AA687" s="33"/>
      <c r="AD687" s="33"/>
    </row>
    <row r="688" spans="1:30">
      <c r="A688" s="213">
        <v>4190</v>
      </c>
      <c r="B688" s="213" t="s">
        <v>2056</v>
      </c>
      <c r="C688" s="213">
        <v>97.2</v>
      </c>
      <c r="D688">
        <f t="shared" si="10"/>
        <v>138</v>
      </c>
      <c r="E688" s="213"/>
      <c r="F688" s="213"/>
      <c r="G688" s="213"/>
      <c r="H688" s="213"/>
      <c r="I688" s="213"/>
      <c r="J688" s="213"/>
      <c r="K688" s="213"/>
      <c r="L688" s="213"/>
      <c r="M688" s="213"/>
      <c r="N688" s="213"/>
      <c r="O688" s="213"/>
      <c r="P688" s="213"/>
      <c r="Y688" s="33"/>
      <c r="Z688" s="33"/>
      <c r="AD688" s="33"/>
    </row>
    <row r="689" spans="1:30">
      <c r="A689" s="213">
        <v>4306</v>
      </c>
      <c r="B689" s="213" t="s">
        <v>1119</v>
      </c>
      <c r="C689" s="213">
        <v>12.15</v>
      </c>
      <c r="D689">
        <f t="shared" si="10"/>
        <v>1254</v>
      </c>
      <c r="E689" s="213"/>
      <c r="F689" s="213"/>
      <c r="G689" s="213"/>
      <c r="H689" s="213"/>
      <c r="I689" s="213"/>
      <c r="J689" s="213"/>
      <c r="K689" s="213"/>
      <c r="L689" s="213"/>
      <c r="M689" s="213"/>
      <c r="N689" s="213"/>
      <c r="O689" s="213"/>
      <c r="P689" s="213"/>
      <c r="Y689" s="33"/>
      <c r="Z689" s="33"/>
      <c r="AA689" s="33"/>
      <c r="AD689" s="33"/>
    </row>
    <row r="690" spans="1:30">
      <c r="A690" s="213">
        <v>4414</v>
      </c>
      <c r="B690" s="213" t="s">
        <v>1120</v>
      </c>
      <c r="C690" s="213">
        <v>21.35</v>
      </c>
      <c r="D690">
        <f t="shared" si="10"/>
        <v>867</v>
      </c>
      <c r="E690" s="213"/>
      <c r="F690" s="213"/>
      <c r="G690" s="213"/>
      <c r="H690" s="213"/>
      <c r="I690" s="213"/>
      <c r="J690" s="213"/>
      <c r="K690" s="213"/>
      <c r="L690" s="213"/>
      <c r="M690" s="213"/>
      <c r="N690" s="213"/>
      <c r="O690" s="213"/>
      <c r="P690" s="213"/>
      <c r="Y690" s="33"/>
      <c r="Z690" s="33"/>
      <c r="AD690" s="33"/>
    </row>
    <row r="691" spans="1:30">
      <c r="A691" s="213">
        <v>4426</v>
      </c>
      <c r="B691" s="213" t="s">
        <v>1121</v>
      </c>
      <c r="C691" s="213">
        <v>124.5</v>
      </c>
      <c r="D691">
        <f t="shared" si="10"/>
        <v>103</v>
      </c>
      <c r="E691" s="213"/>
      <c r="F691" s="213"/>
      <c r="G691" s="213"/>
      <c r="H691" s="213"/>
      <c r="I691" s="213"/>
      <c r="J691" s="213"/>
      <c r="K691" s="213"/>
      <c r="L691" s="213"/>
      <c r="M691" s="213"/>
      <c r="N691" s="213"/>
      <c r="O691" s="213"/>
      <c r="P691" s="213"/>
      <c r="Y691" s="33"/>
      <c r="Z691" s="33"/>
      <c r="AA691" s="33"/>
      <c r="AD691" s="33"/>
    </row>
    <row r="692" spans="1:30">
      <c r="A692" s="213">
        <v>4438</v>
      </c>
      <c r="B692" s="213" t="s">
        <v>3207</v>
      </c>
      <c r="C692" s="213">
        <v>172</v>
      </c>
      <c r="D692">
        <f t="shared" si="10"/>
        <v>64</v>
      </c>
      <c r="E692" s="213"/>
      <c r="F692" s="213"/>
      <c r="G692" s="213"/>
      <c r="H692" s="213"/>
      <c r="I692" s="213"/>
      <c r="J692" s="213"/>
      <c r="K692" s="213"/>
      <c r="L692" s="213"/>
      <c r="M692" s="213"/>
      <c r="N692" s="213"/>
      <c r="O692" s="213"/>
      <c r="P692" s="213"/>
      <c r="Y692" s="33"/>
      <c r="Z692" s="33"/>
      <c r="AA692" s="33"/>
      <c r="AD692" s="33"/>
    </row>
    <row r="693" spans="1:30">
      <c r="A693" s="213">
        <v>4526</v>
      </c>
      <c r="B693" s="213" t="s">
        <v>1122</v>
      </c>
      <c r="C693" s="213">
        <v>22.55</v>
      </c>
      <c r="D693">
        <f t="shared" si="10"/>
        <v>827</v>
      </c>
      <c r="E693" s="213"/>
      <c r="F693" s="213"/>
      <c r="G693" s="213"/>
      <c r="H693" s="213"/>
      <c r="I693" s="213"/>
      <c r="J693" s="213"/>
      <c r="K693" s="213"/>
      <c r="L693" s="213"/>
      <c r="M693" s="213"/>
      <c r="N693" s="213"/>
      <c r="O693" s="213"/>
      <c r="P693" s="213"/>
      <c r="Y693" s="33"/>
      <c r="Z693" s="33"/>
      <c r="AD693" s="33"/>
    </row>
    <row r="694" spans="1:30">
      <c r="A694" s="213">
        <v>4532</v>
      </c>
      <c r="B694" s="213" t="s">
        <v>1123</v>
      </c>
      <c r="C694" s="213">
        <v>37.450000000000003</v>
      </c>
      <c r="D694">
        <f t="shared" si="10"/>
        <v>487</v>
      </c>
      <c r="E694" s="213"/>
      <c r="F694" s="213"/>
      <c r="G694" s="213"/>
      <c r="H694" s="213"/>
      <c r="I694" s="213"/>
      <c r="J694" s="213"/>
      <c r="K694" s="213"/>
      <c r="L694" s="213"/>
      <c r="M694" s="213"/>
      <c r="N694" s="213"/>
      <c r="O694" s="213"/>
      <c r="P694" s="213"/>
      <c r="Y694" s="33"/>
      <c r="Z694" s="33"/>
      <c r="AD694" s="33"/>
    </row>
    <row r="695" spans="1:30">
      <c r="A695" s="213">
        <v>4536</v>
      </c>
      <c r="B695" s="213" t="s">
        <v>1124</v>
      </c>
      <c r="C695" s="213">
        <v>100</v>
      </c>
      <c r="D695">
        <f t="shared" si="10"/>
        <v>134</v>
      </c>
      <c r="E695" s="213"/>
      <c r="F695" s="213"/>
      <c r="G695" s="213"/>
      <c r="H695" s="213"/>
      <c r="I695" s="213"/>
      <c r="J695" s="213"/>
      <c r="K695" s="213"/>
      <c r="L695" s="213"/>
      <c r="M695" s="213"/>
      <c r="N695" s="213"/>
      <c r="O695" s="213"/>
      <c r="P695" s="213"/>
      <c r="Y695" s="33"/>
      <c r="Z695" s="33"/>
      <c r="AD695" s="33"/>
    </row>
    <row r="696" spans="1:30">
      <c r="A696" s="213">
        <v>4545</v>
      </c>
      <c r="B696" s="213" t="s">
        <v>1801</v>
      </c>
      <c r="C696" s="213">
        <v>51.3</v>
      </c>
      <c r="D696">
        <f t="shared" si="10"/>
        <v>326</v>
      </c>
      <c r="E696" s="213"/>
      <c r="F696" s="213"/>
      <c r="G696" s="213"/>
      <c r="H696" s="213"/>
      <c r="I696" s="213"/>
      <c r="J696" s="213"/>
      <c r="K696" s="213"/>
      <c r="L696" s="213"/>
      <c r="M696" s="213"/>
      <c r="N696" s="213"/>
      <c r="O696" s="213"/>
      <c r="P696" s="213"/>
      <c r="Y696" s="33"/>
      <c r="Z696" s="33"/>
      <c r="AD696" s="33"/>
    </row>
    <row r="697" spans="1:30">
      <c r="A697" s="213">
        <v>4551</v>
      </c>
      <c r="B697" s="213" t="s">
        <v>1125</v>
      </c>
      <c r="C697" s="213">
        <v>145</v>
      </c>
      <c r="D697">
        <f t="shared" si="10"/>
        <v>79</v>
      </c>
      <c r="E697" s="213"/>
      <c r="F697" s="213"/>
      <c r="G697" s="213"/>
      <c r="H697" s="213"/>
      <c r="I697" s="213"/>
      <c r="J697" s="213"/>
      <c r="K697" s="213"/>
      <c r="L697" s="213"/>
      <c r="M697" s="213"/>
      <c r="N697" s="213"/>
      <c r="O697" s="213"/>
      <c r="P697" s="213"/>
      <c r="Y697" s="33"/>
      <c r="Z697" s="33"/>
      <c r="AD697" s="33"/>
    </row>
    <row r="698" spans="1:30">
      <c r="A698" s="213">
        <v>4552</v>
      </c>
      <c r="B698" s="213" t="s">
        <v>2291</v>
      </c>
      <c r="C698" s="213">
        <v>111.5</v>
      </c>
      <c r="D698">
        <f t="shared" si="10"/>
        <v>120</v>
      </c>
      <c r="E698" s="213"/>
      <c r="F698" s="213"/>
      <c r="G698" s="213"/>
      <c r="H698" s="213"/>
      <c r="I698" s="213"/>
      <c r="J698" s="213"/>
      <c r="K698" s="213"/>
      <c r="L698" s="213"/>
      <c r="M698" s="213"/>
      <c r="N698" s="213"/>
      <c r="O698" s="213"/>
      <c r="P698" s="213"/>
      <c r="Y698" s="33"/>
      <c r="Z698" s="33"/>
      <c r="AD698" s="33"/>
    </row>
    <row r="699" spans="1:30">
      <c r="A699" s="213">
        <v>4555</v>
      </c>
      <c r="B699" s="213" t="s">
        <v>1741</v>
      </c>
      <c r="C699" s="213">
        <v>53.7</v>
      </c>
      <c r="D699">
        <f t="shared" si="10"/>
        <v>307</v>
      </c>
      <c r="E699" s="213"/>
      <c r="F699" s="213"/>
      <c r="G699" s="213"/>
      <c r="H699" s="213"/>
      <c r="I699" s="213"/>
      <c r="J699" s="213"/>
      <c r="K699" s="213"/>
      <c r="L699" s="213"/>
      <c r="M699" s="213"/>
      <c r="N699" s="213"/>
      <c r="O699" s="213"/>
      <c r="P699" s="213"/>
      <c r="Y699" s="33"/>
      <c r="Z699" s="33"/>
      <c r="AD699" s="33"/>
    </row>
    <row r="700" spans="1:30">
      <c r="A700" s="213">
        <v>4557</v>
      </c>
      <c r="B700" s="213" t="s">
        <v>2057</v>
      </c>
      <c r="C700" s="213">
        <v>68.5</v>
      </c>
      <c r="D700">
        <f t="shared" si="10"/>
        <v>234</v>
      </c>
      <c r="E700" s="213"/>
      <c r="F700" s="213"/>
      <c r="G700" s="213"/>
      <c r="H700" s="213"/>
      <c r="I700" s="213"/>
      <c r="J700" s="213"/>
      <c r="K700" s="213"/>
      <c r="L700" s="213"/>
      <c r="M700" s="213"/>
      <c r="N700" s="213"/>
      <c r="O700" s="213"/>
      <c r="P700" s="213"/>
      <c r="Y700" s="33"/>
      <c r="Z700" s="33"/>
      <c r="AD700" s="33"/>
    </row>
    <row r="701" spans="1:30">
      <c r="A701" s="213">
        <v>4720</v>
      </c>
      <c r="B701" s="213" t="s">
        <v>1126</v>
      </c>
      <c r="C701" s="213">
        <v>15.15</v>
      </c>
      <c r="D701">
        <f t="shared" si="10"/>
        <v>1115</v>
      </c>
      <c r="E701" s="213"/>
      <c r="F701" s="213"/>
      <c r="G701" s="213"/>
      <c r="H701" s="213"/>
      <c r="I701" s="213"/>
      <c r="J701" s="213"/>
      <c r="K701" s="213"/>
      <c r="L701" s="213"/>
      <c r="M701" s="213"/>
      <c r="N701" s="213"/>
      <c r="O701" s="213"/>
      <c r="P701" s="213"/>
      <c r="Y701" s="33"/>
      <c r="Z701" s="33"/>
      <c r="AD701" s="33"/>
    </row>
    <row r="702" spans="1:30">
      <c r="A702" s="213">
        <v>4722</v>
      </c>
      <c r="B702" s="213" t="s">
        <v>1127</v>
      </c>
      <c r="C702" s="213">
        <v>34.200000000000003</v>
      </c>
      <c r="D702">
        <f t="shared" si="10"/>
        <v>536</v>
      </c>
      <c r="E702" s="213"/>
      <c r="F702" s="213"/>
      <c r="G702" s="213"/>
      <c r="H702" s="213"/>
      <c r="I702" s="213"/>
      <c r="J702" s="213"/>
      <c r="K702" s="213"/>
      <c r="L702" s="213"/>
      <c r="M702" s="213"/>
      <c r="N702" s="213"/>
      <c r="O702" s="213"/>
      <c r="P702" s="213"/>
      <c r="Y702" s="33"/>
      <c r="Z702" s="33"/>
      <c r="AD702" s="33"/>
    </row>
    <row r="703" spans="1:30">
      <c r="A703" s="213">
        <v>4725</v>
      </c>
      <c r="B703" s="213" t="s">
        <v>1128</v>
      </c>
      <c r="C703" s="213">
        <v>17.100000000000001</v>
      </c>
      <c r="D703">
        <f t="shared" si="10"/>
        <v>1025</v>
      </c>
      <c r="E703" s="213"/>
      <c r="F703" s="213"/>
      <c r="G703" s="213"/>
      <c r="H703" s="213"/>
      <c r="I703" s="213"/>
      <c r="J703" s="213"/>
      <c r="K703" s="213"/>
      <c r="L703" s="213"/>
      <c r="M703" s="213"/>
      <c r="N703" s="213"/>
      <c r="O703" s="213"/>
      <c r="P703" s="213"/>
      <c r="Y703" s="33"/>
      <c r="Z703" s="33"/>
      <c r="AD703" s="33"/>
    </row>
    <row r="704" spans="1:30">
      <c r="A704" s="213">
        <v>4737</v>
      </c>
      <c r="B704" s="213" t="s">
        <v>1130</v>
      </c>
      <c r="C704" s="213">
        <v>47</v>
      </c>
      <c r="D704">
        <f t="shared" si="10"/>
        <v>374</v>
      </c>
      <c r="E704" s="213"/>
      <c r="F704" s="213"/>
      <c r="G704" s="213"/>
      <c r="H704" s="213"/>
      <c r="I704" s="213"/>
      <c r="J704" s="213"/>
      <c r="K704" s="213"/>
      <c r="L704" s="213"/>
      <c r="M704" s="213"/>
      <c r="N704" s="213"/>
      <c r="O704" s="213"/>
      <c r="P704" s="213"/>
      <c r="Y704" s="33"/>
      <c r="Z704" s="33"/>
      <c r="AD704" s="33"/>
    </row>
    <row r="705" spans="1:30">
      <c r="A705" s="213">
        <v>4746</v>
      </c>
      <c r="B705" s="213" t="s">
        <v>1131</v>
      </c>
      <c r="C705" s="213">
        <v>89.3</v>
      </c>
      <c r="D705">
        <f t="shared" si="10"/>
        <v>160</v>
      </c>
      <c r="E705" s="213"/>
      <c r="F705" s="213"/>
      <c r="G705" s="213"/>
      <c r="H705" s="213"/>
      <c r="I705" s="213"/>
      <c r="J705" s="213"/>
      <c r="K705" s="213"/>
      <c r="L705" s="213"/>
      <c r="M705" s="213"/>
      <c r="N705" s="213"/>
      <c r="O705" s="213"/>
      <c r="P705" s="213"/>
      <c r="Y705" s="33"/>
      <c r="Z705" s="33"/>
      <c r="AD705" s="33"/>
    </row>
    <row r="706" spans="1:30">
      <c r="A706" s="213">
        <v>4755</v>
      </c>
      <c r="B706" s="213" t="s">
        <v>1132</v>
      </c>
      <c r="C706" s="213">
        <v>30.8</v>
      </c>
      <c r="D706">
        <f t="shared" ref="D706:D769" si="11">RANK(C706,C:C,0)</f>
        <v>596</v>
      </c>
      <c r="E706" s="213"/>
      <c r="F706" s="213"/>
      <c r="G706" s="213"/>
      <c r="H706" s="213"/>
      <c r="I706" s="213"/>
      <c r="J706" s="213"/>
      <c r="K706" s="213"/>
      <c r="L706" s="213"/>
      <c r="M706" s="213"/>
      <c r="N706" s="213"/>
      <c r="O706" s="213"/>
      <c r="P706" s="213"/>
      <c r="Y706" s="33"/>
      <c r="Z706" s="33"/>
      <c r="AD706" s="33"/>
    </row>
    <row r="707" spans="1:30">
      <c r="A707" s="213">
        <v>4763</v>
      </c>
      <c r="B707" s="213" t="s">
        <v>2058</v>
      </c>
      <c r="C707" s="213">
        <v>115.5</v>
      </c>
      <c r="D707">
        <f t="shared" si="11"/>
        <v>112</v>
      </c>
      <c r="E707" s="213"/>
      <c r="F707" s="213"/>
      <c r="G707" s="213"/>
      <c r="H707" s="213"/>
      <c r="I707" s="213"/>
      <c r="J707" s="213"/>
      <c r="K707" s="213"/>
      <c r="L707" s="213"/>
      <c r="M707" s="213"/>
      <c r="N707" s="213"/>
      <c r="O707" s="213"/>
      <c r="P707" s="213"/>
      <c r="Y707" s="33"/>
      <c r="Z707" s="33"/>
      <c r="AD707" s="33"/>
    </row>
    <row r="708" spans="1:30">
      <c r="A708" s="213">
        <v>4904</v>
      </c>
      <c r="B708" s="213" t="s">
        <v>1133</v>
      </c>
      <c r="C708" s="213">
        <v>74.599999999999994</v>
      </c>
      <c r="D708">
        <f t="shared" si="11"/>
        <v>210</v>
      </c>
      <c r="E708" s="213"/>
      <c r="F708" s="213"/>
      <c r="G708" s="213"/>
      <c r="H708" s="213"/>
      <c r="I708" s="213"/>
      <c r="J708" s="213"/>
      <c r="K708" s="213"/>
      <c r="L708" s="213"/>
      <c r="M708" s="213"/>
      <c r="N708" s="213"/>
      <c r="O708" s="213"/>
      <c r="P708" s="213"/>
      <c r="Y708" s="33"/>
      <c r="Z708" s="33"/>
      <c r="AD708" s="33"/>
    </row>
    <row r="709" spans="1:30">
      <c r="A709" s="213">
        <v>4906</v>
      </c>
      <c r="B709" s="213" t="s">
        <v>1134</v>
      </c>
      <c r="C709" s="213">
        <v>18.350000000000001</v>
      </c>
      <c r="D709">
        <f t="shared" si="11"/>
        <v>955</v>
      </c>
      <c r="E709" s="213"/>
      <c r="F709" s="213"/>
      <c r="G709" s="213"/>
      <c r="H709" s="213"/>
      <c r="I709" s="213"/>
      <c r="J709" s="213"/>
      <c r="K709" s="213"/>
      <c r="L709" s="213"/>
      <c r="M709" s="213"/>
      <c r="N709" s="213"/>
      <c r="O709" s="213"/>
      <c r="P709" s="213"/>
      <c r="Y709" s="33"/>
      <c r="Z709" s="33"/>
      <c r="AD709" s="33"/>
    </row>
    <row r="710" spans="1:30">
      <c r="A710" s="213">
        <v>4912</v>
      </c>
      <c r="B710" s="213" t="s">
        <v>2292</v>
      </c>
      <c r="C710" s="213">
        <v>76.5</v>
      </c>
      <c r="D710">
        <f t="shared" si="11"/>
        <v>204</v>
      </c>
      <c r="E710" s="213"/>
      <c r="F710" s="213"/>
      <c r="G710" s="213"/>
      <c r="H710" s="213"/>
      <c r="I710" s="213"/>
      <c r="J710" s="213"/>
      <c r="K710" s="213"/>
      <c r="L710" s="213"/>
      <c r="M710" s="213"/>
      <c r="N710" s="213"/>
      <c r="O710" s="213"/>
      <c r="P710" s="213"/>
      <c r="Y710" s="33"/>
      <c r="Z710" s="33"/>
      <c r="AD710" s="33"/>
    </row>
    <row r="711" spans="1:30">
      <c r="A711" s="213">
        <v>4915</v>
      </c>
      <c r="B711" s="213" t="s">
        <v>1135</v>
      </c>
      <c r="C711" s="213">
        <v>50.6</v>
      </c>
      <c r="D711">
        <f t="shared" si="11"/>
        <v>333</v>
      </c>
      <c r="E711" s="213"/>
      <c r="F711" s="213"/>
      <c r="G711" s="213"/>
      <c r="H711" s="213"/>
      <c r="I711" s="213"/>
      <c r="J711" s="213"/>
      <c r="K711" s="213"/>
      <c r="L711" s="213"/>
      <c r="M711" s="213"/>
      <c r="N711" s="213"/>
      <c r="O711" s="213"/>
      <c r="P711" s="213"/>
      <c r="Y711" s="33"/>
      <c r="Z711" s="33"/>
      <c r="AD711" s="33"/>
    </row>
    <row r="712" spans="1:30">
      <c r="A712" s="213">
        <v>4916</v>
      </c>
      <c r="B712" s="213" t="s">
        <v>1136</v>
      </c>
      <c r="C712" s="213">
        <v>38.799999999999997</v>
      </c>
      <c r="D712">
        <f t="shared" si="11"/>
        <v>468</v>
      </c>
      <c r="E712" s="213"/>
      <c r="F712" s="213"/>
      <c r="G712" s="213"/>
      <c r="H712" s="213"/>
      <c r="I712" s="213"/>
      <c r="J712" s="213"/>
      <c r="K712" s="213"/>
      <c r="L712" s="213"/>
      <c r="M712" s="213"/>
      <c r="N712" s="213"/>
      <c r="O712" s="213"/>
      <c r="P712" s="213"/>
      <c r="Y712" s="33"/>
      <c r="Z712" s="33"/>
      <c r="AD712" s="33"/>
    </row>
    <row r="713" spans="1:30">
      <c r="A713" s="213">
        <v>4919</v>
      </c>
      <c r="B713" s="213" t="s">
        <v>1137</v>
      </c>
      <c r="C713" s="213">
        <v>37.65</v>
      </c>
      <c r="D713">
        <f t="shared" si="11"/>
        <v>486</v>
      </c>
      <c r="E713" s="213"/>
      <c r="F713" s="213"/>
      <c r="G713" s="213"/>
      <c r="H713" s="213"/>
      <c r="I713" s="213"/>
      <c r="J713" s="213"/>
      <c r="K713" s="213"/>
      <c r="L713" s="213"/>
      <c r="M713" s="213"/>
      <c r="N713" s="213"/>
      <c r="O713" s="213"/>
      <c r="P713" s="213"/>
      <c r="Y713" s="33"/>
      <c r="Z713" s="33"/>
      <c r="AD713" s="33"/>
    </row>
    <row r="714" spans="1:30">
      <c r="A714" s="213">
        <v>4927</v>
      </c>
      <c r="B714" s="213" t="s">
        <v>2059</v>
      </c>
      <c r="C714" s="213">
        <v>34.5</v>
      </c>
      <c r="D714">
        <f t="shared" si="11"/>
        <v>531</v>
      </c>
      <c r="E714" s="213"/>
      <c r="F714" s="213"/>
      <c r="G714" s="213"/>
      <c r="H714" s="213"/>
      <c r="I714" s="213"/>
      <c r="J714" s="213"/>
      <c r="K714" s="213"/>
      <c r="L714" s="213"/>
      <c r="M714" s="213"/>
      <c r="N714" s="213"/>
      <c r="O714" s="213"/>
      <c r="P714" s="213"/>
      <c r="Y714" s="33"/>
      <c r="Z714" s="33"/>
      <c r="AA714" s="33"/>
      <c r="AD714" s="33"/>
    </row>
    <row r="715" spans="1:30">
      <c r="A715" s="213">
        <v>4930</v>
      </c>
      <c r="B715" s="213" t="s">
        <v>1138</v>
      </c>
      <c r="C715" s="213">
        <v>13.55</v>
      </c>
      <c r="D715">
        <f t="shared" si="11"/>
        <v>1186</v>
      </c>
      <c r="E715" s="213"/>
      <c r="F715" s="213"/>
      <c r="G715" s="213"/>
      <c r="H715" s="213"/>
      <c r="I715" s="213"/>
      <c r="J715" s="213"/>
      <c r="K715" s="213"/>
      <c r="L715" s="213"/>
      <c r="M715" s="213"/>
      <c r="N715" s="213"/>
      <c r="O715" s="213"/>
      <c r="P715" s="213"/>
      <c r="Y715" s="33"/>
      <c r="Z715" s="33"/>
      <c r="AA715" s="33"/>
      <c r="AD715" s="33"/>
    </row>
    <row r="716" spans="1:30">
      <c r="A716" s="213">
        <v>4934</v>
      </c>
      <c r="B716" s="213" t="s">
        <v>1139</v>
      </c>
      <c r="C716" s="213">
        <v>15.2</v>
      </c>
      <c r="D716">
        <f t="shared" si="11"/>
        <v>1114</v>
      </c>
      <c r="E716" s="213"/>
      <c r="F716" s="213"/>
      <c r="G716" s="213"/>
      <c r="H716" s="213"/>
      <c r="I716" s="213"/>
      <c r="J716" s="213"/>
      <c r="K716" s="213"/>
      <c r="L716" s="213"/>
      <c r="M716" s="213"/>
      <c r="N716" s="213"/>
      <c r="O716" s="213"/>
      <c r="P716" s="213"/>
      <c r="Y716" s="33"/>
      <c r="Z716" s="33"/>
      <c r="AA716" s="33"/>
      <c r="AD716" s="33"/>
    </row>
    <row r="717" spans="1:30">
      <c r="A717" s="213">
        <v>4935</v>
      </c>
      <c r="B717" s="213" t="s">
        <v>2060</v>
      </c>
      <c r="C717" s="213">
        <v>73.400000000000006</v>
      </c>
      <c r="D717">
        <f t="shared" si="11"/>
        <v>213</v>
      </c>
      <c r="E717" s="213"/>
      <c r="F717" s="213"/>
      <c r="G717" s="213"/>
      <c r="H717" s="213"/>
      <c r="I717" s="213"/>
      <c r="J717" s="213"/>
      <c r="K717" s="213"/>
      <c r="L717" s="213"/>
      <c r="M717" s="213"/>
      <c r="N717" s="213"/>
      <c r="O717" s="213"/>
      <c r="P717" s="213"/>
      <c r="Y717" s="33"/>
      <c r="Z717" s="33"/>
      <c r="AA717" s="33"/>
      <c r="AD717" s="33"/>
    </row>
    <row r="718" spans="1:30">
      <c r="A718" s="213">
        <v>4938</v>
      </c>
      <c r="B718" s="213" t="s">
        <v>1140</v>
      </c>
      <c r="C718" s="213">
        <v>83.3</v>
      </c>
      <c r="D718">
        <f t="shared" si="11"/>
        <v>178</v>
      </c>
      <c r="E718" s="213"/>
      <c r="F718" s="213"/>
      <c r="G718" s="213"/>
      <c r="H718" s="213"/>
      <c r="I718" s="213"/>
      <c r="J718" s="213"/>
      <c r="K718" s="213"/>
      <c r="L718" s="213"/>
      <c r="M718" s="213"/>
      <c r="N718" s="213"/>
      <c r="O718" s="213"/>
      <c r="P718" s="213"/>
      <c r="Y718" s="33"/>
      <c r="Z718" s="33"/>
      <c r="AD718" s="33"/>
    </row>
    <row r="719" spans="1:30">
      <c r="A719" s="213">
        <v>4942</v>
      </c>
      <c r="B719" s="213" t="s">
        <v>1141</v>
      </c>
      <c r="C719" s="213">
        <v>24.8</v>
      </c>
      <c r="D719">
        <f t="shared" si="11"/>
        <v>745</v>
      </c>
      <c r="E719" s="213"/>
      <c r="F719" s="213"/>
      <c r="G719" s="213"/>
      <c r="H719" s="213"/>
      <c r="I719" s="213"/>
      <c r="J719" s="213"/>
      <c r="K719" s="213"/>
      <c r="L719" s="213"/>
      <c r="M719" s="213"/>
      <c r="N719" s="213"/>
      <c r="O719" s="213"/>
      <c r="P719" s="213"/>
      <c r="Y719" s="33"/>
      <c r="Z719" s="33"/>
      <c r="AD719" s="33"/>
    </row>
    <row r="720" spans="1:30">
      <c r="A720" s="213">
        <v>4952</v>
      </c>
      <c r="B720" s="213" t="s">
        <v>1142</v>
      </c>
      <c r="C720" s="213">
        <v>38.35</v>
      </c>
      <c r="D720">
        <f t="shared" si="11"/>
        <v>477</v>
      </c>
      <c r="E720" s="213"/>
      <c r="F720" s="213"/>
      <c r="G720" s="213"/>
      <c r="H720" s="213"/>
      <c r="I720" s="213"/>
      <c r="J720" s="213"/>
      <c r="K720" s="213"/>
      <c r="L720" s="213"/>
      <c r="M720" s="213"/>
      <c r="N720" s="213"/>
      <c r="O720" s="213"/>
      <c r="P720" s="213"/>
      <c r="Y720" s="33"/>
      <c r="Z720" s="33"/>
      <c r="AD720" s="33"/>
    </row>
    <row r="721" spans="1:30">
      <c r="A721" s="213">
        <v>4956</v>
      </c>
      <c r="B721" s="213" t="s">
        <v>1143</v>
      </c>
      <c r="C721" s="213">
        <v>25.3</v>
      </c>
      <c r="D721">
        <f t="shared" si="11"/>
        <v>731</v>
      </c>
      <c r="E721" s="213"/>
      <c r="F721" s="213"/>
      <c r="G721" s="213"/>
      <c r="H721" s="213"/>
      <c r="I721" s="213"/>
      <c r="J721" s="213"/>
      <c r="K721" s="213"/>
      <c r="L721" s="213"/>
      <c r="M721" s="33"/>
      <c r="N721" s="213"/>
      <c r="O721" s="213"/>
      <c r="P721" s="213"/>
      <c r="Y721" s="33"/>
      <c r="Z721" s="33"/>
      <c r="AA721" s="33"/>
      <c r="AD721" s="33"/>
    </row>
    <row r="722" spans="1:30">
      <c r="A722" s="213">
        <v>4958</v>
      </c>
      <c r="B722" s="213" t="s">
        <v>2061</v>
      </c>
      <c r="C722" s="213">
        <v>70.2</v>
      </c>
      <c r="D722">
        <f t="shared" si="11"/>
        <v>228</v>
      </c>
      <c r="E722" s="213"/>
      <c r="F722" s="213"/>
      <c r="G722" s="213"/>
      <c r="H722" s="213"/>
      <c r="I722" s="213"/>
      <c r="J722" s="213"/>
      <c r="K722" s="213"/>
      <c r="L722" s="213"/>
      <c r="M722" s="213"/>
      <c r="N722" s="213"/>
      <c r="O722" s="213"/>
      <c r="P722" s="213"/>
      <c r="Y722" s="33"/>
      <c r="Z722" s="33"/>
      <c r="AA722" s="33"/>
      <c r="AD722" s="33"/>
    </row>
    <row r="723" spans="1:30">
      <c r="A723" s="213">
        <v>4960</v>
      </c>
      <c r="B723" s="213" t="s">
        <v>1144</v>
      </c>
      <c r="C723" s="213">
        <v>12.8</v>
      </c>
      <c r="D723">
        <f t="shared" si="11"/>
        <v>1220</v>
      </c>
      <c r="E723" s="213"/>
      <c r="F723" s="213"/>
      <c r="G723" s="213"/>
      <c r="H723" s="213"/>
      <c r="I723" s="213"/>
      <c r="J723" s="213"/>
      <c r="K723" s="213"/>
      <c r="L723" s="213"/>
      <c r="M723" s="213"/>
      <c r="N723" s="213"/>
      <c r="O723" s="213"/>
      <c r="P723" s="213"/>
      <c r="Y723" s="33"/>
      <c r="Z723" s="33"/>
      <c r="AD723" s="33"/>
    </row>
    <row r="724" spans="1:30">
      <c r="A724" s="213">
        <v>4968</v>
      </c>
      <c r="B724" s="213" t="s">
        <v>1752</v>
      </c>
      <c r="C724" s="213">
        <v>61.8</v>
      </c>
      <c r="D724">
        <f t="shared" si="11"/>
        <v>267</v>
      </c>
      <c r="E724" s="213"/>
      <c r="F724" s="213"/>
      <c r="G724" s="213"/>
      <c r="H724" s="213"/>
      <c r="I724" s="213"/>
      <c r="J724" s="213"/>
      <c r="K724" s="213"/>
      <c r="L724" s="213"/>
      <c r="M724" s="213"/>
      <c r="N724" s="213"/>
      <c r="O724" s="213"/>
      <c r="P724" s="213"/>
      <c r="Y724" s="33"/>
      <c r="Z724" s="33"/>
      <c r="AD724" s="33"/>
    </row>
    <row r="725" spans="1:30">
      <c r="A725" s="213">
        <v>4976</v>
      </c>
      <c r="B725" s="213" t="s">
        <v>1145</v>
      </c>
      <c r="C725" s="213">
        <v>18.8</v>
      </c>
      <c r="D725">
        <f t="shared" si="11"/>
        <v>939</v>
      </c>
      <c r="E725" s="213"/>
      <c r="F725" s="213"/>
      <c r="G725" s="213"/>
      <c r="H725" s="213"/>
      <c r="I725" s="213"/>
      <c r="J725" s="213"/>
      <c r="K725" s="213"/>
      <c r="L725" s="213"/>
      <c r="M725" s="213"/>
      <c r="N725" s="213"/>
      <c r="O725" s="213"/>
      <c r="P725" s="213"/>
      <c r="Y725" s="33"/>
      <c r="Z725" s="33"/>
      <c r="AD725" s="33"/>
    </row>
    <row r="726" spans="1:30">
      <c r="A726" s="213">
        <v>4977</v>
      </c>
      <c r="B726" s="213" t="s">
        <v>2062</v>
      </c>
      <c r="C726" s="213">
        <v>54.9</v>
      </c>
      <c r="D726">
        <f t="shared" si="11"/>
        <v>302</v>
      </c>
      <c r="E726" s="213"/>
      <c r="F726" s="213"/>
      <c r="G726" s="213"/>
      <c r="H726" s="213"/>
      <c r="I726" s="213"/>
      <c r="J726" s="213"/>
      <c r="K726" s="213"/>
      <c r="L726" s="213"/>
      <c r="M726" s="213"/>
      <c r="N726" s="213"/>
      <c r="O726" s="213"/>
      <c r="P726" s="213"/>
      <c r="Y726" s="33"/>
      <c r="Z726" s="33"/>
      <c r="AD726" s="33"/>
    </row>
    <row r="727" spans="1:30">
      <c r="A727" s="213">
        <v>4984</v>
      </c>
      <c r="B727" s="213" t="s">
        <v>2063</v>
      </c>
      <c r="C727" s="213">
        <v>60.2</v>
      </c>
      <c r="D727">
        <f t="shared" si="11"/>
        <v>276</v>
      </c>
      <c r="E727" s="213"/>
      <c r="F727" s="213"/>
      <c r="G727" s="213"/>
      <c r="H727" s="213"/>
      <c r="I727" s="213"/>
      <c r="J727" s="213"/>
      <c r="K727" s="213"/>
      <c r="L727" s="213"/>
      <c r="M727" s="213"/>
      <c r="N727" s="213"/>
      <c r="O727" s="213"/>
      <c r="P727" s="213"/>
      <c r="Y727" s="33"/>
      <c r="Z727" s="33"/>
      <c r="AD727" s="33"/>
    </row>
    <row r="728" spans="1:30">
      <c r="A728" s="213">
        <v>4994</v>
      </c>
      <c r="B728" s="213" t="s">
        <v>1146</v>
      </c>
      <c r="C728" s="213">
        <v>56</v>
      </c>
      <c r="D728">
        <f t="shared" si="11"/>
        <v>297</v>
      </c>
      <c r="E728" s="213"/>
      <c r="F728" s="213"/>
      <c r="G728" s="213"/>
      <c r="H728" s="213"/>
      <c r="I728" s="213"/>
      <c r="J728" s="213"/>
      <c r="K728" s="213"/>
      <c r="L728" s="213"/>
      <c r="M728" s="213"/>
      <c r="N728" s="213"/>
      <c r="O728" s="213"/>
      <c r="P728" s="213"/>
      <c r="Y728" s="33"/>
      <c r="Z728" s="33"/>
      <c r="AD728" s="33"/>
    </row>
    <row r="729" spans="1:30">
      <c r="A729" s="213">
        <v>4999</v>
      </c>
      <c r="B729" s="213" t="s">
        <v>1147</v>
      </c>
      <c r="C729" s="213">
        <v>61.8</v>
      </c>
      <c r="D729">
        <f t="shared" si="11"/>
        <v>267</v>
      </c>
      <c r="E729" s="213"/>
      <c r="F729" s="213"/>
      <c r="G729" s="213"/>
      <c r="H729" s="213"/>
      <c r="I729" s="213"/>
      <c r="J729" s="213"/>
      <c r="K729" s="213"/>
      <c r="L729" s="213"/>
      <c r="M729" s="213"/>
      <c r="N729" s="213"/>
      <c r="O729" s="213"/>
      <c r="P729" s="213"/>
    </row>
    <row r="730" spans="1:30">
      <c r="A730" s="213">
        <v>5007</v>
      </c>
      <c r="B730" s="213" t="s">
        <v>1148</v>
      </c>
      <c r="C730" s="213">
        <v>55</v>
      </c>
      <c r="D730">
        <f t="shared" si="11"/>
        <v>301</v>
      </c>
      <c r="E730" s="213"/>
      <c r="F730" s="213"/>
      <c r="G730" s="213"/>
      <c r="H730" s="213"/>
      <c r="I730" s="213"/>
      <c r="J730" s="213"/>
      <c r="K730" s="213"/>
      <c r="L730" s="213"/>
      <c r="M730" s="213"/>
      <c r="N730" s="213"/>
      <c r="O730" s="213"/>
      <c r="P730" s="213"/>
    </row>
    <row r="731" spans="1:30">
      <c r="A731" s="213">
        <v>5203</v>
      </c>
      <c r="B731" s="213" t="s">
        <v>1149</v>
      </c>
      <c r="C731" s="213">
        <v>62.8</v>
      </c>
      <c r="D731">
        <f t="shared" si="11"/>
        <v>260</v>
      </c>
      <c r="E731" s="213"/>
      <c r="F731" s="213"/>
      <c r="G731" s="213"/>
      <c r="H731" s="213"/>
      <c r="I731" s="213"/>
      <c r="J731" s="213"/>
      <c r="K731" s="213"/>
      <c r="L731" s="213"/>
      <c r="M731" s="213"/>
      <c r="N731" s="213"/>
      <c r="O731" s="213"/>
      <c r="P731" s="213"/>
    </row>
    <row r="732" spans="1:30">
      <c r="A732" s="213">
        <v>5215</v>
      </c>
      <c r="B732" s="213" t="s">
        <v>2064</v>
      </c>
      <c r="C732" s="213">
        <v>27.7</v>
      </c>
      <c r="D732">
        <f t="shared" si="11"/>
        <v>672</v>
      </c>
      <c r="E732" s="213"/>
      <c r="F732" s="213"/>
      <c r="G732" s="213"/>
      <c r="H732" s="213"/>
      <c r="I732" s="213"/>
      <c r="J732" s="213"/>
      <c r="K732" s="213"/>
      <c r="L732" s="213"/>
      <c r="M732" s="213"/>
      <c r="N732" s="213"/>
      <c r="O732" s="213"/>
      <c r="P732" s="213"/>
    </row>
    <row r="733" spans="1:30">
      <c r="A733" s="213">
        <v>5225</v>
      </c>
      <c r="B733" s="213" t="s">
        <v>2065</v>
      </c>
      <c r="C733" s="213">
        <v>33.5</v>
      </c>
      <c r="D733">
        <f t="shared" si="11"/>
        <v>549</v>
      </c>
      <c r="E733" s="213"/>
      <c r="F733" s="213"/>
      <c r="G733" s="213"/>
      <c r="H733" s="213"/>
      <c r="I733" s="213"/>
      <c r="J733" s="213"/>
      <c r="K733" s="213"/>
      <c r="L733" s="213"/>
      <c r="M733" s="213"/>
      <c r="N733" s="213"/>
      <c r="O733" s="213"/>
      <c r="P733" s="213"/>
    </row>
    <row r="734" spans="1:30">
      <c r="A734" s="213">
        <v>5234</v>
      </c>
      <c r="B734" s="213" t="s">
        <v>2066</v>
      </c>
      <c r="C734" s="213">
        <v>35.299999999999997</v>
      </c>
      <c r="D734">
        <f t="shared" si="11"/>
        <v>521</v>
      </c>
      <c r="E734" s="213"/>
      <c r="F734" s="213"/>
      <c r="G734" s="213"/>
      <c r="H734" s="213"/>
      <c r="I734" s="213"/>
      <c r="J734" s="213"/>
      <c r="K734" s="213"/>
      <c r="L734" s="213"/>
      <c r="M734" s="213"/>
      <c r="N734" s="213"/>
      <c r="O734" s="213"/>
      <c r="P734" s="213"/>
    </row>
    <row r="735" spans="1:30">
      <c r="A735" s="213">
        <v>5243</v>
      </c>
      <c r="B735" s="213" t="s">
        <v>2067</v>
      </c>
      <c r="C735" s="213">
        <v>41.05</v>
      </c>
      <c r="D735">
        <f t="shared" si="11"/>
        <v>437</v>
      </c>
      <c r="E735" s="213"/>
      <c r="F735" s="213"/>
      <c r="G735" s="213"/>
      <c r="H735" s="213"/>
      <c r="I735" s="213"/>
      <c r="J735" s="213"/>
      <c r="K735" s="213"/>
      <c r="L735" s="213"/>
      <c r="M735" s="213"/>
      <c r="N735" s="213"/>
      <c r="O735" s="213"/>
      <c r="P735" s="213"/>
    </row>
    <row r="736" spans="1:30">
      <c r="A736" s="213">
        <v>5259</v>
      </c>
      <c r="B736" s="213" t="s">
        <v>1150</v>
      </c>
      <c r="C736" s="213">
        <v>1.85</v>
      </c>
      <c r="D736">
        <f t="shared" si="11"/>
        <v>1616</v>
      </c>
      <c r="E736" s="213"/>
      <c r="F736" s="213"/>
      <c r="G736" s="213"/>
      <c r="H736" s="213"/>
      <c r="I736" s="213"/>
      <c r="J736" s="213"/>
      <c r="K736" s="213"/>
      <c r="L736" s="213"/>
      <c r="M736" s="213"/>
      <c r="N736" s="213"/>
      <c r="O736" s="213"/>
      <c r="P736" s="213"/>
    </row>
    <row r="737" spans="1:16">
      <c r="A737" s="213">
        <v>5264</v>
      </c>
      <c r="B737" s="213" t="s">
        <v>2068</v>
      </c>
      <c r="C737" s="213">
        <v>105.5</v>
      </c>
      <c r="D737">
        <f t="shared" si="11"/>
        <v>130</v>
      </c>
      <c r="E737" s="213"/>
      <c r="F737" s="213"/>
      <c r="G737" s="213"/>
      <c r="H737" s="213"/>
      <c r="I737" s="213"/>
      <c r="J737" s="213"/>
      <c r="K737" s="213"/>
      <c r="L737" s="213"/>
      <c r="M737" s="213"/>
      <c r="N737" s="213"/>
      <c r="O737" s="213"/>
      <c r="P737" s="213"/>
    </row>
    <row r="738" spans="1:16">
      <c r="A738" s="213">
        <v>5269</v>
      </c>
      <c r="B738" s="213" t="s">
        <v>1151</v>
      </c>
      <c r="C738" s="213">
        <v>259</v>
      </c>
      <c r="D738">
        <f t="shared" si="11"/>
        <v>28</v>
      </c>
      <c r="E738" s="213"/>
      <c r="F738" s="213"/>
      <c r="G738" s="213"/>
      <c r="H738" s="213"/>
      <c r="I738" s="213"/>
      <c r="J738" s="213"/>
      <c r="K738" s="213"/>
      <c r="L738" s="213"/>
      <c r="M738" s="213"/>
      <c r="N738" s="213"/>
      <c r="O738" s="213"/>
      <c r="P738" s="213"/>
    </row>
    <row r="739" spans="1:16">
      <c r="A739" s="213">
        <v>5285</v>
      </c>
      <c r="B739" s="213" t="s">
        <v>1152</v>
      </c>
      <c r="C739" s="213">
        <v>33.35</v>
      </c>
      <c r="D739">
        <f t="shared" si="11"/>
        <v>553</v>
      </c>
      <c r="E739" s="213"/>
      <c r="F739" s="213"/>
      <c r="G739" s="213"/>
      <c r="H739" s="213"/>
      <c r="I739" s="213"/>
      <c r="J739" s="213"/>
      <c r="K739" s="213"/>
      <c r="L739" s="213"/>
      <c r="M739" s="213"/>
      <c r="N739" s="213"/>
      <c r="O739" s="213"/>
      <c r="P739" s="213"/>
    </row>
    <row r="740" spans="1:16">
      <c r="A740" s="213">
        <v>5288</v>
      </c>
      <c r="B740" s="213" t="s">
        <v>2069</v>
      </c>
      <c r="C740" s="213">
        <v>92.7</v>
      </c>
      <c r="D740">
        <f t="shared" si="11"/>
        <v>150</v>
      </c>
      <c r="E740" s="213"/>
      <c r="F740" s="213"/>
      <c r="G740" s="213"/>
      <c r="H740" s="213"/>
      <c r="I740" s="213"/>
      <c r="J740" s="213"/>
      <c r="K740" s="213"/>
      <c r="L740" s="213"/>
      <c r="M740" s="213"/>
      <c r="N740" s="213"/>
      <c r="O740" s="213"/>
      <c r="P740" s="213"/>
    </row>
    <row r="741" spans="1:16">
      <c r="A741" s="213">
        <v>5305</v>
      </c>
      <c r="B741" s="213" t="s">
        <v>1153</v>
      </c>
      <c r="C741" s="213">
        <v>22.4</v>
      </c>
      <c r="D741">
        <f t="shared" si="11"/>
        <v>830</v>
      </c>
      <c r="E741" s="213"/>
      <c r="F741" s="213"/>
      <c r="G741" s="213"/>
      <c r="H741" s="213"/>
      <c r="I741" s="213"/>
      <c r="J741" s="213"/>
      <c r="K741" s="213"/>
      <c r="L741" s="213"/>
      <c r="M741" s="213"/>
      <c r="N741" s="213"/>
      <c r="O741" s="213"/>
      <c r="P741" s="213"/>
    </row>
    <row r="742" spans="1:16">
      <c r="A742" s="213">
        <v>5388</v>
      </c>
      <c r="B742" s="213" t="s">
        <v>1154</v>
      </c>
      <c r="C742" s="213">
        <v>72</v>
      </c>
      <c r="D742">
        <f t="shared" si="11"/>
        <v>219</v>
      </c>
      <c r="E742" s="213"/>
      <c r="F742" s="213"/>
      <c r="G742" s="213"/>
      <c r="H742" s="213"/>
      <c r="I742" s="213"/>
      <c r="J742" s="213"/>
      <c r="K742" s="213"/>
      <c r="L742" s="213"/>
      <c r="M742" s="213"/>
      <c r="N742" s="213"/>
      <c r="O742" s="213"/>
      <c r="P742" s="213"/>
    </row>
    <row r="743" spans="1:16">
      <c r="A743" s="213">
        <v>5434</v>
      </c>
      <c r="B743" s="213" t="s">
        <v>1155</v>
      </c>
      <c r="C743" s="213">
        <v>83.8</v>
      </c>
      <c r="D743">
        <f t="shared" si="11"/>
        <v>175</v>
      </c>
      <c r="E743" s="213"/>
      <c r="F743" s="213"/>
      <c r="G743" s="213"/>
      <c r="H743" s="213"/>
      <c r="I743" s="213"/>
      <c r="J743" s="213"/>
      <c r="K743" s="213"/>
      <c r="L743" s="213"/>
      <c r="M743" s="213"/>
      <c r="N743" s="213"/>
      <c r="O743" s="213"/>
      <c r="P743" s="213"/>
    </row>
    <row r="744" spans="1:16">
      <c r="A744" s="213">
        <v>5469</v>
      </c>
      <c r="B744" s="213" t="s">
        <v>1156</v>
      </c>
      <c r="C744" s="213">
        <v>14.4</v>
      </c>
      <c r="D744">
        <f t="shared" si="11"/>
        <v>1145</v>
      </c>
      <c r="E744" s="213"/>
      <c r="F744" s="213"/>
      <c r="G744" s="213"/>
      <c r="H744" s="213"/>
      <c r="I744" s="213"/>
      <c r="J744" s="213"/>
      <c r="K744" s="213"/>
      <c r="L744" s="213"/>
      <c r="M744" s="213"/>
      <c r="N744" s="213"/>
      <c r="O744" s="213"/>
      <c r="P744" s="213"/>
    </row>
    <row r="745" spans="1:16">
      <c r="A745" s="213">
        <v>5471</v>
      </c>
      <c r="B745" s="213" t="s">
        <v>1157</v>
      </c>
      <c r="C745" s="213">
        <v>32.25</v>
      </c>
      <c r="D745">
        <f t="shared" si="11"/>
        <v>571</v>
      </c>
      <c r="E745" s="213"/>
      <c r="F745" s="213"/>
      <c r="G745" s="213"/>
      <c r="H745" s="213"/>
      <c r="I745" s="213"/>
      <c r="J745" s="213"/>
      <c r="K745" s="213"/>
      <c r="L745" s="213"/>
      <c r="M745" s="213"/>
      <c r="N745" s="213"/>
      <c r="O745" s="213"/>
      <c r="P745" s="213"/>
    </row>
    <row r="746" spans="1:16">
      <c r="A746" s="213">
        <v>5484</v>
      </c>
      <c r="B746" s="213" t="s">
        <v>1158</v>
      </c>
      <c r="C746" s="213">
        <v>7.04</v>
      </c>
      <c r="D746">
        <f t="shared" si="11"/>
        <v>1515</v>
      </c>
      <c r="E746" s="213"/>
      <c r="F746" s="213"/>
      <c r="G746" s="213"/>
      <c r="H746" s="213"/>
      <c r="I746" s="213"/>
      <c r="J746" s="213"/>
      <c r="K746" s="213"/>
      <c r="L746" s="213"/>
      <c r="M746" s="213"/>
      <c r="N746" s="213"/>
      <c r="O746" s="213"/>
      <c r="P746" s="213"/>
    </row>
    <row r="747" spans="1:16">
      <c r="A747" s="213">
        <v>5515</v>
      </c>
      <c r="B747" s="213" t="s">
        <v>1159</v>
      </c>
      <c r="C747" s="213">
        <v>8.4499999999999993</v>
      </c>
      <c r="D747">
        <f t="shared" si="11"/>
        <v>1448</v>
      </c>
      <c r="E747" s="213"/>
      <c r="F747" s="213"/>
      <c r="G747" s="213"/>
      <c r="H747" s="213"/>
      <c r="I747" s="213"/>
      <c r="J747" s="213"/>
      <c r="K747" s="213"/>
      <c r="L747" s="213"/>
      <c r="M747" s="213"/>
      <c r="N747" s="213"/>
      <c r="O747" s="213"/>
      <c r="P747" s="213"/>
    </row>
    <row r="748" spans="1:16">
      <c r="A748" s="213">
        <v>5519</v>
      </c>
      <c r="B748" s="213" t="s">
        <v>1160</v>
      </c>
      <c r="C748" s="213">
        <v>10.3</v>
      </c>
      <c r="D748">
        <f t="shared" si="11"/>
        <v>1338</v>
      </c>
      <c r="E748" s="213"/>
      <c r="F748" s="213"/>
      <c r="G748" s="213"/>
      <c r="H748" s="213"/>
      <c r="I748" s="213"/>
      <c r="J748" s="213"/>
      <c r="K748" s="213"/>
      <c r="L748" s="213"/>
      <c r="M748" s="213"/>
      <c r="N748" s="213"/>
      <c r="O748" s="213"/>
      <c r="P748" s="213"/>
    </row>
    <row r="749" spans="1:16">
      <c r="A749" s="213">
        <v>5521</v>
      </c>
      <c r="B749" s="213" t="s">
        <v>1161</v>
      </c>
      <c r="C749" s="213">
        <v>10</v>
      </c>
      <c r="D749">
        <f t="shared" si="11"/>
        <v>1365</v>
      </c>
      <c r="E749" s="213"/>
      <c r="F749" s="213"/>
      <c r="G749" s="213"/>
      <c r="H749" s="213"/>
      <c r="I749" s="213"/>
      <c r="J749" s="213"/>
      <c r="K749" s="213"/>
      <c r="L749" s="213"/>
      <c r="M749" s="213"/>
      <c r="N749" s="213"/>
      <c r="O749" s="213"/>
      <c r="P749" s="213"/>
    </row>
    <row r="750" spans="1:16">
      <c r="A750" s="213">
        <v>5522</v>
      </c>
      <c r="B750" s="213" t="s">
        <v>1162</v>
      </c>
      <c r="C750" s="213">
        <v>36.35</v>
      </c>
      <c r="D750">
        <f t="shared" si="11"/>
        <v>507</v>
      </c>
      <c r="E750" s="213"/>
      <c r="F750" s="213"/>
      <c r="G750" s="213"/>
      <c r="H750" s="213"/>
      <c r="I750" s="213"/>
      <c r="J750" s="213"/>
      <c r="K750" s="213"/>
      <c r="L750" s="213"/>
      <c r="M750" s="213"/>
      <c r="N750" s="213"/>
      <c r="O750" s="213"/>
      <c r="P750" s="213"/>
    </row>
    <row r="751" spans="1:16">
      <c r="A751" s="213">
        <v>5525</v>
      </c>
      <c r="B751" s="213" t="s">
        <v>1163</v>
      </c>
      <c r="C751" s="213">
        <v>14.7</v>
      </c>
      <c r="D751">
        <f t="shared" si="11"/>
        <v>1135</v>
      </c>
      <c r="E751" s="213"/>
      <c r="F751" s="213"/>
      <c r="G751" s="213"/>
      <c r="H751" s="213"/>
      <c r="I751" s="213"/>
      <c r="J751" s="213"/>
      <c r="K751" s="213"/>
      <c r="L751" s="213"/>
      <c r="M751" s="213"/>
      <c r="N751" s="213"/>
      <c r="O751" s="213"/>
      <c r="P751" s="213"/>
    </row>
    <row r="752" spans="1:16">
      <c r="A752" s="213">
        <v>5531</v>
      </c>
      <c r="B752" s="213" t="s">
        <v>1164</v>
      </c>
      <c r="C752" s="213">
        <v>10.050000000000001</v>
      </c>
      <c r="D752">
        <f t="shared" si="11"/>
        <v>1360</v>
      </c>
      <c r="E752" s="213"/>
      <c r="F752" s="213"/>
      <c r="G752" s="213"/>
      <c r="H752" s="213"/>
      <c r="I752" s="213"/>
      <c r="J752" s="213"/>
      <c r="K752" s="213"/>
      <c r="L752" s="213"/>
      <c r="M752" s="213"/>
      <c r="N752" s="213"/>
      <c r="O752" s="213"/>
      <c r="P752" s="213"/>
    </row>
    <row r="753" spans="1:16">
      <c r="A753" s="213">
        <v>5533</v>
      </c>
      <c r="B753" s="213" t="s">
        <v>1165</v>
      </c>
      <c r="C753" s="213">
        <v>15.55</v>
      </c>
      <c r="D753">
        <f t="shared" si="11"/>
        <v>1098</v>
      </c>
      <c r="E753" s="213"/>
      <c r="F753" s="213"/>
      <c r="G753" s="213"/>
      <c r="H753" s="213"/>
      <c r="I753" s="213"/>
      <c r="J753" s="213"/>
      <c r="K753" s="213"/>
      <c r="L753" s="213"/>
      <c r="M753" s="213"/>
      <c r="N753" s="213"/>
      <c r="O753" s="213"/>
      <c r="P753" s="213"/>
    </row>
    <row r="754" spans="1:16">
      <c r="A754" s="213">
        <v>5534</v>
      </c>
      <c r="B754" s="213" t="s">
        <v>1166</v>
      </c>
      <c r="C754" s="213">
        <v>51.8</v>
      </c>
      <c r="D754">
        <f t="shared" si="11"/>
        <v>321</v>
      </c>
      <c r="E754" s="213"/>
      <c r="F754" s="213"/>
      <c r="G754" s="213"/>
      <c r="H754" s="213"/>
      <c r="I754" s="213"/>
      <c r="J754" s="213"/>
      <c r="K754" s="213"/>
      <c r="L754" s="213"/>
      <c r="M754" s="213"/>
      <c r="N754" s="213"/>
      <c r="O754" s="213"/>
      <c r="P754" s="213"/>
    </row>
    <row r="755" spans="1:16">
      <c r="A755" s="213">
        <v>5538</v>
      </c>
      <c r="B755" s="213" t="s">
        <v>2070</v>
      </c>
      <c r="C755" s="213">
        <v>25.4</v>
      </c>
      <c r="D755">
        <f t="shared" si="11"/>
        <v>728</v>
      </c>
      <c r="E755" s="213"/>
      <c r="F755" s="213"/>
      <c r="G755" s="213"/>
      <c r="H755" s="213"/>
      <c r="I755" s="213"/>
      <c r="J755" s="213"/>
      <c r="K755" s="213"/>
      <c r="L755" s="213"/>
      <c r="M755" s="213"/>
      <c r="N755" s="213"/>
      <c r="O755" s="213"/>
      <c r="P755" s="213"/>
    </row>
    <row r="756" spans="1:16">
      <c r="A756" s="213">
        <v>5607</v>
      </c>
      <c r="B756" s="213" t="s">
        <v>1167</v>
      </c>
      <c r="C756" s="213">
        <v>13.85</v>
      </c>
      <c r="D756">
        <f t="shared" si="11"/>
        <v>1173</v>
      </c>
      <c r="E756" s="213"/>
      <c r="F756" s="213"/>
      <c r="G756" s="213"/>
      <c r="H756" s="213"/>
      <c r="I756" s="213"/>
      <c r="J756" s="213"/>
      <c r="K756" s="213"/>
      <c r="L756" s="213"/>
      <c r="M756" s="213"/>
      <c r="N756" s="213"/>
      <c r="O756" s="213"/>
      <c r="P756" s="213"/>
    </row>
    <row r="757" spans="1:16">
      <c r="A757" s="213">
        <v>5608</v>
      </c>
      <c r="B757" s="213" t="s">
        <v>1168</v>
      </c>
      <c r="C757" s="213">
        <v>9</v>
      </c>
      <c r="D757">
        <f t="shared" si="11"/>
        <v>1422</v>
      </c>
      <c r="E757" s="213"/>
      <c r="F757" s="213"/>
      <c r="G757" s="213"/>
      <c r="H757" s="213"/>
      <c r="I757" s="213"/>
      <c r="J757" s="213"/>
      <c r="K757" s="213"/>
      <c r="L757" s="213"/>
      <c r="M757" s="213"/>
      <c r="N757" s="213"/>
      <c r="O757" s="213"/>
      <c r="P757" s="213"/>
    </row>
    <row r="758" spans="1:16">
      <c r="A758" s="213">
        <v>5706</v>
      </c>
      <c r="B758" s="213" t="s">
        <v>1169</v>
      </c>
      <c r="C758" s="213">
        <v>35.15</v>
      </c>
      <c r="D758">
        <f t="shared" si="11"/>
        <v>524</v>
      </c>
      <c r="E758" s="213"/>
      <c r="F758" s="213"/>
      <c r="G758" s="213"/>
      <c r="H758" s="213"/>
      <c r="I758" s="213"/>
      <c r="J758" s="213"/>
      <c r="K758" s="213"/>
      <c r="L758" s="213"/>
      <c r="M758" s="213"/>
      <c r="N758" s="213"/>
      <c r="O758" s="213"/>
      <c r="P758" s="213"/>
    </row>
    <row r="759" spans="1:16">
      <c r="A759" s="213">
        <v>5871</v>
      </c>
      <c r="B759" s="213" t="s">
        <v>2071</v>
      </c>
      <c r="C759" s="213">
        <v>54.8</v>
      </c>
      <c r="D759">
        <f t="shared" si="11"/>
        <v>303</v>
      </c>
      <c r="E759" s="213"/>
      <c r="F759" s="213"/>
      <c r="G759" s="213"/>
      <c r="H759" s="213"/>
      <c r="I759" s="213"/>
      <c r="J759" s="213"/>
      <c r="K759" s="213"/>
      <c r="L759" s="213"/>
      <c r="M759" s="213"/>
      <c r="N759" s="213"/>
      <c r="O759" s="213"/>
      <c r="P759" s="213"/>
    </row>
    <row r="760" spans="1:16">
      <c r="A760" s="213">
        <v>5880</v>
      </c>
      <c r="B760" s="213" t="s">
        <v>1170</v>
      </c>
      <c r="C760" s="213">
        <v>13.9</v>
      </c>
      <c r="D760">
        <f t="shared" si="11"/>
        <v>1169</v>
      </c>
      <c r="E760" s="213"/>
      <c r="F760" s="213"/>
      <c r="G760" s="213"/>
      <c r="H760" s="213"/>
      <c r="I760" s="213"/>
      <c r="J760" s="213"/>
      <c r="K760" s="213"/>
      <c r="L760" s="213"/>
      <c r="M760" s="33"/>
      <c r="N760" s="213"/>
      <c r="O760" s="33"/>
      <c r="P760" s="213"/>
    </row>
    <row r="761" spans="1:16">
      <c r="A761" s="213">
        <v>5906</v>
      </c>
      <c r="B761" s="213" t="s">
        <v>2293</v>
      </c>
      <c r="C761" s="213">
        <v>7.09</v>
      </c>
      <c r="D761">
        <f t="shared" si="11"/>
        <v>1511</v>
      </c>
      <c r="E761" s="213"/>
      <c r="F761" s="213"/>
      <c r="G761" s="213"/>
      <c r="H761" s="213"/>
      <c r="I761" s="213"/>
      <c r="J761" s="213"/>
      <c r="K761" s="213"/>
      <c r="L761" s="213"/>
      <c r="M761" s="213"/>
      <c r="N761" s="213"/>
      <c r="O761" s="213"/>
      <c r="P761" s="213"/>
    </row>
    <row r="762" spans="1:16">
      <c r="A762" s="213">
        <v>5907</v>
      </c>
      <c r="B762" s="213" t="s">
        <v>2072</v>
      </c>
      <c r="C762" s="213">
        <v>22.9</v>
      </c>
      <c r="D762">
        <f t="shared" si="11"/>
        <v>813</v>
      </c>
      <c r="E762" s="213"/>
      <c r="F762" s="213"/>
      <c r="G762" s="213"/>
      <c r="H762" s="213"/>
      <c r="I762" s="213"/>
      <c r="J762" s="213"/>
      <c r="K762" s="213"/>
      <c r="L762" s="213"/>
      <c r="M762" s="213"/>
      <c r="N762" s="213"/>
      <c r="O762" s="213"/>
      <c r="P762" s="213"/>
    </row>
    <row r="763" spans="1:16">
      <c r="A763" s="213">
        <v>6005</v>
      </c>
      <c r="B763" s="213" t="s">
        <v>1171</v>
      </c>
      <c r="C763" s="213">
        <v>7.92</v>
      </c>
      <c r="D763">
        <f t="shared" si="11"/>
        <v>1473</v>
      </c>
      <c r="E763" s="213"/>
      <c r="F763" s="213"/>
      <c r="G763" s="213"/>
      <c r="H763" s="213"/>
      <c r="I763" s="213"/>
      <c r="J763" s="213"/>
      <c r="K763" s="213"/>
      <c r="L763" s="213"/>
      <c r="M763" s="213"/>
      <c r="N763" s="213"/>
      <c r="O763" s="213"/>
      <c r="P763" s="213"/>
    </row>
    <row r="764" spans="1:16">
      <c r="A764" s="213">
        <v>6108</v>
      </c>
      <c r="B764" s="213" t="s">
        <v>1172</v>
      </c>
      <c r="C764" s="213">
        <v>22.3</v>
      </c>
      <c r="D764">
        <f t="shared" si="11"/>
        <v>834</v>
      </c>
      <c r="E764" s="213"/>
      <c r="F764" s="213"/>
      <c r="G764" s="213"/>
      <c r="H764" s="213"/>
      <c r="I764" s="213"/>
      <c r="J764" s="213"/>
      <c r="K764" s="213"/>
      <c r="L764" s="213"/>
      <c r="M764" s="213"/>
      <c r="N764" s="213"/>
      <c r="O764" s="213"/>
      <c r="P764" s="213"/>
    </row>
    <row r="765" spans="1:16">
      <c r="A765" s="213">
        <v>6112</v>
      </c>
      <c r="B765" s="213" t="s">
        <v>1173</v>
      </c>
      <c r="C765" s="213">
        <v>26.2</v>
      </c>
      <c r="D765">
        <f t="shared" si="11"/>
        <v>704</v>
      </c>
      <c r="E765" s="213"/>
      <c r="F765" s="213"/>
      <c r="G765" s="213"/>
      <c r="H765" s="213"/>
      <c r="I765" s="213"/>
      <c r="J765" s="213"/>
      <c r="K765" s="213"/>
      <c r="L765" s="213"/>
      <c r="M765" s="213"/>
      <c r="N765" s="213"/>
      <c r="O765" s="213"/>
      <c r="P765" s="213"/>
    </row>
    <row r="766" spans="1:16">
      <c r="A766" s="213">
        <v>6115</v>
      </c>
      <c r="B766" s="213" t="s">
        <v>1174</v>
      </c>
      <c r="C766" s="213">
        <v>45</v>
      </c>
      <c r="D766">
        <f t="shared" si="11"/>
        <v>394</v>
      </c>
      <c r="E766" s="213"/>
      <c r="F766" s="213"/>
      <c r="G766" s="213"/>
      <c r="H766" s="213"/>
      <c r="I766" s="213"/>
      <c r="J766" s="213"/>
      <c r="K766" s="213"/>
      <c r="L766" s="213"/>
      <c r="M766" s="213"/>
      <c r="N766" s="213"/>
      <c r="O766" s="213"/>
      <c r="P766" s="213"/>
    </row>
    <row r="767" spans="1:16">
      <c r="A767" s="213">
        <v>6116</v>
      </c>
      <c r="B767" s="213" t="s">
        <v>1175</v>
      </c>
      <c r="C767" s="213">
        <v>7.83</v>
      </c>
      <c r="D767">
        <f t="shared" si="11"/>
        <v>1478</v>
      </c>
      <c r="E767" s="213"/>
      <c r="F767" s="213"/>
      <c r="G767" s="213"/>
      <c r="H767" s="213"/>
      <c r="I767" s="213"/>
      <c r="J767" s="213"/>
      <c r="K767" s="213"/>
      <c r="L767" s="213"/>
      <c r="M767" s="213"/>
      <c r="N767" s="213"/>
      <c r="O767" s="213"/>
      <c r="P767" s="213"/>
    </row>
    <row r="768" spans="1:16">
      <c r="A768" s="213">
        <v>6117</v>
      </c>
      <c r="B768" s="213" t="s">
        <v>1176</v>
      </c>
      <c r="C768" s="213">
        <v>13.95</v>
      </c>
      <c r="D768">
        <f t="shared" si="11"/>
        <v>1166</v>
      </c>
      <c r="E768" s="213"/>
      <c r="F768" s="213"/>
      <c r="G768" s="213"/>
      <c r="H768" s="213"/>
      <c r="I768" s="213"/>
      <c r="J768" s="213"/>
      <c r="K768" s="213"/>
      <c r="L768" s="213"/>
      <c r="M768" s="213"/>
      <c r="N768" s="213"/>
      <c r="O768" s="213"/>
      <c r="P768" s="213"/>
    </row>
    <row r="769" spans="1:16">
      <c r="A769" s="213">
        <v>6120</v>
      </c>
      <c r="B769" s="213" t="s">
        <v>1177</v>
      </c>
      <c r="C769" s="213">
        <v>12.1</v>
      </c>
      <c r="D769">
        <f t="shared" si="11"/>
        <v>1257</v>
      </c>
      <c r="E769" s="213"/>
      <c r="F769" s="213"/>
      <c r="G769" s="213"/>
      <c r="H769" s="213"/>
      <c r="I769" s="213"/>
      <c r="J769" s="213"/>
      <c r="K769" s="213"/>
      <c r="L769" s="213"/>
      <c r="M769" s="213"/>
      <c r="N769" s="213"/>
      <c r="O769" s="213"/>
      <c r="P769" s="213"/>
    </row>
    <row r="770" spans="1:16">
      <c r="A770" s="213">
        <v>6128</v>
      </c>
      <c r="B770" s="213" t="s">
        <v>1178</v>
      </c>
      <c r="C770" s="213">
        <v>43.75</v>
      </c>
      <c r="D770">
        <f t="shared" ref="D770:D833" si="12">RANK(C770,C:C,0)</f>
        <v>409</v>
      </c>
      <c r="E770" s="213"/>
      <c r="F770" s="213"/>
      <c r="G770" s="213"/>
      <c r="H770" s="213"/>
      <c r="I770" s="213"/>
      <c r="J770" s="213"/>
      <c r="K770" s="213"/>
      <c r="L770" s="213"/>
      <c r="M770" s="213"/>
      <c r="N770" s="213"/>
      <c r="O770" s="213"/>
      <c r="P770" s="213"/>
    </row>
    <row r="771" spans="1:16">
      <c r="A771" s="213">
        <v>6131</v>
      </c>
      <c r="B771" s="213" t="s">
        <v>2145</v>
      </c>
      <c r="C771" s="213">
        <v>12.8</v>
      </c>
      <c r="D771">
        <f t="shared" si="12"/>
        <v>1220</v>
      </c>
      <c r="E771" s="213"/>
      <c r="F771" s="213"/>
      <c r="G771" s="213"/>
      <c r="H771" s="213"/>
      <c r="I771" s="213"/>
      <c r="J771" s="213"/>
      <c r="K771" s="213"/>
      <c r="L771" s="213"/>
      <c r="M771" s="213"/>
      <c r="N771" s="213"/>
      <c r="O771" s="213"/>
      <c r="P771" s="213"/>
    </row>
    <row r="772" spans="1:16">
      <c r="A772" s="213">
        <v>6133</v>
      </c>
      <c r="B772" s="213" t="s">
        <v>1179</v>
      </c>
      <c r="C772" s="213">
        <v>9.15</v>
      </c>
      <c r="D772">
        <f t="shared" si="12"/>
        <v>1412</v>
      </c>
      <c r="E772" s="213"/>
      <c r="F772" s="213"/>
      <c r="G772" s="213"/>
      <c r="H772" s="213"/>
      <c r="I772" s="213"/>
      <c r="J772" s="213"/>
      <c r="K772" s="213"/>
      <c r="L772" s="213"/>
      <c r="M772" s="213"/>
      <c r="N772" s="213"/>
      <c r="O772" s="213"/>
      <c r="P772" s="213"/>
    </row>
    <row r="773" spans="1:16">
      <c r="A773" s="213">
        <v>6136</v>
      </c>
      <c r="B773" s="213" t="s">
        <v>1180</v>
      </c>
      <c r="C773" s="213">
        <v>22.9</v>
      </c>
      <c r="D773">
        <f t="shared" si="12"/>
        <v>813</v>
      </c>
      <c r="E773" s="213"/>
      <c r="F773" s="213"/>
      <c r="G773" s="213"/>
      <c r="H773" s="213"/>
      <c r="I773" s="213"/>
      <c r="J773" s="213"/>
      <c r="K773" s="213"/>
      <c r="L773" s="213"/>
      <c r="M773" s="213"/>
      <c r="N773" s="213"/>
      <c r="O773" s="213"/>
      <c r="P773" s="213"/>
    </row>
    <row r="774" spans="1:16">
      <c r="A774" s="213">
        <v>6139</v>
      </c>
      <c r="B774" s="213" t="s">
        <v>1181</v>
      </c>
      <c r="C774" s="213">
        <v>24.8</v>
      </c>
      <c r="D774">
        <f t="shared" si="12"/>
        <v>745</v>
      </c>
      <c r="E774" s="213"/>
      <c r="F774" s="213"/>
      <c r="G774" s="213"/>
      <c r="H774" s="213"/>
      <c r="I774" s="213"/>
      <c r="J774" s="213"/>
      <c r="K774" s="213"/>
      <c r="L774" s="213"/>
      <c r="M774" s="213"/>
      <c r="N774" s="213"/>
      <c r="O774" s="213"/>
      <c r="P774" s="213"/>
    </row>
    <row r="775" spans="1:16">
      <c r="A775" s="213">
        <v>6141</v>
      </c>
      <c r="B775" s="213" t="s">
        <v>1182</v>
      </c>
      <c r="C775" s="213">
        <v>10</v>
      </c>
      <c r="D775">
        <f t="shared" si="12"/>
        <v>1365</v>
      </c>
      <c r="E775" s="213"/>
      <c r="F775" s="213"/>
      <c r="G775" s="213"/>
      <c r="H775" s="213"/>
      <c r="I775" s="213"/>
      <c r="J775" s="213"/>
      <c r="K775" s="213"/>
      <c r="L775" s="213"/>
      <c r="M775" s="213"/>
      <c r="N775" s="213"/>
      <c r="O775" s="213"/>
      <c r="P775" s="213"/>
    </row>
    <row r="776" spans="1:16">
      <c r="A776" s="213">
        <v>6142</v>
      </c>
      <c r="B776" s="213" t="s">
        <v>1183</v>
      </c>
      <c r="C776" s="213">
        <v>6.09</v>
      </c>
      <c r="D776">
        <f t="shared" si="12"/>
        <v>1552</v>
      </c>
      <c r="E776" s="213"/>
      <c r="F776" s="213"/>
      <c r="G776" s="213"/>
      <c r="H776" s="213"/>
      <c r="I776" s="213"/>
      <c r="J776" s="213"/>
      <c r="K776" s="213"/>
      <c r="L776" s="213"/>
      <c r="M776" s="213"/>
      <c r="N776" s="213"/>
      <c r="O776" s="213"/>
      <c r="P776" s="213"/>
    </row>
    <row r="777" spans="1:16">
      <c r="A777" s="213">
        <v>6145</v>
      </c>
      <c r="B777" s="213" t="s">
        <v>1184</v>
      </c>
      <c r="C777" s="213">
        <v>9.66</v>
      </c>
      <c r="D777">
        <f t="shared" si="12"/>
        <v>1386</v>
      </c>
      <c r="E777" s="213"/>
      <c r="F777" s="213"/>
      <c r="G777" s="213"/>
      <c r="H777" s="213"/>
      <c r="I777" s="213"/>
      <c r="J777" s="213"/>
      <c r="K777" s="213"/>
      <c r="L777" s="213"/>
      <c r="M777" s="213"/>
      <c r="N777" s="213"/>
      <c r="O777" s="213"/>
      <c r="P777" s="213"/>
    </row>
    <row r="778" spans="1:16">
      <c r="A778" s="213">
        <v>6152</v>
      </c>
      <c r="B778" s="213" t="s">
        <v>1185</v>
      </c>
      <c r="C778" s="213">
        <v>9.61</v>
      </c>
      <c r="D778">
        <f t="shared" si="12"/>
        <v>1388</v>
      </c>
      <c r="E778" s="213"/>
      <c r="F778" s="213"/>
      <c r="G778" s="213"/>
      <c r="H778" s="213"/>
      <c r="I778" s="213"/>
      <c r="J778" s="213"/>
      <c r="K778" s="213"/>
      <c r="L778" s="213"/>
      <c r="M778" s="213"/>
      <c r="N778" s="213"/>
      <c r="O778" s="213"/>
      <c r="P778" s="213"/>
    </row>
    <row r="779" spans="1:16">
      <c r="A779" s="213">
        <v>6153</v>
      </c>
      <c r="B779" s="213" t="s">
        <v>1186</v>
      </c>
      <c r="C779" s="213">
        <v>20.55</v>
      </c>
      <c r="D779">
        <f t="shared" si="12"/>
        <v>888</v>
      </c>
      <c r="E779" s="213"/>
      <c r="F779" s="213"/>
      <c r="G779" s="213"/>
      <c r="H779" s="213"/>
      <c r="I779" s="213"/>
      <c r="J779" s="213"/>
      <c r="K779" s="213"/>
      <c r="L779" s="213"/>
      <c r="M779" s="213"/>
      <c r="N779" s="213"/>
      <c r="O779" s="213"/>
      <c r="P779" s="213"/>
    </row>
    <row r="780" spans="1:16">
      <c r="A780" s="213">
        <v>6155</v>
      </c>
      <c r="B780" s="213" t="s">
        <v>1187</v>
      </c>
      <c r="C780" s="213">
        <v>17.8</v>
      </c>
      <c r="D780">
        <f t="shared" si="12"/>
        <v>984</v>
      </c>
      <c r="E780" s="213"/>
      <c r="F780" s="213"/>
      <c r="G780" s="213"/>
      <c r="H780" s="213"/>
      <c r="I780" s="213"/>
      <c r="J780" s="213"/>
      <c r="K780" s="213"/>
      <c r="L780" s="213"/>
      <c r="M780" s="213"/>
      <c r="N780" s="213"/>
      <c r="O780" s="213"/>
      <c r="P780" s="213"/>
    </row>
    <row r="781" spans="1:16">
      <c r="A781" s="213">
        <v>6164</v>
      </c>
      <c r="B781" s="213" t="s">
        <v>1188</v>
      </c>
      <c r="C781" s="213">
        <v>12.4</v>
      </c>
      <c r="D781">
        <f t="shared" si="12"/>
        <v>1239</v>
      </c>
      <c r="E781" s="213"/>
      <c r="F781" s="213"/>
      <c r="G781" s="213"/>
      <c r="H781" s="213"/>
      <c r="I781" s="213"/>
      <c r="J781" s="213"/>
      <c r="K781" s="213"/>
      <c r="L781" s="213"/>
      <c r="M781" s="213"/>
      <c r="N781" s="213"/>
      <c r="O781" s="213"/>
      <c r="P781" s="213"/>
    </row>
    <row r="782" spans="1:16">
      <c r="A782" s="213">
        <v>6165</v>
      </c>
      <c r="B782" s="213" t="s">
        <v>1189</v>
      </c>
      <c r="C782" s="213">
        <v>17.55</v>
      </c>
      <c r="D782">
        <f t="shared" si="12"/>
        <v>1004</v>
      </c>
      <c r="E782" s="213"/>
      <c r="F782" s="213"/>
      <c r="G782" s="213"/>
      <c r="H782" s="213"/>
      <c r="I782" s="213"/>
      <c r="J782" s="213"/>
      <c r="K782" s="213"/>
      <c r="L782" s="213"/>
      <c r="M782" s="213"/>
      <c r="N782" s="213"/>
      <c r="O782" s="213"/>
      <c r="P782" s="213"/>
    </row>
    <row r="783" spans="1:16">
      <c r="A783" s="213">
        <v>6166</v>
      </c>
      <c r="B783" s="213" t="s">
        <v>1190</v>
      </c>
      <c r="C783" s="213">
        <v>64</v>
      </c>
      <c r="D783">
        <f t="shared" si="12"/>
        <v>255</v>
      </c>
      <c r="E783" s="213"/>
      <c r="F783" s="213"/>
      <c r="G783" s="213"/>
      <c r="H783" s="213"/>
      <c r="I783" s="213"/>
      <c r="J783" s="213"/>
      <c r="K783" s="213"/>
      <c r="L783" s="213"/>
      <c r="M783" s="213"/>
      <c r="N783" s="213"/>
      <c r="O783" s="213"/>
      <c r="P783" s="213"/>
    </row>
    <row r="784" spans="1:16">
      <c r="A784" s="213">
        <v>6168</v>
      </c>
      <c r="B784" s="213" t="s">
        <v>1191</v>
      </c>
      <c r="C784" s="213">
        <v>9.32</v>
      </c>
      <c r="D784">
        <f t="shared" si="12"/>
        <v>1407</v>
      </c>
      <c r="E784" s="213"/>
      <c r="F784" s="213"/>
      <c r="G784" s="213"/>
      <c r="H784" s="213"/>
      <c r="I784" s="213"/>
      <c r="J784" s="213"/>
      <c r="K784" s="213"/>
      <c r="L784" s="213"/>
      <c r="M784" s="213"/>
      <c r="N784" s="213"/>
      <c r="O784" s="213"/>
      <c r="P784" s="213"/>
    </row>
    <row r="785" spans="1:16">
      <c r="A785" s="213">
        <v>6172</v>
      </c>
      <c r="B785" s="213" t="s">
        <v>1192</v>
      </c>
      <c r="C785" s="213">
        <v>10.1</v>
      </c>
      <c r="D785">
        <f t="shared" si="12"/>
        <v>1355</v>
      </c>
      <c r="E785" s="213"/>
      <c r="F785" s="213"/>
      <c r="G785" s="213"/>
      <c r="H785" s="213"/>
      <c r="I785" s="213"/>
      <c r="J785" s="213"/>
      <c r="K785" s="213"/>
      <c r="L785" s="213"/>
      <c r="M785" s="213"/>
      <c r="N785" s="213"/>
      <c r="O785" s="213"/>
      <c r="P785" s="213"/>
    </row>
    <row r="786" spans="1:16">
      <c r="A786" s="213">
        <v>6176</v>
      </c>
      <c r="B786" s="213" t="s">
        <v>1193</v>
      </c>
      <c r="C786" s="213">
        <v>48.65</v>
      </c>
      <c r="D786">
        <f t="shared" si="12"/>
        <v>355</v>
      </c>
      <c r="E786" s="213"/>
      <c r="F786" s="213"/>
      <c r="G786" s="213"/>
      <c r="H786" s="213"/>
      <c r="I786" s="213"/>
      <c r="J786" s="213"/>
      <c r="K786" s="213"/>
      <c r="L786" s="213"/>
      <c r="M786" s="213"/>
      <c r="N786" s="213"/>
      <c r="O786" s="213"/>
      <c r="P786" s="213"/>
    </row>
    <row r="787" spans="1:16">
      <c r="A787" s="213">
        <v>6177</v>
      </c>
      <c r="B787" s="213" t="s">
        <v>1194</v>
      </c>
      <c r="C787" s="213">
        <v>19.95</v>
      </c>
      <c r="D787">
        <f t="shared" si="12"/>
        <v>909</v>
      </c>
      <c r="E787" s="213"/>
      <c r="F787" s="213"/>
      <c r="G787" s="213"/>
      <c r="H787" s="213"/>
      <c r="I787" s="213"/>
      <c r="J787" s="213"/>
      <c r="K787" s="213"/>
      <c r="L787" s="213"/>
      <c r="M787" s="213"/>
      <c r="N787" s="213"/>
      <c r="O787" s="213"/>
      <c r="P787" s="213"/>
    </row>
    <row r="788" spans="1:16">
      <c r="A788" s="213">
        <v>6183</v>
      </c>
      <c r="B788" s="213" t="s">
        <v>1195</v>
      </c>
      <c r="C788" s="213">
        <v>26</v>
      </c>
      <c r="D788">
        <f t="shared" si="12"/>
        <v>712</v>
      </c>
      <c r="E788" s="213"/>
      <c r="F788" s="213"/>
      <c r="G788" s="213"/>
      <c r="H788" s="213"/>
      <c r="I788" s="213"/>
      <c r="J788" s="213"/>
      <c r="K788" s="213"/>
      <c r="L788" s="213"/>
      <c r="M788" s="213"/>
      <c r="N788" s="213"/>
      <c r="O788" s="213"/>
      <c r="P788" s="213"/>
    </row>
    <row r="789" spans="1:16">
      <c r="A789" s="213">
        <v>6184</v>
      </c>
      <c r="B789" s="213" t="s">
        <v>1196</v>
      </c>
      <c r="C789" s="213">
        <v>33.4</v>
      </c>
      <c r="D789">
        <f t="shared" si="12"/>
        <v>552</v>
      </c>
      <c r="E789" s="213"/>
      <c r="F789" s="213"/>
      <c r="G789" s="213"/>
      <c r="H789" s="213"/>
      <c r="I789" s="213"/>
      <c r="J789" s="213"/>
      <c r="K789" s="213"/>
      <c r="L789" s="213"/>
      <c r="M789" s="213"/>
      <c r="N789" s="213"/>
      <c r="O789" s="213"/>
      <c r="P789" s="213"/>
    </row>
    <row r="790" spans="1:16">
      <c r="A790" s="213">
        <v>6189</v>
      </c>
      <c r="B790" s="213" t="s">
        <v>1197</v>
      </c>
      <c r="C790" s="213">
        <v>31.85</v>
      </c>
      <c r="D790">
        <f t="shared" si="12"/>
        <v>578</v>
      </c>
      <c r="E790" s="213"/>
      <c r="F790" s="213"/>
      <c r="G790" s="213"/>
      <c r="H790" s="213"/>
      <c r="I790" s="213"/>
      <c r="J790" s="213"/>
      <c r="K790" s="213"/>
      <c r="L790" s="213"/>
      <c r="M790" s="213"/>
      <c r="N790" s="213"/>
      <c r="O790" s="213"/>
      <c r="P790" s="213"/>
    </row>
    <row r="791" spans="1:16">
      <c r="A791" s="213">
        <v>6191</v>
      </c>
      <c r="B791" s="213" t="s">
        <v>1198</v>
      </c>
      <c r="C791" s="213">
        <v>11</v>
      </c>
      <c r="D791">
        <f t="shared" si="12"/>
        <v>1306</v>
      </c>
      <c r="E791" s="213"/>
      <c r="F791" s="213"/>
      <c r="G791" s="213"/>
      <c r="H791" s="213"/>
      <c r="I791" s="213"/>
      <c r="J791" s="213"/>
      <c r="K791" s="213"/>
      <c r="L791" s="213"/>
      <c r="M791" s="213"/>
      <c r="N791" s="213"/>
      <c r="O791" s="213"/>
      <c r="P791" s="213"/>
    </row>
    <row r="792" spans="1:16">
      <c r="A792" s="213">
        <v>6192</v>
      </c>
      <c r="B792" s="213" t="s">
        <v>1199</v>
      </c>
      <c r="C792" s="213">
        <v>48.85</v>
      </c>
      <c r="D792">
        <f t="shared" si="12"/>
        <v>350</v>
      </c>
      <c r="E792" s="213"/>
      <c r="F792" s="213"/>
      <c r="G792" s="213"/>
      <c r="H792" s="213"/>
      <c r="I792" s="213"/>
      <c r="J792" s="213"/>
      <c r="K792" s="213"/>
      <c r="L792" s="213"/>
      <c r="M792" s="213"/>
      <c r="N792" s="213"/>
      <c r="O792" s="213"/>
      <c r="P792" s="213"/>
    </row>
    <row r="793" spans="1:16">
      <c r="A793" s="213">
        <v>6196</v>
      </c>
      <c r="B793" s="213" t="s">
        <v>1200</v>
      </c>
      <c r="C793" s="213">
        <v>26.9</v>
      </c>
      <c r="D793">
        <f t="shared" si="12"/>
        <v>692</v>
      </c>
      <c r="E793" s="213"/>
      <c r="F793" s="213"/>
      <c r="G793" s="213"/>
      <c r="H793" s="213"/>
      <c r="I793" s="213"/>
      <c r="J793" s="213"/>
      <c r="K793" s="213"/>
      <c r="L793" s="213"/>
      <c r="M793" s="213"/>
      <c r="N793" s="213"/>
      <c r="O793" s="213"/>
      <c r="P793" s="213"/>
    </row>
    <row r="794" spans="1:16">
      <c r="A794" s="213">
        <v>6197</v>
      </c>
      <c r="B794" s="213" t="s">
        <v>1201</v>
      </c>
      <c r="C794" s="213">
        <v>26.1</v>
      </c>
      <c r="D794">
        <f t="shared" si="12"/>
        <v>708</v>
      </c>
      <c r="E794" s="213"/>
      <c r="F794" s="213"/>
      <c r="G794" s="213"/>
      <c r="H794" s="213"/>
      <c r="I794" s="213"/>
      <c r="J794" s="213"/>
      <c r="K794" s="213"/>
      <c r="L794" s="213"/>
      <c r="M794" s="213"/>
      <c r="N794" s="213"/>
      <c r="O794" s="213"/>
      <c r="P794" s="213"/>
    </row>
    <row r="795" spans="1:16">
      <c r="A795" s="213">
        <v>6201</v>
      </c>
      <c r="B795" s="213" t="s">
        <v>1202</v>
      </c>
      <c r="C795" s="213">
        <v>30.9</v>
      </c>
      <c r="D795">
        <f t="shared" si="12"/>
        <v>594</v>
      </c>
      <c r="E795" s="213"/>
      <c r="F795" s="213"/>
      <c r="G795" s="213"/>
      <c r="H795" s="213"/>
      <c r="I795" s="213"/>
      <c r="J795" s="213"/>
      <c r="K795" s="213"/>
      <c r="L795" s="213"/>
      <c r="M795" s="213"/>
      <c r="N795" s="213"/>
      <c r="O795" s="213"/>
      <c r="P795" s="213"/>
    </row>
    <row r="796" spans="1:16">
      <c r="A796" s="213">
        <v>6202</v>
      </c>
      <c r="B796" s="213" t="s">
        <v>1203</v>
      </c>
      <c r="C796" s="213">
        <v>50.2</v>
      </c>
      <c r="D796">
        <f t="shared" si="12"/>
        <v>336</v>
      </c>
      <c r="E796" s="213"/>
      <c r="F796" s="213"/>
      <c r="G796" s="213"/>
      <c r="H796" s="213"/>
      <c r="I796" s="213"/>
      <c r="J796" s="213"/>
      <c r="K796" s="213"/>
      <c r="L796" s="213"/>
      <c r="M796" s="213"/>
      <c r="N796" s="213"/>
      <c r="O796" s="213"/>
      <c r="P796" s="213"/>
    </row>
    <row r="797" spans="1:16">
      <c r="A797" s="213">
        <v>6205</v>
      </c>
      <c r="B797" s="213" t="s">
        <v>1204</v>
      </c>
      <c r="C797" s="213">
        <v>30.15</v>
      </c>
      <c r="D797">
        <f t="shared" si="12"/>
        <v>607</v>
      </c>
      <c r="E797" s="213"/>
      <c r="F797" s="213"/>
      <c r="G797" s="213"/>
      <c r="H797" s="213"/>
      <c r="I797" s="213"/>
      <c r="J797" s="213"/>
      <c r="K797" s="213"/>
      <c r="L797" s="213"/>
      <c r="M797" s="213"/>
      <c r="N797" s="213"/>
      <c r="O797" s="213"/>
      <c r="P797" s="213"/>
    </row>
    <row r="798" spans="1:16">
      <c r="A798" s="213">
        <v>6206</v>
      </c>
      <c r="B798" s="213" t="s">
        <v>1205</v>
      </c>
      <c r="C798" s="213">
        <v>105</v>
      </c>
      <c r="D798">
        <f t="shared" si="12"/>
        <v>131</v>
      </c>
      <c r="E798" s="213"/>
      <c r="F798" s="213"/>
      <c r="G798" s="213"/>
      <c r="H798" s="213"/>
      <c r="I798" s="213"/>
      <c r="J798" s="213"/>
      <c r="K798" s="213"/>
      <c r="L798" s="213"/>
      <c r="M798" s="213"/>
      <c r="N798" s="213"/>
      <c r="O798" s="213"/>
      <c r="P798" s="213"/>
    </row>
    <row r="799" spans="1:16">
      <c r="A799" s="213">
        <v>6209</v>
      </c>
      <c r="B799" s="213" t="s">
        <v>1206</v>
      </c>
      <c r="C799" s="213">
        <v>23.75</v>
      </c>
      <c r="D799">
        <f t="shared" si="12"/>
        <v>783</v>
      </c>
      <c r="E799" s="213"/>
      <c r="F799" s="213"/>
      <c r="G799" s="213"/>
      <c r="H799" s="213"/>
      <c r="I799" s="213"/>
      <c r="J799" s="213"/>
      <c r="K799" s="213"/>
      <c r="L799" s="213"/>
      <c r="M799" s="213"/>
      <c r="N799" s="213"/>
      <c r="O799" s="213"/>
      <c r="P799" s="213"/>
    </row>
    <row r="800" spans="1:16">
      <c r="A800" s="213">
        <v>6213</v>
      </c>
      <c r="B800" s="213" t="s">
        <v>1207</v>
      </c>
      <c r="C800" s="213">
        <v>32</v>
      </c>
      <c r="D800">
        <f t="shared" si="12"/>
        <v>576</v>
      </c>
      <c r="E800" s="213"/>
      <c r="F800" s="213"/>
      <c r="G800" s="213"/>
      <c r="H800" s="213"/>
      <c r="I800" s="213"/>
      <c r="J800" s="213"/>
      <c r="K800" s="213"/>
      <c r="L800" s="213"/>
      <c r="M800" s="213"/>
      <c r="N800" s="213"/>
      <c r="O800" s="213"/>
      <c r="P800" s="213"/>
    </row>
    <row r="801" spans="1:16">
      <c r="A801" s="213">
        <v>6214</v>
      </c>
      <c r="B801" s="213" t="s">
        <v>1208</v>
      </c>
      <c r="C801" s="213">
        <v>53</v>
      </c>
      <c r="D801">
        <f t="shared" si="12"/>
        <v>313</v>
      </c>
      <c r="E801" s="213"/>
      <c r="F801" s="213"/>
      <c r="G801" s="213"/>
      <c r="H801" s="213"/>
      <c r="I801" s="213"/>
      <c r="J801" s="213"/>
      <c r="K801" s="213"/>
      <c r="L801" s="213"/>
      <c r="M801" s="213"/>
      <c r="N801" s="213"/>
      <c r="O801" s="213"/>
      <c r="P801" s="213"/>
    </row>
    <row r="802" spans="1:16">
      <c r="A802" s="213">
        <v>6215</v>
      </c>
      <c r="B802" s="213" t="s">
        <v>1209</v>
      </c>
      <c r="C802" s="213">
        <v>12.3</v>
      </c>
      <c r="D802">
        <f t="shared" si="12"/>
        <v>1242</v>
      </c>
      <c r="E802" s="213"/>
      <c r="F802" s="213"/>
      <c r="G802" s="213"/>
      <c r="H802" s="213"/>
      <c r="I802" s="213"/>
      <c r="J802" s="213"/>
      <c r="K802" s="213"/>
      <c r="L802" s="213"/>
      <c r="M802" s="213"/>
      <c r="N802" s="213"/>
      <c r="O802" s="213"/>
      <c r="P802" s="213"/>
    </row>
    <row r="803" spans="1:16">
      <c r="A803" s="213">
        <v>6216</v>
      </c>
      <c r="B803" s="213" t="s">
        <v>1210</v>
      </c>
      <c r="C803" s="213">
        <v>28.9</v>
      </c>
      <c r="D803">
        <f t="shared" si="12"/>
        <v>644</v>
      </c>
      <c r="E803" s="213"/>
      <c r="F803" s="213"/>
      <c r="G803" s="213"/>
      <c r="H803" s="213"/>
      <c r="I803" s="213"/>
      <c r="J803" s="213"/>
      <c r="K803" s="213"/>
      <c r="L803" s="213"/>
      <c r="M803" s="213"/>
      <c r="N803" s="213"/>
      <c r="O803" s="213"/>
      <c r="P803" s="213"/>
    </row>
    <row r="804" spans="1:16">
      <c r="A804" s="213">
        <v>6224</v>
      </c>
      <c r="B804" s="213" t="s">
        <v>1211</v>
      </c>
      <c r="C804" s="213">
        <v>60.1</v>
      </c>
      <c r="D804">
        <f t="shared" si="12"/>
        <v>277</v>
      </c>
      <c r="E804" s="213"/>
      <c r="F804" s="213"/>
      <c r="G804" s="213"/>
      <c r="H804" s="213"/>
      <c r="I804" s="213"/>
      <c r="J804" s="213"/>
      <c r="K804" s="213"/>
      <c r="L804" s="213"/>
      <c r="M804" s="213"/>
      <c r="N804" s="213"/>
      <c r="O804" s="213"/>
      <c r="P804" s="213"/>
    </row>
    <row r="805" spans="1:16">
      <c r="A805" s="213">
        <v>6225</v>
      </c>
      <c r="B805" s="213" t="s">
        <v>1212</v>
      </c>
      <c r="C805" s="213">
        <v>3.67</v>
      </c>
      <c r="D805">
        <f t="shared" si="12"/>
        <v>1595</v>
      </c>
      <c r="E805" s="213"/>
      <c r="F805" s="213"/>
      <c r="G805" s="213"/>
      <c r="H805" s="213"/>
      <c r="I805" s="213"/>
      <c r="J805" s="213"/>
      <c r="K805" s="213"/>
      <c r="L805" s="213"/>
      <c r="M805" s="213"/>
      <c r="N805" s="213"/>
      <c r="O805" s="213"/>
      <c r="P805" s="213"/>
    </row>
    <row r="806" spans="1:16">
      <c r="A806" s="213">
        <v>6226</v>
      </c>
      <c r="B806" s="213" t="s">
        <v>1213</v>
      </c>
      <c r="C806" s="213">
        <v>6.28</v>
      </c>
      <c r="D806">
        <f t="shared" si="12"/>
        <v>1545</v>
      </c>
      <c r="E806" s="213"/>
      <c r="F806" s="213"/>
      <c r="G806" s="213"/>
      <c r="H806" s="213"/>
      <c r="I806" s="213"/>
      <c r="J806" s="213"/>
      <c r="K806" s="213"/>
      <c r="L806" s="213"/>
      <c r="M806" s="213"/>
      <c r="N806" s="213"/>
      <c r="O806" s="213"/>
      <c r="P806" s="213"/>
    </row>
    <row r="807" spans="1:16">
      <c r="A807" s="213">
        <v>6230</v>
      </c>
      <c r="B807" s="213" t="s">
        <v>1214</v>
      </c>
      <c r="C807" s="213">
        <v>143</v>
      </c>
      <c r="D807">
        <f t="shared" si="12"/>
        <v>82</v>
      </c>
      <c r="E807" s="213"/>
      <c r="F807" s="213"/>
      <c r="G807" s="213"/>
      <c r="H807" s="213"/>
      <c r="I807" s="213"/>
      <c r="J807" s="213"/>
      <c r="K807" s="213"/>
      <c r="L807" s="213"/>
      <c r="M807" s="213"/>
      <c r="N807" s="213"/>
      <c r="O807" s="213"/>
      <c r="P807" s="213"/>
    </row>
    <row r="808" spans="1:16">
      <c r="A808" s="213">
        <v>6235</v>
      </c>
      <c r="B808" s="213" t="s">
        <v>1215</v>
      </c>
      <c r="C808" s="213">
        <v>20.85</v>
      </c>
      <c r="D808">
        <f t="shared" si="12"/>
        <v>880</v>
      </c>
      <c r="E808" s="213"/>
      <c r="F808" s="213"/>
      <c r="G808" s="213"/>
      <c r="H808" s="213"/>
      <c r="I808" s="213"/>
      <c r="J808" s="213"/>
      <c r="K808" s="213"/>
      <c r="L808" s="213"/>
      <c r="M808" s="213"/>
      <c r="N808" s="213"/>
      <c r="O808" s="213"/>
      <c r="P808" s="213"/>
    </row>
    <row r="809" spans="1:16">
      <c r="A809" s="213">
        <v>6239</v>
      </c>
      <c r="B809" s="213" t="s">
        <v>1216</v>
      </c>
      <c r="C809" s="213">
        <v>88.5</v>
      </c>
      <c r="D809">
        <f t="shared" si="12"/>
        <v>161</v>
      </c>
      <c r="E809" s="213"/>
      <c r="F809" s="213"/>
      <c r="G809" s="213"/>
      <c r="H809" s="213"/>
      <c r="I809" s="213"/>
      <c r="J809" s="213"/>
      <c r="K809" s="213"/>
      <c r="L809" s="213"/>
      <c r="M809" s="213"/>
      <c r="N809" s="213"/>
      <c r="O809" s="213"/>
      <c r="P809" s="213"/>
    </row>
    <row r="810" spans="1:16">
      <c r="A810" s="213">
        <v>6243</v>
      </c>
      <c r="B810" s="213" t="s">
        <v>1217</v>
      </c>
      <c r="C810" s="213">
        <v>15.3</v>
      </c>
      <c r="D810">
        <f t="shared" si="12"/>
        <v>1106</v>
      </c>
      <c r="E810" s="213"/>
      <c r="F810" s="213"/>
      <c r="G810" s="213"/>
      <c r="H810" s="213"/>
      <c r="I810" s="213"/>
      <c r="J810" s="213"/>
      <c r="K810" s="213"/>
      <c r="L810" s="213"/>
      <c r="M810" s="213"/>
      <c r="N810" s="213"/>
      <c r="O810" s="213"/>
      <c r="P810" s="213"/>
    </row>
    <row r="811" spans="1:16">
      <c r="A811" s="213">
        <v>6251</v>
      </c>
      <c r="B811" s="213" t="s">
        <v>1218</v>
      </c>
      <c r="C811" s="213">
        <v>9.9</v>
      </c>
      <c r="D811">
        <f t="shared" si="12"/>
        <v>1378</v>
      </c>
      <c r="E811" s="213"/>
      <c r="F811" s="213"/>
      <c r="G811" s="213"/>
      <c r="H811" s="213"/>
      <c r="I811" s="213"/>
      <c r="J811" s="213"/>
      <c r="K811" s="213"/>
      <c r="L811" s="213"/>
      <c r="M811" s="213"/>
      <c r="N811" s="213"/>
      <c r="O811" s="213"/>
      <c r="P811" s="213"/>
    </row>
    <row r="812" spans="1:16">
      <c r="A812" s="213">
        <v>6257</v>
      </c>
      <c r="B812" s="213" t="s">
        <v>1219</v>
      </c>
      <c r="C812" s="213">
        <v>23.7</v>
      </c>
      <c r="D812">
        <f t="shared" si="12"/>
        <v>785</v>
      </c>
      <c r="E812" s="213"/>
      <c r="F812" s="213"/>
      <c r="G812" s="213"/>
      <c r="H812" s="213"/>
      <c r="I812" s="213"/>
      <c r="J812" s="213"/>
      <c r="K812" s="213"/>
      <c r="L812" s="213"/>
      <c r="M812" s="213"/>
      <c r="N812" s="213"/>
      <c r="O812" s="213"/>
      <c r="P812" s="213"/>
    </row>
    <row r="813" spans="1:16">
      <c r="A813" s="213">
        <v>6269</v>
      </c>
      <c r="B813" s="213" t="s">
        <v>1220</v>
      </c>
      <c r="C813" s="213">
        <v>91.6</v>
      </c>
      <c r="D813">
        <f t="shared" si="12"/>
        <v>156</v>
      </c>
      <c r="E813" s="213"/>
      <c r="F813" s="213"/>
      <c r="G813" s="213"/>
      <c r="H813" s="213"/>
      <c r="I813" s="213"/>
      <c r="J813" s="213"/>
      <c r="K813" s="213"/>
      <c r="L813" s="213"/>
      <c r="M813" s="213"/>
      <c r="N813" s="213"/>
      <c r="O813" s="213"/>
      <c r="P813" s="213"/>
    </row>
    <row r="814" spans="1:16">
      <c r="A814" s="213">
        <v>6271</v>
      </c>
      <c r="B814" s="213" t="s">
        <v>1221</v>
      </c>
      <c r="C814" s="213">
        <v>109.5</v>
      </c>
      <c r="D814">
        <f t="shared" si="12"/>
        <v>122</v>
      </c>
      <c r="E814" s="213"/>
      <c r="F814" s="213"/>
      <c r="G814" s="213"/>
      <c r="H814" s="213"/>
      <c r="I814" s="213"/>
      <c r="J814" s="213"/>
      <c r="K814" s="213"/>
      <c r="L814" s="213"/>
      <c r="M814" s="213"/>
      <c r="N814" s="213"/>
      <c r="O814" s="213"/>
      <c r="P814" s="213"/>
    </row>
    <row r="815" spans="1:16">
      <c r="A815" s="213">
        <v>6277</v>
      </c>
      <c r="B815" s="213" t="s">
        <v>1222</v>
      </c>
      <c r="C815" s="213">
        <v>80.8</v>
      </c>
      <c r="D815">
        <f t="shared" si="12"/>
        <v>188</v>
      </c>
      <c r="E815" s="213"/>
      <c r="F815" s="213"/>
      <c r="G815" s="213"/>
      <c r="H815" s="213"/>
      <c r="I815" s="213"/>
      <c r="J815" s="213"/>
      <c r="K815" s="213"/>
      <c r="L815" s="213"/>
      <c r="M815" s="213"/>
      <c r="N815" s="213"/>
      <c r="O815" s="213"/>
      <c r="P815" s="213"/>
    </row>
    <row r="816" spans="1:16">
      <c r="A816" s="213">
        <v>6278</v>
      </c>
      <c r="B816" s="213" t="s">
        <v>1223</v>
      </c>
      <c r="C816" s="213">
        <v>26.7</v>
      </c>
      <c r="D816">
        <f t="shared" si="12"/>
        <v>696</v>
      </c>
      <c r="E816" s="213"/>
      <c r="F816" s="213"/>
      <c r="G816" s="213"/>
      <c r="H816" s="213"/>
      <c r="I816" s="213"/>
      <c r="J816" s="213"/>
      <c r="K816" s="213"/>
      <c r="L816" s="213"/>
      <c r="M816" s="213"/>
      <c r="N816" s="213"/>
      <c r="O816" s="213"/>
      <c r="P816" s="213"/>
    </row>
    <row r="817" spans="1:16">
      <c r="A817" s="213">
        <v>6281</v>
      </c>
      <c r="B817" s="213" t="s">
        <v>1224</v>
      </c>
      <c r="C817" s="213">
        <v>60.5</v>
      </c>
      <c r="D817">
        <f t="shared" si="12"/>
        <v>274</v>
      </c>
      <c r="E817" s="213"/>
      <c r="F817" s="213"/>
      <c r="G817" s="213"/>
      <c r="H817" s="213"/>
      <c r="I817" s="213"/>
      <c r="J817" s="213"/>
      <c r="K817" s="213"/>
      <c r="L817" s="213"/>
      <c r="M817" s="213"/>
      <c r="N817" s="213"/>
      <c r="O817" s="213"/>
      <c r="P817" s="213"/>
    </row>
    <row r="818" spans="1:16">
      <c r="A818" s="213">
        <v>6282</v>
      </c>
      <c r="B818" s="213" t="s">
        <v>1225</v>
      </c>
      <c r="C818" s="213">
        <v>23.6</v>
      </c>
      <c r="D818">
        <f t="shared" si="12"/>
        <v>789</v>
      </c>
      <c r="E818" s="213"/>
      <c r="F818" s="213"/>
      <c r="G818" s="213"/>
      <c r="H818" s="213"/>
      <c r="I818" s="213"/>
      <c r="J818" s="213"/>
      <c r="K818" s="213"/>
      <c r="L818" s="213"/>
      <c r="M818" s="213"/>
      <c r="N818" s="213"/>
      <c r="O818" s="213"/>
      <c r="P818" s="213"/>
    </row>
    <row r="819" spans="1:16">
      <c r="A819" s="213">
        <v>6283</v>
      </c>
      <c r="B819" s="213" t="s">
        <v>1226</v>
      </c>
      <c r="C819" s="213">
        <v>14.15</v>
      </c>
      <c r="D819">
        <f t="shared" si="12"/>
        <v>1155</v>
      </c>
      <c r="E819" s="213"/>
      <c r="F819" s="213"/>
      <c r="G819" s="213"/>
      <c r="H819" s="213"/>
      <c r="I819" s="213"/>
      <c r="J819" s="213"/>
      <c r="K819" s="213"/>
      <c r="L819" s="213"/>
      <c r="M819" s="33"/>
      <c r="N819" s="213"/>
      <c r="O819" s="213"/>
      <c r="P819" s="213"/>
    </row>
    <row r="820" spans="1:16">
      <c r="A820" s="213">
        <v>6285</v>
      </c>
      <c r="B820" s="213" t="s">
        <v>1227</v>
      </c>
      <c r="C820" s="213">
        <v>89.4</v>
      </c>
      <c r="D820">
        <f t="shared" si="12"/>
        <v>159</v>
      </c>
      <c r="E820" s="213"/>
      <c r="F820" s="213"/>
      <c r="G820" s="213"/>
      <c r="H820" s="213"/>
      <c r="I820" s="213"/>
      <c r="J820" s="213"/>
      <c r="K820" s="213"/>
      <c r="L820" s="213"/>
      <c r="M820" s="213"/>
      <c r="N820" s="213"/>
      <c r="O820" s="213"/>
      <c r="P820" s="213"/>
    </row>
    <row r="821" spans="1:16">
      <c r="A821" s="213">
        <v>6289</v>
      </c>
      <c r="B821" s="213" t="s">
        <v>1228</v>
      </c>
      <c r="C821" s="213">
        <v>1.36</v>
      </c>
      <c r="D821">
        <f t="shared" si="12"/>
        <v>1622</v>
      </c>
      <c r="E821" s="213"/>
      <c r="F821" s="213"/>
      <c r="G821" s="213"/>
      <c r="H821" s="213"/>
      <c r="I821" s="213"/>
      <c r="J821" s="213"/>
      <c r="K821" s="213"/>
      <c r="L821" s="213"/>
      <c r="M821" s="213"/>
      <c r="N821" s="213"/>
      <c r="O821" s="213"/>
      <c r="P821" s="213"/>
    </row>
    <row r="822" spans="1:16">
      <c r="A822" s="213">
        <v>6405</v>
      </c>
      <c r="B822" s="213" t="s">
        <v>1229</v>
      </c>
      <c r="C822" s="213">
        <v>15.5</v>
      </c>
      <c r="D822">
        <f t="shared" si="12"/>
        <v>1100</v>
      </c>
      <c r="E822" s="213"/>
      <c r="F822" s="213"/>
      <c r="G822" s="213"/>
      <c r="H822" s="213"/>
      <c r="I822" s="213"/>
      <c r="J822" s="213"/>
      <c r="K822" s="213"/>
      <c r="L822" s="213"/>
      <c r="M822" s="213"/>
      <c r="N822" s="213"/>
      <c r="O822" s="213"/>
      <c r="P822" s="213"/>
    </row>
    <row r="823" spans="1:16">
      <c r="A823" s="213">
        <v>6409</v>
      </c>
      <c r="B823" s="213" t="s">
        <v>1230</v>
      </c>
      <c r="C823" s="213">
        <v>483</v>
      </c>
      <c r="D823">
        <f t="shared" si="12"/>
        <v>7</v>
      </c>
      <c r="E823" s="213"/>
      <c r="F823" s="213"/>
      <c r="G823" s="213"/>
      <c r="H823" s="213"/>
      <c r="I823" s="213"/>
      <c r="J823" s="213"/>
      <c r="K823" s="213"/>
      <c r="L823" s="213"/>
      <c r="M823" s="213"/>
      <c r="N823" s="213"/>
      <c r="O823" s="213"/>
      <c r="P823" s="213"/>
    </row>
    <row r="824" spans="1:16">
      <c r="A824" s="213">
        <v>6412</v>
      </c>
      <c r="B824" s="213" t="s">
        <v>1231</v>
      </c>
      <c r="C824" s="213">
        <v>49.3</v>
      </c>
      <c r="D824">
        <f t="shared" si="12"/>
        <v>345</v>
      </c>
      <c r="E824" s="213"/>
      <c r="F824" s="213"/>
      <c r="G824" s="213"/>
      <c r="H824" s="213"/>
      <c r="I824" s="213"/>
      <c r="J824" s="213"/>
      <c r="K824" s="213"/>
      <c r="L824" s="213"/>
      <c r="M824" s="213"/>
      <c r="N824" s="213"/>
      <c r="O824" s="213"/>
      <c r="P824" s="213"/>
    </row>
    <row r="825" spans="1:16">
      <c r="A825" s="213">
        <v>6414</v>
      </c>
      <c r="B825" s="213" t="s">
        <v>1232</v>
      </c>
      <c r="C825" s="213">
        <v>500</v>
      </c>
      <c r="D825">
        <f t="shared" si="12"/>
        <v>5</v>
      </c>
      <c r="E825" s="213"/>
      <c r="F825" s="213"/>
      <c r="G825" s="213"/>
      <c r="H825" s="213"/>
      <c r="I825" s="213"/>
      <c r="J825" s="213"/>
      <c r="K825" s="213"/>
      <c r="L825" s="213"/>
      <c r="M825" s="213"/>
      <c r="N825" s="213"/>
      <c r="O825" s="213"/>
      <c r="P825" s="213"/>
    </row>
    <row r="826" spans="1:16">
      <c r="A826" s="213">
        <v>6415</v>
      </c>
      <c r="B826" s="213" t="s">
        <v>2073</v>
      </c>
      <c r="C826" s="213">
        <v>449</v>
      </c>
      <c r="D826">
        <f t="shared" si="12"/>
        <v>11</v>
      </c>
      <c r="E826" s="213"/>
      <c r="F826" s="213"/>
      <c r="G826" s="213"/>
      <c r="H826" s="213"/>
      <c r="I826" s="213"/>
      <c r="J826" s="213"/>
      <c r="K826" s="213"/>
      <c r="L826" s="213"/>
      <c r="M826" s="213"/>
      <c r="N826" s="213"/>
      <c r="O826" s="213"/>
      <c r="P826" s="213"/>
    </row>
    <row r="827" spans="1:16">
      <c r="A827" s="213">
        <v>6422</v>
      </c>
      <c r="B827" s="213" t="s">
        <v>2074</v>
      </c>
      <c r="C827" s="213">
        <v>62.9</v>
      </c>
      <c r="D827">
        <f t="shared" si="12"/>
        <v>259</v>
      </c>
      <c r="E827" s="213"/>
      <c r="F827" s="213"/>
      <c r="G827" s="213"/>
      <c r="H827" s="213"/>
      <c r="I827" s="213"/>
      <c r="J827" s="213"/>
      <c r="K827" s="213"/>
      <c r="L827" s="213"/>
      <c r="M827" s="213"/>
      <c r="N827" s="213"/>
      <c r="O827" s="213"/>
      <c r="P827" s="213"/>
    </row>
    <row r="828" spans="1:16">
      <c r="A828" s="213">
        <v>6431</v>
      </c>
      <c r="B828" s="213" t="s">
        <v>2075</v>
      </c>
      <c r="C828" s="213">
        <v>9.07</v>
      </c>
      <c r="D828">
        <f t="shared" si="12"/>
        <v>1416</v>
      </c>
      <c r="E828" s="213"/>
      <c r="F828" s="213"/>
      <c r="G828" s="213"/>
      <c r="H828" s="213"/>
      <c r="I828" s="213"/>
      <c r="J828" s="213"/>
      <c r="K828" s="213"/>
      <c r="L828" s="213"/>
      <c r="M828" s="213"/>
      <c r="N828" s="213"/>
      <c r="O828" s="213"/>
      <c r="P828" s="213"/>
    </row>
    <row r="829" spans="1:16">
      <c r="A829" s="213">
        <v>6442</v>
      </c>
      <c r="B829" s="213" t="s">
        <v>1233</v>
      </c>
      <c r="C829" s="213">
        <v>47.85</v>
      </c>
      <c r="D829">
        <f t="shared" si="12"/>
        <v>365</v>
      </c>
      <c r="E829" s="213"/>
      <c r="F829" s="213"/>
      <c r="G829" s="213"/>
      <c r="H829" s="213"/>
      <c r="I829" s="213"/>
      <c r="J829" s="213"/>
      <c r="K829" s="213"/>
      <c r="L829" s="213"/>
      <c r="M829" s="213"/>
      <c r="N829" s="213"/>
      <c r="O829" s="213"/>
      <c r="P829" s="213"/>
    </row>
    <row r="830" spans="1:16">
      <c r="A830" s="213">
        <v>6443</v>
      </c>
      <c r="B830" s="213" t="s">
        <v>1234</v>
      </c>
      <c r="C830" s="213">
        <v>11.25</v>
      </c>
      <c r="D830">
        <f t="shared" si="12"/>
        <v>1296</v>
      </c>
      <c r="E830" s="213"/>
      <c r="F830" s="213"/>
      <c r="G830" s="213"/>
      <c r="H830" s="213"/>
      <c r="I830" s="213"/>
      <c r="J830" s="213"/>
      <c r="K830" s="213"/>
      <c r="L830" s="213"/>
      <c r="M830" s="213"/>
      <c r="N830" s="213"/>
      <c r="O830" s="213"/>
      <c r="P830" s="213"/>
    </row>
    <row r="831" spans="1:16">
      <c r="A831" s="213">
        <v>6449</v>
      </c>
      <c r="B831" s="213" t="s">
        <v>1235</v>
      </c>
      <c r="C831" s="213">
        <v>32.450000000000003</v>
      </c>
      <c r="D831">
        <f t="shared" si="12"/>
        <v>566</v>
      </c>
      <c r="E831" s="213"/>
      <c r="F831" s="213"/>
      <c r="G831" s="213"/>
      <c r="H831" s="213"/>
      <c r="I831" s="213"/>
      <c r="J831" s="213"/>
      <c r="K831" s="213"/>
      <c r="L831" s="213"/>
      <c r="M831" s="213"/>
      <c r="N831" s="213"/>
      <c r="O831" s="213"/>
      <c r="P831" s="213"/>
    </row>
    <row r="832" spans="1:16">
      <c r="A832" s="213">
        <v>6451</v>
      </c>
      <c r="B832" s="213" t="s">
        <v>2076</v>
      </c>
      <c r="C832" s="213">
        <v>117</v>
      </c>
      <c r="D832">
        <f t="shared" si="12"/>
        <v>109</v>
      </c>
      <c r="E832" s="213"/>
      <c r="F832" s="213"/>
      <c r="G832" s="213"/>
      <c r="H832" s="213"/>
      <c r="I832" s="213"/>
      <c r="J832" s="213"/>
      <c r="K832" s="213"/>
      <c r="L832" s="213"/>
      <c r="M832" s="213"/>
      <c r="N832" s="213"/>
      <c r="O832" s="213"/>
      <c r="P832" s="213"/>
    </row>
    <row r="833" spans="1:16">
      <c r="A833" s="213">
        <v>6452</v>
      </c>
      <c r="B833" s="213" t="s">
        <v>2077</v>
      </c>
      <c r="C833" s="213">
        <v>490.5</v>
      </c>
      <c r="D833">
        <f t="shared" si="12"/>
        <v>6</v>
      </c>
      <c r="E833" s="213"/>
      <c r="F833" s="213"/>
      <c r="G833" s="213"/>
      <c r="H833" s="213"/>
      <c r="I833" s="213"/>
      <c r="J833" s="213"/>
      <c r="K833" s="213"/>
      <c r="L833" s="213"/>
      <c r="M833" s="213"/>
      <c r="N833" s="213"/>
      <c r="O833" s="213"/>
      <c r="P833" s="213"/>
    </row>
    <row r="834" spans="1:16">
      <c r="A834" s="213">
        <v>6456</v>
      </c>
      <c r="B834" s="213" t="s">
        <v>2078</v>
      </c>
      <c r="C834" s="213">
        <v>86.9</v>
      </c>
      <c r="D834">
        <f t="shared" ref="D834:D897" si="13">RANK(C834,C:C,0)</f>
        <v>165</v>
      </c>
      <c r="E834" s="213"/>
      <c r="F834" s="213"/>
      <c r="G834" s="213"/>
      <c r="H834" s="213"/>
      <c r="I834" s="213"/>
      <c r="J834" s="213"/>
      <c r="K834" s="213"/>
      <c r="L834" s="213"/>
      <c r="M834" s="213"/>
      <c r="N834" s="213"/>
      <c r="O834" s="213"/>
      <c r="P834" s="213"/>
    </row>
    <row r="835" spans="1:16">
      <c r="A835" s="213">
        <v>6464</v>
      </c>
      <c r="B835" s="213" t="s">
        <v>1786</v>
      </c>
      <c r="C835" s="213">
        <v>129.5</v>
      </c>
      <c r="D835">
        <f t="shared" si="13"/>
        <v>98</v>
      </c>
      <c r="E835" s="213"/>
      <c r="F835" s="213"/>
      <c r="G835" s="213"/>
      <c r="H835" s="213"/>
      <c r="I835" s="213"/>
      <c r="J835" s="213"/>
      <c r="K835" s="213"/>
      <c r="L835" s="213"/>
      <c r="M835" s="213"/>
      <c r="N835" s="213"/>
      <c r="O835" s="213"/>
      <c r="P835" s="213"/>
    </row>
    <row r="836" spans="1:16">
      <c r="A836" s="213">
        <v>6477</v>
      </c>
      <c r="B836" s="213" t="s">
        <v>1918</v>
      </c>
      <c r="C836" s="213">
        <v>18.05</v>
      </c>
      <c r="D836">
        <f t="shared" si="13"/>
        <v>970</v>
      </c>
      <c r="E836" s="213"/>
      <c r="F836" s="213"/>
      <c r="G836" s="213"/>
      <c r="H836" s="213"/>
      <c r="I836" s="213"/>
      <c r="J836" s="213"/>
      <c r="K836" s="213"/>
      <c r="L836" s="213"/>
      <c r="M836" s="213"/>
      <c r="N836" s="213"/>
      <c r="O836" s="213"/>
      <c r="P836" s="213"/>
    </row>
    <row r="837" spans="1:16">
      <c r="A837" s="213">
        <v>6504</v>
      </c>
      <c r="B837" s="213" t="s">
        <v>1236</v>
      </c>
      <c r="C837" s="213">
        <v>142</v>
      </c>
      <c r="D837">
        <f t="shared" si="13"/>
        <v>83</v>
      </c>
      <c r="E837" s="213"/>
      <c r="F837" s="213"/>
      <c r="G837" s="213"/>
      <c r="H837" s="213"/>
      <c r="I837" s="213"/>
      <c r="J837" s="213"/>
      <c r="K837" s="213"/>
      <c r="L837" s="213"/>
      <c r="M837" s="213"/>
      <c r="N837" s="213"/>
      <c r="O837" s="213"/>
      <c r="P837" s="213"/>
    </row>
    <row r="838" spans="1:16">
      <c r="A838" s="213">
        <v>6505</v>
      </c>
      <c r="B838" s="213" t="s">
        <v>1237</v>
      </c>
      <c r="C838" s="213">
        <v>103</v>
      </c>
      <c r="D838">
        <f t="shared" si="13"/>
        <v>133</v>
      </c>
      <c r="E838" s="213"/>
      <c r="F838" s="213"/>
      <c r="G838" s="213"/>
      <c r="H838" s="213"/>
      <c r="I838" s="213"/>
      <c r="J838" s="213"/>
      <c r="K838" s="213"/>
      <c r="L838" s="213"/>
      <c r="M838" s="213"/>
      <c r="N838" s="213"/>
      <c r="O838" s="213"/>
      <c r="P838" s="213"/>
    </row>
    <row r="839" spans="1:16">
      <c r="A839" s="213">
        <v>6525</v>
      </c>
      <c r="B839" s="213" t="s">
        <v>2079</v>
      </c>
      <c r="C839" s="213">
        <v>53</v>
      </c>
      <c r="D839">
        <f t="shared" si="13"/>
        <v>313</v>
      </c>
      <c r="E839" s="213"/>
      <c r="F839" s="213"/>
      <c r="G839" s="213"/>
      <c r="H839" s="213"/>
      <c r="I839" s="213"/>
      <c r="J839" s="213"/>
      <c r="K839" s="213"/>
      <c r="L839" s="213"/>
      <c r="M839" s="213"/>
      <c r="N839" s="213"/>
      <c r="O839" s="213"/>
      <c r="P839" s="213"/>
    </row>
    <row r="840" spans="1:16">
      <c r="A840" s="213">
        <v>6531</v>
      </c>
      <c r="B840" s="213" t="s">
        <v>1919</v>
      </c>
      <c r="C840" s="213">
        <v>83.1</v>
      </c>
      <c r="D840">
        <f t="shared" si="13"/>
        <v>180</v>
      </c>
      <c r="E840" s="213"/>
      <c r="F840" s="213"/>
      <c r="G840" s="213"/>
      <c r="H840" s="213"/>
      <c r="I840" s="213"/>
      <c r="J840" s="213"/>
      <c r="K840" s="213"/>
      <c r="L840" s="213"/>
      <c r="M840" s="213"/>
      <c r="N840" s="213"/>
      <c r="O840" s="213"/>
      <c r="P840" s="213"/>
    </row>
    <row r="841" spans="1:16">
      <c r="A841" s="213">
        <v>6605</v>
      </c>
      <c r="B841" s="213" t="s">
        <v>1238</v>
      </c>
      <c r="C841" s="213">
        <v>97.1</v>
      </c>
      <c r="D841">
        <f t="shared" si="13"/>
        <v>139</v>
      </c>
      <c r="E841" s="213"/>
      <c r="F841" s="213"/>
      <c r="G841" s="213"/>
      <c r="H841" s="213"/>
      <c r="I841" s="213"/>
      <c r="J841" s="213"/>
      <c r="K841" s="213"/>
      <c r="L841" s="213"/>
      <c r="M841" s="213"/>
      <c r="N841" s="213"/>
      <c r="O841" s="213"/>
      <c r="P841" s="213"/>
    </row>
    <row r="842" spans="1:16">
      <c r="A842" s="213">
        <v>6702</v>
      </c>
      <c r="B842" s="213" t="s">
        <v>1239</v>
      </c>
      <c r="C842" s="213">
        <v>6.17</v>
      </c>
      <c r="D842">
        <f t="shared" si="13"/>
        <v>1548</v>
      </c>
      <c r="E842" s="213"/>
      <c r="F842" s="213"/>
      <c r="G842" s="213"/>
      <c r="H842" s="213"/>
      <c r="I842" s="213"/>
      <c r="J842" s="213"/>
      <c r="K842" s="213"/>
      <c r="L842" s="213"/>
      <c r="M842" s="213"/>
      <c r="N842" s="213"/>
      <c r="O842" s="213"/>
      <c r="P842" s="213"/>
    </row>
    <row r="843" spans="1:16">
      <c r="A843" s="213">
        <v>8011</v>
      </c>
      <c r="B843" s="213" t="s">
        <v>1240</v>
      </c>
      <c r="C843" s="213">
        <v>18.149999999999999</v>
      </c>
      <c r="D843">
        <f t="shared" si="13"/>
        <v>966</v>
      </c>
      <c r="E843" s="213"/>
      <c r="F843" s="213"/>
      <c r="G843" s="213"/>
      <c r="H843" s="213"/>
      <c r="I843" s="213"/>
      <c r="J843" s="213"/>
      <c r="K843" s="213"/>
      <c r="L843" s="213"/>
      <c r="M843" s="213"/>
      <c r="N843" s="213"/>
      <c r="O843" s="213"/>
      <c r="P843" s="213"/>
    </row>
    <row r="844" spans="1:16">
      <c r="A844" s="213">
        <v>8016</v>
      </c>
      <c r="B844" s="213" t="s">
        <v>1241</v>
      </c>
      <c r="C844" s="213">
        <v>117</v>
      </c>
      <c r="D844">
        <f t="shared" si="13"/>
        <v>109</v>
      </c>
      <c r="E844" s="213"/>
      <c r="F844" s="213"/>
      <c r="G844" s="213"/>
      <c r="H844" s="213"/>
      <c r="I844" s="213"/>
      <c r="J844" s="213"/>
      <c r="K844" s="213"/>
      <c r="L844" s="213"/>
      <c r="M844" s="213"/>
      <c r="N844" s="213"/>
      <c r="O844" s="213"/>
      <c r="P844" s="213"/>
    </row>
    <row r="845" spans="1:16">
      <c r="A845" s="213">
        <v>8021</v>
      </c>
      <c r="B845" s="213" t="s">
        <v>1242</v>
      </c>
      <c r="C845" s="213">
        <v>19.899999999999999</v>
      </c>
      <c r="D845">
        <f t="shared" si="13"/>
        <v>911</v>
      </c>
      <c r="E845" s="213"/>
      <c r="F845" s="213"/>
      <c r="G845" s="213"/>
      <c r="H845" s="213"/>
      <c r="I845" s="213"/>
      <c r="J845" s="213"/>
      <c r="K845" s="213"/>
      <c r="L845" s="213"/>
      <c r="M845" s="213"/>
      <c r="N845" s="213"/>
      <c r="O845" s="213"/>
      <c r="P845" s="213"/>
    </row>
    <row r="846" spans="1:16">
      <c r="A846" s="213">
        <v>8033</v>
      </c>
      <c r="B846" s="213" t="s">
        <v>1243</v>
      </c>
      <c r="C846" s="213">
        <v>8.5299999999999994</v>
      </c>
      <c r="D846">
        <f t="shared" si="13"/>
        <v>1445</v>
      </c>
      <c r="E846" s="213"/>
      <c r="F846" s="213"/>
      <c r="G846" s="213"/>
      <c r="H846" s="213"/>
      <c r="I846" s="213"/>
      <c r="J846" s="213"/>
      <c r="K846" s="213"/>
      <c r="L846" s="213"/>
      <c r="M846" s="213"/>
      <c r="N846" s="213"/>
      <c r="O846" s="213"/>
      <c r="P846" s="213"/>
    </row>
    <row r="847" spans="1:16">
      <c r="A847" s="213">
        <v>8039</v>
      </c>
      <c r="B847" s="213" t="s">
        <v>1244</v>
      </c>
      <c r="C847" s="213">
        <v>30</v>
      </c>
      <c r="D847">
        <f t="shared" si="13"/>
        <v>609</v>
      </c>
      <c r="E847" s="213"/>
      <c r="F847" s="213"/>
      <c r="G847" s="213"/>
      <c r="H847" s="213"/>
      <c r="I847" s="213"/>
      <c r="J847" s="213"/>
      <c r="K847" s="213"/>
      <c r="L847" s="213"/>
      <c r="M847" s="213"/>
      <c r="N847" s="213"/>
      <c r="O847" s="213"/>
      <c r="P847" s="213"/>
    </row>
    <row r="848" spans="1:16">
      <c r="A848" s="213">
        <v>8046</v>
      </c>
      <c r="B848" s="213" t="s">
        <v>1245</v>
      </c>
      <c r="C848" s="213">
        <v>24</v>
      </c>
      <c r="D848">
        <f t="shared" si="13"/>
        <v>767</v>
      </c>
      <c r="E848" s="213"/>
      <c r="F848" s="213"/>
      <c r="G848" s="213"/>
      <c r="H848" s="213"/>
      <c r="I848" s="213"/>
      <c r="J848" s="213"/>
      <c r="K848" s="213"/>
      <c r="L848" s="213"/>
      <c r="M848" s="213"/>
      <c r="N848" s="213"/>
      <c r="O848" s="213"/>
      <c r="P848" s="213"/>
    </row>
    <row r="849" spans="1:16">
      <c r="A849" s="213">
        <v>8070</v>
      </c>
      <c r="B849" s="213" t="s">
        <v>1246</v>
      </c>
      <c r="C849" s="213">
        <v>136</v>
      </c>
      <c r="D849">
        <f t="shared" si="13"/>
        <v>90</v>
      </c>
      <c r="E849" s="213"/>
      <c r="F849" s="213"/>
      <c r="G849" s="213"/>
      <c r="H849" s="213"/>
      <c r="I849" s="213"/>
      <c r="J849" s="213"/>
      <c r="K849" s="213"/>
      <c r="L849" s="213"/>
      <c r="M849" s="213"/>
      <c r="N849" s="213"/>
      <c r="O849" s="213"/>
      <c r="P849" s="213"/>
    </row>
    <row r="850" spans="1:16">
      <c r="A850" s="213">
        <v>8072</v>
      </c>
      <c r="B850" s="213" t="s">
        <v>1247</v>
      </c>
      <c r="C850" s="213">
        <v>22.2</v>
      </c>
      <c r="D850">
        <f t="shared" si="13"/>
        <v>838</v>
      </c>
      <c r="E850" s="213"/>
      <c r="F850" s="213"/>
      <c r="G850" s="213"/>
      <c r="H850" s="213"/>
      <c r="I850" s="213"/>
      <c r="J850" s="213"/>
      <c r="K850" s="213"/>
      <c r="L850" s="213"/>
      <c r="M850" s="213"/>
      <c r="N850" s="213"/>
      <c r="O850" s="213"/>
      <c r="P850" s="213"/>
    </row>
    <row r="851" spans="1:16">
      <c r="A851" s="213">
        <v>8081</v>
      </c>
      <c r="B851" s="213" t="s">
        <v>1248</v>
      </c>
      <c r="C851" s="213">
        <v>70.400000000000006</v>
      </c>
      <c r="D851">
        <f t="shared" si="13"/>
        <v>227</v>
      </c>
      <c r="E851" s="213"/>
      <c r="F851" s="213"/>
      <c r="G851" s="213"/>
      <c r="H851" s="213"/>
      <c r="I851" s="213"/>
      <c r="J851" s="213"/>
      <c r="K851" s="213"/>
      <c r="L851" s="213"/>
      <c r="M851" s="213"/>
      <c r="N851" s="213"/>
      <c r="O851" s="213"/>
      <c r="P851" s="213"/>
    </row>
    <row r="852" spans="1:16">
      <c r="A852" s="213">
        <v>8101</v>
      </c>
      <c r="B852" s="213" t="s">
        <v>1249</v>
      </c>
      <c r="C852" s="213">
        <v>4.9800000000000004</v>
      </c>
      <c r="D852">
        <f t="shared" si="13"/>
        <v>1576</v>
      </c>
      <c r="E852" s="213"/>
      <c r="F852" s="213"/>
      <c r="G852" s="213"/>
      <c r="H852" s="213"/>
      <c r="I852" s="213"/>
      <c r="J852" s="213"/>
      <c r="K852" s="213"/>
      <c r="L852" s="213"/>
      <c r="M852" s="213"/>
      <c r="N852" s="213"/>
      <c r="O852" s="213"/>
      <c r="P852" s="213"/>
    </row>
    <row r="853" spans="1:16">
      <c r="A853" s="213">
        <v>8103</v>
      </c>
      <c r="B853" s="213" t="s">
        <v>1250</v>
      </c>
      <c r="C853" s="213">
        <v>26.85</v>
      </c>
      <c r="D853">
        <f t="shared" si="13"/>
        <v>695</v>
      </c>
      <c r="E853" s="213"/>
      <c r="F853" s="213"/>
      <c r="G853" s="213"/>
      <c r="H853" s="213"/>
      <c r="I853" s="213"/>
      <c r="J853" s="213"/>
      <c r="K853" s="213"/>
      <c r="L853" s="213"/>
      <c r="M853" s="213"/>
      <c r="N853" s="213"/>
      <c r="O853" s="213"/>
      <c r="P853" s="213"/>
    </row>
    <row r="854" spans="1:16">
      <c r="A854" s="213">
        <v>8105</v>
      </c>
      <c r="B854" s="213" t="s">
        <v>1251</v>
      </c>
      <c r="C854" s="213">
        <v>17.100000000000001</v>
      </c>
      <c r="D854">
        <f t="shared" si="13"/>
        <v>1025</v>
      </c>
      <c r="E854" s="213"/>
      <c r="F854" s="213"/>
      <c r="G854" s="213"/>
      <c r="H854" s="213"/>
      <c r="I854" s="213"/>
      <c r="J854" s="213"/>
      <c r="K854" s="213"/>
      <c r="L854" s="213"/>
      <c r="M854" s="213"/>
      <c r="N854" s="213"/>
      <c r="O854" s="213"/>
      <c r="P854" s="213"/>
    </row>
    <row r="855" spans="1:16">
      <c r="A855" s="213">
        <v>8110</v>
      </c>
      <c r="B855" s="213" t="s">
        <v>1252</v>
      </c>
      <c r="C855" s="213">
        <v>11.1</v>
      </c>
      <c r="D855">
        <f t="shared" si="13"/>
        <v>1300</v>
      </c>
      <c r="E855" s="213"/>
      <c r="F855" s="213"/>
      <c r="G855" s="213"/>
      <c r="H855" s="213"/>
      <c r="I855" s="213"/>
      <c r="J855" s="213"/>
      <c r="K855" s="213"/>
      <c r="L855" s="213"/>
      <c r="M855" s="213"/>
      <c r="N855" s="213"/>
      <c r="O855" s="213"/>
      <c r="P855" s="213"/>
    </row>
    <row r="856" spans="1:16">
      <c r="A856" s="213">
        <v>8112</v>
      </c>
      <c r="B856" s="213" t="s">
        <v>1253</v>
      </c>
      <c r="C856" s="213">
        <v>21.2</v>
      </c>
      <c r="D856">
        <f t="shared" si="13"/>
        <v>869</v>
      </c>
      <c r="E856" s="213"/>
      <c r="F856" s="213"/>
      <c r="G856" s="213"/>
      <c r="H856" s="213"/>
      <c r="I856" s="213"/>
      <c r="J856" s="213"/>
      <c r="K856" s="213"/>
      <c r="L856" s="213"/>
      <c r="M856" s="213"/>
      <c r="N856" s="213"/>
      <c r="O856" s="213"/>
      <c r="P856" s="213"/>
    </row>
    <row r="857" spans="1:16">
      <c r="A857" s="213">
        <v>8114</v>
      </c>
      <c r="B857" s="213" t="s">
        <v>1254</v>
      </c>
      <c r="C857" s="213">
        <v>197</v>
      </c>
      <c r="D857">
        <f t="shared" si="13"/>
        <v>49</v>
      </c>
      <c r="E857" s="213"/>
      <c r="F857" s="213"/>
      <c r="G857" s="213"/>
      <c r="H857" s="213"/>
      <c r="I857" s="213"/>
      <c r="J857" s="213"/>
      <c r="K857" s="213"/>
      <c r="L857" s="213"/>
      <c r="M857" s="213"/>
      <c r="N857" s="213"/>
      <c r="O857" s="213"/>
      <c r="P857" s="213"/>
    </row>
    <row r="858" spans="1:16">
      <c r="A858" s="213">
        <v>8131</v>
      </c>
      <c r="B858" s="213" t="s">
        <v>1255</v>
      </c>
      <c r="C858" s="213">
        <v>22.05</v>
      </c>
      <c r="D858">
        <f t="shared" si="13"/>
        <v>844</v>
      </c>
      <c r="E858" s="213"/>
      <c r="F858" s="213"/>
      <c r="G858" s="213"/>
      <c r="H858" s="213"/>
      <c r="I858" s="213"/>
      <c r="J858" s="213"/>
      <c r="K858" s="213"/>
      <c r="L858" s="213"/>
      <c r="M858" s="213"/>
      <c r="N858" s="213"/>
      <c r="O858" s="213"/>
      <c r="P858" s="213"/>
    </row>
    <row r="859" spans="1:16">
      <c r="A859" s="213">
        <v>8150</v>
      </c>
      <c r="B859" s="213" t="s">
        <v>1256</v>
      </c>
      <c r="C859" s="213">
        <v>28</v>
      </c>
      <c r="D859">
        <f t="shared" si="13"/>
        <v>667</v>
      </c>
      <c r="E859" s="213"/>
      <c r="F859" s="213"/>
      <c r="G859" s="213"/>
      <c r="H859" s="213"/>
      <c r="I859" s="213"/>
      <c r="J859" s="213"/>
      <c r="K859" s="213"/>
      <c r="L859" s="213"/>
      <c r="M859" s="213"/>
      <c r="N859" s="213"/>
      <c r="O859" s="213"/>
      <c r="P859" s="213"/>
    </row>
    <row r="860" spans="1:16">
      <c r="A860" s="213">
        <v>8163</v>
      </c>
      <c r="B860" s="213" t="s">
        <v>1257</v>
      </c>
      <c r="C860" s="213">
        <v>18.649999999999999</v>
      </c>
      <c r="D860">
        <f t="shared" si="13"/>
        <v>946</v>
      </c>
      <c r="E860" s="213"/>
      <c r="F860" s="213"/>
      <c r="G860" s="213"/>
      <c r="H860" s="213"/>
      <c r="I860" s="213"/>
      <c r="J860" s="213"/>
      <c r="K860" s="213"/>
      <c r="L860" s="213"/>
      <c r="M860" s="213"/>
      <c r="N860" s="213"/>
      <c r="O860" s="213"/>
      <c r="P860" s="213"/>
    </row>
    <row r="861" spans="1:16">
      <c r="A861" s="213">
        <v>8201</v>
      </c>
      <c r="B861" s="213" t="s">
        <v>1258</v>
      </c>
      <c r="C861" s="213">
        <v>9.01</v>
      </c>
      <c r="D861">
        <f t="shared" si="13"/>
        <v>1420</v>
      </c>
      <c r="E861" s="213"/>
      <c r="F861" s="213"/>
      <c r="G861" s="213"/>
      <c r="H861" s="213"/>
      <c r="I861" s="213"/>
      <c r="J861" s="213"/>
      <c r="K861" s="213"/>
      <c r="L861" s="213"/>
      <c r="M861" s="213"/>
      <c r="N861" s="213"/>
      <c r="O861" s="213"/>
      <c r="P861" s="213"/>
    </row>
    <row r="862" spans="1:16">
      <c r="A862" s="213">
        <v>8210</v>
      </c>
      <c r="B862" s="213" t="s">
        <v>1259</v>
      </c>
      <c r="C862" s="213">
        <v>53</v>
      </c>
      <c r="D862">
        <f t="shared" si="13"/>
        <v>313</v>
      </c>
      <c r="E862" s="213"/>
      <c r="F862" s="213"/>
      <c r="G862" s="213"/>
      <c r="H862" s="213"/>
      <c r="I862" s="213"/>
      <c r="J862" s="213"/>
      <c r="K862" s="213"/>
      <c r="L862" s="213"/>
      <c r="M862" s="213"/>
      <c r="N862" s="213"/>
      <c r="O862" s="213"/>
      <c r="P862" s="213"/>
    </row>
    <row r="863" spans="1:16">
      <c r="A863" s="213">
        <v>8213</v>
      </c>
      <c r="B863" s="213" t="s">
        <v>1260</v>
      </c>
      <c r="C863" s="213">
        <v>31.15</v>
      </c>
      <c r="D863">
        <f t="shared" si="13"/>
        <v>590</v>
      </c>
      <c r="E863" s="213"/>
      <c r="F863" s="213"/>
      <c r="G863" s="213"/>
      <c r="H863" s="213"/>
      <c r="I863" s="213"/>
      <c r="J863" s="213"/>
      <c r="K863" s="213"/>
      <c r="L863" s="213"/>
      <c r="M863" s="213"/>
      <c r="N863" s="213"/>
      <c r="O863" s="213"/>
      <c r="P863" s="213"/>
    </row>
    <row r="864" spans="1:16">
      <c r="A864" s="213">
        <v>8215</v>
      </c>
      <c r="B864" s="213" t="s">
        <v>1261</v>
      </c>
      <c r="C864" s="213">
        <v>14.2</v>
      </c>
      <c r="D864">
        <f t="shared" si="13"/>
        <v>1151</v>
      </c>
      <c r="E864" s="213"/>
      <c r="F864" s="213"/>
      <c r="G864" s="213"/>
      <c r="H864" s="213"/>
      <c r="I864" s="213"/>
      <c r="J864" s="213"/>
      <c r="K864" s="213"/>
      <c r="L864" s="213"/>
      <c r="M864" s="213"/>
      <c r="N864" s="213"/>
      <c r="O864" s="213"/>
      <c r="P864" s="213"/>
    </row>
    <row r="865" spans="1:16">
      <c r="A865" s="213">
        <v>8222</v>
      </c>
      <c r="B865" s="213" t="s">
        <v>1262</v>
      </c>
      <c r="C865" s="213">
        <v>27.6</v>
      </c>
      <c r="D865">
        <f t="shared" si="13"/>
        <v>676</v>
      </c>
      <c r="E865" s="213"/>
      <c r="F865" s="213"/>
      <c r="G865" s="213"/>
      <c r="H865" s="213"/>
      <c r="I865" s="213"/>
      <c r="J865" s="213"/>
      <c r="K865" s="213"/>
      <c r="L865" s="213"/>
      <c r="M865" s="213"/>
      <c r="N865" s="213"/>
      <c r="O865" s="213"/>
      <c r="P865" s="213"/>
    </row>
    <row r="866" spans="1:16">
      <c r="A866" s="213">
        <v>8249</v>
      </c>
      <c r="B866" s="213" t="s">
        <v>1263</v>
      </c>
      <c r="C866" s="213">
        <v>20</v>
      </c>
      <c r="D866">
        <f t="shared" si="13"/>
        <v>903</v>
      </c>
      <c r="E866" s="213"/>
      <c r="F866" s="213"/>
      <c r="G866" s="213"/>
      <c r="H866" s="213"/>
      <c r="I866" s="213"/>
      <c r="J866" s="213"/>
      <c r="K866" s="213"/>
      <c r="L866" s="213"/>
      <c r="M866" s="213"/>
      <c r="N866" s="213"/>
      <c r="O866" s="213"/>
      <c r="P866" s="213"/>
    </row>
    <row r="867" spans="1:16">
      <c r="A867" s="213">
        <v>8261</v>
      </c>
      <c r="B867" s="213" t="s">
        <v>1264</v>
      </c>
      <c r="C867" s="213">
        <v>25.1</v>
      </c>
      <c r="D867">
        <f t="shared" si="13"/>
        <v>736</v>
      </c>
      <c r="E867" s="213"/>
      <c r="F867" s="213"/>
      <c r="G867" s="213"/>
      <c r="H867" s="213"/>
      <c r="I867" s="213"/>
      <c r="J867" s="213"/>
      <c r="K867" s="213"/>
      <c r="L867" s="213"/>
      <c r="M867" s="213"/>
      <c r="N867" s="213"/>
      <c r="O867" s="213"/>
      <c r="P867" s="213"/>
    </row>
    <row r="868" spans="1:16">
      <c r="A868" s="213">
        <v>8271</v>
      </c>
      <c r="B868" s="213" t="s">
        <v>1265</v>
      </c>
      <c r="C868" s="213">
        <v>34.35</v>
      </c>
      <c r="D868">
        <f t="shared" si="13"/>
        <v>533</v>
      </c>
      <c r="E868" s="213"/>
      <c r="F868" s="213"/>
      <c r="G868" s="213"/>
      <c r="H868" s="213"/>
      <c r="I868" s="213"/>
      <c r="J868" s="213"/>
      <c r="K868" s="213"/>
      <c r="L868" s="213"/>
      <c r="M868" s="213"/>
      <c r="N868" s="213"/>
      <c r="O868" s="213"/>
      <c r="P868" s="213"/>
    </row>
    <row r="869" spans="1:16">
      <c r="A869" s="213">
        <v>8341</v>
      </c>
      <c r="B869" s="213" t="s">
        <v>1266</v>
      </c>
      <c r="C869" s="213">
        <v>119</v>
      </c>
      <c r="D869">
        <f t="shared" si="13"/>
        <v>107</v>
      </c>
      <c r="E869" s="213"/>
      <c r="F869" s="213"/>
      <c r="G869" s="213"/>
      <c r="H869" s="213"/>
      <c r="I869" s="213"/>
      <c r="J869" s="213"/>
      <c r="K869" s="213"/>
      <c r="L869" s="213"/>
      <c r="M869" s="213"/>
      <c r="N869" s="213"/>
      <c r="O869" s="213"/>
      <c r="P869" s="213"/>
    </row>
    <row r="870" spans="1:16">
      <c r="A870" s="213">
        <v>8374</v>
      </c>
      <c r="B870" s="213" t="s">
        <v>1267</v>
      </c>
      <c r="C870" s="213">
        <v>14.2</v>
      </c>
      <c r="D870">
        <f t="shared" si="13"/>
        <v>1151</v>
      </c>
      <c r="E870" s="213"/>
      <c r="F870" s="213"/>
      <c r="G870" s="213"/>
      <c r="H870" s="213"/>
      <c r="I870" s="213"/>
      <c r="J870" s="213"/>
      <c r="K870" s="213"/>
      <c r="L870" s="213"/>
      <c r="M870" s="213"/>
      <c r="N870" s="213"/>
      <c r="O870" s="213"/>
      <c r="P870" s="213"/>
    </row>
    <row r="871" spans="1:16">
      <c r="A871" s="213">
        <v>8404</v>
      </c>
      <c r="B871" s="213" t="s">
        <v>2080</v>
      </c>
      <c r="C871" s="213">
        <v>39.200000000000003</v>
      </c>
      <c r="D871">
        <f t="shared" si="13"/>
        <v>462</v>
      </c>
      <c r="E871" s="213"/>
      <c r="F871" s="213"/>
      <c r="G871" s="213"/>
      <c r="H871" s="213"/>
      <c r="I871" s="213"/>
      <c r="J871" s="213"/>
      <c r="K871" s="213"/>
      <c r="L871" s="213"/>
      <c r="M871" s="213"/>
      <c r="N871" s="213"/>
      <c r="O871" s="213"/>
      <c r="P871" s="213"/>
    </row>
    <row r="872" spans="1:16">
      <c r="A872" s="213">
        <v>8411</v>
      </c>
      <c r="B872" s="213" t="s">
        <v>2081</v>
      </c>
      <c r="C872" s="213">
        <v>26.2</v>
      </c>
      <c r="D872">
        <f t="shared" si="13"/>
        <v>704</v>
      </c>
      <c r="E872" s="213"/>
      <c r="F872" s="213"/>
      <c r="G872" s="213"/>
      <c r="H872" s="213"/>
      <c r="I872" s="213"/>
      <c r="J872" s="213"/>
      <c r="K872" s="213"/>
      <c r="L872" s="213"/>
      <c r="M872" s="213"/>
      <c r="N872" s="213"/>
      <c r="O872" s="213"/>
      <c r="P872" s="213"/>
    </row>
    <row r="873" spans="1:16">
      <c r="A873" s="213">
        <v>8422</v>
      </c>
      <c r="B873" s="213" t="s">
        <v>1268</v>
      </c>
      <c r="C873" s="213">
        <v>174</v>
      </c>
      <c r="D873">
        <f t="shared" si="13"/>
        <v>61</v>
      </c>
      <c r="E873" s="213"/>
      <c r="F873" s="213"/>
      <c r="G873" s="213"/>
      <c r="H873" s="213"/>
      <c r="I873" s="213"/>
      <c r="J873" s="213"/>
      <c r="K873" s="213"/>
      <c r="L873" s="213"/>
      <c r="M873" s="213"/>
      <c r="N873" s="213"/>
      <c r="O873" s="213"/>
      <c r="P873" s="213"/>
    </row>
    <row r="874" spans="1:16">
      <c r="A874" s="213">
        <v>8427</v>
      </c>
      <c r="B874" s="213" t="s">
        <v>2082</v>
      </c>
      <c r="C874" s="213">
        <v>69.5</v>
      </c>
      <c r="D874">
        <f t="shared" si="13"/>
        <v>231</v>
      </c>
      <c r="E874" s="213"/>
      <c r="F874" s="213"/>
      <c r="G874" s="213"/>
      <c r="H874" s="213"/>
      <c r="I874" s="213"/>
      <c r="J874" s="213"/>
      <c r="K874" s="213"/>
      <c r="L874" s="213"/>
      <c r="M874" s="213"/>
      <c r="N874" s="213"/>
      <c r="O874" s="213"/>
      <c r="P874" s="213"/>
    </row>
    <row r="875" spans="1:16">
      <c r="A875" s="213">
        <v>8429</v>
      </c>
      <c r="B875" s="213" t="s">
        <v>2083</v>
      </c>
      <c r="C875" s="213">
        <v>39</v>
      </c>
      <c r="D875">
        <f t="shared" si="13"/>
        <v>463</v>
      </c>
      <c r="E875" s="213"/>
      <c r="F875" s="213"/>
      <c r="G875" s="213"/>
      <c r="H875" s="213"/>
      <c r="I875" s="213"/>
      <c r="J875" s="213"/>
      <c r="K875" s="213"/>
      <c r="L875" s="213"/>
      <c r="M875" s="213"/>
      <c r="N875" s="213"/>
      <c r="O875" s="213"/>
      <c r="P875" s="213"/>
    </row>
    <row r="876" spans="1:16">
      <c r="A876" s="213">
        <v>8443</v>
      </c>
      <c r="B876" s="213" t="s">
        <v>1269</v>
      </c>
      <c r="C876" s="213">
        <v>19.149999999999999</v>
      </c>
      <c r="D876">
        <f t="shared" si="13"/>
        <v>930</v>
      </c>
      <c r="E876" s="213"/>
      <c r="F876" s="213"/>
      <c r="G876" s="213"/>
      <c r="H876" s="213"/>
      <c r="I876" s="213"/>
      <c r="J876" s="213"/>
      <c r="K876" s="213"/>
      <c r="L876" s="213"/>
      <c r="M876" s="213"/>
      <c r="N876" s="213"/>
      <c r="O876" s="213"/>
      <c r="P876" s="213"/>
    </row>
    <row r="877" spans="1:16">
      <c r="A877" s="213">
        <v>8454</v>
      </c>
      <c r="B877" s="213" t="s">
        <v>1270</v>
      </c>
      <c r="C877" s="213">
        <v>210</v>
      </c>
      <c r="D877">
        <f t="shared" si="13"/>
        <v>41</v>
      </c>
      <c r="E877" s="213"/>
      <c r="F877" s="213"/>
      <c r="G877" s="213"/>
      <c r="H877" s="213"/>
      <c r="I877" s="213"/>
      <c r="J877" s="213"/>
      <c r="K877" s="213"/>
      <c r="L877" s="213"/>
      <c r="M877" s="213"/>
      <c r="N877" s="213"/>
      <c r="O877" s="213"/>
      <c r="P877" s="213"/>
    </row>
    <row r="878" spans="1:16">
      <c r="A878" s="213">
        <v>8463</v>
      </c>
      <c r="B878" s="213" t="s">
        <v>1271</v>
      </c>
      <c r="C878" s="213">
        <v>16.75</v>
      </c>
      <c r="D878">
        <f t="shared" si="13"/>
        <v>1046</v>
      </c>
      <c r="E878" s="213"/>
      <c r="F878" s="213"/>
      <c r="G878" s="213"/>
      <c r="H878" s="213"/>
      <c r="I878" s="213"/>
      <c r="J878" s="213"/>
      <c r="K878" s="213"/>
      <c r="L878" s="213"/>
      <c r="M878" s="213"/>
      <c r="N878" s="213"/>
      <c r="O878" s="213"/>
      <c r="P878" s="213"/>
    </row>
    <row r="879" spans="1:16">
      <c r="A879" s="213">
        <v>8464</v>
      </c>
      <c r="B879" s="213" t="s">
        <v>1789</v>
      </c>
      <c r="C879" s="213">
        <v>363.5</v>
      </c>
      <c r="D879">
        <f t="shared" si="13"/>
        <v>15</v>
      </c>
      <c r="E879" s="213"/>
      <c r="F879" s="213"/>
      <c r="G879" s="213"/>
      <c r="H879" s="213"/>
      <c r="I879" s="213"/>
      <c r="J879" s="213"/>
      <c r="K879" s="213"/>
      <c r="L879" s="213"/>
      <c r="M879" s="213"/>
      <c r="N879" s="213"/>
      <c r="O879" s="213"/>
      <c r="P879" s="213"/>
    </row>
    <row r="880" spans="1:16">
      <c r="A880" s="213">
        <v>8467</v>
      </c>
      <c r="B880" s="213" t="s">
        <v>2084</v>
      </c>
      <c r="C880" s="213">
        <v>36.200000000000003</v>
      </c>
      <c r="D880">
        <f t="shared" si="13"/>
        <v>508</v>
      </c>
      <c r="E880" s="213"/>
      <c r="F880" s="213"/>
      <c r="G880" s="213"/>
      <c r="H880" s="213"/>
      <c r="I880" s="213"/>
      <c r="J880" s="213"/>
      <c r="K880" s="213"/>
      <c r="L880" s="213"/>
      <c r="M880" s="213"/>
      <c r="N880" s="213"/>
      <c r="O880" s="213"/>
      <c r="P880" s="213"/>
    </row>
    <row r="881" spans="1:16">
      <c r="A881" s="213">
        <v>8473</v>
      </c>
      <c r="B881" s="213" t="s">
        <v>3148</v>
      </c>
      <c r="C881" s="213">
        <v>54.7</v>
      </c>
      <c r="D881">
        <f t="shared" si="13"/>
        <v>304</v>
      </c>
      <c r="E881" s="213"/>
      <c r="F881" s="213"/>
      <c r="G881" s="213"/>
      <c r="H881" s="213"/>
      <c r="I881" s="213"/>
      <c r="J881" s="213"/>
      <c r="K881" s="213"/>
      <c r="L881" s="213"/>
      <c r="M881" s="213"/>
      <c r="N881" s="213"/>
      <c r="O881" s="213"/>
      <c r="P881" s="213"/>
    </row>
    <row r="882" spans="1:16">
      <c r="A882" s="213">
        <v>8926</v>
      </c>
      <c r="B882" s="213" t="s">
        <v>1272</v>
      </c>
      <c r="C882" s="213">
        <v>23.3</v>
      </c>
      <c r="D882">
        <f t="shared" si="13"/>
        <v>803</v>
      </c>
      <c r="E882" s="213"/>
      <c r="F882" s="213"/>
      <c r="G882" s="213"/>
      <c r="H882" s="213"/>
      <c r="I882" s="213"/>
      <c r="J882" s="213"/>
      <c r="K882" s="213"/>
      <c r="L882" s="213"/>
      <c r="M882" s="213"/>
      <c r="N882" s="213"/>
      <c r="O882" s="213"/>
      <c r="P882" s="213"/>
    </row>
    <row r="883" spans="1:16">
      <c r="A883" s="213">
        <v>8940</v>
      </c>
      <c r="B883" s="213" t="s">
        <v>1273</v>
      </c>
      <c r="C883" s="213">
        <v>15.1</v>
      </c>
      <c r="D883">
        <f t="shared" si="13"/>
        <v>1119</v>
      </c>
      <c r="E883" s="213"/>
      <c r="F883" s="213"/>
      <c r="G883" s="213"/>
      <c r="H883" s="213"/>
      <c r="I883" s="213"/>
      <c r="J883" s="213"/>
      <c r="K883" s="213"/>
      <c r="L883" s="213"/>
      <c r="M883" s="213"/>
      <c r="N883" s="213"/>
      <c r="O883" s="213"/>
      <c r="P883" s="213"/>
    </row>
    <row r="884" spans="1:16">
      <c r="A884" s="213">
        <v>8996</v>
      </c>
      <c r="B884" s="213" t="s">
        <v>1274</v>
      </c>
      <c r="C884" s="213">
        <v>57</v>
      </c>
      <c r="D884">
        <f t="shared" si="13"/>
        <v>293</v>
      </c>
      <c r="E884" s="213"/>
      <c r="F884" s="213"/>
      <c r="G884" s="213"/>
      <c r="H884" s="213"/>
      <c r="I884" s="213"/>
      <c r="J884" s="213"/>
      <c r="K884" s="213"/>
      <c r="L884" s="213"/>
      <c r="M884" s="213"/>
      <c r="N884" s="213"/>
      <c r="O884" s="213"/>
      <c r="P884" s="213"/>
    </row>
    <row r="885" spans="1:16">
      <c r="A885" s="213">
        <v>9103</v>
      </c>
      <c r="B885" s="213" t="s">
        <v>2085</v>
      </c>
      <c r="C885" s="213">
        <v>1.8</v>
      </c>
      <c r="D885">
        <f t="shared" si="13"/>
        <v>1619</v>
      </c>
      <c r="E885" s="213"/>
      <c r="F885" s="213"/>
      <c r="G885" s="213"/>
      <c r="H885" s="213"/>
      <c r="I885" s="213"/>
      <c r="J885" s="213"/>
      <c r="K885" s="213"/>
      <c r="L885" s="213"/>
      <c r="M885" s="213"/>
      <c r="N885" s="213"/>
      <c r="O885" s="213"/>
      <c r="P885" s="213"/>
    </row>
    <row r="886" spans="1:16">
      <c r="A886" s="213">
        <v>910322</v>
      </c>
      <c r="B886" s="213" t="s">
        <v>2086</v>
      </c>
      <c r="C886" s="213">
        <v>17.2</v>
      </c>
      <c r="D886">
        <f t="shared" si="13"/>
        <v>1015</v>
      </c>
      <c r="E886" s="213"/>
      <c r="F886" s="213"/>
      <c r="G886" s="213"/>
      <c r="H886" s="213"/>
      <c r="I886" s="213"/>
      <c r="J886" s="213"/>
      <c r="K886" s="213"/>
      <c r="L886" s="213"/>
      <c r="M886" s="213"/>
      <c r="N886" s="213"/>
      <c r="O886" s="213"/>
      <c r="P886" s="213"/>
    </row>
    <row r="887" spans="1:16">
      <c r="A887" s="213">
        <v>910482</v>
      </c>
      <c r="B887" s="213" t="s">
        <v>2087</v>
      </c>
      <c r="C887" s="213" t="s">
        <v>1744</v>
      </c>
      <c r="D887" t="e">
        <f t="shared" si="13"/>
        <v>#VALUE!</v>
      </c>
      <c r="E887" s="213"/>
      <c r="F887" s="213"/>
      <c r="G887" s="213"/>
      <c r="H887" s="213"/>
      <c r="I887" s="213"/>
      <c r="J887" s="213"/>
      <c r="K887" s="213"/>
      <c r="L887" s="213"/>
      <c r="M887" s="213"/>
      <c r="N887" s="213"/>
      <c r="O887" s="213"/>
      <c r="P887" s="213"/>
    </row>
    <row r="888" spans="1:16">
      <c r="A888" s="213">
        <v>9105</v>
      </c>
      <c r="B888" s="213" t="s">
        <v>2088</v>
      </c>
      <c r="C888" s="213">
        <v>2.97</v>
      </c>
      <c r="D888">
        <f t="shared" si="13"/>
        <v>1602</v>
      </c>
      <c r="E888" s="213"/>
      <c r="F888" s="213"/>
      <c r="G888" s="213"/>
      <c r="H888" s="213"/>
      <c r="I888" s="213"/>
      <c r="J888" s="213"/>
      <c r="K888" s="213"/>
      <c r="L888" s="213"/>
      <c r="M888" s="213"/>
      <c r="N888" s="213"/>
      <c r="O888" s="213"/>
      <c r="P888" s="213"/>
    </row>
    <row r="889" spans="1:16">
      <c r="A889" s="213">
        <v>9106</v>
      </c>
      <c r="B889" s="213" t="s">
        <v>2089</v>
      </c>
      <c r="C889" s="213">
        <v>2.2200000000000002</v>
      </c>
      <c r="D889">
        <f t="shared" si="13"/>
        <v>1611</v>
      </c>
      <c r="E889" s="213"/>
      <c r="F889" s="213"/>
      <c r="G889" s="213"/>
      <c r="H889" s="213"/>
      <c r="I889" s="213"/>
      <c r="J889" s="213"/>
      <c r="K889" s="213"/>
      <c r="L889" s="213"/>
      <c r="M889" s="213"/>
      <c r="N889" s="213"/>
      <c r="O889" s="213"/>
      <c r="P889" s="213"/>
    </row>
    <row r="890" spans="1:16">
      <c r="A890" s="213">
        <v>910708</v>
      </c>
      <c r="B890" s="213" t="s">
        <v>2090</v>
      </c>
      <c r="C890" s="213" t="s">
        <v>1744</v>
      </c>
      <c r="D890" t="e">
        <f t="shared" si="13"/>
        <v>#VALUE!</v>
      </c>
      <c r="E890" s="213"/>
      <c r="F890" s="213"/>
      <c r="G890" s="213"/>
      <c r="H890" s="213"/>
      <c r="I890" s="213"/>
      <c r="J890" s="213"/>
      <c r="K890" s="213"/>
      <c r="L890" s="213"/>
      <c r="M890" s="213"/>
      <c r="N890" s="213"/>
      <c r="O890" s="213"/>
      <c r="P890" s="213"/>
    </row>
    <row r="891" spans="1:16">
      <c r="A891" s="213">
        <v>910801</v>
      </c>
      <c r="B891" s="213" t="s">
        <v>2091</v>
      </c>
      <c r="C891" s="213">
        <v>4.22</v>
      </c>
      <c r="D891">
        <f t="shared" si="13"/>
        <v>1586</v>
      </c>
      <c r="E891" s="213"/>
      <c r="F891" s="213"/>
      <c r="G891" s="213"/>
      <c r="H891" s="213"/>
      <c r="I891" s="213"/>
      <c r="J891" s="213"/>
      <c r="K891" s="213"/>
      <c r="L891" s="213"/>
      <c r="M891" s="213"/>
      <c r="N891" s="213"/>
      <c r="O891" s="213"/>
      <c r="P891" s="213"/>
    </row>
    <row r="892" spans="1:16">
      <c r="A892" s="213">
        <v>910861</v>
      </c>
      <c r="B892" s="213" t="s">
        <v>2092</v>
      </c>
      <c r="C892" s="213">
        <v>14.7</v>
      </c>
      <c r="D892">
        <f t="shared" si="13"/>
        <v>1135</v>
      </c>
      <c r="E892" s="213"/>
      <c r="F892" s="213"/>
      <c r="G892" s="213"/>
      <c r="H892" s="213"/>
      <c r="I892" s="213"/>
      <c r="J892" s="213"/>
      <c r="K892" s="213"/>
      <c r="L892" s="213"/>
      <c r="M892" s="213"/>
      <c r="N892" s="213"/>
      <c r="O892" s="213"/>
      <c r="P892" s="213"/>
    </row>
    <row r="893" spans="1:16">
      <c r="A893" s="213">
        <v>9110</v>
      </c>
      <c r="B893" s="213" t="s">
        <v>2093</v>
      </c>
      <c r="C893" s="213">
        <v>3.64</v>
      </c>
      <c r="D893">
        <f t="shared" si="13"/>
        <v>1596</v>
      </c>
      <c r="E893" s="213"/>
      <c r="F893" s="213"/>
      <c r="G893" s="213"/>
      <c r="H893" s="213"/>
      <c r="I893" s="213"/>
      <c r="J893" s="213"/>
      <c r="K893" s="213"/>
      <c r="L893" s="213"/>
      <c r="M893" s="213"/>
      <c r="N893" s="213"/>
      <c r="O893" s="213"/>
      <c r="P893" s="213"/>
    </row>
    <row r="894" spans="1:16">
      <c r="A894" s="213">
        <v>911608</v>
      </c>
      <c r="B894" s="213" t="s">
        <v>2094</v>
      </c>
      <c r="C894" s="213">
        <v>3.1</v>
      </c>
      <c r="D894">
        <f t="shared" si="13"/>
        <v>1599</v>
      </c>
      <c r="E894" s="213"/>
      <c r="F894" s="213"/>
      <c r="G894" s="213"/>
      <c r="H894" s="213"/>
      <c r="I894" s="213"/>
      <c r="J894" s="213"/>
      <c r="K894" s="213"/>
      <c r="L894" s="213"/>
      <c r="M894" s="213"/>
      <c r="N894" s="213"/>
      <c r="O894" s="213"/>
      <c r="P894" s="213"/>
    </row>
    <row r="895" spans="1:16">
      <c r="A895" s="213">
        <v>911611</v>
      </c>
      <c r="B895" s="213" t="s">
        <v>2095</v>
      </c>
      <c r="C895" s="213">
        <v>0.34</v>
      </c>
      <c r="D895">
        <f t="shared" si="13"/>
        <v>1625</v>
      </c>
      <c r="E895" s="213"/>
      <c r="F895" s="213"/>
      <c r="G895" s="213"/>
      <c r="H895" s="213"/>
      <c r="I895" s="213"/>
      <c r="J895" s="213"/>
      <c r="K895" s="213"/>
      <c r="L895" s="213"/>
      <c r="M895" s="213"/>
      <c r="N895" s="213"/>
      <c r="O895" s="33"/>
      <c r="P895" s="213"/>
    </row>
    <row r="896" spans="1:16">
      <c r="A896" s="213">
        <v>911616</v>
      </c>
      <c r="B896" s="213" t="s">
        <v>2096</v>
      </c>
      <c r="C896" s="213">
        <v>2.02</v>
      </c>
      <c r="D896">
        <f t="shared" si="13"/>
        <v>1615</v>
      </c>
      <c r="E896" s="213"/>
      <c r="F896" s="213"/>
      <c r="G896" s="213"/>
      <c r="H896" s="213"/>
      <c r="I896" s="213"/>
      <c r="J896" s="213"/>
      <c r="K896" s="213"/>
      <c r="L896" s="213"/>
      <c r="M896" s="213"/>
      <c r="N896" s="213"/>
      <c r="O896" s="213"/>
      <c r="P896" s="213"/>
    </row>
    <row r="897" spans="1:16">
      <c r="A897" s="213">
        <v>911619</v>
      </c>
      <c r="B897" s="213" t="s">
        <v>2097</v>
      </c>
      <c r="C897" s="213">
        <v>1.01</v>
      </c>
      <c r="D897">
        <f t="shared" si="13"/>
        <v>1624</v>
      </c>
      <c r="E897" s="213"/>
      <c r="F897" s="213"/>
      <c r="G897" s="213"/>
      <c r="H897" s="213"/>
      <c r="I897" s="213"/>
      <c r="J897" s="213"/>
      <c r="K897" s="213"/>
      <c r="L897" s="213"/>
      <c r="M897" s="213"/>
      <c r="N897" s="213"/>
      <c r="O897" s="213"/>
      <c r="P897" s="213"/>
    </row>
    <row r="898" spans="1:16">
      <c r="A898" s="213">
        <v>911622</v>
      </c>
      <c r="B898" s="213" t="s">
        <v>2098</v>
      </c>
      <c r="C898" s="213" t="s">
        <v>1744</v>
      </c>
      <c r="D898" t="e">
        <f t="shared" ref="D898:D961" si="14">RANK(C898,C:C,0)</f>
        <v>#VALUE!</v>
      </c>
      <c r="E898" s="213"/>
      <c r="F898" s="213"/>
      <c r="G898" s="213"/>
      <c r="H898" s="213"/>
      <c r="I898" s="213"/>
      <c r="J898" s="213"/>
      <c r="K898" s="213"/>
      <c r="L898" s="213"/>
      <c r="M898" s="213"/>
      <c r="N898" s="213"/>
      <c r="O898" s="213"/>
      <c r="P898" s="213"/>
    </row>
    <row r="899" spans="1:16">
      <c r="A899" s="213">
        <v>911868</v>
      </c>
      <c r="B899" s="213" t="s">
        <v>2099</v>
      </c>
      <c r="C899" s="213">
        <v>2.63</v>
      </c>
      <c r="D899">
        <f t="shared" si="14"/>
        <v>1606</v>
      </c>
      <c r="E899" s="213"/>
      <c r="F899" s="213"/>
      <c r="G899" s="213"/>
      <c r="H899" s="213"/>
      <c r="I899" s="213"/>
      <c r="J899" s="213"/>
      <c r="K899" s="213"/>
      <c r="L899" s="213"/>
      <c r="M899" s="213"/>
      <c r="N899" s="213"/>
      <c r="O899" s="213"/>
      <c r="P899" s="213"/>
    </row>
    <row r="900" spans="1:16">
      <c r="A900" s="213">
        <v>912000</v>
      </c>
      <c r="B900" s="213" t="s">
        <v>2100</v>
      </c>
      <c r="C900" s="213">
        <v>2.61</v>
      </c>
      <c r="D900">
        <f t="shared" si="14"/>
        <v>1607</v>
      </c>
      <c r="E900" s="213"/>
      <c r="F900" s="213"/>
      <c r="G900" s="213"/>
      <c r="H900" s="213"/>
      <c r="I900" s="213"/>
      <c r="J900" s="213"/>
      <c r="K900" s="213"/>
      <c r="L900" s="213"/>
      <c r="M900" s="213"/>
      <c r="N900" s="213"/>
      <c r="O900" s="213"/>
      <c r="P900" s="213"/>
    </row>
    <row r="901" spans="1:16">
      <c r="A901" s="213">
        <v>912398</v>
      </c>
      <c r="B901" s="213" t="s">
        <v>2101</v>
      </c>
      <c r="C901" s="213">
        <v>6.58</v>
      </c>
      <c r="D901">
        <f t="shared" si="14"/>
        <v>1532</v>
      </c>
      <c r="E901" s="213"/>
      <c r="F901" s="213"/>
      <c r="G901" s="213"/>
      <c r="H901" s="213"/>
      <c r="I901" s="213"/>
      <c r="J901" s="213"/>
      <c r="K901" s="213"/>
      <c r="L901" s="213"/>
      <c r="M901" s="213"/>
      <c r="N901" s="213"/>
      <c r="O901" s="213"/>
      <c r="P901" s="213"/>
    </row>
    <row r="902" spans="1:16">
      <c r="A902" s="213">
        <v>9136</v>
      </c>
      <c r="B902" s="213" t="s">
        <v>2102</v>
      </c>
      <c r="C902" s="213">
        <v>10.5</v>
      </c>
      <c r="D902">
        <f t="shared" si="14"/>
        <v>1331</v>
      </c>
      <c r="E902" s="213"/>
      <c r="F902" s="213"/>
      <c r="G902" s="213"/>
      <c r="H902" s="213"/>
      <c r="I902" s="213"/>
      <c r="J902" s="213"/>
      <c r="K902" s="213"/>
      <c r="L902" s="213"/>
      <c r="M902" s="213"/>
      <c r="N902" s="213"/>
      <c r="O902" s="213"/>
      <c r="P902" s="213"/>
    </row>
    <row r="903" spans="1:16">
      <c r="A903" s="213">
        <v>9157</v>
      </c>
      <c r="B903" s="213" t="s">
        <v>2103</v>
      </c>
      <c r="C903" s="213">
        <v>1.0900000000000001</v>
      </c>
      <c r="D903">
        <f t="shared" si="14"/>
        <v>1623</v>
      </c>
      <c r="E903" s="213"/>
      <c r="F903" s="213"/>
      <c r="G903" s="213"/>
      <c r="H903" s="213"/>
      <c r="I903" s="213"/>
      <c r="J903" s="213"/>
      <c r="K903" s="213"/>
      <c r="L903" s="213"/>
      <c r="M903" s="213"/>
      <c r="N903" s="213"/>
      <c r="O903" s="213"/>
      <c r="P903" s="213"/>
    </row>
    <row r="904" spans="1:16">
      <c r="A904" s="213">
        <v>9188</v>
      </c>
      <c r="B904" s="213" t="s">
        <v>2104</v>
      </c>
      <c r="C904" s="213">
        <v>3.97</v>
      </c>
      <c r="D904">
        <f t="shared" si="14"/>
        <v>1591</v>
      </c>
      <c r="E904" s="213"/>
      <c r="F904" s="213"/>
      <c r="G904" s="213"/>
      <c r="H904" s="213"/>
      <c r="I904" s="213"/>
      <c r="J904" s="213"/>
      <c r="K904" s="213"/>
      <c r="L904" s="213"/>
      <c r="M904" s="213"/>
      <c r="N904" s="213"/>
      <c r="O904" s="213"/>
      <c r="P904" s="213"/>
    </row>
    <row r="905" spans="1:16">
      <c r="A905" s="213">
        <v>9802</v>
      </c>
      <c r="B905" s="213" t="s">
        <v>2105</v>
      </c>
      <c r="C905" s="213">
        <v>62.1</v>
      </c>
      <c r="D905">
        <f t="shared" si="14"/>
        <v>265</v>
      </c>
      <c r="E905" s="213"/>
      <c r="F905" s="213"/>
      <c r="G905" s="213"/>
      <c r="H905" s="213"/>
      <c r="I905" s="213"/>
      <c r="J905" s="213"/>
      <c r="K905" s="213"/>
      <c r="L905" s="213"/>
      <c r="M905" s="213"/>
      <c r="N905" s="213"/>
      <c r="O905" s="213"/>
      <c r="P905" s="213"/>
    </row>
    <row r="906" spans="1:16">
      <c r="A906" s="213">
        <v>9902</v>
      </c>
      <c r="B906" s="213" t="s">
        <v>1275</v>
      </c>
      <c r="C906" s="213">
        <v>9.02</v>
      </c>
      <c r="D906">
        <f t="shared" si="14"/>
        <v>1419</v>
      </c>
      <c r="E906" s="213"/>
      <c r="F906" s="213"/>
      <c r="G906" s="213"/>
      <c r="H906" s="213"/>
      <c r="I906" s="213"/>
      <c r="J906" s="213"/>
      <c r="K906" s="213"/>
      <c r="L906" s="213"/>
      <c r="M906" s="213"/>
      <c r="N906" s="213"/>
      <c r="O906" s="213"/>
      <c r="P906" s="213"/>
    </row>
    <row r="907" spans="1:16">
      <c r="A907" s="213">
        <v>9904</v>
      </c>
      <c r="B907" s="213" t="s">
        <v>1276</v>
      </c>
      <c r="C907" s="213">
        <v>43.65</v>
      </c>
      <c r="D907">
        <f t="shared" si="14"/>
        <v>411</v>
      </c>
      <c r="E907" s="213"/>
      <c r="F907" s="213"/>
      <c r="G907" s="213"/>
      <c r="H907" s="213"/>
      <c r="I907" s="213"/>
      <c r="J907" s="213"/>
      <c r="K907" s="213"/>
      <c r="L907" s="213"/>
      <c r="M907" s="213"/>
      <c r="N907" s="213"/>
      <c r="O907" s="213"/>
      <c r="P907" s="213"/>
    </row>
    <row r="908" spans="1:16">
      <c r="A908" s="213">
        <v>9905</v>
      </c>
      <c r="B908" s="213" t="s">
        <v>1277</v>
      </c>
      <c r="C908" s="213">
        <v>22.65</v>
      </c>
      <c r="D908">
        <f t="shared" si="14"/>
        <v>823</v>
      </c>
      <c r="E908" s="213"/>
      <c r="F908" s="213"/>
      <c r="G908" s="213"/>
      <c r="H908" s="213"/>
      <c r="I908" s="213"/>
      <c r="J908" s="213"/>
      <c r="K908" s="213"/>
      <c r="L908" s="213"/>
      <c r="M908" s="213"/>
      <c r="N908" s="213"/>
      <c r="O908" s="213"/>
      <c r="P908" s="213"/>
    </row>
    <row r="909" spans="1:16">
      <c r="A909" s="213">
        <v>9906</v>
      </c>
      <c r="B909" s="213" t="s">
        <v>1278</v>
      </c>
      <c r="C909" s="213">
        <v>18.2</v>
      </c>
      <c r="D909">
        <f t="shared" si="14"/>
        <v>964</v>
      </c>
      <c r="E909" s="213"/>
      <c r="F909" s="213"/>
      <c r="G909" s="213"/>
      <c r="H909" s="213"/>
      <c r="I909" s="213"/>
      <c r="J909" s="213"/>
      <c r="K909" s="213"/>
      <c r="L909" s="213"/>
      <c r="M909" s="213"/>
      <c r="N909" s="213"/>
      <c r="O909" s="213"/>
      <c r="P909" s="213"/>
    </row>
    <row r="910" spans="1:16">
      <c r="A910" s="213">
        <v>9907</v>
      </c>
      <c r="B910" s="213" t="s">
        <v>1279</v>
      </c>
      <c r="C910" s="213">
        <v>13.85</v>
      </c>
      <c r="D910">
        <f t="shared" si="14"/>
        <v>1173</v>
      </c>
      <c r="E910" s="213"/>
      <c r="F910" s="213"/>
      <c r="G910" s="213"/>
      <c r="H910" s="213"/>
      <c r="I910" s="213"/>
      <c r="J910" s="213"/>
      <c r="K910" s="213"/>
      <c r="L910" s="213"/>
      <c r="M910" s="213"/>
      <c r="N910" s="213"/>
      <c r="O910" s="213"/>
      <c r="P910" s="213"/>
    </row>
    <row r="911" spans="1:16">
      <c r="A911" s="213">
        <v>9908</v>
      </c>
      <c r="B911" s="213" t="s">
        <v>1280</v>
      </c>
      <c r="C911" s="213">
        <v>23.7</v>
      </c>
      <c r="D911">
        <f t="shared" si="14"/>
        <v>785</v>
      </c>
      <c r="E911" s="213"/>
      <c r="F911" s="213"/>
      <c r="G911" s="213"/>
      <c r="H911" s="213"/>
      <c r="I911" s="213"/>
      <c r="J911" s="213"/>
      <c r="K911" s="213"/>
      <c r="L911" s="213"/>
      <c r="M911" s="213"/>
      <c r="N911" s="213"/>
      <c r="O911" s="213"/>
      <c r="P911" s="213"/>
    </row>
    <row r="912" spans="1:16">
      <c r="A912" s="213">
        <v>9910</v>
      </c>
      <c r="B912" s="213" t="s">
        <v>1281</v>
      </c>
      <c r="C912" s="213">
        <v>130.5</v>
      </c>
      <c r="D912">
        <f t="shared" si="14"/>
        <v>97</v>
      </c>
      <c r="E912" s="213"/>
      <c r="F912" s="213"/>
      <c r="G912" s="213"/>
      <c r="H912" s="213"/>
      <c r="I912" s="213"/>
      <c r="J912" s="213"/>
      <c r="K912" s="213"/>
      <c r="L912" s="213"/>
      <c r="M912" s="213"/>
      <c r="N912" s="213"/>
      <c r="O912" s="213"/>
      <c r="P912" s="213"/>
    </row>
    <row r="913" spans="1:16">
      <c r="A913" s="213">
        <v>9912</v>
      </c>
      <c r="B913" s="213" t="s">
        <v>1283</v>
      </c>
      <c r="C913" s="213">
        <v>7.7</v>
      </c>
      <c r="D913">
        <f t="shared" si="14"/>
        <v>1486</v>
      </c>
      <c r="E913" s="213"/>
      <c r="F913" s="213"/>
      <c r="G913" s="213"/>
      <c r="H913" s="213"/>
      <c r="I913" s="213"/>
      <c r="J913" s="213"/>
      <c r="K913" s="213"/>
      <c r="L913" s="213"/>
      <c r="M913" s="213"/>
      <c r="N913" s="213"/>
      <c r="O913" s="213"/>
      <c r="P913" s="213"/>
    </row>
    <row r="914" spans="1:16">
      <c r="A914" s="213">
        <v>9914</v>
      </c>
      <c r="B914" s="213" t="s">
        <v>1284</v>
      </c>
      <c r="C914" s="213">
        <v>140</v>
      </c>
      <c r="D914">
        <f t="shared" si="14"/>
        <v>87</v>
      </c>
      <c r="E914" s="213"/>
      <c r="F914" s="213"/>
      <c r="G914" s="213"/>
      <c r="H914" s="213"/>
      <c r="I914" s="213"/>
      <c r="J914" s="213"/>
      <c r="K914" s="213"/>
      <c r="L914" s="213"/>
      <c r="M914" s="213"/>
      <c r="N914" s="213"/>
      <c r="O914" s="213"/>
      <c r="P914" s="213"/>
    </row>
    <row r="915" spans="1:16">
      <c r="A915" s="213">
        <v>9917</v>
      </c>
      <c r="B915" s="213" t="s">
        <v>1285</v>
      </c>
      <c r="C915" s="213">
        <v>90.4</v>
      </c>
      <c r="D915">
        <f t="shared" si="14"/>
        <v>157</v>
      </c>
      <c r="E915" s="213"/>
      <c r="F915" s="213"/>
      <c r="G915" s="213"/>
      <c r="H915" s="213"/>
      <c r="I915" s="213"/>
      <c r="J915" s="213"/>
      <c r="K915" s="213"/>
      <c r="L915" s="213"/>
      <c r="M915" s="213"/>
      <c r="N915" s="213"/>
      <c r="O915" s="213"/>
      <c r="P915" s="213"/>
    </row>
    <row r="916" spans="1:16">
      <c r="A916" s="213">
        <v>9918</v>
      </c>
      <c r="B916" s="213" t="s">
        <v>1286</v>
      </c>
      <c r="C916" s="213" t="s">
        <v>1744</v>
      </c>
      <c r="D916" t="e">
        <f t="shared" si="14"/>
        <v>#VALUE!</v>
      </c>
      <c r="E916" s="213"/>
      <c r="F916" s="213"/>
      <c r="G916" s="213"/>
      <c r="H916" s="213"/>
      <c r="I916" s="213"/>
      <c r="J916" s="213"/>
      <c r="K916" s="213"/>
      <c r="L916" s="213"/>
      <c r="M916" s="213"/>
      <c r="N916" s="213"/>
      <c r="O916" s="213"/>
      <c r="P916" s="213"/>
    </row>
    <row r="917" spans="1:16">
      <c r="A917" s="213">
        <v>9919</v>
      </c>
      <c r="B917" s="213" t="s">
        <v>1287</v>
      </c>
      <c r="C917" s="213">
        <v>10.6</v>
      </c>
      <c r="D917">
        <f t="shared" si="14"/>
        <v>1327</v>
      </c>
      <c r="E917" s="213"/>
      <c r="F917" s="213"/>
      <c r="G917" s="213"/>
      <c r="H917" s="213"/>
      <c r="I917" s="213"/>
      <c r="J917" s="213"/>
      <c r="K917" s="213"/>
      <c r="L917" s="213"/>
      <c r="M917" s="213"/>
      <c r="N917" s="213"/>
      <c r="O917" s="213"/>
      <c r="P917" s="213"/>
    </row>
    <row r="918" spans="1:16">
      <c r="A918" s="213">
        <v>9921</v>
      </c>
      <c r="B918" s="213" t="s">
        <v>1288</v>
      </c>
      <c r="C918" s="213">
        <v>222</v>
      </c>
      <c r="D918">
        <f t="shared" si="14"/>
        <v>38</v>
      </c>
      <c r="E918" s="213"/>
      <c r="F918" s="213"/>
      <c r="G918" s="213"/>
      <c r="H918" s="213"/>
      <c r="I918" s="213"/>
      <c r="J918" s="213"/>
      <c r="K918" s="213"/>
      <c r="L918" s="213"/>
      <c r="M918" s="213"/>
      <c r="N918" s="213"/>
      <c r="O918" s="213"/>
      <c r="P918" s="213"/>
    </row>
    <row r="919" spans="1:16">
      <c r="A919" s="213">
        <v>9924</v>
      </c>
      <c r="B919" s="213" t="s">
        <v>1289</v>
      </c>
      <c r="C919" s="213">
        <v>41.1</v>
      </c>
      <c r="D919">
        <f t="shared" si="14"/>
        <v>436</v>
      </c>
      <c r="E919" s="213"/>
      <c r="F919" s="213"/>
      <c r="G919" s="213"/>
      <c r="H919" s="213"/>
      <c r="I919" s="213"/>
      <c r="J919" s="213"/>
      <c r="K919" s="213"/>
      <c r="L919" s="213"/>
      <c r="M919" s="213"/>
      <c r="N919" s="213"/>
      <c r="O919" s="213"/>
      <c r="P919" s="213"/>
    </row>
    <row r="920" spans="1:16">
      <c r="A920" s="213">
        <v>9925</v>
      </c>
      <c r="B920" s="213" t="s">
        <v>1290</v>
      </c>
      <c r="C920" s="213">
        <v>40</v>
      </c>
      <c r="D920">
        <f t="shared" si="14"/>
        <v>449</v>
      </c>
      <c r="E920" s="213"/>
      <c r="F920" s="213"/>
      <c r="G920" s="213"/>
      <c r="H920" s="213"/>
      <c r="I920" s="213"/>
      <c r="J920" s="213"/>
      <c r="K920" s="213"/>
      <c r="L920" s="213"/>
      <c r="M920" s="213"/>
      <c r="N920" s="213"/>
      <c r="O920" s="213"/>
      <c r="P920" s="213"/>
    </row>
    <row r="921" spans="1:16">
      <c r="A921" s="213">
        <v>9926</v>
      </c>
      <c r="B921" s="213" t="s">
        <v>1291</v>
      </c>
      <c r="C921" s="213">
        <v>41.4</v>
      </c>
      <c r="D921">
        <f t="shared" si="14"/>
        <v>429</v>
      </c>
      <c r="E921" s="213"/>
      <c r="F921" s="213"/>
      <c r="G921" s="213"/>
      <c r="H921" s="213"/>
      <c r="I921" s="213"/>
      <c r="J921" s="213"/>
      <c r="K921" s="213"/>
      <c r="L921" s="213"/>
      <c r="M921" s="213"/>
      <c r="N921" s="213"/>
      <c r="O921" s="213"/>
      <c r="P921" s="213"/>
    </row>
    <row r="922" spans="1:16">
      <c r="A922" s="213">
        <v>9927</v>
      </c>
      <c r="B922" s="213" t="s">
        <v>1292</v>
      </c>
      <c r="C922" s="213">
        <v>30.7</v>
      </c>
      <c r="D922">
        <f t="shared" si="14"/>
        <v>597</v>
      </c>
      <c r="E922" s="213"/>
      <c r="F922" s="213"/>
      <c r="G922" s="213"/>
      <c r="H922" s="213"/>
      <c r="I922" s="213"/>
      <c r="J922" s="213"/>
      <c r="K922" s="213"/>
      <c r="L922" s="213"/>
      <c r="M922" s="213"/>
      <c r="N922" s="213"/>
      <c r="O922" s="213"/>
      <c r="P922" s="213"/>
    </row>
    <row r="923" spans="1:16">
      <c r="A923" s="213">
        <v>9928</v>
      </c>
      <c r="B923" s="213" t="s">
        <v>1293</v>
      </c>
      <c r="C923" s="213">
        <v>5.0199999999999996</v>
      </c>
      <c r="D923">
        <f t="shared" si="14"/>
        <v>1575</v>
      </c>
      <c r="E923" s="213"/>
      <c r="F923" s="213"/>
      <c r="G923" s="213"/>
      <c r="H923" s="213"/>
      <c r="I923" s="213"/>
      <c r="J923" s="213"/>
      <c r="K923" s="213"/>
      <c r="L923" s="213"/>
      <c r="M923" s="213"/>
      <c r="N923" s="213"/>
      <c r="O923" s="213"/>
      <c r="P923" s="213"/>
    </row>
    <row r="924" spans="1:16">
      <c r="A924" s="213">
        <v>9929</v>
      </c>
      <c r="B924" s="213" t="s">
        <v>1294</v>
      </c>
      <c r="C924" s="213">
        <v>11.5</v>
      </c>
      <c r="D924">
        <f t="shared" si="14"/>
        <v>1286</v>
      </c>
      <c r="E924" s="213"/>
      <c r="F924" s="213"/>
      <c r="G924" s="213"/>
      <c r="H924" s="213"/>
      <c r="I924" s="213"/>
      <c r="J924" s="213"/>
      <c r="K924" s="213"/>
      <c r="L924" s="213"/>
      <c r="M924" s="213"/>
      <c r="N924" s="213"/>
      <c r="O924" s="213"/>
      <c r="P924" s="213"/>
    </row>
    <row r="925" spans="1:16">
      <c r="A925" s="213">
        <v>9930</v>
      </c>
      <c r="B925" s="213" t="s">
        <v>2106</v>
      </c>
      <c r="C925" s="213">
        <v>53.8</v>
      </c>
      <c r="D925">
        <f t="shared" si="14"/>
        <v>306</v>
      </c>
      <c r="E925" s="213"/>
      <c r="F925" s="213"/>
      <c r="G925" s="213"/>
      <c r="H925" s="213"/>
      <c r="I925" s="213"/>
      <c r="J925" s="213"/>
      <c r="K925" s="213"/>
      <c r="L925" s="213"/>
      <c r="M925" s="213"/>
      <c r="N925" s="213"/>
      <c r="O925" s="213"/>
      <c r="P925" s="213"/>
    </row>
    <row r="926" spans="1:16">
      <c r="A926" s="213">
        <v>9931</v>
      </c>
      <c r="B926" s="213" t="s">
        <v>1295</v>
      </c>
      <c r="C926" s="213" t="s">
        <v>1744</v>
      </c>
      <c r="D926" t="e">
        <f t="shared" si="14"/>
        <v>#VALUE!</v>
      </c>
      <c r="E926" s="213"/>
      <c r="F926" s="213"/>
      <c r="G926" s="213"/>
      <c r="H926" s="213"/>
      <c r="I926" s="213"/>
      <c r="J926" s="213"/>
      <c r="K926" s="213"/>
      <c r="L926" s="213"/>
      <c r="M926" s="213"/>
      <c r="N926" s="213"/>
      <c r="O926" s="213"/>
      <c r="P926" s="213"/>
    </row>
    <row r="927" spans="1:16">
      <c r="A927" s="213">
        <v>9933</v>
      </c>
      <c r="B927" s="213" t="s">
        <v>1296</v>
      </c>
      <c r="C927" s="213">
        <v>47.55</v>
      </c>
      <c r="D927">
        <f t="shared" si="14"/>
        <v>370</v>
      </c>
      <c r="E927" s="213"/>
      <c r="F927" s="213"/>
      <c r="G927" s="213"/>
      <c r="H927" s="213"/>
      <c r="I927" s="213"/>
      <c r="J927" s="213"/>
      <c r="K927" s="213"/>
      <c r="L927" s="213"/>
      <c r="M927" s="213"/>
      <c r="N927" s="213"/>
      <c r="O927" s="213"/>
      <c r="P927" s="213"/>
    </row>
    <row r="928" spans="1:16">
      <c r="A928" s="213">
        <v>9934</v>
      </c>
      <c r="B928" s="213" t="s">
        <v>1297</v>
      </c>
      <c r="C928" s="213">
        <v>15.5</v>
      </c>
      <c r="D928">
        <f t="shared" si="14"/>
        <v>1100</v>
      </c>
      <c r="E928" s="213"/>
      <c r="F928" s="213"/>
      <c r="G928" s="213"/>
      <c r="H928" s="213"/>
      <c r="I928" s="213"/>
      <c r="J928" s="213"/>
      <c r="K928" s="213"/>
      <c r="L928" s="213"/>
      <c r="M928" s="213"/>
      <c r="N928" s="213"/>
      <c r="O928" s="213"/>
      <c r="P928" s="213"/>
    </row>
    <row r="929" spans="1:16">
      <c r="A929" s="213">
        <v>9935</v>
      </c>
      <c r="B929" s="213" t="s">
        <v>1298</v>
      </c>
      <c r="C929" s="213">
        <v>10.15</v>
      </c>
      <c r="D929">
        <f t="shared" si="14"/>
        <v>1349</v>
      </c>
      <c r="E929" s="213"/>
      <c r="F929" s="213"/>
      <c r="G929" s="213"/>
      <c r="H929" s="213"/>
      <c r="I929" s="213"/>
      <c r="J929" s="213"/>
      <c r="K929" s="213"/>
      <c r="L929" s="213"/>
      <c r="M929" s="213"/>
      <c r="N929" s="213"/>
      <c r="O929" s="213"/>
      <c r="P929" s="213"/>
    </row>
    <row r="930" spans="1:16">
      <c r="A930" s="213">
        <v>9937</v>
      </c>
      <c r="B930" s="213" t="s">
        <v>1299</v>
      </c>
      <c r="C930" s="213">
        <v>36.6</v>
      </c>
      <c r="D930">
        <f t="shared" si="14"/>
        <v>502</v>
      </c>
      <c r="E930" s="213"/>
      <c r="F930" s="213"/>
      <c r="G930" s="213"/>
      <c r="H930" s="213"/>
      <c r="I930" s="213"/>
      <c r="J930" s="213"/>
      <c r="K930" s="213"/>
      <c r="L930" s="213"/>
      <c r="M930" s="213"/>
      <c r="N930" s="213"/>
      <c r="O930" s="213"/>
      <c r="P930" s="213"/>
    </row>
    <row r="931" spans="1:16">
      <c r="A931" s="213">
        <v>9938</v>
      </c>
      <c r="B931" s="213" t="s">
        <v>1300</v>
      </c>
      <c r="C931" s="213">
        <v>114.5</v>
      </c>
      <c r="D931">
        <f t="shared" si="14"/>
        <v>114</v>
      </c>
      <c r="E931" s="213"/>
      <c r="F931" s="213"/>
      <c r="G931" s="213"/>
      <c r="H931" s="213"/>
      <c r="I931" s="213"/>
      <c r="J931" s="213"/>
      <c r="K931" s="213"/>
      <c r="L931" s="213"/>
      <c r="M931" s="213"/>
      <c r="N931" s="213"/>
      <c r="O931" s="213"/>
      <c r="P931" s="213"/>
    </row>
    <row r="932" spans="1:16">
      <c r="A932" s="213">
        <v>9939</v>
      </c>
      <c r="B932" s="213" t="s">
        <v>1301</v>
      </c>
      <c r="C932" s="213">
        <v>51.8</v>
      </c>
      <c r="D932">
        <f t="shared" si="14"/>
        <v>321</v>
      </c>
      <c r="E932" s="213"/>
      <c r="F932" s="213"/>
      <c r="G932" s="213"/>
      <c r="H932" s="213"/>
      <c r="I932" s="213"/>
      <c r="J932" s="213"/>
      <c r="K932" s="213"/>
      <c r="L932" s="213"/>
      <c r="M932" s="213"/>
      <c r="N932" s="213"/>
      <c r="O932" s="213"/>
      <c r="P932" s="213"/>
    </row>
    <row r="933" spans="1:16">
      <c r="A933" s="213">
        <v>9940</v>
      </c>
      <c r="B933" s="213" t="s">
        <v>1302</v>
      </c>
      <c r="C933" s="213">
        <v>29.05</v>
      </c>
      <c r="D933">
        <f t="shared" si="14"/>
        <v>639</v>
      </c>
      <c r="E933" s="213"/>
      <c r="F933" s="213"/>
      <c r="G933" s="213"/>
      <c r="H933" s="213"/>
      <c r="I933" s="213"/>
      <c r="J933" s="213"/>
      <c r="K933" s="213"/>
      <c r="L933" s="213"/>
      <c r="M933" s="213"/>
      <c r="N933" s="213"/>
      <c r="O933" s="213"/>
      <c r="P933" s="213"/>
    </row>
    <row r="934" spans="1:16">
      <c r="A934" s="213">
        <v>9941</v>
      </c>
      <c r="B934" s="213" t="s">
        <v>1303</v>
      </c>
      <c r="C934" s="213">
        <v>72.400000000000006</v>
      </c>
      <c r="D934">
        <f t="shared" si="14"/>
        <v>217</v>
      </c>
      <c r="E934" s="213"/>
      <c r="F934" s="213"/>
      <c r="G934" s="213"/>
      <c r="H934" s="213"/>
      <c r="I934" s="213"/>
      <c r="J934" s="213"/>
      <c r="K934" s="213"/>
      <c r="L934" s="213"/>
      <c r="M934" s="213"/>
      <c r="N934" s="213"/>
      <c r="O934" s="213"/>
      <c r="P934" s="213"/>
    </row>
    <row r="935" spans="1:16">
      <c r="A935" s="213">
        <v>9942</v>
      </c>
      <c r="B935" s="213" t="s">
        <v>1304</v>
      </c>
      <c r="C935" s="213">
        <v>83.3</v>
      </c>
      <c r="D935">
        <f t="shared" si="14"/>
        <v>178</v>
      </c>
      <c r="E935" s="213"/>
      <c r="F935" s="213"/>
      <c r="G935" s="213"/>
      <c r="H935" s="213"/>
      <c r="I935" s="213"/>
      <c r="J935" s="213"/>
      <c r="K935" s="213"/>
      <c r="L935" s="213"/>
      <c r="M935" s="213"/>
      <c r="N935" s="213"/>
      <c r="O935" s="213"/>
      <c r="P935" s="213"/>
    </row>
    <row r="936" spans="1:16">
      <c r="A936" s="213">
        <v>9943</v>
      </c>
      <c r="B936" s="213" t="s">
        <v>1305</v>
      </c>
      <c r="C936" s="213">
        <v>49</v>
      </c>
      <c r="D936">
        <f t="shared" si="14"/>
        <v>347</v>
      </c>
      <c r="E936" s="213"/>
      <c r="F936" s="213"/>
      <c r="G936" s="213"/>
      <c r="H936" s="213"/>
      <c r="I936" s="213"/>
      <c r="J936" s="213"/>
      <c r="K936" s="213"/>
      <c r="L936" s="213"/>
      <c r="M936" s="213"/>
      <c r="N936" s="213"/>
      <c r="O936" s="213"/>
      <c r="P936" s="213"/>
    </row>
    <row r="937" spans="1:16">
      <c r="A937" s="213">
        <v>9944</v>
      </c>
      <c r="B937" s="213" t="s">
        <v>1306</v>
      </c>
      <c r="C937" s="213">
        <v>22.95</v>
      </c>
      <c r="D937">
        <f t="shared" si="14"/>
        <v>811</v>
      </c>
      <c r="E937" s="213"/>
      <c r="F937" s="213"/>
      <c r="G937" s="213"/>
      <c r="H937" s="213"/>
      <c r="I937" s="213"/>
      <c r="J937" s="213"/>
      <c r="K937" s="213"/>
      <c r="L937" s="213"/>
      <c r="M937" s="213"/>
      <c r="N937" s="213"/>
      <c r="O937" s="213"/>
      <c r="P937" s="213"/>
    </row>
    <row r="938" spans="1:16">
      <c r="A938" s="213">
        <v>9945</v>
      </c>
      <c r="B938" s="213" t="s">
        <v>1307</v>
      </c>
      <c r="C938" s="213">
        <v>36.6</v>
      </c>
      <c r="D938">
        <f t="shared" si="14"/>
        <v>502</v>
      </c>
      <c r="E938" s="213"/>
      <c r="F938" s="213"/>
      <c r="G938" s="213"/>
      <c r="H938" s="213"/>
      <c r="I938" s="213"/>
      <c r="J938" s="213"/>
      <c r="K938" s="213"/>
      <c r="L938" s="213"/>
      <c r="M938" s="213"/>
      <c r="N938" s="213"/>
      <c r="O938" s="213"/>
      <c r="P938" s="213"/>
    </row>
    <row r="939" spans="1:16">
      <c r="A939" s="213">
        <v>9946</v>
      </c>
      <c r="B939" s="213" t="s">
        <v>2107</v>
      </c>
      <c r="C939" s="213">
        <v>11.75</v>
      </c>
      <c r="D939">
        <f t="shared" si="14"/>
        <v>1273</v>
      </c>
      <c r="E939" s="213"/>
      <c r="F939" s="213"/>
      <c r="G939" s="213"/>
      <c r="H939" s="213"/>
      <c r="I939" s="213"/>
      <c r="J939" s="213"/>
      <c r="K939" s="213"/>
      <c r="L939" s="213"/>
      <c r="M939" s="213"/>
      <c r="N939" s="213"/>
      <c r="O939" s="213"/>
      <c r="P939" s="213"/>
    </row>
    <row r="940" spans="1:16">
      <c r="A940" s="213">
        <v>9955</v>
      </c>
      <c r="B940" s="213" t="s">
        <v>1308</v>
      </c>
      <c r="C940" s="213">
        <v>15.45</v>
      </c>
      <c r="D940">
        <f t="shared" si="14"/>
        <v>1102</v>
      </c>
      <c r="E940" s="213"/>
      <c r="F940" s="213"/>
      <c r="G940" s="213"/>
      <c r="H940" s="213"/>
      <c r="I940" s="213"/>
      <c r="J940" s="213"/>
      <c r="K940" s="213"/>
      <c r="L940" s="213"/>
      <c r="M940" s="213"/>
      <c r="N940" s="213"/>
      <c r="O940" s="213"/>
      <c r="P940" s="213"/>
    </row>
    <row r="941" spans="1:16">
      <c r="A941" s="213">
        <v>9958</v>
      </c>
      <c r="B941" s="213" t="s">
        <v>1309</v>
      </c>
      <c r="C941" s="213">
        <v>9.99</v>
      </c>
      <c r="D941">
        <f t="shared" si="14"/>
        <v>1369</v>
      </c>
      <c r="E941" s="213"/>
      <c r="F941" s="213"/>
      <c r="G941" s="213"/>
      <c r="H941" s="213"/>
      <c r="I941" s="213"/>
      <c r="J941" s="213"/>
      <c r="K941" s="213"/>
      <c r="L941" s="213"/>
      <c r="M941" s="213"/>
      <c r="N941" s="213"/>
      <c r="O941" s="213"/>
      <c r="P941" s="213"/>
    </row>
    <row r="942" spans="1:16">
      <c r="A942" s="213">
        <v>6201</v>
      </c>
      <c r="B942" s="213" t="s">
        <v>2108</v>
      </c>
      <c r="C942" s="213">
        <v>11.51</v>
      </c>
      <c r="D942">
        <f t="shared" si="14"/>
        <v>1285</v>
      </c>
      <c r="E942" s="213"/>
      <c r="F942" s="213"/>
      <c r="G942" s="213"/>
      <c r="H942" s="213"/>
      <c r="I942" s="213"/>
      <c r="J942" s="213"/>
      <c r="K942" s="213"/>
      <c r="L942" s="213"/>
      <c r="M942" s="213"/>
      <c r="N942" s="213"/>
      <c r="O942" s="213"/>
      <c r="P942" s="213"/>
    </row>
    <row r="943" spans="1:16">
      <c r="A943" s="213">
        <v>1258</v>
      </c>
      <c r="B943" s="213" t="s">
        <v>2109</v>
      </c>
      <c r="C943" s="213">
        <v>37.299999999999997</v>
      </c>
      <c r="D943">
        <f t="shared" si="14"/>
        <v>488</v>
      </c>
      <c r="E943" s="213"/>
      <c r="F943" s="213"/>
      <c r="G943" s="213"/>
      <c r="H943" s="213"/>
      <c r="I943" s="213"/>
      <c r="J943" s="213"/>
      <c r="K943" s="213"/>
      <c r="L943" s="213"/>
      <c r="M943" s="213"/>
      <c r="N943" s="213"/>
      <c r="O943" s="213"/>
      <c r="P943" s="213"/>
    </row>
    <row r="944" spans="1:16">
      <c r="A944" s="213">
        <v>1259</v>
      </c>
      <c r="B944" s="213" t="s">
        <v>223</v>
      </c>
      <c r="C944" s="213">
        <v>80</v>
      </c>
      <c r="D944">
        <f t="shared" si="14"/>
        <v>192</v>
      </c>
      <c r="E944" s="213"/>
      <c r="F944" s="213"/>
      <c r="G944" s="213"/>
      <c r="H944" s="213"/>
      <c r="I944" s="213"/>
      <c r="J944" s="213"/>
      <c r="K944" s="213"/>
      <c r="L944" s="213"/>
      <c r="M944" s="213"/>
      <c r="N944" s="213"/>
      <c r="O944" s="213"/>
      <c r="P944" s="213"/>
    </row>
    <row r="945" spans="1:16">
      <c r="A945" s="213">
        <v>1264</v>
      </c>
      <c r="B945" s="213" t="s">
        <v>224</v>
      </c>
      <c r="C945" s="213">
        <v>192</v>
      </c>
      <c r="D945">
        <f t="shared" si="14"/>
        <v>52</v>
      </c>
      <c r="E945" s="213"/>
      <c r="F945" s="213"/>
      <c r="G945" s="213"/>
      <c r="H945" s="213"/>
      <c r="I945" s="213"/>
      <c r="J945" s="213"/>
      <c r="K945" s="213"/>
      <c r="L945" s="213"/>
      <c r="M945" s="213"/>
      <c r="N945" s="213"/>
      <c r="O945" s="213"/>
      <c r="P945" s="213"/>
    </row>
    <row r="946" spans="1:16">
      <c r="A946" s="213">
        <v>1333</v>
      </c>
      <c r="B946" s="213" t="s">
        <v>225</v>
      </c>
      <c r="C946" s="213">
        <v>4.2</v>
      </c>
      <c r="D946">
        <f t="shared" si="14"/>
        <v>1588</v>
      </c>
      <c r="E946" s="213"/>
      <c r="F946" s="213"/>
      <c r="G946" s="213"/>
      <c r="H946" s="213"/>
      <c r="I946" s="213"/>
      <c r="J946" s="213"/>
      <c r="K946" s="213"/>
      <c r="L946" s="213"/>
      <c r="M946" s="213"/>
      <c r="N946" s="213"/>
      <c r="O946" s="213"/>
      <c r="P946" s="213"/>
    </row>
    <row r="947" spans="1:16">
      <c r="A947" s="213">
        <v>1336</v>
      </c>
      <c r="B947" s="213" t="s">
        <v>226</v>
      </c>
      <c r="C947" s="213">
        <v>7.98</v>
      </c>
      <c r="D947">
        <f t="shared" si="14"/>
        <v>1471</v>
      </c>
      <c r="E947" s="213"/>
      <c r="F947" s="213"/>
      <c r="G947" s="213"/>
      <c r="H947" s="213"/>
      <c r="I947" s="213"/>
      <c r="J947" s="213"/>
      <c r="K947" s="213"/>
      <c r="L947" s="213"/>
      <c r="M947" s="213"/>
      <c r="N947" s="213"/>
      <c r="O947" s="213"/>
      <c r="P947" s="213"/>
    </row>
    <row r="948" spans="1:16">
      <c r="A948" s="213">
        <v>1565</v>
      </c>
      <c r="B948" s="213" t="s">
        <v>1312</v>
      </c>
      <c r="C948" s="213">
        <v>705</v>
      </c>
      <c r="D948">
        <f t="shared" si="14"/>
        <v>4</v>
      </c>
      <c r="E948" s="213"/>
      <c r="F948" s="213"/>
      <c r="G948" s="213"/>
      <c r="H948" s="213"/>
      <c r="I948" s="213"/>
      <c r="J948" s="213"/>
      <c r="K948" s="213"/>
      <c r="L948" s="213"/>
      <c r="M948" s="213"/>
      <c r="N948" s="213"/>
      <c r="O948" s="213"/>
      <c r="P948" s="213"/>
    </row>
    <row r="949" spans="1:16">
      <c r="A949" s="213">
        <v>1566</v>
      </c>
      <c r="B949" s="213" t="s">
        <v>227</v>
      </c>
      <c r="C949" s="213">
        <v>18.25</v>
      </c>
      <c r="D949">
        <f t="shared" si="14"/>
        <v>963</v>
      </c>
      <c r="E949" s="213"/>
      <c r="F949" s="213"/>
      <c r="G949" s="213"/>
      <c r="H949" s="213"/>
      <c r="I949" s="213"/>
      <c r="J949" s="213"/>
      <c r="K949" s="213"/>
      <c r="L949" s="213"/>
      <c r="M949" s="213"/>
      <c r="N949" s="213"/>
      <c r="O949" s="213"/>
      <c r="P949" s="213"/>
    </row>
    <row r="950" spans="1:16">
      <c r="A950" s="213">
        <v>1569</v>
      </c>
      <c r="B950" s="213" t="s">
        <v>228</v>
      </c>
      <c r="C950" s="213">
        <v>21.45</v>
      </c>
      <c r="D950">
        <f t="shared" si="14"/>
        <v>865</v>
      </c>
      <c r="E950" s="213"/>
      <c r="F950" s="213"/>
      <c r="G950" s="213"/>
      <c r="H950" s="213"/>
      <c r="I950" s="213"/>
      <c r="J950" s="213"/>
      <c r="K950" s="213"/>
      <c r="L950" s="213"/>
      <c r="M950" s="213"/>
      <c r="N950" s="213"/>
      <c r="O950" s="213"/>
      <c r="P950" s="213"/>
    </row>
    <row r="951" spans="1:16">
      <c r="A951" s="213">
        <v>1570</v>
      </c>
      <c r="B951" s="213" t="s">
        <v>1313</v>
      </c>
      <c r="C951" s="213">
        <v>14.6</v>
      </c>
      <c r="D951">
        <f t="shared" si="14"/>
        <v>1139</v>
      </c>
      <c r="E951" s="213"/>
      <c r="F951" s="213"/>
      <c r="G951" s="213"/>
      <c r="H951" s="213"/>
      <c r="I951" s="213"/>
      <c r="J951" s="213"/>
      <c r="K951" s="213"/>
      <c r="L951" s="213"/>
      <c r="M951" s="213"/>
      <c r="N951" s="213"/>
      <c r="O951" s="213"/>
      <c r="P951" s="213"/>
    </row>
    <row r="952" spans="1:16">
      <c r="A952" s="213">
        <v>1580</v>
      </c>
      <c r="B952" s="213" t="s">
        <v>1314</v>
      </c>
      <c r="C952" s="213">
        <v>148.5</v>
      </c>
      <c r="D952">
        <f t="shared" si="14"/>
        <v>77</v>
      </c>
      <c r="E952" s="213"/>
      <c r="F952" s="213"/>
      <c r="G952" s="213"/>
      <c r="H952" s="213"/>
      <c r="I952" s="213"/>
      <c r="J952" s="213"/>
      <c r="K952" s="213"/>
      <c r="L952" s="213"/>
      <c r="M952" s="213"/>
      <c r="N952" s="213"/>
      <c r="O952" s="213"/>
      <c r="P952" s="213"/>
    </row>
    <row r="953" spans="1:16">
      <c r="A953" s="213">
        <v>1584</v>
      </c>
      <c r="B953" s="213" t="s">
        <v>1315</v>
      </c>
      <c r="C953" s="213">
        <v>14.35</v>
      </c>
      <c r="D953">
        <f t="shared" si="14"/>
        <v>1147</v>
      </c>
      <c r="E953" s="213"/>
      <c r="F953" s="213"/>
      <c r="G953" s="213"/>
      <c r="H953" s="213"/>
      <c r="I953" s="213"/>
      <c r="J953" s="213"/>
      <c r="K953" s="213"/>
      <c r="L953" s="213"/>
      <c r="M953" s="213"/>
      <c r="N953" s="213"/>
      <c r="O953" s="213"/>
      <c r="P953" s="213"/>
    </row>
    <row r="954" spans="1:16">
      <c r="A954" s="213">
        <v>1586</v>
      </c>
      <c r="B954" s="213" t="s">
        <v>1316</v>
      </c>
      <c r="C954" s="213">
        <v>21.9</v>
      </c>
      <c r="D954">
        <f t="shared" si="14"/>
        <v>850</v>
      </c>
      <c r="E954" s="213"/>
      <c r="F954" s="213"/>
      <c r="G954" s="213"/>
      <c r="H954" s="213"/>
      <c r="I954" s="213"/>
      <c r="J954" s="213"/>
      <c r="K954" s="213"/>
      <c r="L954" s="213"/>
      <c r="M954" s="213"/>
      <c r="N954" s="213"/>
      <c r="O954" s="213"/>
      <c r="P954" s="213"/>
    </row>
    <row r="955" spans="1:16">
      <c r="A955" s="213">
        <v>1591</v>
      </c>
      <c r="B955" s="213" t="s">
        <v>2110</v>
      </c>
      <c r="C955" s="213">
        <v>28.3</v>
      </c>
      <c r="D955">
        <f t="shared" si="14"/>
        <v>657</v>
      </c>
      <c r="E955" s="213"/>
      <c r="F955" s="213"/>
      <c r="G955" s="213"/>
      <c r="H955" s="213"/>
      <c r="I955" s="213"/>
      <c r="J955" s="213"/>
      <c r="K955" s="213"/>
      <c r="L955" s="213"/>
      <c r="M955" s="213"/>
      <c r="N955" s="213"/>
      <c r="O955" s="213"/>
      <c r="P955" s="213"/>
    </row>
    <row r="956" spans="1:16">
      <c r="A956" s="213">
        <v>1593</v>
      </c>
      <c r="B956" s="213" t="s">
        <v>229</v>
      </c>
      <c r="C956" s="213">
        <v>38.25</v>
      </c>
      <c r="D956">
        <f t="shared" si="14"/>
        <v>479</v>
      </c>
      <c r="E956" s="213"/>
      <c r="F956" s="213"/>
      <c r="G956" s="213"/>
      <c r="H956" s="213"/>
      <c r="I956" s="213"/>
      <c r="J956" s="213"/>
      <c r="K956" s="213"/>
      <c r="L956" s="213"/>
      <c r="M956" s="213"/>
      <c r="N956" s="213"/>
      <c r="O956" s="213"/>
      <c r="P956" s="213"/>
    </row>
    <row r="957" spans="1:16">
      <c r="A957" s="213">
        <v>1595</v>
      </c>
      <c r="B957" s="213" t="s">
        <v>1318</v>
      </c>
      <c r="C957" s="213">
        <v>38.799999999999997</v>
      </c>
      <c r="D957">
        <f t="shared" si="14"/>
        <v>468</v>
      </c>
      <c r="E957" s="213"/>
      <c r="F957" s="213"/>
      <c r="G957" s="213"/>
      <c r="H957" s="213"/>
      <c r="I957" s="213"/>
      <c r="J957" s="213"/>
      <c r="K957" s="213"/>
      <c r="L957" s="213"/>
      <c r="M957" s="213"/>
      <c r="N957" s="213"/>
      <c r="O957" s="213"/>
      <c r="P957" s="213"/>
    </row>
    <row r="958" spans="1:16">
      <c r="A958" s="213">
        <v>1597</v>
      </c>
      <c r="B958" s="213" t="s">
        <v>230</v>
      </c>
      <c r="C958" s="213">
        <v>31.85</v>
      </c>
      <c r="D958">
        <f t="shared" si="14"/>
        <v>578</v>
      </c>
      <c r="E958" s="213"/>
      <c r="F958" s="213"/>
      <c r="G958" s="213"/>
      <c r="H958" s="213"/>
      <c r="I958" s="213"/>
      <c r="J958" s="213"/>
      <c r="K958" s="213"/>
      <c r="L958" s="213"/>
      <c r="M958" s="213"/>
      <c r="N958" s="213"/>
      <c r="O958" s="213"/>
      <c r="P958" s="213"/>
    </row>
    <row r="959" spans="1:16">
      <c r="A959" s="213">
        <v>1599</v>
      </c>
      <c r="B959" s="213" t="s">
        <v>1319</v>
      </c>
      <c r="C959" s="213">
        <v>50.2</v>
      </c>
      <c r="D959">
        <f t="shared" si="14"/>
        <v>336</v>
      </c>
      <c r="E959" s="213"/>
      <c r="F959" s="213"/>
      <c r="G959" s="213"/>
      <c r="H959" s="213"/>
      <c r="I959" s="213"/>
      <c r="J959" s="213"/>
      <c r="K959" s="213"/>
      <c r="L959" s="213"/>
      <c r="M959" s="213"/>
      <c r="N959" s="213"/>
      <c r="O959" s="213"/>
      <c r="P959" s="213"/>
    </row>
    <row r="960" spans="1:16">
      <c r="A960" s="213">
        <v>1742</v>
      </c>
      <c r="B960" s="213" t="s">
        <v>498</v>
      </c>
      <c r="C960" s="213">
        <v>12</v>
      </c>
      <c r="D960">
        <f t="shared" si="14"/>
        <v>1258</v>
      </c>
      <c r="E960" s="213"/>
      <c r="F960" s="213"/>
      <c r="G960" s="213"/>
      <c r="H960" s="213"/>
      <c r="I960" s="213"/>
      <c r="J960" s="213"/>
      <c r="K960" s="213"/>
      <c r="L960" s="213"/>
      <c r="M960" s="213"/>
      <c r="N960" s="213"/>
      <c r="O960" s="213"/>
      <c r="P960" s="213"/>
    </row>
    <row r="961" spans="1:16">
      <c r="A961" s="213">
        <v>1752</v>
      </c>
      <c r="B961" s="213" t="s">
        <v>231</v>
      </c>
      <c r="C961" s="213">
        <v>41.75</v>
      </c>
      <c r="D961">
        <f t="shared" si="14"/>
        <v>426</v>
      </c>
      <c r="E961" s="213"/>
      <c r="F961" s="213"/>
      <c r="G961" s="213"/>
      <c r="H961" s="213"/>
      <c r="I961" s="213"/>
      <c r="J961" s="213"/>
      <c r="K961" s="213"/>
      <c r="L961" s="213"/>
      <c r="M961" s="213"/>
      <c r="N961" s="213"/>
      <c r="O961" s="213"/>
      <c r="P961" s="213"/>
    </row>
    <row r="962" spans="1:16">
      <c r="A962" s="213">
        <v>1777</v>
      </c>
      <c r="B962" s="213" t="s">
        <v>232</v>
      </c>
      <c r="C962" s="213">
        <v>96.9</v>
      </c>
      <c r="D962">
        <f t="shared" ref="D962:D1025" si="15">RANK(C962,C:C,0)</f>
        <v>140</v>
      </c>
      <c r="E962" s="213"/>
      <c r="F962" s="213"/>
      <c r="G962" s="213"/>
      <c r="H962" s="213"/>
      <c r="I962" s="213"/>
      <c r="J962" s="213"/>
      <c r="K962" s="213"/>
      <c r="L962" s="213"/>
      <c r="M962" s="213"/>
      <c r="N962" s="213"/>
      <c r="O962" s="213"/>
      <c r="P962" s="213"/>
    </row>
    <row r="963" spans="1:16">
      <c r="A963" s="213">
        <v>1781</v>
      </c>
      <c r="B963" s="213" t="s">
        <v>1320</v>
      </c>
      <c r="C963" s="213">
        <v>18.95</v>
      </c>
      <c r="D963">
        <f t="shared" si="15"/>
        <v>935</v>
      </c>
      <c r="E963" s="213"/>
      <c r="F963" s="213"/>
      <c r="G963" s="213"/>
      <c r="H963" s="213"/>
      <c r="I963" s="213"/>
      <c r="J963" s="213"/>
      <c r="K963" s="213"/>
      <c r="L963" s="213"/>
      <c r="M963" s="213"/>
      <c r="N963" s="213"/>
      <c r="O963" s="213"/>
      <c r="P963" s="213"/>
    </row>
    <row r="964" spans="1:16">
      <c r="A964" s="213">
        <v>1784</v>
      </c>
      <c r="B964" s="213" t="s">
        <v>1321</v>
      </c>
      <c r="C964" s="213">
        <v>30.55</v>
      </c>
      <c r="D964">
        <f t="shared" si="15"/>
        <v>602</v>
      </c>
      <c r="E964" s="213"/>
      <c r="F964" s="213"/>
      <c r="G964" s="213"/>
      <c r="H964" s="213"/>
      <c r="I964" s="213"/>
      <c r="J964" s="213"/>
      <c r="K964" s="213"/>
      <c r="L964" s="213"/>
      <c r="M964" s="213"/>
      <c r="N964" s="213"/>
      <c r="O964" s="213"/>
      <c r="P964" s="213"/>
    </row>
    <row r="965" spans="1:16">
      <c r="A965" s="213">
        <v>1787</v>
      </c>
      <c r="B965" s="213" t="s">
        <v>233</v>
      </c>
      <c r="C965" s="213">
        <v>21.7</v>
      </c>
      <c r="D965">
        <f t="shared" si="15"/>
        <v>859</v>
      </c>
      <c r="E965" s="213"/>
      <c r="F965" s="213"/>
      <c r="G965" s="213"/>
      <c r="H965" s="213"/>
      <c r="I965" s="213"/>
      <c r="J965" s="213"/>
      <c r="K965" s="213"/>
      <c r="L965" s="213"/>
      <c r="M965" s="213"/>
      <c r="N965" s="213"/>
      <c r="O965" s="213"/>
      <c r="P965" s="213"/>
    </row>
    <row r="966" spans="1:16">
      <c r="A966" s="213">
        <v>1788</v>
      </c>
      <c r="B966" s="213" t="s">
        <v>1323</v>
      </c>
      <c r="C966" s="213">
        <v>88.1</v>
      </c>
      <c r="D966">
        <f t="shared" si="15"/>
        <v>162</v>
      </c>
      <c r="E966" s="213"/>
      <c r="F966" s="213"/>
      <c r="G966" s="213"/>
      <c r="H966" s="213"/>
      <c r="I966" s="213"/>
      <c r="J966" s="213"/>
      <c r="K966" s="213"/>
      <c r="L966" s="213"/>
      <c r="M966" s="213"/>
      <c r="N966" s="213"/>
      <c r="O966" s="213"/>
      <c r="P966" s="213"/>
    </row>
    <row r="967" spans="1:16">
      <c r="A967" s="213">
        <v>1795</v>
      </c>
      <c r="B967" s="213" t="s">
        <v>1324</v>
      </c>
      <c r="C967" s="213">
        <v>59</v>
      </c>
      <c r="D967">
        <f t="shared" si="15"/>
        <v>281</v>
      </c>
      <c r="E967" s="213"/>
      <c r="F967" s="213"/>
      <c r="G967" s="213"/>
      <c r="H967" s="213"/>
      <c r="I967" s="213"/>
      <c r="J967" s="213"/>
      <c r="K967" s="213"/>
      <c r="L967" s="213"/>
      <c r="M967" s="213"/>
      <c r="N967" s="213"/>
      <c r="O967" s="213"/>
      <c r="P967" s="213"/>
    </row>
    <row r="968" spans="1:16">
      <c r="A968" s="213">
        <v>1799</v>
      </c>
      <c r="B968" s="213" t="s">
        <v>234</v>
      </c>
      <c r="C968" s="213">
        <v>24.7</v>
      </c>
      <c r="D968">
        <f t="shared" si="15"/>
        <v>750</v>
      </c>
      <c r="E968" s="213"/>
      <c r="F968" s="213"/>
      <c r="G968" s="213"/>
      <c r="H968" s="213"/>
      <c r="I968" s="213"/>
      <c r="J968" s="213"/>
      <c r="K968" s="213"/>
      <c r="L968" s="213"/>
      <c r="M968" s="213"/>
      <c r="N968" s="213"/>
      <c r="O968" s="213"/>
      <c r="P968" s="213"/>
    </row>
    <row r="969" spans="1:16">
      <c r="A969" s="213">
        <v>1813</v>
      </c>
      <c r="B969" s="213" t="s">
        <v>235</v>
      </c>
      <c r="C969" s="213">
        <v>23</v>
      </c>
      <c r="D969">
        <f t="shared" si="15"/>
        <v>808</v>
      </c>
      <c r="E969" s="213"/>
      <c r="F969" s="213"/>
      <c r="G969" s="213"/>
      <c r="H969" s="213"/>
      <c r="I969" s="213"/>
      <c r="J969" s="213"/>
      <c r="K969" s="213"/>
      <c r="L969" s="213"/>
      <c r="M969" s="213"/>
      <c r="N969" s="213"/>
      <c r="O969" s="213"/>
      <c r="P969" s="213"/>
    </row>
    <row r="970" spans="1:16">
      <c r="A970" s="213">
        <v>1815</v>
      </c>
      <c r="B970" s="213" t="s">
        <v>1325</v>
      </c>
      <c r="C970" s="213">
        <v>13.25</v>
      </c>
      <c r="D970">
        <f t="shared" si="15"/>
        <v>1198</v>
      </c>
      <c r="E970" s="213"/>
      <c r="F970" s="213"/>
      <c r="G970" s="213"/>
      <c r="H970" s="213"/>
      <c r="I970" s="213"/>
      <c r="J970" s="213"/>
      <c r="K970" s="213"/>
      <c r="L970" s="213"/>
      <c r="M970" s="213"/>
      <c r="N970" s="213"/>
      <c r="O970" s="213"/>
      <c r="P970" s="213"/>
    </row>
    <row r="971" spans="1:16">
      <c r="A971" s="213">
        <v>2035</v>
      </c>
      <c r="B971" s="213" t="s">
        <v>1326</v>
      </c>
      <c r="C971" s="213">
        <v>46.85</v>
      </c>
      <c r="D971">
        <f t="shared" si="15"/>
        <v>377</v>
      </c>
      <c r="E971" s="213"/>
      <c r="F971" s="213"/>
      <c r="G971" s="213"/>
      <c r="H971" s="213"/>
      <c r="I971" s="213"/>
      <c r="J971" s="213"/>
      <c r="K971" s="213"/>
      <c r="L971" s="213"/>
      <c r="M971" s="213"/>
      <c r="N971" s="213"/>
      <c r="O971" s="213"/>
      <c r="P971" s="213"/>
    </row>
    <row r="972" spans="1:16">
      <c r="A972" s="213">
        <v>2061</v>
      </c>
      <c r="B972" s="213" t="s">
        <v>236</v>
      </c>
      <c r="C972" s="213">
        <v>7.77</v>
      </c>
      <c r="D972">
        <f t="shared" si="15"/>
        <v>1482</v>
      </c>
      <c r="E972" s="213"/>
      <c r="F972" s="213"/>
      <c r="G972" s="213"/>
      <c r="H972" s="213"/>
      <c r="I972" s="213"/>
      <c r="J972" s="213"/>
      <c r="K972" s="213"/>
      <c r="L972" s="213"/>
      <c r="M972" s="213"/>
      <c r="N972" s="213"/>
      <c r="O972" s="213"/>
      <c r="P972" s="213"/>
    </row>
    <row r="973" spans="1:16">
      <c r="A973" s="213">
        <v>2063</v>
      </c>
      <c r="B973" s="213" t="s">
        <v>237</v>
      </c>
      <c r="C973" s="213">
        <v>28.65</v>
      </c>
      <c r="D973">
        <f t="shared" si="15"/>
        <v>652</v>
      </c>
      <c r="E973" s="213"/>
      <c r="F973" s="213"/>
      <c r="G973" s="213"/>
      <c r="H973" s="213"/>
      <c r="I973" s="213"/>
      <c r="J973" s="213"/>
      <c r="K973" s="213"/>
      <c r="L973" s="213"/>
      <c r="M973" s="213"/>
      <c r="N973" s="213"/>
      <c r="O973" s="213"/>
      <c r="P973" s="213"/>
    </row>
    <row r="974" spans="1:16">
      <c r="A974" s="213">
        <v>2064</v>
      </c>
      <c r="B974" s="213" t="s">
        <v>238</v>
      </c>
      <c r="C974" s="213">
        <v>0</v>
      </c>
      <c r="D974">
        <f t="shared" si="15"/>
        <v>1626</v>
      </c>
      <c r="E974" s="213"/>
      <c r="F974" s="213"/>
      <c r="G974" s="213"/>
      <c r="H974" s="213"/>
      <c r="I974" s="213"/>
      <c r="J974" s="213"/>
      <c r="K974" s="213"/>
      <c r="L974" s="213"/>
      <c r="M974" s="213"/>
      <c r="N974" s="213"/>
      <c r="O974" s="213"/>
      <c r="P974" s="213"/>
    </row>
    <row r="975" spans="1:16">
      <c r="A975" s="213">
        <v>2066</v>
      </c>
      <c r="B975" s="213" t="s">
        <v>239</v>
      </c>
      <c r="C975" s="213">
        <v>114.5</v>
      </c>
      <c r="D975">
        <f t="shared" si="15"/>
        <v>114</v>
      </c>
      <c r="E975" s="213"/>
      <c r="F975" s="213"/>
      <c r="G975" s="213"/>
      <c r="H975" s="213"/>
      <c r="I975" s="213"/>
      <c r="J975" s="213"/>
      <c r="K975" s="213"/>
      <c r="L975" s="213"/>
      <c r="M975" s="213"/>
      <c r="N975" s="213"/>
      <c r="O975" s="213"/>
      <c r="P975" s="213"/>
    </row>
    <row r="976" spans="1:16">
      <c r="A976" s="213">
        <v>2067</v>
      </c>
      <c r="B976" s="213" t="s">
        <v>1327</v>
      </c>
      <c r="C976" s="213">
        <v>16</v>
      </c>
      <c r="D976">
        <f t="shared" si="15"/>
        <v>1078</v>
      </c>
      <c r="E976" s="213"/>
      <c r="F976" s="213"/>
      <c r="G976" s="213"/>
      <c r="H976" s="213"/>
      <c r="I976" s="213"/>
      <c r="J976" s="213"/>
      <c r="K976" s="213"/>
      <c r="L976" s="213"/>
      <c r="M976" s="213"/>
      <c r="N976" s="213"/>
      <c r="O976" s="213"/>
      <c r="P976" s="213"/>
    </row>
    <row r="977" spans="1:16">
      <c r="A977" s="213">
        <v>2221</v>
      </c>
      <c r="B977" s="213" t="s">
        <v>1328</v>
      </c>
      <c r="C977" s="213">
        <v>17.25</v>
      </c>
      <c r="D977">
        <f t="shared" si="15"/>
        <v>1013</v>
      </c>
      <c r="E977" s="213"/>
      <c r="F977" s="213"/>
      <c r="G977" s="213"/>
      <c r="H977" s="213"/>
      <c r="I977" s="213"/>
      <c r="J977" s="213"/>
      <c r="K977" s="213"/>
      <c r="L977" s="213"/>
      <c r="M977" s="213"/>
      <c r="N977" s="213"/>
      <c r="O977" s="213"/>
      <c r="P977" s="213"/>
    </row>
    <row r="978" spans="1:16">
      <c r="A978" s="213">
        <v>2230</v>
      </c>
      <c r="B978" s="213" t="s">
        <v>240</v>
      </c>
      <c r="C978" s="213">
        <v>14</v>
      </c>
      <c r="D978">
        <f t="shared" si="15"/>
        <v>1162</v>
      </c>
      <c r="E978" s="213"/>
      <c r="F978" s="213"/>
      <c r="G978" s="213"/>
      <c r="H978" s="213"/>
      <c r="I978" s="213"/>
      <c r="J978" s="213"/>
      <c r="K978" s="213"/>
      <c r="L978" s="213"/>
      <c r="M978" s="213"/>
      <c r="N978" s="213"/>
      <c r="O978" s="213"/>
      <c r="P978" s="213"/>
    </row>
    <row r="979" spans="1:16">
      <c r="A979" s="213">
        <v>2233</v>
      </c>
      <c r="B979" s="213" t="s">
        <v>241</v>
      </c>
      <c r="C979" s="213">
        <v>85.4</v>
      </c>
      <c r="D979">
        <f t="shared" si="15"/>
        <v>168</v>
      </c>
      <c r="E979" s="213"/>
      <c r="F979" s="213"/>
      <c r="G979" s="213"/>
      <c r="H979" s="213"/>
      <c r="I979" s="213"/>
      <c r="J979" s="213"/>
      <c r="K979" s="213"/>
      <c r="L979" s="213"/>
      <c r="M979" s="213"/>
      <c r="N979" s="213"/>
      <c r="O979" s="213"/>
      <c r="P979" s="213"/>
    </row>
    <row r="980" spans="1:16">
      <c r="A980" s="213">
        <v>2235</v>
      </c>
      <c r="B980" s="213" t="s">
        <v>242</v>
      </c>
      <c r="C980" s="213">
        <v>120.5</v>
      </c>
      <c r="D980">
        <f t="shared" si="15"/>
        <v>105</v>
      </c>
      <c r="E980" s="213"/>
      <c r="F980" s="213"/>
      <c r="G980" s="213"/>
      <c r="H980" s="213"/>
      <c r="I980" s="213"/>
      <c r="J980" s="213"/>
      <c r="K980" s="213"/>
      <c r="L980" s="213"/>
      <c r="M980" s="213"/>
      <c r="N980" s="213"/>
      <c r="O980" s="213"/>
      <c r="P980" s="213"/>
    </row>
    <row r="981" spans="1:16">
      <c r="A981" s="213">
        <v>2596</v>
      </c>
      <c r="B981" s="213" t="s">
        <v>1329</v>
      </c>
      <c r="C981" s="213">
        <v>17</v>
      </c>
      <c r="D981">
        <f t="shared" si="15"/>
        <v>1034</v>
      </c>
      <c r="E981" s="213"/>
      <c r="F981" s="213"/>
      <c r="G981" s="213"/>
      <c r="H981" s="213"/>
      <c r="I981" s="213"/>
      <c r="J981" s="213"/>
      <c r="K981" s="213"/>
      <c r="L981" s="213"/>
      <c r="M981" s="213"/>
      <c r="N981" s="213"/>
      <c r="O981" s="213"/>
      <c r="P981" s="213"/>
    </row>
    <row r="982" spans="1:16">
      <c r="A982" s="213">
        <v>2636</v>
      </c>
      <c r="B982" s="213" t="s">
        <v>1330</v>
      </c>
      <c r="C982" s="213">
        <v>21.2</v>
      </c>
      <c r="D982">
        <f t="shared" si="15"/>
        <v>869</v>
      </c>
      <c r="E982" s="213"/>
      <c r="F982" s="213"/>
      <c r="G982" s="213"/>
      <c r="H982" s="213"/>
      <c r="I982" s="213"/>
      <c r="J982" s="213"/>
      <c r="K982" s="213"/>
      <c r="L982" s="213"/>
      <c r="M982" s="213"/>
      <c r="N982" s="213"/>
      <c r="O982" s="213"/>
      <c r="P982" s="213"/>
    </row>
    <row r="983" spans="1:16">
      <c r="A983" s="213">
        <v>2640</v>
      </c>
      <c r="B983" s="213" t="s">
        <v>1331</v>
      </c>
      <c r="C983" s="213">
        <v>45.2</v>
      </c>
      <c r="D983">
        <f t="shared" si="15"/>
        <v>393</v>
      </c>
      <c r="E983" s="213"/>
      <c r="F983" s="213"/>
      <c r="G983" s="213"/>
      <c r="H983" s="213"/>
      <c r="I983" s="213"/>
      <c r="J983" s="213"/>
      <c r="K983" s="213"/>
      <c r="L983" s="213"/>
      <c r="M983" s="213"/>
      <c r="N983" s="213"/>
      <c r="O983" s="213"/>
      <c r="P983" s="213"/>
    </row>
    <row r="984" spans="1:16">
      <c r="A984" s="213">
        <v>2641</v>
      </c>
      <c r="B984" s="213" t="s">
        <v>1332</v>
      </c>
      <c r="C984" s="213">
        <v>12.2</v>
      </c>
      <c r="D984">
        <f t="shared" si="15"/>
        <v>1251</v>
      </c>
      <c r="E984" s="213"/>
      <c r="F984" s="213"/>
      <c r="G984" s="213"/>
      <c r="H984" s="213"/>
      <c r="I984" s="213"/>
      <c r="J984" s="213"/>
      <c r="K984" s="213"/>
      <c r="L984" s="213"/>
      <c r="M984" s="213"/>
      <c r="N984" s="213"/>
      <c r="O984" s="213"/>
      <c r="P984" s="213"/>
    </row>
    <row r="985" spans="1:16">
      <c r="A985" s="213">
        <v>2643</v>
      </c>
      <c r="B985" s="213" t="s">
        <v>1833</v>
      </c>
      <c r="C985" s="213">
        <v>41.4</v>
      </c>
      <c r="D985">
        <f t="shared" si="15"/>
        <v>429</v>
      </c>
      <c r="E985" s="213"/>
      <c r="F985" s="213"/>
      <c r="G985" s="213"/>
      <c r="H985" s="213"/>
      <c r="I985" s="213"/>
      <c r="J985" s="213"/>
      <c r="K985" s="213"/>
      <c r="L985" s="213"/>
      <c r="M985" s="213"/>
      <c r="N985" s="213"/>
      <c r="O985" s="213"/>
      <c r="P985" s="213"/>
    </row>
    <row r="986" spans="1:16">
      <c r="A986" s="213">
        <v>2718</v>
      </c>
      <c r="B986" s="213" t="s">
        <v>1739</v>
      </c>
      <c r="C986" s="213">
        <v>0</v>
      </c>
      <c r="D986">
        <f t="shared" si="15"/>
        <v>1626</v>
      </c>
      <c r="E986" s="213"/>
      <c r="F986" s="213"/>
      <c r="G986" s="213"/>
      <c r="H986" s="213"/>
      <c r="I986" s="213"/>
      <c r="J986" s="213"/>
      <c r="K986" s="213"/>
      <c r="L986" s="213"/>
      <c r="M986" s="213"/>
      <c r="N986" s="213"/>
      <c r="O986" s="213"/>
      <c r="P986" s="213"/>
    </row>
    <row r="987" spans="1:16">
      <c r="A987" s="213">
        <v>2719</v>
      </c>
      <c r="B987" s="213" t="s">
        <v>243</v>
      </c>
      <c r="C987" s="213">
        <v>14</v>
      </c>
      <c r="D987">
        <f t="shared" si="15"/>
        <v>1162</v>
      </c>
      <c r="E987" s="213"/>
      <c r="F987" s="213"/>
      <c r="G987" s="213"/>
      <c r="H987" s="213"/>
      <c r="I987" s="213"/>
      <c r="J987" s="213"/>
      <c r="K987" s="213"/>
      <c r="L987" s="213"/>
      <c r="M987" s="213"/>
      <c r="N987" s="213"/>
      <c r="O987" s="213"/>
      <c r="P987" s="213"/>
    </row>
    <row r="988" spans="1:16">
      <c r="A988" s="213">
        <v>2724</v>
      </c>
      <c r="B988" s="213" t="s">
        <v>2111</v>
      </c>
      <c r="C988" s="213">
        <v>8.93</v>
      </c>
      <c r="D988">
        <f t="shared" si="15"/>
        <v>1430</v>
      </c>
      <c r="E988" s="213"/>
      <c r="F988" s="213"/>
      <c r="G988" s="213"/>
      <c r="H988" s="213"/>
      <c r="I988" s="213"/>
      <c r="J988" s="213"/>
      <c r="K988" s="213"/>
      <c r="L988" s="213"/>
      <c r="M988" s="213"/>
      <c r="N988" s="213"/>
      <c r="O988" s="213"/>
      <c r="P988" s="213"/>
    </row>
    <row r="989" spans="1:16">
      <c r="A989" s="213">
        <v>2726</v>
      </c>
      <c r="B989" s="213" t="s">
        <v>2112</v>
      </c>
      <c r="C989" s="213">
        <v>66.900000000000006</v>
      </c>
      <c r="D989">
        <f t="shared" si="15"/>
        <v>242</v>
      </c>
      <c r="E989" s="213"/>
      <c r="F989" s="213"/>
      <c r="G989" s="213"/>
      <c r="H989" s="213"/>
      <c r="I989" s="213"/>
      <c r="J989" s="213"/>
      <c r="K989" s="213"/>
      <c r="L989" s="213"/>
      <c r="M989" s="213"/>
      <c r="N989" s="213"/>
      <c r="O989" s="213"/>
      <c r="P989" s="213"/>
    </row>
    <row r="990" spans="1:16">
      <c r="A990" s="213">
        <v>2729</v>
      </c>
      <c r="B990" s="213" t="s">
        <v>1335</v>
      </c>
      <c r="C990" s="213">
        <v>215.5</v>
      </c>
      <c r="D990">
        <f t="shared" si="15"/>
        <v>40</v>
      </c>
      <c r="E990" s="213"/>
      <c r="F990" s="213"/>
      <c r="G990" s="213"/>
      <c r="H990" s="213"/>
      <c r="I990" s="213"/>
      <c r="J990" s="213"/>
      <c r="K990" s="213"/>
      <c r="L990" s="213"/>
      <c r="M990" s="213"/>
      <c r="N990" s="213"/>
      <c r="O990" s="213"/>
      <c r="P990" s="213"/>
    </row>
    <row r="991" spans="1:16">
      <c r="A991" s="213">
        <v>2732</v>
      </c>
      <c r="B991" s="213" t="s">
        <v>1336</v>
      </c>
      <c r="C991" s="213">
        <v>75.3</v>
      </c>
      <c r="D991">
        <f t="shared" si="15"/>
        <v>207</v>
      </c>
      <c r="E991" s="213"/>
      <c r="F991" s="213"/>
      <c r="G991" s="213"/>
      <c r="H991" s="213"/>
      <c r="I991" s="213"/>
      <c r="J991" s="213"/>
      <c r="K991" s="213"/>
      <c r="L991" s="213"/>
      <c r="M991" s="213"/>
      <c r="N991" s="213"/>
      <c r="O991" s="213"/>
      <c r="P991" s="213"/>
    </row>
    <row r="992" spans="1:16">
      <c r="A992" s="213">
        <v>2734</v>
      </c>
      <c r="B992" s="213" t="s">
        <v>244</v>
      </c>
      <c r="C992" s="213">
        <v>18.2</v>
      </c>
      <c r="D992">
        <f t="shared" si="15"/>
        <v>964</v>
      </c>
      <c r="E992" s="213"/>
      <c r="F992" s="213"/>
      <c r="G992" s="213"/>
      <c r="H992" s="213"/>
      <c r="I992" s="213"/>
      <c r="J992" s="213"/>
      <c r="K992" s="213"/>
      <c r="L992" s="213"/>
      <c r="M992" s="213"/>
      <c r="N992" s="213"/>
      <c r="O992" s="213"/>
      <c r="P992" s="213"/>
    </row>
    <row r="993" spans="1:16">
      <c r="A993" s="213">
        <v>2736</v>
      </c>
      <c r="B993" s="213" t="s">
        <v>1800</v>
      </c>
      <c r="C993" s="213">
        <v>20.5</v>
      </c>
      <c r="D993">
        <f t="shared" si="15"/>
        <v>889</v>
      </c>
      <c r="E993" s="213"/>
      <c r="F993" s="213"/>
      <c r="G993" s="213"/>
      <c r="H993" s="213"/>
      <c r="I993" s="213"/>
      <c r="J993" s="213"/>
      <c r="K993" s="213"/>
      <c r="L993" s="213"/>
      <c r="M993" s="213"/>
      <c r="N993" s="213"/>
      <c r="O993" s="213"/>
      <c r="P993" s="213"/>
    </row>
    <row r="994" spans="1:16">
      <c r="A994" s="213">
        <v>2740</v>
      </c>
      <c r="B994" s="213" t="s">
        <v>1790</v>
      </c>
      <c r="C994" s="213">
        <v>0</v>
      </c>
      <c r="D994">
        <f t="shared" si="15"/>
        <v>1626</v>
      </c>
      <c r="E994" s="213"/>
      <c r="F994" s="213"/>
      <c r="G994" s="213"/>
      <c r="H994" s="213"/>
      <c r="I994" s="213"/>
      <c r="J994" s="213"/>
      <c r="K994" s="213"/>
      <c r="L994" s="213"/>
      <c r="M994" s="213"/>
      <c r="N994" s="213"/>
      <c r="O994" s="213"/>
      <c r="P994" s="213"/>
    </row>
    <row r="995" spans="1:16">
      <c r="A995" s="213">
        <v>2916</v>
      </c>
      <c r="B995" s="213" t="s">
        <v>1337</v>
      </c>
      <c r="C995" s="213">
        <v>16.2</v>
      </c>
      <c r="D995">
        <f t="shared" si="15"/>
        <v>1070</v>
      </c>
      <c r="E995" s="213"/>
      <c r="F995" s="213"/>
      <c r="G995" s="213"/>
      <c r="H995" s="213"/>
      <c r="I995" s="213"/>
      <c r="J995" s="213"/>
      <c r="K995" s="213"/>
      <c r="L995" s="213"/>
      <c r="M995" s="213"/>
      <c r="N995" s="213"/>
      <c r="O995" s="213"/>
      <c r="P995" s="213"/>
    </row>
    <row r="996" spans="1:16">
      <c r="A996" s="213">
        <v>2924</v>
      </c>
      <c r="B996" s="213" t="s">
        <v>2113</v>
      </c>
      <c r="C996" s="213">
        <v>53.5</v>
      </c>
      <c r="D996">
        <f t="shared" si="15"/>
        <v>308</v>
      </c>
      <c r="E996" s="213"/>
      <c r="F996" s="213"/>
      <c r="G996" s="213"/>
      <c r="H996" s="213"/>
      <c r="I996" s="213"/>
      <c r="J996" s="213"/>
      <c r="K996" s="213"/>
      <c r="L996" s="213"/>
      <c r="M996" s="213"/>
      <c r="N996" s="213"/>
      <c r="O996" s="213"/>
      <c r="P996" s="213"/>
    </row>
    <row r="997" spans="1:16">
      <c r="A997" s="213">
        <v>2926</v>
      </c>
      <c r="B997" s="213" t="s">
        <v>2299</v>
      </c>
      <c r="C997" s="213">
        <v>181</v>
      </c>
      <c r="D997">
        <f t="shared" si="15"/>
        <v>58</v>
      </c>
      <c r="E997" s="213"/>
      <c r="F997" s="213"/>
      <c r="G997" s="213"/>
      <c r="H997" s="213"/>
      <c r="I997" s="213"/>
      <c r="J997" s="213"/>
      <c r="K997" s="213"/>
      <c r="L997" s="213"/>
      <c r="M997" s="213"/>
      <c r="N997" s="213"/>
      <c r="O997" s="213"/>
      <c r="P997" s="213"/>
    </row>
    <row r="998" spans="1:16">
      <c r="A998" s="213">
        <v>2928</v>
      </c>
      <c r="B998" s="213" t="s">
        <v>2114</v>
      </c>
      <c r="C998" s="213">
        <v>51</v>
      </c>
      <c r="D998">
        <f t="shared" si="15"/>
        <v>331</v>
      </c>
      <c r="E998" s="213"/>
      <c r="F998" s="213"/>
      <c r="G998" s="213"/>
      <c r="H998" s="213"/>
      <c r="I998" s="213"/>
      <c r="J998" s="213"/>
      <c r="K998" s="213"/>
      <c r="L998" s="213"/>
      <c r="M998" s="213"/>
      <c r="N998" s="213"/>
      <c r="O998" s="213"/>
      <c r="P998" s="213"/>
    </row>
    <row r="999" spans="1:16">
      <c r="A999" s="213">
        <v>3064</v>
      </c>
      <c r="B999" s="213" t="s">
        <v>1340</v>
      </c>
      <c r="C999" s="213">
        <v>28.8</v>
      </c>
      <c r="D999">
        <f t="shared" si="15"/>
        <v>648</v>
      </c>
      <c r="E999" s="213"/>
      <c r="F999" s="213"/>
      <c r="G999" s="213"/>
      <c r="H999" s="213"/>
      <c r="I999" s="213"/>
      <c r="J999" s="213"/>
      <c r="K999" s="213"/>
      <c r="L999" s="213"/>
      <c r="M999" s="213"/>
      <c r="N999" s="213"/>
      <c r="O999" s="213"/>
      <c r="P999" s="213"/>
    </row>
    <row r="1000" spans="1:16">
      <c r="A1000" s="213">
        <v>3066</v>
      </c>
      <c r="B1000" s="213" t="s">
        <v>1341</v>
      </c>
      <c r="C1000" s="213">
        <v>7.08</v>
      </c>
      <c r="D1000">
        <f t="shared" si="15"/>
        <v>1513</v>
      </c>
      <c r="E1000" s="213"/>
      <c r="F1000" s="213"/>
      <c r="G1000" s="213"/>
      <c r="H1000" s="213"/>
      <c r="I1000" s="213"/>
      <c r="J1000" s="213"/>
      <c r="K1000" s="213"/>
      <c r="L1000" s="213"/>
      <c r="M1000" s="213"/>
      <c r="N1000" s="213"/>
      <c r="O1000" s="213"/>
      <c r="P1000" s="213"/>
    </row>
    <row r="1001" spans="1:16">
      <c r="A1001" s="213">
        <v>3067</v>
      </c>
      <c r="B1001" s="213" t="s">
        <v>245</v>
      </c>
      <c r="C1001" s="213">
        <v>12.4</v>
      </c>
      <c r="D1001">
        <f t="shared" si="15"/>
        <v>1239</v>
      </c>
      <c r="E1001" s="213"/>
      <c r="F1001" s="213"/>
      <c r="G1001" s="213"/>
      <c r="H1001" s="213"/>
      <c r="I1001" s="213"/>
      <c r="J1001" s="213"/>
      <c r="K1001" s="213"/>
      <c r="L1001" s="213"/>
      <c r="M1001" s="213"/>
      <c r="N1001" s="213"/>
      <c r="O1001" s="213"/>
      <c r="P1001" s="213"/>
    </row>
    <row r="1002" spans="1:16">
      <c r="A1002" s="213">
        <v>3068</v>
      </c>
      <c r="B1002" s="213" t="s">
        <v>246</v>
      </c>
      <c r="C1002" s="213">
        <v>52.8</v>
      </c>
      <c r="D1002">
        <f t="shared" si="15"/>
        <v>316</v>
      </c>
      <c r="E1002" s="213"/>
      <c r="F1002" s="213"/>
      <c r="G1002" s="213"/>
      <c r="H1002" s="213"/>
      <c r="I1002" s="213"/>
      <c r="J1002" s="213"/>
      <c r="K1002" s="213"/>
      <c r="L1002" s="213"/>
      <c r="M1002" s="213"/>
      <c r="N1002" s="213"/>
      <c r="O1002" s="213"/>
      <c r="P1002" s="213"/>
    </row>
    <row r="1003" spans="1:16">
      <c r="A1003" s="213">
        <v>3071</v>
      </c>
      <c r="B1003" s="213" t="s">
        <v>1342</v>
      </c>
      <c r="C1003" s="213">
        <v>7.36</v>
      </c>
      <c r="D1003">
        <f t="shared" si="15"/>
        <v>1495</v>
      </c>
      <c r="E1003" s="213"/>
      <c r="F1003" s="213"/>
      <c r="G1003" s="213"/>
      <c r="H1003" s="213"/>
      <c r="I1003" s="213"/>
      <c r="J1003" s="213"/>
      <c r="K1003" s="213"/>
      <c r="L1003" s="213"/>
      <c r="M1003" s="213"/>
      <c r="N1003" s="213"/>
      <c r="O1003" s="213"/>
      <c r="P1003" s="213"/>
    </row>
    <row r="1004" spans="1:16">
      <c r="A1004" s="213">
        <v>3073</v>
      </c>
      <c r="B1004" s="213" t="s">
        <v>1343</v>
      </c>
      <c r="C1004" s="213">
        <v>12.45</v>
      </c>
      <c r="D1004">
        <f t="shared" si="15"/>
        <v>1236</v>
      </c>
      <c r="E1004" s="213"/>
      <c r="F1004" s="213"/>
      <c r="G1004" s="213"/>
      <c r="H1004" s="213"/>
      <c r="I1004" s="213"/>
      <c r="J1004" s="213"/>
      <c r="K1004" s="213"/>
      <c r="L1004" s="213"/>
      <c r="M1004" s="213"/>
      <c r="N1004" s="213"/>
      <c r="O1004" s="213"/>
      <c r="P1004" s="213"/>
    </row>
    <row r="1005" spans="1:16">
      <c r="A1005" s="213">
        <v>3078</v>
      </c>
      <c r="B1005" s="213" t="s">
        <v>1344</v>
      </c>
      <c r="C1005" s="213">
        <v>31.1</v>
      </c>
      <c r="D1005">
        <f t="shared" si="15"/>
        <v>591</v>
      </c>
      <c r="E1005" s="213"/>
      <c r="F1005" s="213"/>
      <c r="G1005" s="213"/>
      <c r="H1005" s="213"/>
      <c r="I1005" s="213"/>
      <c r="J1005" s="213"/>
      <c r="K1005" s="213"/>
      <c r="L1005" s="213"/>
      <c r="M1005" s="213"/>
      <c r="N1005" s="213"/>
      <c r="O1005" s="213"/>
      <c r="P1005" s="213"/>
    </row>
    <row r="1006" spans="1:16">
      <c r="A1006" s="213">
        <v>3081</v>
      </c>
      <c r="B1006" s="213" t="s">
        <v>1345</v>
      </c>
      <c r="C1006" s="213">
        <v>273</v>
      </c>
      <c r="D1006">
        <f t="shared" si="15"/>
        <v>26</v>
      </c>
      <c r="E1006" s="213"/>
      <c r="F1006" s="213"/>
      <c r="G1006" s="213"/>
      <c r="H1006" s="213"/>
      <c r="I1006" s="213"/>
      <c r="J1006" s="213"/>
      <c r="K1006" s="213"/>
      <c r="L1006" s="213"/>
      <c r="M1006" s="213"/>
      <c r="N1006" s="213"/>
      <c r="O1006" s="213"/>
      <c r="P1006" s="213"/>
    </row>
    <row r="1007" spans="1:16">
      <c r="A1007" s="213">
        <v>3083</v>
      </c>
      <c r="B1007" s="213" t="s">
        <v>1346</v>
      </c>
      <c r="C1007" s="213">
        <v>36.950000000000003</v>
      </c>
      <c r="D1007">
        <f t="shared" si="15"/>
        <v>496</v>
      </c>
      <c r="E1007" s="213"/>
      <c r="F1007" s="213"/>
      <c r="G1007" s="213"/>
      <c r="H1007" s="213"/>
      <c r="I1007" s="213"/>
      <c r="J1007" s="213"/>
      <c r="K1007" s="213"/>
      <c r="L1007" s="213"/>
      <c r="M1007" s="213"/>
      <c r="N1007" s="213"/>
      <c r="O1007" s="213"/>
      <c r="P1007" s="213"/>
    </row>
    <row r="1008" spans="1:16">
      <c r="A1008" s="213">
        <v>3085</v>
      </c>
      <c r="B1008" s="213" t="s">
        <v>247</v>
      </c>
      <c r="C1008" s="213">
        <v>14.15</v>
      </c>
      <c r="D1008">
        <f t="shared" si="15"/>
        <v>1155</v>
      </c>
      <c r="E1008" s="213"/>
      <c r="F1008" s="213"/>
      <c r="G1008" s="213"/>
      <c r="H1008" s="213"/>
      <c r="I1008" s="213"/>
      <c r="J1008" s="213"/>
      <c r="K1008" s="213"/>
      <c r="L1008" s="213"/>
      <c r="M1008" s="213"/>
      <c r="N1008" s="213"/>
      <c r="O1008" s="213"/>
      <c r="P1008" s="213"/>
    </row>
    <row r="1009" spans="1:16">
      <c r="A1009" s="213">
        <v>3086</v>
      </c>
      <c r="B1009" s="213" t="s">
        <v>1347</v>
      </c>
      <c r="C1009" s="213">
        <v>6.4</v>
      </c>
      <c r="D1009">
        <f t="shared" si="15"/>
        <v>1540</v>
      </c>
      <c r="E1009" s="213"/>
      <c r="F1009" s="213"/>
      <c r="G1009" s="213"/>
      <c r="H1009" s="213"/>
      <c r="I1009" s="213"/>
      <c r="J1009" s="213"/>
      <c r="K1009" s="213"/>
      <c r="L1009" s="213"/>
      <c r="M1009" s="213"/>
      <c r="N1009" s="213"/>
      <c r="O1009" s="213"/>
      <c r="P1009" s="213"/>
    </row>
    <row r="1010" spans="1:16">
      <c r="A1010" s="213">
        <v>3088</v>
      </c>
      <c r="B1010" s="213" t="s">
        <v>248</v>
      </c>
      <c r="C1010" s="213">
        <v>56.4</v>
      </c>
      <c r="D1010">
        <f t="shared" si="15"/>
        <v>296</v>
      </c>
      <c r="E1010" s="213"/>
      <c r="F1010" s="213"/>
      <c r="G1010" s="213"/>
      <c r="H1010" s="213"/>
      <c r="I1010" s="213"/>
      <c r="J1010" s="213"/>
      <c r="K1010" s="213"/>
      <c r="L1010" s="213"/>
      <c r="M1010" s="213"/>
      <c r="N1010" s="213"/>
      <c r="O1010" s="213"/>
      <c r="P1010" s="213"/>
    </row>
    <row r="1011" spans="1:16">
      <c r="A1011" s="213">
        <v>3089</v>
      </c>
      <c r="B1011" s="213" t="s">
        <v>249</v>
      </c>
      <c r="C1011" s="213">
        <v>9.5</v>
      </c>
      <c r="D1011">
        <f t="shared" si="15"/>
        <v>1395</v>
      </c>
      <c r="E1011" s="213"/>
      <c r="F1011" s="213"/>
      <c r="G1011" s="213"/>
      <c r="H1011" s="213"/>
      <c r="I1011" s="213"/>
      <c r="J1011" s="213"/>
      <c r="K1011" s="213"/>
      <c r="L1011" s="213"/>
      <c r="M1011" s="213"/>
      <c r="N1011" s="213"/>
      <c r="O1011" s="213"/>
      <c r="P1011" s="213"/>
    </row>
    <row r="1012" spans="1:16">
      <c r="A1012" s="213">
        <v>3092</v>
      </c>
      <c r="B1012" s="213" t="s">
        <v>250</v>
      </c>
      <c r="C1012" s="213">
        <v>34.1</v>
      </c>
      <c r="D1012">
        <f t="shared" si="15"/>
        <v>537</v>
      </c>
      <c r="E1012" s="213"/>
      <c r="F1012" s="213"/>
      <c r="G1012" s="213"/>
      <c r="H1012" s="213"/>
      <c r="I1012" s="213"/>
      <c r="J1012" s="213"/>
      <c r="K1012" s="213"/>
      <c r="L1012" s="213"/>
      <c r="M1012" s="213"/>
      <c r="N1012" s="213"/>
      <c r="O1012" s="213"/>
      <c r="P1012" s="213"/>
    </row>
    <row r="1013" spans="1:16">
      <c r="A1013" s="213">
        <v>3093</v>
      </c>
      <c r="B1013" s="213" t="s">
        <v>251</v>
      </c>
      <c r="C1013" s="213">
        <v>32.5</v>
      </c>
      <c r="D1013">
        <f t="shared" si="15"/>
        <v>563</v>
      </c>
      <c r="E1013" s="213"/>
      <c r="F1013" s="213"/>
      <c r="G1013" s="213"/>
      <c r="H1013" s="213"/>
      <c r="I1013" s="213"/>
      <c r="J1013" s="213"/>
      <c r="K1013" s="213"/>
      <c r="L1013" s="213"/>
      <c r="M1013" s="213"/>
      <c r="N1013" s="213"/>
      <c r="O1013" s="213"/>
      <c r="P1013" s="213"/>
    </row>
    <row r="1014" spans="1:16">
      <c r="A1014" s="213">
        <v>3095</v>
      </c>
      <c r="B1014" s="213" t="s">
        <v>252</v>
      </c>
      <c r="C1014" s="213">
        <v>1.83</v>
      </c>
      <c r="D1014">
        <f t="shared" si="15"/>
        <v>1617</v>
      </c>
      <c r="E1014" s="213"/>
      <c r="F1014" s="213"/>
      <c r="G1014" s="213"/>
      <c r="H1014" s="213"/>
      <c r="I1014" s="213"/>
      <c r="J1014" s="213"/>
      <c r="K1014" s="213"/>
      <c r="L1014" s="213"/>
      <c r="M1014" s="213"/>
      <c r="N1014" s="213"/>
      <c r="O1014" s="213"/>
      <c r="P1014" s="213"/>
    </row>
    <row r="1015" spans="1:16">
      <c r="A1015" s="213">
        <v>3105</v>
      </c>
      <c r="B1015" s="213" t="s">
        <v>253</v>
      </c>
      <c r="C1015" s="213">
        <v>92.4</v>
      </c>
      <c r="D1015">
        <f t="shared" si="15"/>
        <v>153</v>
      </c>
      <c r="E1015" s="213"/>
      <c r="F1015" s="213"/>
      <c r="G1015" s="213"/>
      <c r="H1015" s="213"/>
      <c r="I1015" s="213"/>
      <c r="J1015" s="213"/>
      <c r="K1015" s="213"/>
      <c r="L1015" s="213"/>
      <c r="M1015" s="213"/>
      <c r="N1015" s="213"/>
      <c r="O1015" s="213"/>
      <c r="P1015" s="213"/>
    </row>
    <row r="1016" spans="1:16">
      <c r="A1016" s="213">
        <v>3114</v>
      </c>
      <c r="B1016" s="213" t="s">
        <v>1348</v>
      </c>
      <c r="C1016" s="213">
        <v>11.05</v>
      </c>
      <c r="D1016">
        <f t="shared" si="15"/>
        <v>1304</v>
      </c>
      <c r="E1016" s="213"/>
      <c r="F1016" s="213"/>
      <c r="G1016" s="213"/>
      <c r="H1016" s="213"/>
      <c r="I1016" s="213"/>
      <c r="J1016" s="213"/>
      <c r="K1016" s="213"/>
      <c r="L1016" s="213"/>
      <c r="M1016" s="213"/>
      <c r="N1016" s="213"/>
      <c r="O1016" s="213"/>
      <c r="P1016" s="213"/>
    </row>
    <row r="1017" spans="1:16">
      <c r="A1017" s="213">
        <v>3115</v>
      </c>
      <c r="B1017" s="213" t="s">
        <v>1349</v>
      </c>
      <c r="C1017" s="213">
        <v>12.8</v>
      </c>
      <c r="D1017">
        <f t="shared" si="15"/>
        <v>1220</v>
      </c>
      <c r="E1017" s="213"/>
      <c r="F1017" s="213"/>
      <c r="G1017" s="213"/>
      <c r="H1017" s="213"/>
      <c r="I1017" s="213"/>
      <c r="J1017" s="213"/>
      <c r="K1017" s="213"/>
      <c r="L1017" s="213"/>
      <c r="M1017" s="213"/>
      <c r="N1017" s="213"/>
      <c r="O1017" s="213"/>
      <c r="P1017" s="213"/>
    </row>
    <row r="1018" spans="1:16">
      <c r="A1018" s="213">
        <v>3118</v>
      </c>
      <c r="B1018" s="213" t="s">
        <v>1350</v>
      </c>
      <c r="C1018" s="213">
        <v>30.4</v>
      </c>
      <c r="D1018">
        <f t="shared" si="15"/>
        <v>605</v>
      </c>
      <c r="E1018" s="213"/>
      <c r="F1018" s="213"/>
      <c r="G1018" s="213"/>
      <c r="H1018" s="213"/>
      <c r="I1018" s="213"/>
      <c r="J1018" s="213"/>
      <c r="K1018" s="213"/>
      <c r="L1018" s="213"/>
      <c r="M1018" s="213"/>
      <c r="N1018" s="213"/>
      <c r="O1018" s="213"/>
      <c r="P1018" s="213"/>
    </row>
    <row r="1019" spans="1:16">
      <c r="A1019" s="213">
        <v>3122</v>
      </c>
      <c r="B1019" s="213" t="s">
        <v>1351</v>
      </c>
      <c r="C1019" s="213">
        <v>17.149999999999999</v>
      </c>
      <c r="D1019">
        <f t="shared" si="15"/>
        <v>1018</v>
      </c>
      <c r="E1019" s="213"/>
      <c r="F1019" s="213"/>
      <c r="G1019" s="213"/>
      <c r="H1019" s="213"/>
      <c r="I1019" s="213"/>
      <c r="J1019" s="213"/>
      <c r="K1019" s="213"/>
      <c r="L1019" s="213"/>
      <c r="M1019" s="213"/>
      <c r="N1019" s="213"/>
      <c r="O1019" s="213"/>
      <c r="P1019" s="213"/>
    </row>
    <row r="1020" spans="1:16">
      <c r="A1020" s="213">
        <v>3128</v>
      </c>
      <c r="B1020" s="213" t="s">
        <v>1352</v>
      </c>
      <c r="C1020" s="213">
        <v>11.75</v>
      </c>
      <c r="D1020">
        <f t="shared" si="15"/>
        <v>1273</v>
      </c>
      <c r="E1020" s="213"/>
      <c r="F1020" s="213"/>
      <c r="G1020" s="213"/>
      <c r="H1020" s="213"/>
      <c r="I1020" s="213"/>
      <c r="J1020" s="213"/>
      <c r="K1020" s="213"/>
      <c r="L1020" s="213"/>
      <c r="M1020" s="213"/>
      <c r="N1020" s="213"/>
      <c r="O1020" s="213"/>
      <c r="P1020" s="213"/>
    </row>
    <row r="1021" spans="1:16">
      <c r="A1021" s="213">
        <v>3131</v>
      </c>
      <c r="B1021" s="213" t="s">
        <v>1353</v>
      </c>
      <c r="C1021" s="213">
        <v>203.5</v>
      </c>
      <c r="D1021">
        <f t="shared" si="15"/>
        <v>46</v>
      </c>
      <c r="E1021" s="213"/>
      <c r="F1021" s="213"/>
      <c r="G1021" s="213"/>
      <c r="H1021" s="213"/>
      <c r="I1021" s="213"/>
      <c r="J1021" s="213"/>
      <c r="K1021" s="213"/>
      <c r="L1021" s="213"/>
      <c r="M1021" s="213"/>
      <c r="N1021" s="213"/>
      <c r="O1021" s="213"/>
      <c r="P1021" s="213"/>
    </row>
    <row r="1022" spans="1:16">
      <c r="A1022" s="213">
        <v>3141</v>
      </c>
      <c r="B1022" s="213" t="s">
        <v>254</v>
      </c>
      <c r="C1022" s="213">
        <v>39.299999999999997</v>
      </c>
      <c r="D1022">
        <f t="shared" si="15"/>
        <v>460</v>
      </c>
      <c r="E1022" s="213"/>
      <c r="F1022" s="213"/>
      <c r="G1022" s="213"/>
      <c r="H1022" s="213"/>
      <c r="I1022" s="213"/>
      <c r="J1022" s="213"/>
      <c r="K1022" s="213"/>
      <c r="L1022" s="213"/>
      <c r="M1022" s="213"/>
      <c r="N1022" s="213"/>
      <c r="O1022" s="213"/>
      <c r="P1022" s="213"/>
    </row>
    <row r="1023" spans="1:16">
      <c r="A1023" s="213">
        <v>3144</v>
      </c>
      <c r="B1023" s="213" t="s">
        <v>255</v>
      </c>
      <c r="C1023" s="213">
        <v>16.5</v>
      </c>
      <c r="D1023">
        <f t="shared" si="15"/>
        <v>1058</v>
      </c>
      <c r="E1023" s="213"/>
      <c r="F1023" s="213"/>
      <c r="G1023" s="213"/>
      <c r="H1023" s="213"/>
      <c r="I1023" s="213"/>
      <c r="J1023" s="213"/>
      <c r="K1023" s="213"/>
      <c r="L1023" s="213"/>
      <c r="M1023" s="213"/>
      <c r="N1023" s="213"/>
      <c r="O1023" s="213"/>
      <c r="P1023" s="213"/>
    </row>
    <row r="1024" spans="1:16">
      <c r="A1024" s="213">
        <v>3152</v>
      </c>
      <c r="B1024" s="213" t="s">
        <v>1354</v>
      </c>
      <c r="C1024" s="213">
        <v>227.5</v>
      </c>
      <c r="D1024">
        <f t="shared" si="15"/>
        <v>35</v>
      </c>
      <c r="E1024" s="213"/>
      <c r="F1024" s="213"/>
      <c r="G1024" s="213"/>
      <c r="H1024" s="213"/>
      <c r="I1024" s="213"/>
      <c r="J1024" s="213"/>
      <c r="K1024" s="213"/>
      <c r="L1024" s="213"/>
      <c r="M1024" s="213"/>
      <c r="N1024" s="213"/>
      <c r="O1024" s="213"/>
      <c r="P1024" s="213"/>
    </row>
    <row r="1025" spans="1:16">
      <c r="A1025" s="213">
        <v>3162</v>
      </c>
      <c r="B1025" s="213" t="s">
        <v>1355</v>
      </c>
      <c r="C1025" s="213">
        <v>7.47</v>
      </c>
      <c r="D1025">
        <f t="shared" si="15"/>
        <v>1493</v>
      </c>
      <c r="E1025" s="213"/>
      <c r="F1025" s="213"/>
      <c r="G1025" s="213"/>
      <c r="H1025" s="213"/>
      <c r="I1025" s="213"/>
      <c r="J1025" s="213"/>
      <c r="K1025" s="213"/>
      <c r="L1025" s="213"/>
      <c r="M1025" s="213"/>
      <c r="N1025" s="213"/>
      <c r="O1025" s="213"/>
      <c r="P1025" s="213"/>
    </row>
    <row r="1026" spans="1:16">
      <c r="A1026" s="213">
        <v>3163</v>
      </c>
      <c r="B1026" s="213" t="s">
        <v>256</v>
      </c>
      <c r="C1026" s="213">
        <v>47.9</v>
      </c>
      <c r="D1026">
        <f t="shared" ref="D1026:D1089" si="16">RANK(C1026,C:C,0)</f>
        <v>364</v>
      </c>
      <c r="E1026" s="213"/>
      <c r="F1026" s="213"/>
      <c r="G1026" s="213"/>
      <c r="H1026" s="213"/>
      <c r="I1026" s="213"/>
      <c r="J1026" s="213"/>
      <c r="K1026" s="213"/>
      <c r="L1026" s="213"/>
      <c r="M1026" s="213"/>
      <c r="N1026" s="213"/>
      <c r="O1026" s="213"/>
      <c r="P1026" s="213"/>
    </row>
    <row r="1027" spans="1:16">
      <c r="A1027" s="213">
        <v>3169</v>
      </c>
      <c r="B1027" s="213" t="s">
        <v>1356</v>
      </c>
      <c r="C1027" s="213">
        <v>23.7</v>
      </c>
      <c r="D1027">
        <f t="shared" si="16"/>
        <v>785</v>
      </c>
      <c r="E1027" s="213"/>
      <c r="F1027" s="213"/>
      <c r="G1027" s="213"/>
      <c r="H1027" s="213"/>
      <c r="I1027" s="213"/>
      <c r="J1027" s="213"/>
      <c r="K1027" s="213"/>
      <c r="L1027" s="213"/>
      <c r="M1027" s="213"/>
      <c r="N1027" s="213"/>
      <c r="O1027" s="213"/>
      <c r="P1027" s="213"/>
    </row>
    <row r="1028" spans="1:16">
      <c r="A1028" s="213">
        <v>3171</v>
      </c>
      <c r="B1028" s="213" t="s">
        <v>1357</v>
      </c>
      <c r="C1028" s="213">
        <v>18.8</v>
      </c>
      <c r="D1028">
        <f t="shared" si="16"/>
        <v>939</v>
      </c>
      <c r="E1028" s="213"/>
      <c r="F1028" s="213"/>
      <c r="G1028" s="213"/>
      <c r="H1028" s="213"/>
      <c r="I1028" s="213"/>
      <c r="J1028" s="213"/>
      <c r="K1028" s="213"/>
      <c r="L1028" s="213"/>
      <c r="M1028" s="213"/>
      <c r="N1028" s="213"/>
      <c r="O1028" s="213"/>
      <c r="P1028" s="213"/>
    </row>
    <row r="1029" spans="1:16">
      <c r="A1029" s="213">
        <v>3176</v>
      </c>
      <c r="B1029" s="213" t="s">
        <v>257</v>
      </c>
      <c r="C1029" s="213">
        <v>67.2</v>
      </c>
      <c r="D1029">
        <f t="shared" si="16"/>
        <v>240</v>
      </c>
      <c r="E1029" s="213"/>
      <c r="F1029" s="213"/>
      <c r="G1029" s="213"/>
      <c r="H1029" s="213"/>
      <c r="I1029" s="213"/>
      <c r="J1029" s="213"/>
      <c r="K1029" s="213"/>
      <c r="L1029" s="213"/>
      <c r="M1029" s="213"/>
      <c r="N1029" s="213"/>
      <c r="O1029" s="213"/>
      <c r="P1029" s="213"/>
    </row>
    <row r="1030" spans="1:16">
      <c r="A1030" s="213">
        <v>3188</v>
      </c>
      <c r="B1030" s="213" t="s">
        <v>3102</v>
      </c>
      <c r="C1030" s="213">
        <v>16.7</v>
      </c>
      <c r="D1030">
        <f t="shared" si="16"/>
        <v>1047</v>
      </c>
      <c r="E1030" s="213"/>
      <c r="F1030" s="213"/>
      <c r="G1030" s="213"/>
      <c r="H1030" s="213"/>
      <c r="I1030" s="213"/>
      <c r="J1030" s="213"/>
      <c r="K1030" s="213"/>
      <c r="L1030" s="213"/>
      <c r="M1030" s="213"/>
      <c r="N1030" s="213"/>
      <c r="O1030" s="213"/>
      <c r="P1030" s="213"/>
    </row>
    <row r="1031" spans="1:16">
      <c r="A1031" s="213">
        <v>3191</v>
      </c>
      <c r="B1031" s="213" t="s">
        <v>1358</v>
      </c>
      <c r="C1031" s="213">
        <v>12.8</v>
      </c>
      <c r="D1031">
        <f t="shared" si="16"/>
        <v>1220</v>
      </c>
      <c r="E1031" s="213"/>
      <c r="F1031" s="213"/>
      <c r="G1031" s="213"/>
      <c r="H1031" s="213"/>
      <c r="I1031" s="213"/>
      <c r="J1031" s="213"/>
      <c r="K1031" s="213"/>
      <c r="L1031" s="213"/>
      <c r="M1031" s="213"/>
      <c r="N1031" s="213"/>
      <c r="O1031" s="213"/>
      <c r="P1031" s="213"/>
    </row>
    <row r="1032" spans="1:16">
      <c r="A1032" s="213">
        <v>3202</v>
      </c>
      <c r="B1032" s="213" t="s">
        <v>1359</v>
      </c>
      <c r="C1032" s="213">
        <v>11.8</v>
      </c>
      <c r="D1032">
        <f t="shared" si="16"/>
        <v>1269</v>
      </c>
      <c r="E1032" s="213"/>
      <c r="F1032" s="213"/>
      <c r="G1032" s="213"/>
      <c r="H1032" s="213"/>
      <c r="I1032" s="213"/>
      <c r="J1032" s="213"/>
      <c r="K1032" s="213"/>
      <c r="L1032" s="213"/>
      <c r="M1032" s="213"/>
      <c r="N1032" s="213"/>
      <c r="O1032" s="213"/>
      <c r="P1032" s="213"/>
    </row>
    <row r="1033" spans="1:16">
      <c r="A1033" s="213">
        <v>3205</v>
      </c>
      <c r="B1033" s="213" t="s">
        <v>259</v>
      </c>
      <c r="C1033" s="213">
        <v>136.5</v>
      </c>
      <c r="D1033">
        <f t="shared" si="16"/>
        <v>89</v>
      </c>
      <c r="E1033" s="213"/>
      <c r="F1033" s="213"/>
      <c r="G1033" s="213"/>
      <c r="H1033" s="213"/>
      <c r="I1033" s="213"/>
      <c r="J1033" s="213"/>
      <c r="K1033" s="213"/>
      <c r="L1033" s="213"/>
      <c r="M1033" s="213"/>
      <c r="N1033" s="213"/>
      <c r="O1033" s="213"/>
      <c r="P1033" s="213"/>
    </row>
    <row r="1034" spans="1:16">
      <c r="A1034" s="213">
        <v>3206</v>
      </c>
      <c r="B1034" s="213" t="s">
        <v>1360</v>
      </c>
      <c r="C1034" s="213">
        <v>21.8</v>
      </c>
      <c r="D1034">
        <f t="shared" si="16"/>
        <v>854</v>
      </c>
      <c r="E1034" s="213"/>
      <c r="F1034" s="213"/>
      <c r="G1034" s="213"/>
      <c r="H1034" s="213"/>
      <c r="I1034" s="213"/>
      <c r="J1034" s="213"/>
      <c r="K1034" s="213"/>
      <c r="L1034" s="213"/>
      <c r="M1034" s="213"/>
      <c r="N1034" s="213"/>
      <c r="O1034" s="213"/>
      <c r="P1034" s="213"/>
    </row>
    <row r="1035" spans="1:16">
      <c r="A1035" s="213">
        <v>3207</v>
      </c>
      <c r="B1035" s="213" t="s">
        <v>260</v>
      </c>
      <c r="C1035" s="213">
        <v>11.6</v>
      </c>
      <c r="D1035">
        <f t="shared" si="16"/>
        <v>1280</v>
      </c>
      <c r="E1035" s="213"/>
      <c r="F1035" s="213"/>
      <c r="G1035" s="213"/>
      <c r="H1035" s="213"/>
      <c r="I1035" s="213"/>
      <c r="J1035" s="213"/>
      <c r="K1035" s="213"/>
      <c r="L1035" s="213"/>
      <c r="M1035" s="213"/>
      <c r="N1035" s="213"/>
      <c r="O1035" s="213"/>
      <c r="P1035" s="213"/>
    </row>
    <row r="1036" spans="1:16">
      <c r="A1036" s="213">
        <v>3211</v>
      </c>
      <c r="B1036" s="213" t="s">
        <v>1361</v>
      </c>
      <c r="C1036" s="213">
        <v>42</v>
      </c>
      <c r="D1036">
        <f t="shared" si="16"/>
        <v>423</v>
      </c>
      <c r="E1036" s="213"/>
      <c r="F1036" s="213"/>
      <c r="G1036" s="213"/>
      <c r="H1036" s="213"/>
      <c r="I1036" s="213"/>
      <c r="J1036" s="213"/>
      <c r="K1036" s="213"/>
      <c r="L1036" s="213"/>
      <c r="M1036" s="213"/>
      <c r="N1036" s="213"/>
      <c r="O1036" s="213"/>
      <c r="P1036" s="213"/>
    </row>
    <row r="1037" spans="1:16">
      <c r="A1037" s="213">
        <v>3213</v>
      </c>
      <c r="B1037" s="213" t="s">
        <v>1362</v>
      </c>
      <c r="C1037" s="213">
        <v>35.299999999999997</v>
      </c>
      <c r="D1037">
        <f t="shared" si="16"/>
        <v>521</v>
      </c>
      <c r="E1037" s="213"/>
      <c r="F1037" s="213"/>
      <c r="G1037" s="213"/>
      <c r="H1037" s="213"/>
      <c r="I1037" s="213"/>
      <c r="J1037" s="213"/>
      <c r="K1037" s="213"/>
      <c r="L1037" s="213"/>
      <c r="M1037" s="213"/>
      <c r="N1037" s="213"/>
      <c r="O1037" s="213"/>
      <c r="P1037" s="213"/>
    </row>
    <row r="1038" spans="1:16">
      <c r="A1038" s="213">
        <v>3217</v>
      </c>
      <c r="B1038" s="213" t="s">
        <v>1363</v>
      </c>
      <c r="C1038" s="213">
        <v>17.75</v>
      </c>
      <c r="D1038">
        <f t="shared" si="16"/>
        <v>991</v>
      </c>
      <c r="E1038" s="213"/>
      <c r="F1038" s="213"/>
      <c r="G1038" s="213"/>
      <c r="H1038" s="213"/>
      <c r="I1038" s="213"/>
      <c r="J1038" s="213"/>
      <c r="K1038" s="213"/>
      <c r="L1038" s="213"/>
      <c r="M1038" s="213"/>
      <c r="N1038" s="213"/>
      <c r="O1038" s="213"/>
      <c r="P1038" s="213"/>
    </row>
    <row r="1039" spans="1:16">
      <c r="A1039" s="213">
        <v>3218</v>
      </c>
      <c r="B1039" s="213" t="s">
        <v>261</v>
      </c>
      <c r="C1039" s="213">
        <v>22.95</v>
      </c>
      <c r="D1039">
        <f t="shared" si="16"/>
        <v>811</v>
      </c>
      <c r="E1039" s="213"/>
      <c r="F1039" s="213"/>
      <c r="G1039" s="213"/>
      <c r="H1039" s="213"/>
      <c r="I1039" s="213"/>
      <c r="J1039" s="213"/>
      <c r="K1039" s="213"/>
      <c r="L1039" s="213"/>
      <c r="M1039" s="213"/>
      <c r="N1039" s="213"/>
      <c r="O1039" s="213"/>
      <c r="P1039" s="213"/>
    </row>
    <row r="1040" spans="1:16">
      <c r="A1040" s="213">
        <v>3219</v>
      </c>
      <c r="B1040" s="213" t="s">
        <v>1364</v>
      </c>
      <c r="C1040" s="213">
        <v>24.4</v>
      </c>
      <c r="D1040">
        <f t="shared" si="16"/>
        <v>755</v>
      </c>
      <c r="E1040" s="213"/>
      <c r="F1040" s="213"/>
      <c r="G1040" s="213"/>
      <c r="H1040" s="213"/>
      <c r="I1040" s="213"/>
      <c r="J1040" s="213"/>
      <c r="K1040" s="213"/>
      <c r="L1040" s="213"/>
      <c r="M1040" s="213"/>
      <c r="N1040" s="213"/>
      <c r="O1040" s="213"/>
      <c r="P1040" s="213"/>
    </row>
    <row r="1041" spans="1:16">
      <c r="A1041" s="213">
        <v>3221</v>
      </c>
      <c r="B1041" s="213" t="s">
        <v>1365</v>
      </c>
      <c r="C1041" s="213">
        <v>27.1</v>
      </c>
      <c r="D1041">
        <f t="shared" si="16"/>
        <v>684</v>
      </c>
      <c r="E1041" s="213"/>
      <c r="F1041" s="213"/>
      <c r="G1041" s="213"/>
      <c r="H1041" s="213"/>
      <c r="I1041" s="213"/>
      <c r="J1041" s="213"/>
      <c r="K1041" s="213"/>
      <c r="L1041" s="213"/>
      <c r="M1041" s="213"/>
      <c r="N1041" s="213"/>
      <c r="O1041" s="213"/>
      <c r="P1041" s="213"/>
    </row>
    <row r="1042" spans="1:16">
      <c r="A1042" s="213">
        <v>3224</v>
      </c>
      <c r="B1042" s="213" t="s">
        <v>1366</v>
      </c>
      <c r="C1042" s="213">
        <v>29.15</v>
      </c>
      <c r="D1042">
        <f t="shared" si="16"/>
        <v>634</v>
      </c>
      <c r="E1042" s="213"/>
      <c r="F1042" s="213"/>
      <c r="G1042" s="213"/>
      <c r="H1042" s="213"/>
      <c r="I1042" s="213"/>
      <c r="J1042" s="213"/>
      <c r="K1042" s="213"/>
      <c r="L1042" s="213"/>
      <c r="M1042" s="213"/>
      <c r="N1042" s="213"/>
      <c r="O1042" s="213"/>
      <c r="P1042" s="213"/>
    </row>
    <row r="1043" spans="1:16">
      <c r="A1043" s="213">
        <v>3226</v>
      </c>
      <c r="B1043" s="213" t="s">
        <v>262</v>
      </c>
      <c r="C1043" s="213">
        <v>66.3</v>
      </c>
      <c r="D1043">
        <f t="shared" si="16"/>
        <v>244</v>
      </c>
      <c r="E1043" s="213"/>
      <c r="F1043" s="213"/>
      <c r="G1043" s="213"/>
      <c r="H1043" s="213"/>
      <c r="I1043" s="213"/>
      <c r="J1043" s="213"/>
      <c r="K1043" s="213"/>
      <c r="L1043" s="213"/>
      <c r="M1043" s="213"/>
      <c r="N1043" s="213"/>
      <c r="O1043" s="213"/>
      <c r="P1043" s="213"/>
    </row>
    <row r="1044" spans="1:16">
      <c r="A1044" s="213">
        <v>3227</v>
      </c>
      <c r="B1044" s="213" t="s">
        <v>263</v>
      </c>
      <c r="C1044" s="213">
        <v>69.599999999999994</v>
      </c>
      <c r="D1044">
        <f t="shared" si="16"/>
        <v>229</v>
      </c>
      <c r="E1044" s="213"/>
      <c r="F1044" s="213"/>
      <c r="G1044" s="213"/>
      <c r="H1044" s="213"/>
      <c r="I1044" s="213"/>
      <c r="J1044" s="213"/>
      <c r="K1044" s="213"/>
      <c r="L1044" s="213"/>
      <c r="M1044" s="213"/>
      <c r="N1044" s="213"/>
      <c r="O1044" s="213"/>
      <c r="P1044" s="213"/>
    </row>
    <row r="1045" spans="1:16">
      <c r="A1045" s="213">
        <v>3228</v>
      </c>
      <c r="B1045" s="213" t="s">
        <v>264</v>
      </c>
      <c r="C1045" s="213">
        <v>17</v>
      </c>
      <c r="D1045">
        <f t="shared" si="16"/>
        <v>1034</v>
      </c>
      <c r="E1045" s="213"/>
      <c r="F1045" s="213"/>
      <c r="G1045" s="213"/>
      <c r="H1045" s="213"/>
      <c r="I1045" s="213"/>
      <c r="J1045" s="213"/>
      <c r="K1045" s="213"/>
      <c r="L1045" s="213"/>
      <c r="M1045" s="213"/>
      <c r="N1045" s="213"/>
      <c r="O1045" s="213"/>
      <c r="P1045" s="213"/>
    </row>
    <row r="1046" spans="1:16">
      <c r="A1046" s="213">
        <v>3230</v>
      </c>
      <c r="B1046" s="213" t="s">
        <v>1367</v>
      </c>
      <c r="C1046" s="213">
        <v>6.05</v>
      </c>
      <c r="D1046">
        <f t="shared" si="16"/>
        <v>1554</v>
      </c>
      <c r="E1046" s="213"/>
      <c r="F1046" s="213"/>
      <c r="G1046" s="213"/>
      <c r="H1046" s="213"/>
      <c r="I1046" s="213"/>
      <c r="J1046" s="213"/>
      <c r="K1046" s="213"/>
      <c r="L1046" s="213"/>
      <c r="M1046" s="213"/>
      <c r="N1046" s="213"/>
      <c r="O1046" s="213"/>
      <c r="P1046" s="213"/>
    </row>
    <row r="1047" spans="1:16">
      <c r="A1047" s="213">
        <v>3232</v>
      </c>
      <c r="B1047" s="213" t="s">
        <v>265</v>
      </c>
      <c r="C1047" s="213">
        <v>20</v>
      </c>
      <c r="D1047">
        <f t="shared" si="16"/>
        <v>903</v>
      </c>
      <c r="E1047" s="213"/>
      <c r="F1047" s="213"/>
      <c r="G1047" s="213"/>
      <c r="H1047" s="213"/>
      <c r="I1047" s="213"/>
      <c r="J1047" s="213"/>
      <c r="K1047" s="213"/>
      <c r="L1047" s="213"/>
      <c r="M1047" s="213"/>
      <c r="N1047" s="213"/>
      <c r="O1047" s="213"/>
      <c r="P1047" s="213"/>
    </row>
    <row r="1048" spans="1:16">
      <c r="A1048" s="213">
        <v>3234</v>
      </c>
      <c r="B1048" s="213" t="s">
        <v>266</v>
      </c>
      <c r="C1048" s="213">
        <v>58.4</v>
      </c>
      <c r="D1048">
        <f t="shared" si="16"/>
        <v>285</v>
      </c>
      <c r="E1048" s="213"/>
      <c r="F1048" s="213"/>
      <c r="G1048" s="213"/>
      <c r="H1048" s="213"/>
      <c r="I1048" s="213"/>
      <c r="J1048" s="213"/>
      <c r="K1048" s="213"/>
      <c r="L1048" s="213"/>
      <c r="M1048" s="213"/>
      <c r="N1048" s="213"/>
      <c r="O1048" s="213"/>
      <c r="P1048" s="213"/>
    </row>
    <row r="1049" spans="1:16">
      <c r="A1049" s="213">
        <v>3236</v>
      </c>
      <c r="B1049" s="213" t="s">
        <v>267</v>
      </c>
      <c r="C1049" s="213">
        <v>24.4</v>
      </c>
      <c r="D1049">
        <f t="shared" si="16"/>
        <v>755</v>
      </c>
      <c r="E1049" s="213"/>
      <c r="F1049" s="213"/>
      <c r="G1049" s="213"/>
      <c r="H1049" s="213"/>
      <c r="I1049" s="213"/>
      <c r="J1049" s="213"/>
      <c r="K1049" s="213"/>
      <c r="L1049" s="213"/>
      <c r="M1049" s="213"/>
      <c r="N1049" s="213"/>
      <c r="O1049" s="213"/>
      <c r="P1049" s="213"/>
    </row>
    <row r="1050" spans="1:16">
      <c r="A1050" s="213">
        <v>3252</v>
      </c>
      <c r="B1050" s="213" t="s">
        <v>268</v>
      </c>
      <c r="C1050" s="213">
        <v>27.8</v>
      </c>
      <c r="D1050">
        <f t="shared" si="16"/>
        <v>669</v>
      </c>
      <c r="E1050" s="213"/>
      <c r="F1050" s="213"/>
      <c r="G1050" s="213"/>
      <c r="H1050" s="213"/>
      <c r="I1050" s="213"/>
      <c r="J1050" s="213"/>
      <c r="K1050" s="213"/>
      <c r="L1050" s="213"/>
      <c r="M1050" s="213"/>
      <c r="N1050" s="213"/>
      <c r="O1050" s="213"/>
      <c r="P1050" s="213"/>
    </row>
    <row r="1051" spans="1:16">
      <c r="A1051" s="213">
        <v>3259</v>
      </c>
      <c r="B1051" s="213" t="s">
        <v>1368</v>
      </c>
      <c r="C1051" s="213">
        <v>28.25</v>
      </c>
      <c r="D1051">
        <f t="shared" si="16"/>
        <v>659</v>
      </c>
      <c r="E1051" s="213"/>
      <c r="F1051" s="213"/>
      <c r="G1051" s="213"/>
      <c r="H1051" s="213"/>
      <c r="I1051" s="213"/>
      <c r="J1051" s="213"/>
      <c r="K1051" s="213"/>
      <c r="L1051" s="213"/>
      <c r="M1051" s="213"/>
      <c r="N1051" s="213"/>
      <c r="O1051" s="213"/>
      <c r="P1051" s="213"/>
    </row>
    <row r="1052" spans="1:16">
      <c r="A1052" s="213">
        <v>3260</v>
      </c>
      <c r="B1052" s="213" t="s">
        <v>1369</v>
      </c>
      <c r="C1052" s="213">
        <v>50.2</v>
      </c>
      <c r="D1052">
        <f t="shared" si="16"/>
        <v>336</v>
      </c>
      <c r="E1052" s="213"/>
      <c r="F1052" s="213"/>
      <c r="G1052" s="213"/>
      <c r="H1052" s="213"/>
      <c r="I1052" s="213"/>
      <c r="J1052" s="213"/>
      <c r="K1052" s="213"/>
      <c r="L1052" s="213"/>
      <c r="M1052" s="213"/>
      <c r="N1052" s="213"/>
      <c r="O1052" s="213"/>
      <c r="P1052" s="213"/>
    </row>
    <row r="1053" spans="1:16">
      <c r="A1053" s="213">
        <v>3264</v>
      </c>
      <c r="B1053" s="213" t="s">
        <v>1370</v>
      </c>
      <c r="C1053" s="213">
        <v>23.6</v>
      </c>
      <c r="D1053">
        <f t="shared" si="16"/>
        <v>789</v>
      </c>
      <c r="E1053" s="213"/>
      <c r="F1053" s="213"/>
      <c r="G1053" s="213"/>
      <c r="H1053" s="213"/>
      <c r="I1053" s="213"/>
      <c r="J1053" s="213"/>
      <c r="K1053" s="213"/>
      <c r="L1053" s="213"/>
      <c r="M1053" s="213"/>
      <c r="N1053" s="213"/>
      <c r="O1053" s="213"/>
      <c r="P1053" s="213"/>
    </row>
    <row r="1054" spans="1:16">
      <c r="A1054" s="213">
        <v>3265</v>
      </c>
      <c r="B1054" s="213" t="s">
        <v>269</v>
      </c>
      <c r="C1054" s="213">
        <v>25.85</v>
      </c>
      <c r="D1054">
        <f t="shared" si="16"/>
        <v>716</v>
      </c>
      <c r="E1054" s="213"/>
      <c r="F1054" s="213"/>
      <c r="G1054" s="213"/>
      <c r="H1054" s="213"/>
      <c r="I1054" s="213"/>
      <c r="J1054" s="213"/>
      <c r="K1054" s="213"/>
      <c r="L1054" s="213"/>
      <c r="M1054" s="213"/>
      <c r="N1054" s="213"/>
      <c r="O1054" s="213"/>
      <c r="P1054" s="213"/>
    </row>
    <row r="1055" spans="1:16">
      <c r="A1055" s="213">
        <v>3268</v>
      </c>
      <c r="B1055" s="213" t="s">
        <v>270</v>
      </c>
      <c r="C1055" s="213">
        <v>12.8</v>
      </c>
      <c r="D1055">
        <f t="shared" si="16"/>
        <v>1220</v>
      </c>
      <c r="E1055" s="213"/>
      <c r="F1055" s="213"/>
      <c r="G1055" s="213"/>
      <c r="H1055" s="213"/>
      <c r="I1055" s="213"/>
      <c r="J1055" s="213"/>
      <c r="K1055" s="213"/>
      <c r="L1055" s="213"/>
      <c r="M1055" s="213"/>
      <c r="N1055" s="213"/>
      <c r="O1055" s="213"/>
      <c r="P1055" s="213"/>
    </row>
    <row r="1056" spans="1:16">
      <c r="A1056" s="213">
        <v>3272</v>
      </c>
      <c r="B1056" s="213" t="s">
        <v>271</v>
      </c>
      <c r="C1056" s="213">
        <v>49.85</v>
      </c>
      <c r="D1056">
        <f t="shared" si="16"/>
        <v>342</v>
      </c>
      <c r="E1056" s="213"/>
      <c r="F1056" s="213"/>
      <c r="G1056" s="213"/>
      <c r="H1056" s="213"/>
      <c r="I1056" s="213"/>
      <c r="J1056" s="213"/>
      <c r="K1056" s="213"/>
      <c r="L1056" s="213"/>
      <c r="M1056" s="213"/>
      <c r="N1056" s="213"/>
      <c r="O1056" s="213"/>
      <c r="P1056" s="213"/>
    </row>
    <row r="1057" spans="1:16">
      <c r="A1057" s="213">
        <v>3276</v>
      </c>
      <c r="B1057" s="213" t="s">
        <v>1371</v>
      </c>
      <c r="C1057" s="213">
        <v>14.6</v>
      </c>
      <c r="D1057">
        <f t="shared" si="16"/>
        <v>1139</v>
      </c>
      <c r="E1057" s="213"/>
      <c r="F1057" s="213"/>
      <c r="G1057" s="213"/>
      <c r="H1057" s="213"/>
      <c r="I1057" s="213"/>
      <c r="J1057" s="213"/>
      <c r="K1057" s="213"/>
      <c r="L1057" s="213"/>
      <c r="M1057" s="213"/>
      <c r="N1057" s="213"/>
      <c r="O1057" s="213"/>
      <c r="P1057" s="213"/>
    </row>
    <row r="1058" spans="1:16">
      <c r="A1058" s="213">
        <v>3284</v>
      </c>
      <c r="B1058" s="213" t="s">
        <v>272</v>
      </c>
      <c r="C1058" s="213">
        <v>17.8</v>
      </c>
      <c r="D1058">
        <f t="shared" si="16"/>
        <v>984</v>
      </c>
      <c r="E1058" s="213"/>
      <c r="F1058" s="213"/>
      <c r="G1058" s="213"/>
      <c r="H1058" s="213"/>
      <c r="I1058" s="213"/>
      <c r="J1058" s="213"/>
      <c r="K1058" s="213"/>
      <c r="L1058" s="213"/>
      <c r="M1058" s="213"/>
      <c r="N1058" s="213"/>
      <c r="O1058" s="213"/>
      <c r="P1058" s="213"/>
    </row>
    <row r="1059" spans="1:16">
      <c r="A1059" s="213">
        <v>3285</v>
      </c>
      <c r="B1059" s="213" t="s">
        <v>273</v>
      </c>
      <c r="C1059" s="213">
        <v>22.7</v>
      </c>
      <c r="D1059">
        <f t="shared" si="16"/>
        <v>817</v>
      </c>
      <c r="E1059" s="213"/>
      <c r="F1059" s="213"/>
      <c r="G1059" s="213"/>
      <c r="H1059" s="213"/>
      <c r="I1059" s="213"/>
      <c r="J1059" s="213"/>
      <c r="K1059" s="213"/>
      <c r="L1059" s="213"/>
      <c r="M1059" s="213"/>
      <c r="N1059" s="213"/>
      <c r="O1059" s="213"/>
      <c r="P1059" s="213"/>
    </row>
    <row r="1060" spans="1:16">
      <c r="A1060" s="213">
        <v>3287</v>
      </c>
      <c r="B1060" s="213" t="s">
        <v>1372</v>
      </c>
      <c r="C1060" s="213">
        <v>6.45</v>
      </c>
      <c r="D1060">
        <f t="shared" si="16"/>
        <v>1538</v>
      </c>
      <c r="E1060" s="213"/>
      <c r="F1060" s="213"/>
      <c r="G1060" s="213"/>
      <c r="H1060" s="213"/>
      <c r="I1060" s="213"/>
      <c r="J1060" s="213"/>
      <c r="K1060" s="213"/>
      <c r="L1060" s="213"/>
      <c r="M1060" s="213"/>
      <c r="N1060" s="213"/>
      <c r="O1060" s="213"/>
      <c r="P1060" s="213"/>
    </row>
    <row r="1061" spans="1:16">
      <c r="A1061" s="213">
        <v>3288</v>
      </c>
      <c r="B1061" s="213" t="s">
        <v>1373</v>
      </c>
      <c r="C1061" s="213">
        <v>6.4</v>
      </c>
      <c r="D1061">
        <f t="shared" si="16"/>
        <v>1540</v>
      </c>
      <c r="E1061" s="213"/>
      <c r="F1061" s="213"/>
      <c r="G1061" s="213"/>
      <c r="H1061" s="213"/>
      <c r="I1061" s="213"/>
      <c r="J1061" s="213"/>
      <c r="K1061" s="213"/>
      <c r="L1061" s="213"/>
      <c r="M1061" s="213"/>
      <c r="N1061" s="213"/>
      <c r="O1061" s="213"/>
      <c r="P1061" s="213"/>
    </row>
    <row r="1062" spans="1:16">
      <c r="A1062" s="213">
        <v>3289</v>
      </c>
      <c r="B1062" s="213" t="s">
        <v>1374</v>
      </c>
      <c r="C1062" s="213">
        <v>96.7</v>
      </c>
      <c r="D1062">
        <f t="shared" si="16"/>
        <v>141</v>
      </c>
      <c r="E1062" s="213"/>
      <c r="F1062" s="213"/>
      <c r="G1062" s="213"/>
      <c r="H1062" s="213"/>
      <c r="I1062" s="213"/>
      <c r="J1062" s="213"/>
      <c r="K1062" s="213"/>
      <c r="L1062" s="213"/>
      <c r="M1062" s="213"/>
      <c r="N1062" s="213"/>
      <c r="O1062" s="213"/>
      <c r="P1062" s="213"/>
    </row>
    <row r="1063" spans="1:16">
      <c r="A1063" s="213">
        <v>3290</v>
      </c>
      <c r="B1063" s="213" t="s">
        <v>1375</v>
      </c>
      <c r="C1063" s="213">
        <v>13.05</v>
      </c>
      <c r="D1063">
        <f t="shared" si="16"/>
        <v>1210</v>
      </c>
      <c r="E1063" s="213"/>
      <c r="F1063" s="213"/>
      <c r="G1063" s="213"/>
      <c r="H1063" s="213"/>
      <c r="I1063" s="213"/>
      <c r="J1063" s="213"/>
      <c r="K1063" s="213"/>
      <c r="L1063" s="213"/>
      <c r="M1063" s="213"/>
      <c r="N1063" s="213"/>
      <c r="O1063" s="213"/>
      <c r="P1063" s="213"/>
    </row>
    <row r="1064" spans="1:16">
      <c r="A1064" s="213">
        <v>3293</v>
      </c>
      <c r="B1064" s="213" t="s">
        <v>1376</v>
      </c>
      <c r="C1064" s="213">
        <v>193</v>
      </c>
      <c r="D1064">
        <f t="shared" si="16"/>
        <v>51</v>
      </c>
      <c r="E1064" s="213"/>
      <c r="F1064" s="213"/>
      <c r="G1064" s="213"/>
      <c r="H1064" s="213"/>
      <c r="I1064" s="213"/>
      <c r="J1064" s="213"/>
      <c r="K1064" s="213"/>
      <c r="L1064" s="213"/>
      <c r="M1064" s="213"/>
      <c r="N1064" s="213"/>
      <c r="O1064" s="213"/>
      <c r="P1064" s="213"/>
    </row>
    <row r="1065" spans="1:16">
      <c r="A1065" s="213">
        <v>3294</v>
      </c>
      <c r="B1065" s="213" t="s">
        <v>275</v>
      </c>
      <c r="C1065" s="213">
        <v>16</v>
      </c>
      <c r="D1065">
        <f t="shared" si="16"/>
        <v>1078</v>
      </c>
      <c r="E1065" s="213"/>
      <c r="F1065" s="213"/>
      <c r="G1065" s="213"/>
      <c r="H1065" s="213"/>
      <c r="I1065" s="213"/>
      <c r="J1065" s="213"/>
      <c r="K1065" s="213"/>
      <c r="L1065" s="213"/>
      <c r="M1065" s="213"/>
      <c r="N1065" s="213"/>
      <c r="O1065" s="213"/>
      <c r="P1065" s="213"/>
    </row>
    <row r="1066" spans="1:16">
      <c r="A1066" s="213">
        <v>3297</v>
      </c>
      <c r="B1066" s="213" t="s">
        <v>276</v>
      </c>
      <c r="C1066" s="213">
        <v>17.149999999999999</v>
      </c>
      <c r="D1066">
        <f t="shared" si="16"/>
        <v>1018</v>
      </c>
      <c r="E1066" s="213"/>
      <c r="F1066" s="213"/>
      <c r="G1066" s="213"/>
      <c r="H1066" s="213"/>
      <c r="I1066" s="213"/>
      <c r="J1066" s="213"/>
      <c r="K1066" s="213"/>
      <c r="L1066" s="213"/>
      <c r="M1066" s="213"/>
      <c r="N1066" s="213"/>
      <c r="O1066" s="213"/>
      <c r="P1066" s="213"/>
    </row>
    <row r="1067" spans="1:16">
      <c r="A1067" s="213">
        <v>3299</v>
      </c>
      <c r="B1067" s="213" t="s">
        <v>277</v>
      </c>
      <c r="C1067" s="213">
        <v>48</v>
      </c>
      <c r="D1067">
        <f t="shared" si="16"/>
        <v>361</v>
      </c>
      <c r="E1067" s="213"/>
      <c r="F1067" s="213"/>
      <c r="G1067" s="213"/>
      <c r="H1067" s="213"/>
      <c r="I1067" s="213"/>
      <c r="J1067" s="213"/>
      <c r="K1067" s="213"/>
      <c r="L1067" s="213"/>
      <c r="M1067" s="213"/>
      <c r="N1067" s="213"/>
      <c r="O1067" s="213"/>
      <c r="P1067" s="213"/>
    </row>
    <row r="1068" spans="1:16">
      <c r="A1068" s="213">
        <v>3303</v>
      </c>
      <c r="B1068" s="213" t="s">
        <v>278</v>
      </c>
      <c r="C1068" s="213">
        <v>19.7</v>
      </c>
      <c r="D1068">
        <f t="shared" si="16"/>
        <v>920</v>
      </c>
      <c r="E1068" s="213"/>
      <c r="F1068" s="213"/>
      <c r="G1068" s="213"/>
      <c r="H1068" s="213"/>
      <c r="I1068" s="213"/>
      <c r="J1068" s="213"/>
      <c r="K1068" s="213"/>
      <c r="L1068" s="213"/>
      <c r="M1068" s="213"/>
      <c r="N1068" s="213"/>
      <c r="O1068" s="213"/>
      <c r="P1068" s="213"/>
    </row>
    <row r="1069" spans="1:16">
      <c r="A1069" s="213">
        <v>3306</v>
      </c>
      <c r="B1069" s="213" t="s">
        <v>1377</v>
      </c>
      <c r="C1069" s="213">
        <v>24.1</v>
      </c>
      <c r="D1069">
        <f t="shared" si="16"/>
        <v>763</v>
      </c>
      <c r="E1069" s="213"/>
      <c r="F1069" s="213"/>
      <c r="G1069" s="213"/>
      <c r="H1069" s="213"/>
      <c r="I1069" s="213"/>
      <c r="J1069" s="213"/>
      <c r="K1069" s="213"/>
      <c r="L1069" s="213"/>
      <c r="M1069" s="213"/>
      <c r="N1069" s="213"/>
      <c r="O1069" s="213"/>
      <c r="P1069" s="213"/>
    </row>
    <row r="1070" spans="1:16">
      <c r="A1070" s="213">
        <v>3310</v>
      </c>
      <c r="B1070" s="213" t="s">
        <v>1378</v>
      </c>
      <c r="C1070" s="213">
        <v>15.8</v>
      </c>
      <c r="D1070">
        <f t="shared" si="16"/>
        <v>1087</v>
      </c>
      <c r="E1070" s="213"/>
      <c r="F1070" s="213"/>
      <c r="G1070" s="213"/>
      <c r="H1070" s="213"/>
      <c r="I1070" s="213"/>
      <c r="J1070" s="213"/>
      <c r="K1070" s="213"/>
      <c r="L1070" s="213"/>
      <c r="M1070" s="213"/>
      <c r="N1070" s="213"/>
      <c r="O1070" s="213"/>
      <c r="P1070" s="213"/>
    </row>
    <row r="1071" spans="1:16">
      <c r="A1071" s="213">
        <v>3313</v>
      </c>
      <c r="B1071" s="213" t="s">
        <v>279</v>
      </c>
      <c r="C1071" s="213">
        <v>15.95</v>
      </c>
      <c r="D1071">
        <f t="shared" si="16"/>
        <v>1081</v>
      </c>
      <c r="E1071" s="213"/>
      <c r="F1071" s="213"/>
      <c r="G1071" s="213"/>
      <c r="H1071" s="213"/>
      <c r="I1071" s="213"/>
      <c r="J1071" s="213"/>
      <c r="K1071" s="213"/>
      <c r="L1071" s="213"/>
      <c r="M1071" s="213"/>
      <c r="N1071" s="213"/>
      <c r="O1071" s="213"/>
      <c r="P1071" s="213"/>
    </row>
    <row r="1072" spans="1:16">
      <c r="A1072" s="213">
        <v>3317</v>
      </c>
      <c r="B1072" s="213" t="s">
        <v>1379</v>
      </c>
      <c r="C1072" s="213">
        <v>15.6</v>
      </c>
      <c r="D1072">
        <f t="shared" si="16"/>
        <v>1095</v>
      </c>
      <c r="E1072" s="213"/>
      <c r="F1072" s="213"/>
      <c r="G1072" s="213"/>
      <c r="H1072" s="213"/>
      <c r="I1072" s="213"/>
      <c r="J1072" s="213"/>
      <c r="K1072" s="213"/>
      <c r="L1072" s="213"/>
      <c r="M1072" s="213"/>
      <c r="N1072" s="213"/>
      <c r="O1072" s="213"/>
      <c r="P1072" s="213"/>
    </row>
    <row r="1073" spans="1:16">
      <c r="A1073" s="213">
        <v>3322</v>
      </c>
      <c r="B1073" s="213" t="s">
        <v>1380</v>
      </c>
      <c r="C1073" s="213">
        <v>8</v>
      </c>
      <c r="D1073">
        <f t="shared" si="16"/>
        <v>1467</v>
      </c>
      <c r="E1073" s="213"/>
      <c r="F1073" s="213"/>
      <c r="G1073" s="213"/>
      <c r="H1073" s="213"/>
      <c r="I1073" s="213"/>
      <c r="J1073" s="213"/>
      <c r="K1073" s="213"/>
      <c r="L1073" s="213"/>
      <c r="M1073" s="213"/>
      <c r="N1073" s="213"/>
      <c r="O1073" s="213"/>
      <c r="P1073" s="213"/>
    </row>
    <row r="1074" spans="1:16">
      <c r="A1074" s="213">
        <v>3323</v>
      </c>
      <c r="B1074" s="213" t="s">
        <v>280</v>
      </c>
      <c r="C1074" s="213">
        <v>17.649999999999999</v>
      </c>
      <c r="D1074">
        <f t="shared" si="16"/>
        <v>994</v>
      </c>
      <c r="E1074" s="213"/>
      <c r="F1074" s="213"/>
      <c r="G1074" s="213"/>
      <c r="H1074" s="213"/>
      <c r="I1074" s="213"/>
      <c r="J1074" s="213"/>
      <c r="K1074" s="213"/>
      <c r="L1074" s="213"/>
      <c r="M1074" s="213"/>
      <c r="N1074" s="213"/>
      <c r="O1074" s="213"/>
      <c r="P1074" s="213"/>
    </row>
    <row r="1075" spans="1:16">
      <c r="A1075" s="213">
        <v>3324</v>
      </c>
      <c r="B1075" s="213" t="s">
        <v>1381</v>
      </c>
      <c r="C1075" s="213">
        <v>96.2</v>
      </c>
      <c r="D1075">
        <f t="shared" si="16"/>
        <v>143</v>
      </c>
      <c r="E1075" s="213"/>
      <c r="F1075" s="213"/>
      <c r="G1075" s="213"/>
      <c r="H1075" s="213"/>
      <c r="I1075" s="213"/>
      <c r="J1075" s="213"/>
      <c r="K1075" s="213"/>
      <c r="L1075" s="213"/>
      <c r="M1075" s="213"/>
      <c r="N1075" s="213"/>
      <c r="O1075" s="213"/>
      <c r="P1075" s="213"/>
    </row>
    <row r="1076" spans="1:16">
      <c r="A1076" s="213">
        <v>3325</v>
      </c>
      <c r="B1076" s="213" t="s">
        <v>1382</v>
      </c>
      <c r="C1076" s="213">
        <v>23.85</v>
      </c>
      <c r="D1076">
        <f t="shared" si="16"/>
        <v>778</v>
      </c>
      <c r="E1076" s="213"/>
      <c r="F1076" s="213"/>
      <c r="G1076" s="213"/>
      <c r="H1076" s="213"/>
      <c r="I1076" s="213"/>
      <c r="J1076" s="213"/>
      <c r="K1076" s="213"/>
      <c r="L1076" s="213"/>
      <c r="M1076" s="213"/>
      <c r="N1076" s="213"/>
      <c r="O1076" s="213"/>
      <c r="P1076" s="213"/>
    </row>
    <row r="1077" spans="1:16">
      <c r="A1077" s="213">
        <v>3332</v>
      </c>
      <c r="B1077" s="213" t="s">
        <v>281</v>
      </c>
      <c r="C1077" s="213">
        <v>0</v>
      </c>
      <c r="D1077">
        <f t="shared" si="16"/>
        <v>1626</v>
      </c>
      <c r="E1077" s="213"/>
      <c r="F1077" s="213"/>
      <c r="G1077" s="213"/>
      <c r="H1077" s="213"/>
      <c r="I1077" s="213"/>
      <c r="J1077" s="213"/>
      <c r="K1077" s="213"/>
      <c r="L1077" s="213"/>
      <c r="M1077" s="213"/>
      <c r="N1077" s="213"/>
      <c r="O1077" s="213"/>
      <c r="P1077" s="213"/>
    </row>
    <row r="1078" spans="1:16">
      <c r="A1078" s="213">
        <v>3339</v>
      </c>
      <c r="B1078" s="213" t="s">
        <v>1383</v>
      </c>
      <c r="C1078" s="213">
        <v>6.11</v>
      </c>
      <c r="D1078">
        <f t="shared" si="16"/>
        <v>1550</v>
      </c>
      <c r="E1078" s="213"/>
      <c r="F1078" s="213"/>
      <c r="G1078" s="213"/>
      <c r="H1078" s="213"/>
      <c r="I1078" s="213"/>
      <c r="J1078" s="213"/>
      <c r="K1078" s="213"/>
      <c r="L1078" s="213"/>
      <c r="M1078" s="213"/>
      <c r="N1078" s="213"/>
      <c r="O1078" s="213"/>
      <c r="P1078" s="213"/>
    </row>
    <row r="1079" spans="1:16">
      <c r="A1079" s="213">
        <v>3354</v>
      </c>
      <c r="B1079" s="213" t="s">
        <v>1384</v>
      </c>
      <c r="C1079" s="213">
        <v>9.34</v>
      </c>
      <c r="D1079">
        <f t="shared" si="16"/>
        <v>1404</v>
      </c>
      <c r="E1079" s="213"/>
      <c r="F1079" s="213"/>
      <c r="G1079" s="213"/>
      <c r="H1079" s="213"/>
      <c r="I1079" s="213"/>
      <c r="J1079" s="213"/>
      <c r="K1079" s="213"/>
      <c r="L1079" s="213"/>
      <c r="M1079" s="213"/>
      <c r="N1079" s="213"/>
      <c r="O1079" s="213"/>
      <c r="P1079" s="213"/>
    </row>
    <row r="1080" spans="1:16">
      <c r="A1080" s="213">
        <v>3360</v>
      </c>
      <c r="B1080" s="213" t="s">
        <v>282</v>
      </c>
      <c r="C1080" s="213">
        <v>17.8</v>
      </c>
      <c r="D1080">
        <f t="shared" si="16"/>
        <v>984</v>
      </c>
      <c r="E1080" s="213"/>
      <c r="F1080" s="213"/>
      <c r="G1080" s="213"/>
      <c r="H1080" s="213"/>
      <c r="I1080" s="213"/>
      <c r="J1080" s="213"/>
      <c r="K1080" s="213"/>
      <c r="L1080" s="213"/>
      <c r="M1080" s="213"/>
      <c r="N1080" s="213"/>
      <c r="O1080" s="213"/>
      <c r="P1080" s="213"/>
    </row>
    <row r="1081" spans="1:16">
      <c r="A1081" s="213">
        <v>3362</v>
      </c>
      <c r="B1081" s="213" t="s">
        <v>1385</v>
      </c>
      <c r="C1081" s="213">
        <v>23.8</v>
      </c>
      <c r="D1081">
        <f t="shared" si="16"/>
        <v>780</v>
      </c>
      <c r="E1081" s="213"/>
      <c r="F1081" s="213"/>
      <c r="G1081" s="213"/>
      <c r="H1081" s="213"/>
      <c r="I1081" s="213"/>
      <c r="J1081" s="213"/>
      <c r="K1081" s="213"/>
      <c r="L1081" s="213"/>
      <c r="M1081" s="213"/>
      <c r="N1081" s="213"/>
      <c r="O1081" s="213"/>
      <c r="P1081" s="213"/>
    </row>
    <row r="1082" spans="1:16">
      <c r="A1082" s="213">
        <v>3363</v>
      </c>
      <c r="B1082" s="213" t="s">
        <v>283</v>
      </c>
      <c r="C1082" s="213">
        <v>27</v>
      </c>
      <c r="D1082">
        <f t="shared" si="16"/>
        <v>688</v>
      </c>
      <c r="E1082" s="213"/>
      <c r="F1082" s="213"/>
      <c r="G1082" s="213"/>
      <c r="H1082" s="213"/>
      <c r="I1082" s="213"/>
      <c r="J1082" s="213"/>
      <c r="K1082" s="213"/>
      <c r="L1082" s="213"/>
      <c r="M1082" s="213"/>
      <c r="N1082" s="213"/>
      <c r="O1082" s="213"/>
      <c r="P1082" s="213"/>
    </row>
    <row r="1083" spans="1:16">
      <c r="A1083" s="213">
        <v>3372</v>
      </c>
      <c r="B1083" s="213" t="s">
        <v>284</v>
      </c>
      <c r="C1083" s="213">
        <v>7.52</v>
      </c>
      <c r="D1083">
        <f t="shared" si="16"/>
        <v>1490</v>
      </c>
      <c r="E1083" s="213"/>
      <c r="F1083" s="213"/>
      <c r="G1083" s="213"/>
      <c r="H1083" s="213"/>
      <c r="I1083" s="213"/>
      <c r="J1083" s="213"/>
      <c r="K1083" s="213"/>
      <c r="L1083" s="213"/>
      <c r="M1083" s="213"/>
      <c r="N1083" s="213"/>
      <c r="O1083" s="213"/>
      <c r="P1083" s="213"/>
    </row>
    <row r="1084" spans="1:16">
      <c r="A1084" s="213">
        <v>3373</v>
      </c>
      <c r="B1084" s="213" t="s">
        <v>285</v>
      </c>
      <c r="C1084" s="213">
        <v>21.05</v>
      </c>
      <c r="D1084">
        <f t="shared" si="16"/>
        <v>875</v>
      </c>
      <c r="E1084" s="213"/>
      <c r="F1084" s="213"/>
      <c r="G1084" s="213"/>
      <c r="H1084" s="213"/>
      <c r="I1084" s="213"/>
      <c r="J1084" s="213"/>
      <c r="K1084" s="213"/>
      <c r="L1084" s="213"/>
      <c r="M1084" s="213"/>
      <c r="N1084" s="213"/>
      <c r="O1084" s="213"/>
      <c r="P1084" s="213"/>
    </row>
    <row r="1085" spans="1:16">
      <c r="A1085" s="213">
        <v>3374</v>
      </c>
      <c r="B1085" s="213" t="s">
        <v>286</v>
      </c>
      <c r="C1085" s="213">
        <v>31.65</v>
      </c>
      <c r="D1085">
        <f t="shared" si="16"/>
        <v>583</v>
      </c>
      <c r="E1085" s="213"/>
      <c r="F1085" s="213"/>
      <c r="G1085" s="213"/>
      <c r="H1085" s="213"/>
      <c r="I1085" s="213"/>
      <c r="J1085" s="213"/>
      <c r="K1085" s="213"/>
      <c r="L1085" s="213"/>
      <c r="M1085" s="213"/>
      <c r="N1085" s="213"/>
      <c r="O1085" s="213"/>
      <c r="P1085" s="213"/>
    </row>
    <row r="1086" spans="1:16">
      <c r="A1086" s="213">
        <v>3379</v>
      </c>
      <c r="B1086" s="213" t="s">
        <v>1386</v>
      </c>
      <c r="C1086" s="213">
        <v>10.5</v>
      </c>
      <c r="D1086">
        <f t="shared" si="16"/>
        <v>1331</v>
      </c>
      <c r="E1086" s="213"/>
      <c r="F1086" s="213"/>
      <c r="G1086" s="213"/>
      <c r="H1086" s="213"/>
      <c r="I1086" s="213"/>
      <c r="J1086" s="213"/>
      <c r="K1086" s="213"/>
      <c r="L1086" s="213"/>
      <c r="M1086" s="213"/>
      <c r="N1086" s="213"/>
      <c r="O1086" s="213"/>
      <c r="P1086" s="213"/>
    </row>
    <row r="1087" spans="1:16">
      <c r="A1087" s="213">
        <v>3388</v>
      </c>
      <c r="B1087" s="213" t="s">
        <v>287</v>
      </c>
      <c r="C1087" s="213">
        <v>58.6</v>
      </c>
      <c r="D1087">
        <f t="shared" si="16"/>
        <v>283</v>
      </c>
      <c r="E1087" s="213"/>
      <c r="F1087" s="213"/>
      <c r="G1087" s="213"/>
      <c r="H1087" s="213"/>
      <c r="I1087" s="213"/>
      <c r="J1087" s="213"/>
      <c r="K1087" s="213"/>
      <c r="L1087" s="213"/>
      <c r="M1087" s="213"/>
      <c r="N1087" s="213"/>
      <c r="O1087" s="213"/>
      <c r="P1087" s="213"/>
    </row>
    <row r="1088" spans="1:16">
      <c r="A1088" s="213">
        <v>3390</v>
      </c>
      <c r="B1088" s="213" t="s">
        <v>1387</v>
      </c>
      <c r="C1088" s="213">
        <v>14.8</v>
      </c>
      <c r="D1088">
        <f t="shared" si="16"/>
        <v>1130</v>
      </c>
      <c r="E1088" s="213"/>
      <c r="F1088" s="213"/>
      <c r="G1088" s="213"/>
      <c r="H1088" s="213"/>
      <c r="I1088" s="213"/>
      <c r="J1088" s="213"/>
      <c r="K1088" s="213"/>
      <c r="L1088" s="213"/>
      <c r="M1088" s="213"/>
      <c r="N1088" s="213"/>
      <c r="O1088" s="213"/>
      <c r="P1088" s="213"/>
    </row>
    <row r="1089" spans="1:16">
      <c r="A1089" s="213">
        <v>3402</v>
      </c>
      <c r="B1089" s="213" t="s">
        <v>1388</v>
      </c>
      <c r="C1089" s="213">
        <v>22.9</v>
      </c>
      <c r="D1089">
        <f t="shared" si="16"/>
        <v>813</v>
      </c>
      <c r="E1089" s="213"/>
      <c r="F1089" s="213"/>
      <c r="G1089" s="213"/>
      <c r="H1089" s="213"/>
      <c r="I1089" s="213"/>
      <c r="J1089" s="213"/>
      <c r="K1089" s="213"/>
      <c r="L1089" s="213"/>
      <c r="M1089" s="213"/>
      <c r="N1089" s="213"/>
      <c r="O1089" s="213"/>
      <c r="P1089" s="213"/>
    </row>
    <row r="1090" spans="1:16">
      <c r="A1090" s="213">
        <v>3428</v>
      </c>
      <c r="B1090" s="213" t="s">
        <v>288</v>
      </c>
      <c r="C1090" s="213">
        <v>57.6</v>
      </c>
      <c r="D1090">
        <f t="shared" ref="D1090:D1153" si="17">RANK(C1090,C:C,0)</f>
        <v>290</v>
      </c>
      <c r="E1090" s="213"/>
      <c r="F1090" s="213"/>
      <c r="G1090" s="213"/>
      <c r="H1090" s="213"/>
      <c r="I1090" s="213"/>
      <c r="J1090" s="213"/>
      <c r="K1090" s="213"/>
      <c r="L1090" s="213"/>
      <c r="M1090" s="213"/>
      <c r="N1090" s="213"/>
      <c r="O1090" s="213"/>
      <c r="P1090" s="213"/>
    </row>
    <row r="1091" spans="1:16">
      <c r="A1091" s="213">
        <v>3431</v>
      </c>
      <c r="B1091" s="213" t="s">
        <v>1389</v>
      </c>
      <c r="C1091" s="213">
        <v>9.6300000000000008</v>
      </c>
      <c r="D1091">
        <f t="shared" si="17"/>
        <v>1387</v>
      </c>
      <c r="E1091" s="213"/>
      <c r="F1091" s="213"/>
      <c r="G1091" s="213"/>
      <c r="H1091" s="213"/>
      <c r="I1091" s="213"/>
      <c r="J1091" s="213"/>
      <c r="K1091" s="213"/>
      <c r="L1091" s="213"/>
      <c r="M1091" s="213"/>
      <c r="N1091" s="213"/>
      <c r="O1091" s="213"/>
      <c r="P1091" s="213"/>
    </row>
    <row r="1092" spans="1:16">
      <c r="A1092" s="213">
        <v>3434</v>
      </c>
      <c r="B1092" s="213" t="s">
        <v>289</v>
      </c>
      <c r="C1092" s="213">
        <v>13.15</v>
      </c>
      <c r="D1092">
        <f t="shared" si="17"/>
        <v>1203</v>
      </c>
      <c r="E1092" s="213"/>
      <c r="F1092" s="213"/>
      <c r="G1092" s="213"/>
      <c r="H1092" s="213"/>
      <c r="I1092" s="213"/>
      <c r="J1092" s="213"/>
      <c r="K1092" s="213"/>
      <c r="L1092" s="213"/>
      <c r="M1092" s="213"/>
      <c r="N1092" s="213"/>
      <c r="O1092" s="213"/>
      <c r="P1092" s="213"/>
    </row>
    <row r="1093" spans="1:16">
      <c r="A1093" s="213">
        <v>3438</v>
      </c>
      <c r="B1093" s="213" t="s">
        <v>1390</v>
      </c>
      <c r="C1093" s="213">
        <v>17.850000000000001</v>
      </c>
      <c r="D1093">
        <f t="shared" si="17"/>
        <v>980</v>
      </c>
      <c r="E1093" s="213"/>
      <c r="F1093" s="213"/>
      <c r="G1093" s="213"/>
      <c r="H1093" s="213"/>
      <c r="I1093" s="213"/>
      <c r="J1093" s="213"/>
      <c r="K1093" s="213"/>
      <c r="L1093" s="213"/>
      <c r="M1093" s="213"/>
      <c r="N1093" s="213"/>
      <c r="O1093" s="213"/>
      <c r="P1093" s="213"/>
    </row>
    <row r="1094" spans="1:16">
      <c r="A1094" s="213">
        <v>3441</v>
      </c>
      <c r="B1094" s="213" t="s">
        <v>1391</v>
      </c>
      <c r="C1094" s="213">
        <v>13.9</v>
      </c>
      <c r="D1094">
        <f t="shared" si="17"/>
        <v>1169</v>
      </c>
      <c r="E1094" s="213"/>
      <c r="F1094" s="213"/>
      <c r="G1094" s="213"/>
      <c r="H1094" s="213"/>
      <c r="I1094" s="213"/>
      <c r="J1094" s="213"/>
      <c r="K1094" s="213"/>
      <c r="L1094" s="213"/>
      <c r="M1094" s="213"/>
      <c r="N1094" s="213"/>
      <c r="O1094" s="213"/>
      <c r="P1094" s="213"/>
    </row>
    <row r="1095" spans="1:16">
      <c r="A1095" s="213">
        <v>3444</v>
      </c>
      <c r="B1095" s="213" t="s">
        <v>1392</v>
      </c>
      <c r="C1095" s="213">
        <v>17.3</v>
      </c>
      <c r="D1095">
        <f t="shared" si="17"/>
        <v>1011</v>
      </c>
      <c r="E1095" s="213"/>
      <c r="F1095" s="213"/>
      <c r="G1095" s="213"/>
      <c r="H1095" s="213"/>
      <c r="I1095" s="213"/>
      <c r="J1095" s="213"/>
      <c r="K1095" s="213"/>
      <c r="L1095" s="213"/>
      <c r="M1095" s="213"/>
      <c r="N1095" s="213"/>
      <c r="O1095" s="213"/>
      <c r="P1095" s="213"/>
    </row>
    <row r="1096" spans="1:16">
      <c r="A1096" s="213">
        <v>3452</v>
      </c>
      <c r="B1096" s="213" t="s">
        <v>1393</v>
      </c>
      <c r="C1096" s="213">
        <v>9.91</v>
      </c>
      <c r="D1096">
        <f t="shared" si="17"/>
        <v>1374</v>
      </c>
      <c r="E1096" s="213"/>
      <c r="F1096" s="213"/>
      <c r="G1096" s="213"/>
      <c r="H1096" s="213"/>
      <c r="I1096" s="213"/>
      <c r="J1096" s="213"/>
      <c r="K1096" s="213"/>
      <c r="L1096" s="213"/>
      <c r="M1096" s="213"/>
      <c r="N1096" s="213"/>
      <c r="O1096" s="213"/>
      <c r="P1096" s="213"/>
    </row>
    <row r="1097" spans="1:16">
      <c r="A1097" s="213">
        <v>3455</v>
      </c>
      <c r="B1097" s="213" t="s">
        <v>290</v>
      </c>
      <c r="C1097" s="213">
        <v>36</v>
      </c>
      <c r="D1097">
        <f t="shared" si="17"/>
        <v>511</v>
      </c>
      <c r="E1097" s="213"/>
      <c r="F1097" s="213"/>
      <c r="G1097" s="213"/>
      <c r="H1097" s="213"/>
      <c r="I1097" s="213"/>
      <c r="J1097" s="213"/>
      <c r="K1097" s="213"/>
      <c r="L1097" s="213"/>
      <c r="M1097" s="213"/>
      <c r="N1097" s="213"/>
      <c r="O1097" s="213"/>
      <c r="P1097" s="213"/>
    </row>
    <row r="1098" spans="1:16">
      <c r="A1098" s="213">
        <v>3465</v>
      </c>
      <c r="B1098" s="213" t="s">
        <v>1394</v>
      </c>
      <c r="C1098" s="213">
        <v>6</v>
      </c>
      <c r="D1098">
        <f t="shared" si="17"/>
        <v>1556</v>
      </c>
      <c r="E1098" s="213"/>
      <c r="F1098" s="213"/>
      <c r="G1098" s="213"/>
      <c r="H1098" s="213"/>
      <c r="I1098" s="213"/>
      <c r="J1098" s="213"/>
      <c r="K1098" s="213"/>
      <c r="L1098" s="213"/>
      <c r="M1098" s="213"/>
      <c r="N1098" s="213"/>
      <c r="O1098" s="213"/>
      <c r="P1098" s="213"/>
    </row>
    <row r="1099" spans="1:16">
      <c r="A1099" s="213">
        <v>3466</v>
      </c>
      <c r="B1099" s="213" t="s">
        <v>291</v>
      </c>
      <c r="C1099" s="213">
        <v>0</v>
      </c>
      <c r="D1099">
        <f t="shared" si="17"/>
        <v>1626</v>
      </c>
      <c r="E1099" s="213"/>
      <c r="F1099" s="213"/>
      <c r="G1099" s="213"/>
      <c r="H1099" s="213"/>
      <c r="I1099" s="213"/>
      <c r="J1099" s="213"/>
      <c r="K1099" s="213"/>
      <c r="L1099" s="213"/>
      <c r="M1099" s="213"/>
      <c r="N1099" s="213"/>
      <c r="O1099" s="213"/>
      <c r="P1099" s="213"/>
    </row>
    <row r="1100" spans="1:16">
      <c r="A1100" s="213">
        <v>3479</v>
      </c>
      <c r="B1100" s="213" t="s">
        <v>1395</v>
      </c>
      <c r="C1100" s="213">
        <v>64.599999999999994</v>
      </c>
      <c r="D1100">
        <f t="shared" si="17"/>
        <v>251</v>
      </c>
      <c r="E1100" s="213"/>
      <c r="F1100" s="213"/>
      <c r="G1100" s="213"/>
      <c r="H1100" s="213"/>
      <c r="I1100" s="213"/>
      <c r="J1100" s="213"/>
      <c r="K1100" s="213"/>
      <c r="L1100" s="213"/>
      <c r="M1100" s="213"/>
      <c r="N1100" s="213"/>
      <c r="O1100" s="213"/>
      <c r="P1100" s="213"/>
    </row>
    <row r="1101" spans="1:16">
      <c r="A1101" s="213">
        <v>3483</v>
      </c>
      <c r="B1101" s="213" t="s">
        <v>292</v>
      </c>
      <c r="C1101" s="213">
        <v>27</v>
      </c>
      <c r="D1101">
        <f t="shared" si="17"/>
        <v>688</v>
      </c>
      <c r="E1101" s="213"/>
      <c r="F1101" s="213"/>
      <c r="G1101" s="213"/>
      <c r="H1101" s="213"/>
      <c r="I1101" s="213"/>
      <c r="J1101" s="213"/>
      <c r="K1101" s="213"/>
      <c r="L1101" s="213"/>
      <c r="M1101" s="213"/>
      <c r="N1101" s="213"/>
      <c r="O1101" s="213"/>
      <c r="P1101" s="213"/>
    </row>
    <row r="1102" spans="1:16">
      <c r="A1102" s="213">
        <v>3484</v>
      </c>
      <c r="B1102" s="213" t="s">
        <v>293</v>
      </c>
      <c r="C1102" s="213">
        <v>41.4</v>
      </c>
      <c r="D1102">
        <f t="shared" si="17"/>
        <v>429</v>
      </c>
      <c r="E1102" s="213"/>
      <c r="F1102" s="213"/>
      <c r="G1102" s="213"/>
      <c r="H1102" s="213"/>
      <c r="I1102" s="213"/>
      <c r="J1102" s="213"/>
      <c r="K1102" s="213"/>
      <c r="L1102" s="213"/>
      <c r="M1102" s="213"/>
      <c r="N1102" s="213"/>
      <c r="O1102" s="213"/>
      <c r="P1102" s="213"/>
    </row>
    <row r="1103" spans="1:16">
      <c r="A1103" s="213">
        <v>3489</v>
      </c>
      <c r="B1103" s="213" t="s">
        <v>294</v>
      </c>
      <c r="C1103" s="213">
        <v>10.75</v>
      </c>
      <c r="D1103">
        <f t="shared" si="17"/>
        <v>1324</v>
      </c>
      <c r="E1103" s="213"/>
      <c r="F1103" s="213"/>
      <c r="G1103" s="213"/>
      <c r="H1103" s="213"/>
      <c r="I1103" s="213"/>
      <c r="J1103" s="213"/>
      <c r="K1103" s="213"/>
      <c r="L1103" s="213"/>
      <c r="M1103" s="213"/>
      <c r="N1103" s="213"/>
      <c r="O1103" s="213"/>
      <c r="P1103" s="213"/>
    </row>
    <row r="1104" spans="1:16">
      <c r="A1104" s="213">
        <v>3490</v>
      </c>
      <c r="B1104" s="213" t="s">
        <v>295</v>
      </c>
      <c r="C1104" s="213">
        <v>33.9</v>
      </c>
      <c r="D1104">
        <f t="shared" si="17"/>
        <v>541</v>
      </c>
      <c r="E1104" s="213"/>
      <c r="F1104" s="213"/>
      <c r="G1104" s="213"/>
      <c r="H1104" s="213"/>
      <c r="I1104" s="213"/>
      <c r="J1104" s="213"/>
      <c r="K1104" s="213"/>
      <c r="L1104" s="213"/>
      <c r="M1104" s="213"/>
      <c r="N1104" s="213"/>
      <c r="O1104" s="213"/>
      <c r="P1104" s="213"/>
    </row>
    <row r="1105" spans="1:16">
      <c r="A1105" s="213">
        <v>3491</v>
      </c>
      <c r="B1105" s="213" t="s">
        <v>1396</v>
      </c>
      <c r="C1105" s="213">
        <v>55.4</v>
      </c>
      <c r="D1105">
        <f t="shared" si="17"/>
        <v>300</v>
      </c>
      <c r="E1105" s="213"/>
      <c r="F1105" s="213"/>
      <c r="G1105" s="213"/>
      <c r="H1105" s="213"/>
      <c r="I1105" s="213"/>
      <c r="J1105" s="213"/>
      <c r="K1105" s="213"/>
      <c r="L1105" s="213"/>
      <c r="M1105" s="213"/>
      <c r="N1105" s="213"/>
      <c r="O1105" s="213"/>
      <c r="P1105" s="213"/>
    </row>
    <row r="1106" spans="1:16">
      <c r="A1106" s="213">
        <v>3492</v>
      </c>
      <c r="B1106" s="213" t="s">
        <v>1397</v>
      </c>
      <c r="C1106" s="213">
        <v>31.4</v>
      </c>
      <c r="D1106">
        <f t="shared" si="17"/>
        <v>588</v>
      </c>
      <c r="E1106" s="213"/>
      <c r="F1106" s="213"/>
      <c r="G1106" s="213"/>
      <c r="H1106" s="213"/>
      <c r="I1106" s="213"/>
      <c r="J1106" s="213"/>
      <c r="K1106" s="213"/>
      <c r="L1106" s="213"/>
      <c r="M1106" s="213"/>
      <c r="N1106" s="213"/>
      <c r="O1106" s="213"/>
      <c r="P1106" s="213"/>
    </row>
    <row r="1107" spans="1:16">
      <c r="A1107" s="213">
        <v>3498</v>
      </c>
      <c r="B1107" s="213" t="s">
        <v>1398</v>
      </c>
      <c r="C1107" s="213">
        <v>45</v>
      </c>
      <c r="D1107">
        <f t="shared" si="17"/>
        <v>394</v>
      </c>
      <c r="E1107" s="213"/>
      <c r="F1107" s="213"/>
      <c r="G1107" s="213"/>
      <c r="H1107" s="213"/>
      <c r="I1107" s="213"/>
      <c r="J1107" s="213"/>
      <c r="K1107" s="213"/>
      <c r="L1107" s="213"/>
      <c r="M1107" s="213"/>
      <c r="N1107" s="213"/>
      <c r="O1107" s="213"/>
      <c r="P1107" s="213"/>
    </row>
    <row r="1108" spans="1:16">
      <c r="A1108" s="213">
        <v>3499</v>
      </c>
      <c r="B1108" s="213" t="s">
        <v>296</v>
      </c>
      <c r="C1108" s="213">
        <v>16.3</v>
      </c>
      <c r="D1108">
        <f t="shared" si="17"/>
        <v>1068</v>
      </c>
      <c r="E1108" s="213"/>
      <c r="F1108" s="213"/>
      <c r="G1108" s="213"/>
      <c r="H1108" s="213"/>
      <c r="I1108" s="213"/>
      <c r="J1108" s="213"/>
      <c r="K1108" s="213"/>
      <c r="L1108" s="213"/>
      <c r="M1108" s="213"/>
      <c r="N1108" s="213"/>
      <c r="O1108" s="213"/>
      <c r="P1108" s="213"/>
    </row>
    <row r="1109" spans="1:16">
      <c r="A1109" s="213">
        <v>3508</v>
      </c>
      <c r="B1109" s="213" t="s">
        <v>297</v>
      </c>
      <c r="C1109" s="213">
        <v>16.2</v>
      </c>
      <c r="D1109">
        <f t="shared" si="17"/>
        <v>1070</v>
      </c>
      <c r="E1109" s="213"/>
      <c r="F1109" s="213"/>
      <c r="G1109" s="213"/>
      <c r="H1109" s="213"/>
      <c r="I1109" s="213"/>
      <c r="J1109" s="213"/>
      <c r="K1109" s="213"/>
      <c r="L1109" s="213"/>
      <c r="M1109" s="213"/>
      <c r="N1109" s="213"/>
      <c r="O1109" s="213"/>
      <c r="P1109" s="213"/>
    </row>
    <row r="1110" spans="1:16">
      <c r="A1110" s="213">
        <v>3511</v>
      </c>
      <c r="B1110" s="213" t="s">
        <v>1399</v>
      </c>
      <c r="C1110" s="213">
        <v>19.850000000000001</v>
      </c>
      <c r="D1110">
        <f t="shared" si="17"/>
        <v>915</v>
      </c>
    </row>
    <row r="1111" spans="1:16">
      <c r="A1111" s="213">
        <v>3512</v>
      </c>
      <c r="B1111" s="213" t="s">
        <v>1400</v>
      </c>
      <c r="C1111" s="213">
        <v>27.7</v>
      </c>
      <c r="D1111">
        <f t="shared" si="17"/>
        <v>672</v>
      </c>
    </row>
    <row r="1112" spans="1:16">
      <c r="A1112" s="213">
        <v>3516</v>
      </c>
      <c r="B1112" s="213" t="s">
        <v>298</v>
      </c>
      <c r="C1112" s="213">
        <v>8.9700000000000006</v>
      </c>
      <c r="D1112">
        <f t="shared" si="17"/>
        <v>1427</v>
      </c>
    </row>
    <row r="1113" spans="1:16">
      <c r="A1113" s="213">
        <v>3520</v>
      </c>
      <c r="B1113" s="213" t="s">
        <v>1401</v>
      </c>
      <c r="C1113" s="213">
        <v>89.7</v>
      </c>
      <c r="D1113">
        <f t="shared" si="17"/>
        <v>158</v>
      </c>
    </row>
    <row r="1114" spans="1:16">
      <c r="A1114" s="213">
        <v>3521</v>
      </c>
      <c r="B1114" s="213" t="s">
        <v>1402</v>
      </c>
      <c r="C1114" s="213">
        <v>10.15</v>
      </c>
      <c r="D1114">
        <f t="shared" si="17"/>
        <v>1349</v>
      </c>
    </row>
    <row r="1115" spans="1:16">
      <c r="A1115" s="213">
        <v>3522</v>
      </c>
      <c r="B1115" s="213" t="s">
        <v>299</v>
      </c>
      <c r="C1115" s="213">
        <v>43.8</v>
      </c>
      <c r="D1115">
        <f t="shared" si="17"/>
        <v>407</v>
      </c>
    </row>
    <row r="1116" spans="1:16">
      <c r="A1116" s="213">
        <v>3523</v>
      </c>
      <c r="B1116" s="213" t="s">
        <v>1403</v>
      </c>
      <c r="C1116" s="213">
        <v>18.100000000000001</v>
      </c>
      <c r="D1116">
        <f t="shared" si="17"/>
        <v>967</v>
      </c>
    </row>
    <row r="1117" spans="1:16">
      <c r="A1117" s="213">
        <v>3526</v>
      </c>
      <c r="B1117" s="213" t="s">
        <v>1404</v>
      </c>
      <c r="C1117" s="213">
        <v>71.3</v>
      </c>
      <c r="D1117">
        <f t="shared" si="17"/>
        <v>222</v>
      </c>
    </row>
    <row r="1118" spans="1:16">
      <c r="A1118" s="213">
        <v>3527</v>
      </c>
      <c r="B1118" s="213" t="s">
        <v>300</v>
      </c>
      <c r="C1118" s="213">
        <v>71.400000000000006</v>
      </c>
      <c r="D1118">
        <f t="shared" si="17"/>
        <v>221</v>
      </c>
    </row>
    <row r="1119" spans="1:16">
      <c r="A1119" s="213">
        <v>3529</v>
      </c>
      <c r="B1119" s="213" t="s">
        <v>301</v>
      </c>
      <c r="C1119" s="213">
        <v>331</v>
      </c>
      <c r="D1119">
        <f t="shared" si="17"/>
        <v>19</v>
      </c>
    </row>
    <row r="1120" spans="1:16">
      <c r="A1120" s="213">
        <v>3531</v>
      </c>
      <c r="B1120" s="213" t="s">
        <v>1406</v>
      </c>
      <c r="C1120" s="213">
        <v>18.5</v>
      </c>
      <c r="D1120">
        <f t="shared" si="17"/>
        <v>949</v>
      </c>
    </row>
    <row r="1121" spans="1:4">
      <c r="A1121" s="213">
        <v>3537</v>
      </c>
      <c r="B1121" s="213" t="s">
        <v>302</v>
      </c>
      <c r="C1121" s="213">
        <v>21.8</v>
      </c>
      <c r="D1121">
        <f t="shared" si="17"/>
        <v>854</v>
      </c>
    </row>
    <row r="1122" spans="1:4">
      <c r="A1122" s="213">
        <v>3540</v>
      </c>
      <c r="B1122" s="213" t="s">
        <v>1407</v>
      </c>
      <c r="C1122" s="213">
        <v>21.45</v>
      </c>
      <c r="D1122">
        <f t="shared" si="17"/>
        <v>865</v>
      </c>
    </row>
    <row r="1123" spans="1:4">
      <c r="A1123" s="213">
        <v>3541</v>
      </c>
      <c r="B1123" s="213" t="s">
        <v>1408</v>
      </c>
      <c r="C1123" s="213">
        <v>134</v>
      </c>
      <c r="D1123">
        <f t="shared" si="17"/>
        <v>92</v>
      </c>
    </row>
    <row r="1124" spans="1:4">
      <c r="A1124" s="213">
        <v>3546</v>
      </c>
      <c r="B1124" s="213" t="s">
        <v>1409</v>
      </c>
      <c r="C1124" s="213">
        <v>88</v>
      </c>
      <c r="D1124">
        <f t="shared" si="17"/>
        <v>164</v>
      </c>
    </row>
    <row r="1125" spans="1:4">
      <c r="A1125" s="213">
        <v>3548</v>
      </c>
      <c r="B1125" s="213" t="s">
        <v>303</v>
      </c>
      <c r="C1125" s="213">
        <v>60.5</v>
      </c>
      <c r="D1125">
        <f t="shared" si="17"/>
        <v>274</v>
      </c>
    </row>
    <row r="1126" spans="1:4">
      <c r="A1126" s="213">
        <v>3551</v>
      </c>
      <c r="B1126" s="213" t="s">
        <v>304</v>
      </c>
      <c r="C1126" s="213">
        <v>32.4</v>
      </c>
      <c r="D1126">
        <f t="shared" si="17"/>
        <v>568</v>
      </c>
    </row>
    <row r="1127" spans="1:4">
      <c r="A1127" s="213">
        <v>3552</v>
      </c>
      <c r="B1127" s="213" t="s">
        <v>1410</v>
      </c>
      <c r="C1127" s="213">
        <v>467</v>
      </c>
      <c r="D1127">
        <f t="shared" si="17"/>
        <v>9</v>
      </c>
    </row>
    <row r="1128" spans="1:4">
      <c r="A1128" s="213">
        <v>3553</v>
      </c>
      <c r="B1128" s="213" t="s">
        <v>305</v>
      </c>
      <c r="C1128" s="213">
        <v>14.1</v>
      </c>
      <c r="D1128">
        <f t="shared" si="17"/>
        <v>1158</v>
      </c>
    </row>
    <row r="1129" spans="1:4">
      <c r="A1129" s="213">
        <v>3555</v>
      </c>
      <c r="B1129" s="213" t="s">
        <v>1906</v>
      </c>
      <c r="C1129" s="213">
        <v>63.9</v>
      </c>
      <c r="D1129">
        <f t="shared" si="17"/>
        <v>256</v>
      </c>
    </row>
    <row r="1130" spans="1:4">
      <c r="A1130" s="213">
        <v>3556</v>
      </c>
      <c r="B1130" s="213" t="s">
        <v>306</v>
      </c>
      <c r="C1130" s="213">
        <v>51.1</v>
      </c>
      <c r="D1130">
        <f t="shared" si="17"/>
        <v>330</v>
      </c>
    </row>
    <row r="1131" spans="1:4">
      <c r="A1131" s="213">
        <v>3558</v>
      </c>
      <c r="B1131" s="213" t="s">
        <v>307</v>
      </c>
      <c r="C1131" s="213">
        <v>133.5</v>
      </c>
      <c r="D1131">
        <f t="shared" si="17"/>
        <v>93</v>
      </c>
    </row>
    <row r="1132" spans="1:4">
      <c r="A1132" s="213">
        <v>3562</v>
      </c>
      <c r="B1132" s="213" t="s">
        <v>308</v>
      </c>
      <c r="C1132" s="213">
        <v>0</v>
      </c>
      <c r="D1132">
        <f t="shared" si="17"/>
        <v>1626</v>
      </c>
    </row>
    <row r="1133" spans="1:4">
      <c r="A1133" s="213">
        <v>3563</v>
      </c>
      <c r="B1133" s="213" t="s">
        <v>309</v>
      </c>
      <c r="C1133" s="213">
        <v>59.6</v>
      </c>
      <c r="D1133">
        <f t="shared" si="17"/>
        <v>278</v>
      </c>
    </row>
    <row r="1134" spans="1:4">
      <c r="A1134" s="213">
        <v>3564</v>
      </c>
      <c r="B1134" s="213" t="s">
        <v>1411</v>
      </c>
      <c r="C1134" s="213">
        <v>51.8</v>
      </c>
      <c r="D1134">
        <f t="shared" si="17"/>
        <v>321</v>
      </c>
    </row>
    <row r="1135" spans="1:4">
      <c r="A1135" s="213">
        <v>3567</v>
      </c>
      <c r="B1135" s="213" t="s">
        <v>1412</v>
      </c>
      <c r="C1135" s="213">
        <v>20.65</v>
      </c>
      <c r="D1135">
        <f t="shared" si="17"/>
        <v>885</v>
      </c>
    </row>
    <row r="1136" spans="1:4">
      <c r="A1136" s="213">
        <v>3570</v>
      </c>
      <c r="B1136" s="213" t="s">
        <v>1413</v>
      </c>
      <c r="C1136" s="213">
        <v>47.7</v>
      </c>
      <c r="D1136">
        <f t="shared" si="17"/>
        <v>369</v>
      </c>
    </row>
    <row r="1137" spans="1:4">
      <c r="A1137" s="213">
        <v>3577</v>
      </c>
      <c r="B1137" s="213" t="s">
        <v>1414</v>
      </c>
      <c r="C1137" s="213">
        <v>38.6</v>
      </c>
      <c r="D1137">
        <f t="shared" si="17"/>
        <v>475</v>
      </c>
    </row>
    <row r="1138" spans="1:4">
      <c r="A1138" s="213">
        <v>3580</v>
      </c>
      <c r="B1138" s="213" t="s">
        <v>1415</v>
      </c>
      <c r="C1138" s="213">
        <v>25.5</v>
      </c>
      <c r="D1138">
        <f t="shared" si="17"/>
        <v>724</v>
      </c>
    </row>
    <row r="1139" spans="1:4">
      <c r="A1139" s="213">
        <v>3581</v>
      </c>
      <c r="B1139" s="213" t="s">
        <v>1416</v>
      </c>
      <c r="C1139" s="213">
        <v>16.899999999999999</v>
      </c>
      <c r="D1139">
        <f t="shared" si="17"/>
        <v>1038</v>
      </c>
    </row>
    <row r="1140" spans="1:4">
      <c r="A1140" s="213">
        <v>3587</v>
      </c>
      <c r="B1140" s="213" t="s">
        <v>1417</v>
      </c>
      <c r="C1140" s="213">
        <v>80.3</v>
      </c>
      <c r="D1140">
        <f t="shared" si="17"/>
        <v>191</v>
      </c>
    </row>
    <row r="1141" spans="1:4">
      <c r="A1141" s="213">
        <v>3594</v>
      </c>
      <c r="B1141" s="213" t="s">
        <v>310</v>
      </c>
      <c r="C1141" s="213">
        <v>26</v>
      </c>
      <c r="D1141">
        <f t="shared" si="17"/>
        <v>712</v>
      </c>
    </row>
    <row r="1142" spans="1:4">
      <c r="A1142" s="213">
        <v>3609</v>
      </c>
      <c r="B1142" s="213" t="s">
        <v>311</v>
      </c>
      <c r="C1142" s="213">
        <v>0</v>
      </c>
      <c r="D1142">
        <f t="shared" si="17"/>
        <v>1626</v>
      </c>
    </row>
    <row r="1143" spans="1:4">
      <c r="A1143" s="213">
        <v>3611</v>
      </c>
      <c r="B1143" s="213" t="s">
        <v>312</v>
      </c>
      <c r="C1143" s="213">
        <v>237.5</v>
      </c>
      <c r="D1143">
        <f t="shared" si="17"/>
        <v>34</v>
      </c>
    </row>
    <row r="1144" spans="1:4">
      <c r="A1144" s="213">
        <v>3615</v>
      </c>
      <c r="B1144" s="213" t="s">
        <v>1418</v>
      </c>
      <c r="C1144" s="213">
        <v>18.3</v>
      </c>
      <c r="D1144">
        <f t="shared" si="17"/>
        <v>958</v>
      </c>
    </row>
    <row r="1145" spans="1:4">
      <c r="A1145" s="213">
        <v>3623</v>
      </c>
      <c r="B1145" s="213" t="s">
        <v>313</v>
      </c>
      <c r="C1145" s="213">
        <v>53.5</v>
      </c>
      <c r="D1145">
        <f t="shared" si="17"/>
        <v>308</v>
      </c>
    </row>
    <row r="1146" spans="1:4">
      <c r="A1146" s="213">
        <v>3624</v>
      </c>
      <c r="B1146" s="213" t="s">
        <v>314</v>
      </c>
      <c r="C1146" s="213">
        <v>22.6</v>
      </c>
      <c r="D1146">
        <f t="shared" si="17"/>
        <v>825</v>
      </c>
    </row>
    <row r="1147" spans="1:4">
      <c r="A1147" s="213">
        <v>3625</v>
      </c>
      <c r="B1147" s="213" t="s">
        <v>315</v>
      </c>
      <c r="C1147" s="213">
        <v>17.8</v>
      </c>
      <c r="D1147">
        <f t="shared" si="17"/>
        <v>984</v>
      </c>
    </row>
    <row r="1148" spans="1:4">
      <c r="A1148" s="213">
        <v>3628</v>
      </c>
      <c r="B1148" s="213" t="s">
        <v>1419</v>
      </c>
      <c r="C1148" s="213">
        <v>42.75</v>
      </c>
      <c r="D1148">
        <f t="shared" si="17"/>
        <v>415</v>
      </c>
    </row>
    <row r="1149" spans="1:4">
      <c r="A1149" s="213">
        <v>3629</v>
      </c>
      <c r="B1149" s="213" t="s">
        <v>3151</v>
      </c>
      <c r="C1149" s="213">
        <v>29.4</v>
      </c>
      <c r="D1149">
        <f t="shared" si="17"/>
        <v>625</v>
      </c>
    </row>
    <row r="1150" spans="1:4">
      <c r="A1150" s="213">
        <v>3630</v>
      </c>
      <c r="B1150" s="213" t="s">
        <v>316</v>
      </c>
      <c r="C1150" s="213">
        <v>18.45</v>
      </c>
      <c r="D1150">
        <f t="shared" si="17"/>
        <v>951</v>
      </c>
    </row>
    <row r="1151" spans="1:4">
      <c r="A1151" s="213">
        <v>3631</v>
      </c>
      <c r="B1151" s="213" t="s">
        <v>317</v>
      </c>
      <c r="C1151" s="213">
        <v>23</v>
      </c>
      <c r="D1151">
        <f t="shared" si="17"/>
        <v>808</v>
      </c>
    </row>
    <row r="1152" spans="1:4">
      <c r="A1152" s="213">
        <v>3632</v>
      </c>
      <c r="B1152" s="213" t="s">
        <v>1421</v>
      </c>
      <c r="C1152" s="213">
        <v>18.75</v>
      </c>
      <c r="D1152">
        <f t="shared" si="17"/>
        <v>943</v>
      </c>
    </row>
    <row r="1153" spans="1:4">
      <c r="A1153" s="213">
        <v>3642</v>
      </c>
      <c r="B1153" s="213" t="s">
        <v>1422</v>
      </c>
      <c r="C1153" s="213">
        <v>28.25</v>
      </c>
      <c r="D1153">
        <f t="shared" si="17"/>
        <v>659</v>
      </c>
    </row>
    <row r="1154" spans="1:4">
      <c r="A1154" s="213">
        <v>3646</v>
      </c>
      <c r="B1154" s="213" t="s">
        <v>1423</v>
      </c>
      <c r="C1154" s="213">
        <v>16.55</v>
      </c>
      <c r="D1154">
        <f t="shared" ref="D1154:D1217" si="18">RANK(C1154,C:C,0)</f>
        <v>1053</v>
      </c>
    </row>
    <row r="1155" spans="1:4">
      <c r="A1155" s="213">
        <v>3652</v>
      </c>
      <c r="B1155" s="213" t="s">
        <v>318</v>
      </c>
      <c r="C1155" s="213">
        <v>21.95</v>
      </c>
      <c r="D1155">
        <f t="shared" si="18"/>
        <v>849</v>
      </c>
    </row>
    <row r="1156" spans="1:4">
      <c r="A1156" s="213">
        <v>3658</v>
      </c>
      <c r="B1156" s="213" t="s">
        <v>319</v>
      </c>
      <c r="C1156" s="213">
        <v>1385</v>
      </c>
      <c r="D1156">
        <f t="shared" si="18"/>
        <v>2</v>
      </c>
    </row>
    <row r="1157" spans="1:4">
      <c r="A1157" s="213">
        <v>3662</v>
      </c>
      <c r="B1157" s="213" t="s">
        <v>1424</v>
      </c>
      <c r="C1157" s="213">
        <v>17.850000000000001</v>
      </c>
      <c r="D1157">
        <f t="shared" si="18"/>
        <v>980</v>
      </c>
    </row>
    <row r="1158" spans="1:4">
      <c r="A1158" s="213">
        <v>3663</v>
      </c>
      <c r="B1158" s="213" t="s">
        <v>1425</v>
      </c>
      <c r="C1158" s="213">
        <v>17.600000000000001</v>
      </c>
      <c r="D1158">
        <f t="shared" si="18"/>
        <v>999</v>
      </c>
    </row>
    <row r="1159" spans="1:4">
      <c r="A1159" s="213">
        <v>3664</v>
      </c>
      <c r="B1159" s="213" t="s">
        <v>2115</v>
      </c>
      <c r="C1159" s="213">
        <v>15.15</v>
      </c>
      <c r="D1159">
        <f t="shared" si="18"/>
        <v>1115</v>
      </c>
    </row>
    <row r="1160" spans="1:4">
      <c r="A1160" s="213">
        <v>3666</v>
      </c>
      <c r="B1160" s="213" t="s">
        <v>320</v>
      </c>
      <c r="C1160" s="213">
        <v>29.35</v>
      </c>
      <c r="D1160">
        <f t="shared" si="18"/>
        <v>628</v>
      </c>
    </row>
    <row r="1161" spans="1:4">
      <c r="A1161" s="213">
        <v>3672</v>
      </c>
      <c r="B1161" s="213" t="s">
        <v>321</v>
      </c>
      <c r="C1161" s="213">
        <v>31.45</v>
      </c>
      <c r="D1161">
        <f t="shared" si="18"/>
        <v>587</v>
      </c>
    </row>
    <row r="1162" spans="1:4">
      <c r="A1162" s="213">
        <v>3675</v>
      </c>
      <c r="B1162" s="213" t="s">
        <v>1427</v>
      </c>
      <c r="C1162" s="213">
        <v>27.95</v>
      </c>
      <c r="D1162">
        <f t="shared" si="18"/>
        <v>668</v>
      </c>
    </row>
    <row r="1163" spans="1:4">
      <c r="A1163" s="213">
        <v>3680</v>
      </c>
      <c r="B1163" s="213" t="s">
        <v>1428</v>
      </c>
      <c r="C1163" s="213">
        <v>30.65</v>
      </c>
      <c r="D1163">
        <f t="shared" si="18"/>
        <v>599</v>
      </c>
    </row>
    <row r="1164" spans="1:4">
      <c r="A1164" s="213">
        <v>3684</v>
      </c>
      <c r="B1164" s="213" t="s">
        <v>1429</v>
      </c>
      <c r="C1164" s="213">
        <v>38.950000000000003</v>
      </c>
      <c r="D1164">
        <f t="shared" si="18"/>
        <v>466</v>
      </c>
    </row>
    <row r="1165" spans="1:4">
      <c r="A1165" s="213">
        <v>3685</v>
      </c>
      <c r="B1165" s="213" t="s">
        <v>2294</v>
      </c>
      <c r="C1165" s="213">
        <v>51.5</v>
      </c>
      <c r="D1165">
        <f t="shared" si="18"/>
        <v>324</v>
      </c>
    </row>
    <row r="1166" spans="1:4">
      <c r="A1166" s="213">
        <v>3687</v>
      </c>
      <c r="B1166" s="213" t="s">
        <v>322</v>
      </c>
      <c r="C1166" s="213">
        <v>48.8</v>
      </c>
      <c r="D1166">
        <f t="shared" si="18"/>
        <v>351</v>
      </c>
    </row>
    <row r="1167" spans="1:4">
      <c r="A1167" s="213">
        <v>3689</v>
      </c>
      <c r="B1167" s="213" t="s">
        <v>1431</v>
      </c>
      <c r="C1167" s="213">
        <v>31.8</v>
      </c>
      <c r="D1167">
        <f t="shared" si="18"/>
        <v>580</v>
      </c>
    </row>
    <row r="1168" spans="1:4">
      <c r="A1168" s="213">
        <v>3691</v>
      </c>
      <c r="B1168" s="213" t="s">
        <v>1432</v>
      </c>
      <c r="C1168" s="213">
        <v>404</v>
      </c>
      <c r="D1168">
        <f t="shared" si="18"/>
        <v>12</v>
      </c>
    </row>
    <row r="1169" spans="1:4">
      <c r="A1169" s="213">
        <v>3693</v>
      </c>
      <c r="B1169" s="213" t="s">
        <v>323</v>
      </c>
      <c r="C1169" s="213">
        <v>65.099999999999994</v>
      </c>
      <c r="D1169">
        <f t="shared" si="18"/>
        <v>250</v>
      </c>
    </row>
    <row r="1170" spans="1:4">
      <c r="A1170" s="213">
        <v>3707</v>
      </c>
      <c r="B1170" s="213" t="s">
        <v>324</v>
      </c>
      <c r="C1170" s="213">
        <v>10.050000000000001</v>
      </c>
      <c r="D1170">
        <f t="shared" si="18"/>
        <v>1360</v>
      </c>
    </row>
    <row r="1171" spans="1:4">
      <c r="A1171" s="213">
        <v>4102</v>
      </c>
      <c r="B1171" s="213" t="s">
        <v>1433</v>
      </c>
      <c r="C1171" s="213">
        <v>17.600000000000001</v>
      </c>
      <c r="D1171">
        <f t="shared" si="18"/>
        <v>999</v>
      </c>
    </row>
    <row r="1172" spans="1:4">
      <c r="A1172" s="213">
        <v>4103</v>
      </c>
      <c r="B1172" s="213" t="s">
        <v>1434</v>
      </c>
      <c r="C1172" s="213">
        <v>73.2</v>
      </c>
      <c r="D1172">
        <f t="shared" si="18"/>
        <v>214</v>
      </c>
    </row>
    <row r="1173" spans="1:4">
      <c r="A1173" s="213">
        <v>4105</v>
      </c>
      <c r="B1173" s="213" t="s">
        <v>1435</v>
      </c>
      <c r="C1173" s="213">
        <v>126</v>
      </c>
      <c r="D1173">
        <f t="shared" si="18"/>
        <v>100</v>
      </c>
    </row>
    <row r="1174" spans="1:4">
      <c r="A1174" s="213">
        <v>4107</v>
      </c>
      <c r="B1174" s="213" t="s">
        <v>1436</v>
      </c>
      <c r="C1174" s="213">
        <v>142</v>
      </c>
      <c r="D1174">
        <f t="shared" si="18"/>
        <v>83</v>
      </c>
    </row>
    <row r="1175" spans="1:4">
      <c r="A1175" s="213">
        <v>4109</v>
      </c>
      <c r="B1175" s="213" t="s">
        <v>1437</v>
      </c>
      <c r="C1175" s="213">
        <v>20.75</v>
      </c>
      <c r="D1175">
        <f t="shared" si="18"/>
        <v>882</v>
      </c>
    </row>
    <row r="1176" spans="1:4">
      <c r="A1176" s="213">
        <v>4111</v>
      </c>
      <c r="B1176" s="213" t="s">
        <v>1438</v>
      </c>
      <c r="C1176" s="213">
        <v>22.7</v>
      </c>
      <c r="D1176">
        <f t="shared" si="18"/>
        <v>817</v>
      </c>
    </row>
    <row r="1177" spans="1:4">
      <c r="A1177" s="213">
        <v>4113</v>
      </c>
      <c r="B1177" s="213" t="s">
        <v>325</v>
      </c>
      <c r="C1177" s="213">
        <v>9.35</v>
      </c>
      <c r="D1177">
        <f t="shared" si="18"/>
        <v>1400</v>
      </c>
    </row>
    <row r="1178" spans="1:4">
      <c r="A1178" s="213">
        <v>4114</v>
      </c>
      <c r="B1178" s="213" t="s">
        <v>1439</v>
      </c>
      <c r="C1178" s="213">
        <v>29.2</v>
      </c>
      <c r="D1178">
        <f t="shared" si="18"/>
        <v>632</v>
      </c>
    </row>
    <row r="1179" spans="1:4">
      <c r="A1179" s="213">
        <v>4116</v>
      </c>
      <c r="B1179" s="213" t="s">
        <v>1787</v>
      </c>
      <c r="C1179" s="213">
        <v>43.75</v>
      </c>
      <c r="D1179">
        <f t="shared" si="18"/>
        <v>409</v>
      </c>
    </row>
    <row r="1180" spans="1:4">
      <c r="A1180" s="213">
        <v>4120</v>
      </c>
      <c r="B1180" s="213" t="s">
        <v>326</v>
      </c>
      <c r="C1180" s="213">
        <v>58.2</v>
      </c>
      <c r="D1180">
        <f t="shared" si="18"/>
        <v>288</v>
      </c>
    </row>
    <row r="1181" spans="1:4">
      <c r="A1181" s="213">
        <v>4121</v>
      </c>
      <c r="B1181" s="213" t="s">
        <v>1440</v>
      </c>
      <c r="C1181" s="213">
        <v>11.9</v>
      </c>
      <c r="D1181">
        <f t="shared" si="18"/>
        <v>1264</v>
      </c>
    </row>
    <row r="1182" spans="1:4">
      <c r="A1182" s="213">
        <v>4123</v>
      </c>
      <c r="B1182" s="213" t="s">
        <v>1441</v>
      </c>
      <c r="C1182" s="213">
        <v>66.2</v>
      </c>
      <c r="D1182">
        <f t="shared" si="18"/>
        <v>245</v>
      </c>
    </row>
    <row r="1183" spans="1:4">
      <c r="A1183" s="213">
        <v>4126</v>
      </c>
      <c r="B1183" s="213" t="s">
        <v>327</v>
      </c>
      <c r="C1183" s="213">
        <v>94.5</v>
      </c>
      <c r="D1183">
        <f t="shared" si="18"/>
        <v>146</v>
      </c>
    </row>
    <row r="1184" spans="1:4">
      <c r="A1184" s="213">
        <v>4127</v>
      </c>
      <c r="B1184" s="213" t="s">
        <v>1442</v>
      </c>
      <c r="C1184" s="213">
        <v>17.5</v>
      </c>
      <c r="D1184">
        <f t="shared" si="18"/>
        <v>1005</v>
      </c>
    </row>
    <row r="1185" spans="1:4">
      <c r="A1185" s="213">
        <v>4128</v>
      </c>
      <c r="B1185" s="213" t="s">
        <v>1443</v>
      </c>
      <c r="C1185" s="213">
        <v>23.55</v>
      </c>
      <c r="D1185">
        <f t="shared" si="18"/>
        <v>792</v>
      </c>
    </row>
    <row r="1186" spans="1:4">
      <c r="A1186" s="213">
        <v>4129</v>
      </c>
      <c r="B1186" s="213" t="s">
        <v>1444</v>
      </c>
      <c r="C1186" s="213">
        <v>68.7</v>
      </c>
      <c r="D1186">
        <f t="shared" si="18"/>
        <v>233</v>
      </c>
    </row>
    <row r="1187" spans="1:4">
      <c r="A1187" s="213">
        <v>4130</v>
      </c>
      <c r="B1187" s="213" t="s">
        <v>328</v>
      </c>
      <c r="C1187" s="213">
        <v>39</v>
      </c>
      <c r="D1187">
        <f t="shared" si="18"/>
        <v>463</v>
      </c>
    </row>
    <row r="1188" spans="1:4">
      <c r="A1188" s="213">
        <v>4131</v>
      </c>
      <c r="B1188" s="213" t="s">
        <v>1445</v>
      </c>
      <c r="C1188" s="213">
        <v>6.45</v>
      </c>
      <c r="D1188">
        <f t="shared" si="18"/>
        <v>1538</v>
      </c>
    </row>
    <row r="1189" spans="1:4">
      <c r="A1189" s="213">
        <v>4138</v>
      </c>
      <c r="B1189" s="213" t="s">
        <v>1446</v>
      </c>
      <c r="C1189" s="213">
        <v>54</v>
      </c>
      <c r="D1189">
        <f t="shared" si="18"/>
        <v>305</v>
      </c>
    </row>
    <row r="1190" spans="1:4">
      <c r="A1190" s="213">
        <v>4139</v>
      </c>
      <c r="B1190" s="213" t="s">
        <v>2116</v>
      </c>
      <c r="C1190" s="213">
        <v>40</v>
      </c>
      <c r="D1190">
        <f t="shared" si="18"/>
        <v>449</v>
      </c>
    </row>
    <row r="1191" spans="1:4">
      <c r="A1191" s="213">
        <v>4147</v>
      </c>
      <c r="B1191" s="213" t="s">
        <v>1756</v>
      </c>
      <c r="C1191" s="213">
        <v>205</v>
      </c>
      <c r="D1191">
        <f t="shared" si="18"/>
        <v>44</v>
      </c>
    </row>
    <row r="1192" spans="1:4">
      <c r="A1192" s="213">
        <v>4152</v>
      </c>
      <c r="B1192" s="213" t="s">
        <v>329</v>
      </c>
      <c r="C1192" s="213">
        <v>129</v>
      </c>
      <c r="D1192">
        <f t="shared" si="18"/>
        <v>99</v>
      </c>
    </row>
    <row r="1193" spans="1:4">
      <c r="A1193" s="213">
        <v>4153</v>
      </c>
      <c r="B1193" s="213" t="s">
        <v>330</v>
      </c>
      <c r="C1193" s="213">
        <v>38.6</v>
      </c>
      <c r="D1193">
        <f t="shared" si="18"/>
        <v>475</v>
      </c>
    </row>
    <row r="1194" spans="1:4">
      <c r="A1194" s="213">
        <v>4154</v>
      </c>
      <c r="B1194" s="213" t="s">
        <v>2117</v>
      </c>
      <c r="C1194" s="213">
        <v>18.899999999999999</v>
      </c>
      <c r="D1194">
        <f t="shared" si="18"/>
        <v>936</v>
      </c>
    </row>
    <row r="1195" spans="1:4">
      <c r="A1195" s="213">
        <v>4157</v>
      </c>
      <c r="B1195" s="213" t="s">
        <v>2118</v>
      </c>
      <c r="C1195" s="213">
        <v>30</v>
      </c>
      <c r="D1195">
        <f t="shared" si="18"/>
        <v>609</v>
      </c>
    </row>
    <row r="1196" spans="1:4">
      <c r="A1196" s="213">
        <v>4160</v>
      </c>
      <c r="B1196" s="213" t="s">
        <v>1450</v>
      </c>
      <c r="C1196" s="213">
        <v>29</v>
      </c>
      <c r="D1196">
        <f t="shared" si="18"/>
        <v>641</v>
      </c>
    </row>
    <row r="1197" spans="1:4">
      <c r="A1197" s="213">
        <v>4161</v>
      </c>
      <c r="B1197" s="213" t="s">
        <v>1451</v>
      </c>
      <c r="C1197" s="213">
        <v>59.5</v>
      </c>
      <c r="D1197">
        <f t="shared" si="18"/>
        <v>279</v>
      </c>
    </row>
    <row r="1198" spans="1:4">
      <c r="A1198" s="213">
        <v>4162</v>
      </c>
      <c r="B1198" s="213" t="s">
        <v>331</v>
      </c>
      <c r="C1198" s="213">
        <v>225</v>
      </c>
      <c r="D1198">
        <f t="shared" si="18"/>
        <v>36</v>
      </c>
    </row>
    <row r="1199" spans="1:4">
      <c r="A1199" s="213">
        <v>4163</v>
      </c>
      <c r="B1199" s="213" t="s">
        <v>1452</v>
      </c>
      <c r="C1199" s="213">
        <v>155.5</v>
      </c>
      <c r="D1199">
        <f t="shared" si="18"/>
        <v>75</v>
      </c>
    </row>
    <row r="1200" spans="1:4">
      <c r="A1200" s="213">
        <v>4167</v>
      </c>
      <c r="B1200" s="213" t="s">
        <v>332</v>
      </c>
      <c r="C1200" s="213">
        <v>26.05</v>
      </c>
      <c r="D1200">
        <f t="shared" si="18"/>
        <v>709</v>
      </c>
    </row>
    <row r="1201" spans="1:4">
      <c r="A1201" s="213">
        <v>4168</v>
      </c>
      <c r="B1201" s="213" t="s">
        <v>333</v>
      </c>
      <c r="C1201" s="213">
        <v>34.25</v>
      </c>
      <c r="D1201">
        <f t="shared" si="18"/>
        <v>535</v>
      </c>
    </row>
    <row r="1202" spans="1:4">
      <c r="A1202" s="213">
        <v>4171</v>
      </c>
      <c r="B1202" s="213" t="s">
        <v>1453</v>
      </c>
      <c r="C1202" s="213">
        <v>22.4</v>
      </c>
      <c r="D1202">
        <f t="shared" si="18"/>
        <v>830</v>
      </c>
    </row>
    <row r="1203" spans="1:4">
      <c r="A1203" s="213">
        <v>4173</v>
      </c>
      <c r="B1203" s="213" t="s">
        <v>334</v>
      </c>
      <c r="C1203" s="213">
        <v>19.45</v>
      </c>
      <c r="D1203">
        <f t="shared" si="18"/>
        <v>924</v>
      </c>
    </row>
    <row r="1204" spans="1:4">
      <c r="A1204" s="213">
        <v>4174</v>
      </c>
      <c r="B1204" s="213" t="s">
        <v>335</v>
      </c>
      <c r="C1204" s="213">
        <v>325</v>
      </c>
      <c r="D1204">
        <f t="shared" si="18"/>
        <v>20</v>
      </c>
    </row>
    <row r="1205" spans="1:4">
      <c r="A1205" s="213">
        <v>4175</v>
      </c>
      <c r="B1205" s="213" t="s">
        <v>336</v>
      </c>
      <c r="C1205" s="213">
        <v>81.8</v>
      </c>
      <c r="D1205">
        <f t="shared" si="18"/>
        <v>184</v>
      </c>
    </row>
    <row r="1206" spans="1:4">
      <c r="A1206" s="213">
        <v>4180</v>
      </c>
      <c r="B1206" s="213" t="s">
        <v>1454</v>
      </c>
      <c r="C1206" s="213">
        <v>106</v>
      </c>
      <c r="D1206">
        <f t="shared" si="18"/>
        <v>128</v>
      </c>
    </row>
    <row r="1207" spans="1:4">
      <c r="A1207" s="213">
        <v>4188</v>
      </c>
      <c r="B1207" s="213" t="s">
        <v>1455</v>
      </c>
      <c r="C1207" s="213">
        <v>29.2</v>
      </c>
      <c r="D1207">
        <f t="shared" si="18"/>
        <v>632</v>
      </c>
    </row>
    <row r="1208" spans="1:4">
      <c r="A1208" s="213">
        <v>4192</v>
      </c>
      <c r="B1208" s="213" t="s">
        <v>1456</v>
      </c>
      <c r="C1208" s="213">
        <v>29</v>
      </c>
      <c r="D1208">
        <f t="shared" si="18"/>
        <v>641</v>
      </c>
    </row>
    <row r="1209" spans="1:4">
      <c r="A1209" s="213">
        <v>4198</v>
      </c>
      <c r="B1209" s="213" t="s">
        <v>337</v>
      </c>
      <c r="C1209" s="213">
        <v>15.05</v>
      </c>
      <c r="D1209">
        <f t="shared" si="18"/>
        <v>1124</v>
      </c>
    </row>
    <row r="1210" spans="1:4">
      <c r="A1210" s="213">
        <v>4205</v>
      </c>
      <c r="B1210" s="213" t="s">
        <v>1457</v>
      </c>
      <c r="C1210" s="213">
        <v>44.5</v>
      </c>
      <c r="D1210">
        <f t="shared" si="18"/>
        <v>403</v>
      </c>
    </row>
    <row r="1211" spans="1:4">
      <c r="A1211" s="213">
        <v>4207</v>
      </c>
      <c r="B1211" s="213" t="s">
        <v>1458</v>
      </c>
      <c r="C1211" s="213">
        <v>12.25</v>
      </c>
      <c r="D1211">
        <f t="shared" si="18"/>
        <v>1245</v>
      </c>
    </row>
    <row r="1212" spans="1:4">
      <c r="A1212" s="213">
        <v>4303</v>
      </c>
      <c r="B1212" s="213" t="s">
        <v>1459</v>
      </c>
      <c r="C1212" s="213">
        <v>14.05</v>
      </c>
      <c r="D1212">
        <f t="shared" si="18"/>
        <v>1159</v>
      </c>
    </row>
    <row r="1213" spans="1:4">
      <c r="A1213" s="213">
        <v>4304</v>
      </c>
      <c r="B1213" s="213" t="s">
        <v>338</v>
      </c>
      <c r="C1213" s="213">
        <v>8.9700000000000006</v>
      </c>
      <c r="D1213">
        <f t="shared" si="18"/>
        <v>1427</v>
      </c>
    </row>
    <row r="1214" spans="1:4">
      <c r="A1214" s="213">
        <v>4305</v>
      </c>
      <c r="B1214" s="213" t="s">
        <v>1460</v>
      </c>
      <c r="C1214" s="213">
        <v>0</v>
      </c>
      <c r="D1214">
        <f t="shared" si="18"/>
        <v>1626</v>
      </c>
    </row>
    <row r="1215" spans="1:4">
      <c r="A1215" s="213">
        <v>4401</v>
      </c>
      <c r="B1215" s="213" t="s">
        <v>1461</v>
      </c>
      <c r="C1215" s="213">
        <v>93.5</v>
      </c>
      <c r="D1215">
        <f t="shared" si="18"/>
        <v>148</v>
      </c>
    </row>
    <row r="1216" spans="1:4">
      <c r="A1216" s="213">
        <v>4402</v>
      </c>
      <c r="B1216" s="213" t="s">
        <v>339</v>
      </c>
      <c r="C1216" s="213">
        <v>5.49</v>
      </c>
      <c r="D1216">
        <f t="shared" si="18"/>
        <v>1567</v>
      </c>
    </row>
    <row r="1217" spans="1:4">
      <c r="A1217" s="213">
        <v>4406</v>
      </c>
      <c r="B1217" s="213" t="s">
        <v>1462</v>
      </c>
      <c r="C1217" s="213">
        <v>10.25</v>
      </c>
      <c r="D1217">
        <f t="shared" si="18"/>
        <v>1343</v>
      </c>
    </row>
    <row r="1218" spans="1:4">
      <c r="A1218" s="213">
        <v>4413</v>
      </c>
      <c r="B1218" s="213" t="s">
        <v>1463</v>
      </c>
      <c r="C1218" s="213">
        <v>0</v>
      </c>
      <c r="D1218">
        <f t="shared" ref="D1218:D1281" si="19">RANK(C1218,C:C,0)</f>
        <v>1626</v>
      </c>
    </row>
    <row r="1219" spans="1:4">
      <c r="A1219" s="213">
        <v>4415</v>
      </c>
      <c r="B1219" s="213" t="s">
        <v>1464</v>
      </c>
      <c r="C1219" s="213">
        <v>9.5</v>
      </c>
      <c r="D1219">
        <f t="shared" si="19"/>
        <v>1395</v>
      </c>
    </row>
    <row r="1220" spans="1:4">
      <c r="A1220" s="213">
        <v>4416</v>
      </c>
      <c r="B1220" s="213" t="s">
        <v>340</v>
      </c>
      <c r="C1220" s="213">
        <v>76</v>
      </c>
      <c r="D1220">
        <f t="shared" si="19"/>
        <v>206</v>
      </c>
    </row>
    <row r="1221" spans="1:4">
      <c r="A1221" s="213">
        <v>4417</v>
      </c>
      <c r="B1221" s="213" t="s">
        <v>1465</v>
      </c>
      <c r="C1221" s="213">
        <v>36.6</v>
      </c>
      <c r="D1221">
        <f t="shared" si="19"/>
        <v>502</v>
      </c>
    </row>
    <row r="1222" spans="1:4">
      <c r="A1222" s="213">
        <v>4419</v>
      </c>
      <c r="B1222" s="213" t="s">
        <v>1466</v>
      </c>
      <c r="C1222" s="213">
        <v>0</v>
      </c>
      <c r="D1222">
        <f t="shared" si="19"/>
        <v>1626</v>
      </c>
    </row>
    <row r="1223" spans="1:4">
      <c r="A1223" s="213">
        <v>4420</v>
      </c>
      <c r="B1223" s="213" t="s">
        <v>1467</v>
      </c>
      <c r="C1223" s="213">
        <v>28.2</v>
      </c>
      <c r="D1223">
        <f t="shared" si="19"/>
        <v>662</v>
      </c>
    </row>
    <row r="1224" spans="1:4">
      <c r="A1224" s="213">
        <v>4429</v>
      </c>
      <c r="B1224" s="213" t="s">
        <v>341</v>
      </c>
      <c r="C1224" s="213">
        <v>22.7</v>
      </c>
      <c r="D1224">
        <f t="shared" si="19"/>
        <v>817</v>
      </c>
    </row>
    <row r="1225" spans="1:4">
      <c r="A1225" s="213">
        <v>4430</v>
      </c>
      <c r="B1225" s="213" t="s">
        <v>1468</v>
      </c>
      <c r="C1225" s="213">
        <v>24</v>
      </c>
      <c r="D1225">
        <f t="shared" si="19"/>
        <v>767</v>
      </c>
    </row>
    <row r="1226" spans="1:4">
      <c r="A1226" s="213">
        <v>4432</v>
      </c>
      <c r="B1226" s="213" t="s">
        <v>1469</v>
      </c>
      <c r="C1226" s="213">
        <v>58.3</v>
      </c>
      <c r="D1226">
        <f t="shared" si="19"/>
        <v>287</v>
      </c>
    </row>
    <row r="1227" spans="1:4">
      <c r="A1227" s="213">
        <v>4433</v>
      </c>
      <c r="B1227" s="213" t="s">
        <v>1470</v>
      </c>
      <c r="C1227" s="213">
        <v>29.35</v>
      </c>
      <c r="D1227">
        <f t="shared" si="19"/>
        <v>628</v>
      </c>
    </row>
    <row r="1228" spans="1:4">
      <c r="A1228" s="213">
        <v>4502</v>
      </c>
      <c r="B1228" s="213" t="s">
        <v>1757</v>
      </c>
      <c r="C1228" s="213">
        <v>44.85</v>
      </c>
      <c r="D1228">
        <f t="shared" si="19"/>
        <v>398</v>
      </c>
    </row>
    <row r="1229" spans="1:4">
      <c r="A1229" s="213">
        <v>4503</v>
      </c>
      <c r="B1229" s="213" t="s">
        <v>342</v>
      </c>
      <c r="C1229" s="213">
        <v>23.4</v>
      </c>
      <c r="D1229">
        <f t="shared" si="19"/>
        <v>796</v>
      </c>
    </row>
    <row r="1230" spans="1:4">
      <c r="A1230" s="213">
        <v>4506</v>
      </c>
      <c r="B1230" s="213" t="s">
        <v>343</v>
      </c>
      <c r="C1230" s="213">
        <v>34.950000000000003</v>
      </c>
      <c r="D1230">
        <f t="shared" si="19"/>
        <v>528</v>
      </c>
    </row>
    <row r="1231" spans="1:4">
      <c r="A1231" s="213">
        <v>4510</v>
      </c>
      <c r="B1231" s="213" t="s">
        <v>1471</v>
      </c>
      <c r="C1231" s="213">
        <v>17.100000000000001</v>
      </c>
      <c r="D1231">
        <f t="shared" si="19"/>
        <v>1025</v>
      </c>
    </row>
    <row r="1232" spans="1:4">
      <c r="A1232" s="213">
        <v>4513</v>
      </c>
      <c r="B1232" s="213" t="s">
        <v>1472</v>
      </c>
      <c r="C1232" s="213">
        <v>0</v>
      </c>
      <c r="D1232">
        <f t="shared" si="19"/>
        <v>1626</v>
      </c>
    </row>
    <row r="1233" spans="1:4">
      <c r="A1233" s="213">
        <v>4523</v>
      </c>
      <c r="B1233" s="213" t="s">
        <v>1473</v>
      </c>
      <c r="C1233" s="213">
        <v>18.649999999999999</v>
      </c>
      <c r="D1233">
        <f t="shared" si="19"/>
        <v>946</v>
      </c>
    </row>
    <row r="1234" spans="1:4">
      <c r="A1234" s="213">
        <v>4527</v>
      </c>
      <c r="B1234" s="213" t="s">
        <v>1474</v>
      </c>
      <c r="C1234" s="213">
        <v>27.15</v>
      </c>
      <c r="D1234">
        <f t="shared" si="19"/>
        <v>682</v>
      </c>
    </row>
    <row r="1235" spans="1:4">
      <c r="A1235" s="213">
        <v>4528</v>
      </c>
      <c r="B1235" s="213" t="s">
        <v>1475</v>
      </c>
      <c r="C1235" s="213">
        <v>43.2</v>
      </c>
      <c r="D1235">
        <f t="shared" si="19"/>
        <v>412</v>
      </c>
    </row>
    <row r="1236" spans="1:4">
      <c r="A1236" s="213">
        <v>4529</v>
      </c>
      <c r="B1236" s="213" t="s">
        <v>1476</v>
      </c>
      <c r="C1236" s="213">
        <v>35.1</v>
      </c>
      <c r="D1236">
        <f t="shared" si="19"/>
        <v>525</v>
      </c>
    </row>
    <row r="1237" spans="1:4">
      <c r="A1237" s="213">
        <v>4530</v>
      </c>
      <c r="B1237" s="213" t="s">
        <v>1477</v>
      </c>
      <c r="C1237" s="213">
        <v>0</v>
      </c>
      <c r="D1237">
        <f t="shared" si="19"/>
        <v>1626</v>
      </c>
    </row>
    <row r="1238" spans="1:4">
      <c r="A1238" s="213">
        <v>4533</v>
      </c>
      <c r="B1238" s="213" t="s">
        <v>1478</v>
      </c>
      <c r="C1238" s="213">
        <v>13.5</v>
      </c>
      <c r="D1238">
        <f t="shared" si="19"/>
        <v>1188</v>
      </c>
    </row>
    <row r="1239" spans="1:4">
      <c r="A1239" s="213">
        <v>4534</v>
      </c>
      <c r="B1239" s="213" t="s">
        <v>1479</v>
      </c>
      <c r="C1239" s="213">
        <v>34.5</v>
      </c>
      <c r="D1239">
        <f t="shared" si="19"/>
        <v>531</v>
      </c>
    </row>
    <row r="1240" spans="1:4">
      <c r="A1240" s="213">
        <v>4535</v>
      </c>
      <c r="B1240" s="213" t="s">
        <v>1480</v>
      </c>
      <c r="C1240" s="213">
        <v>42.75</v>
      </c>
      <c r="D1240">
        <f t="shared" si="19"/>
        <v>415</v>
      </c>
    </row>
    <row r="1241" spans="1:4">
      <c r="A1241" s="213">
        <v>4541</v>
      </c>
      <c r="B1241" s="213" t="s">
        <v>1481</v>
      </c>
      <c r="C1241" s="213">
        <v>29.3</v>
      </c>
      <c r="D1241">
        <f t="shared" si="19"/>
        <v>631</v>
      </c>
    </row>
    <row r="1242" spans="1:4">
      <c r="A1242" s="213">
        <v>4542</v>
      </c>
      <c r="B1242" s="213" t="s">
        <v>344</v>
      </c>
      <c r="C1242" s="213">
        <v>15.8</v>
      </c>
      <c r="D1242">
        <f t="shared" si="19"/>
        <v>1087</v>
      </c>
    </row>
    <row r="1243" spans="1:4">
      <c r="A1243" s="213">
        <v>4543</v>
      </c>
      <c r="B1243" s="213" t="s">
        <v>1835</v>
      </c>
      <c r="C1243" s="213">
        <v>22.05</v>
      </c>
      <c r="D1243">
        <f t="shared" si="19"/>
        <v>844</v>
      </c>
    </row>
    <row r="1244" spans="1:4">
      <c r="A1244" s="213">
        <v>4549</v>
      </c>
      <c r="B1244" s="213" t="s">
        <v>345</v>
      </c>
      <c r="C1244" s="213">
        <v>83.9</v>
      </c>
      <c r="D1244">
        <f t="shared" si="19"/>
        <v>174</v>
      </c>
    </row>
    <row r="1245" spans="1:4">
      <c r="A1245" s="213">
        <v>4550</v>
      </c>
      <c r="B1245" s="213" t="s">
        <v>346</v>
      </c>
      <c r="C1245" s="213">
        <v>23.75</v>
      </c>
      <c r="D1245">
        <f t="shared" si="19"/>
        <v>783</v>
      </c>
    </row>
    <row r="1246" spans="1:4">
      <c r="A1246" s="213">
        <v>4554</v>
      </c>
      <c r="B1246" s="213" t="s">
        <v>2356</v>
      </c>
      <c r="C1246" s="213">
        <v>62.5</v>
      </c>
      <c r="D1246">
        <f t="shared" si="19"/>
        <v>263</v>
      </c>
    </row>
    <row r="1247" spans="1:4">
      <c r="A1247" s="213">
        <v>4556</v>
      </c>
      <c r="B1247" s="213" t="s">
        <v>1791</v>
      </c>
      <c r="C1247" s="213">
        <v>33.25</v>
      </c>
      <c r="D1247">
        <f t="shared" si="19"/>
        <v>555</v>
      </c>
    </row>
    <row r="1248" spans="1:4">
      <c r="A1248" s="213">
        <v>4609</v>
      </c>
      <c r="B1248" s="213" t="s">
        <v>1482</v>
      </c>
      <c r="C1248" s="213">
        <v>10.4</v>
      </c>
      <c r="D1248">
        <f t="shared" si="19"/>
        <v>1333</v>
      </c>
    </row>
    <row r="1249" spans="1:4">
      <c r="A1249" s="213">
        <v>4702</v>
      </c>
      <c r="B1249" s="213" t="s">
        <v>347</v>
      </c>
      <c r="C1249" s="213">
        <v>8.25</v>
      </c>
      <c r="D1249">
        <f t="shared" si="19"/>
        <v>1456</v>
      </c>
    </row>
    <row r="1250" spans="1:4">
      <c r="A1250" s="213">
        <v>4706</v>
      </c>
      <c r="B1250" s="213" t="s">
        <v>1483</v>
      </c>
      <c r="C1250" s="213">
        <v>22.4</v>
      </c>
      <c r="D1250">
        <f t="shared" si="19"/>
        <v>830</v>
      </c>
    </row>
    <row r="1251" spans="1:4">
      <c r="A1251" s="213">
        <v>4707</v>
      </c>
      <c r="B1251" s="213" t="s">
        <v>348</v>
      </c>
      <c r="C1251" s="213">
        <v>8.77</v>
      </c>
      <c r="D1251">
        <f t="shared" si="19"/>
        <v>1436</v>
      </c>
    </row>
    <row r="1252" spans="1:4">
      <c r="A1252" s="213">
        <v>4711</v>
      </c>
      <c r="B1252" s="213" t="s">
        <v>1484</v>
      </c>
      <c r="C1252" s="213">
        <v>20.45</v>
      </c>
      <c r="D1252">
        <f t="shared" si="19"/>
        <v>891</v>
      </c>
    </row>
    <row r="1253" spans="1:4">
      <c r="A1253" s="213">
        <v>4712</v>
      </c>
      <c r="B1253" s="213" t="s">
        <v>349</v>
      </c>
      <c r="C1253" s="213">
        <v>7.32</v>
      </c>
      <c r="D1253">
        <f t="shared" si="19"/>
        <v>1498</v>
      </c>
    </row>
    <row r="1254" spans="1:4">
      <c r="A1254" s="213">
        <v>4714</v>
      </c>
      <c r="B1254" s="213" t="s">
        <v>350</v>
      </c>
      <c r="C1254" s="213">
        <v>9.5500000000000007</v>
      </c>
      <c r="D1254">
        <f t="shared" si="19"/>
        <v>1390</v>
      </c>
    </row>
    <row r="1255" spans="1:4">
      <c r="A1255" s="213">
        <v>4716</v>
      </c>
      <c r="B1255" s="213" t="s">
        <v>1485</v>
      </c>
      <c r="C1255" s="213">
        <v>11.2</v>
      </c>
      <c r="D1255">
        <f t="shared" si="19"/>
        <v>1297</v>
      </c>
    </row>
    <row r="1256" spans="1:4">
      <c r="A1256" s="213">
        <v>4721</v>
      </c>
      <c r="B1256" s="213" t="s">
        <v>351</v>
      </c>
      <c r="C1256" s="213">
        <v>29.65</v>
      </c>
      <c r="D1256">
        <f t="shared" si="19"/>
        <v>618</v>
      </c>
    </row>
    <row r="1257" spans="1:4">
      <c r="A1257" s="213">
        <v>4726</v>
      </c>
      <c r="B1257" s="213" t="s">
        <v>1486</v>
      </c>
      <c r="C1257" s="213">
        <v>39</v>
      </c>
      <c r="D1257">
        <f t="shared" si="19"/>
        <v>463</v>
      </c>
    </row>
    <row r="1258" spans="1:4">
      <c r="A1258" s="213">
        <v>4728</v>
      </c>
      <c r="B1258" s="213" t="s">
        <v>352</v>
      </c>
      <c r="C1258" s="213">
        <v>42.75</v>
      </c>
      <c r="D1258">
        <f t="shared" si="19"/>
        <v>415</v>
      </c>
    </row>
    <row r="1259" spans="1:4">
      <c r="A1259" s="213">
        <v>4729</v>
      </c>
      <c r="B1259" s="213" t="s">
        <v>353</v>
      </c>
      <c r="C1259" s="213">
        <v>14.15</v>
      </c>
      <c r="D1259">
        <f t="shared" si="19"/>
        <v>1155</v>
      </c>
    </row>
    <row r="1260" spans="1:4">
      <c r="A1260" s="213">
        <v>4735</v>
      </c>
      <c r="B1260" s="213" t="s">
        <v>1487</v>
      </c>
      <c r="C1260" s="213">
        <v>35.299999999999997</v>
      </c>
      <c r="D1260">
        <f t="shared" si="19"/>
        <v>521</v>
      </c>
    </row>
    <row r="1261" spans="1:4">
      <c r="A1261" s="213">
        <v>4736</v>
      </c>
      <c r="B1261" s="213" t="s">
        <v>354</v>
      </c>
      <c r="C1261" s="213">
        <v>109</v>
      </c>
      <c r="D1261">
        <f t="shared" si="19"/>
        <v>123</v>
      </c>
    </row>
    <row r="1262" spans="1:4">
      <c r="A1262" s="213">
        <v>4739</v>
      </c>
      <c r="B1262" s="213" t="s">
        <v>1488</v>
      </c>
      <c r="C1262" s="213">
        <v>42.1</v>
      </c>
      <c r="D1262">
        <f t="shared" si="19"/>
        <v>421</v>
      </c>
    </row>
    <row r="1263" spans="1:4">
      <c r="A1263" s="213">
        <v>4743</v>
      </c>
      <c r="B1263" s="213" t="s">
        <v>1489</v>
      </c>
      <c r="C1263" s="213">
        <v>32.85</v>
      </c>
      <c r="D1263">
        <f t="shared" si="19"/>
        <v>558</v>
      </c>
    </row>
    <row r="1264" spans="1:4">
      <c r="A1264" s="213">
        <v>4745</v>
      </c>
      <c r="B1264" s="213" t="s">
        <v>2119</v>
      </c>
      <c r="C1264" s="213">
        <v>52.3</v>
      </c>
      <c r="D1264">
        <f t="shared" si="19"/>
        <v>318</v>
      </c>
    </row>
    <row r="1265" spans="1:4">
      <c r="A1265" s="213">
        <v>4747</v>
      </c>
      <c r="B1265" s="213" t="s">
        <v>1491</v>
      </c>
      <c r="C1265" s="213">
        <v>38.1</v>
      </c>
      <c r="D1265">
        <f t="shared" si="19"/>
        <v>482</v>
      </c>
    </row>
    <row r="1266" spans="1:4">
      <c r="A1266" s="213">
        <v>4754</v>
      </c>
      <c r="B1266" s="213" t="s">
        <v>3163</v>
      </c>
      <c r="C1266" s="213">
        <v>58.9</v>
      </c>
      <c r="D1266">
        <f t="shared" si="19"/>
        <v>282</v>
      </c>
    </row>
    <row r="1267" spans="1:4">
      <c r="A1267" s="213">
        <v>4762</v>
      </c>
      <c r="B1267" s="213" t="s">
        <v>2120</v>
      </c>
      <c r="C1267" s="213">
        <v>67.3</v>
      </c>
      <c r="D1267">
        <f t="shared" si="19"/>
        <v>239</v>
      </c>
    </row>
    <row r="1268" spans="1:4">
      <c r="A1268" s="213">
        <v>4803</v>
      </c>
      <c r="B1268" s="213" t="s">
        <v>2121</v>
      </c>
      <c r="C1268" s="213">
        <v>195</v>
      </c>
      <c r="D1268">
        <f t="shared" si="19"/>
        <v>50</v>
      </c>
    </row>
    <row r="1269" spans="1:4">
      <c r="A1269" s="213">
        <v>4804</v>
      </c>
      <c r="B1269" s="213" t="s">
        <v>2122</v>
      </c>
      <c r="C1269" s="213">
        <v>107.5</v>
      </c>
      <c r="D1269">
        <f t="shared" si="19"/>
        <v>126</v>
      </c>
    </row>
    <row r="1270" spans="1:4">
      <c r="A1270" s="213">
        <v>4806</v>
      </c>
      <c r="B1270" s="213" t="s">
        <v>1837</v>
      </c>
      <c r="C1270" s="213">
        <v>75.3</v>
      </c>
      <c r="D1270">
        <f t="shared" si="19"/>
        <v>207</v>
      </c>
    </row>
    <row r="1271" spans="1:4">
      <c r="A1271" s="213">
        <v>4903</v>
      </c>
      <c r="B1271" s="213" t="s">
        <v>1492</v>
      </c>
      <c r="C1271" s="213">
        <v>27.15</v>
      </c>
      <c r="D1271">
        <f t="shared" si="19"/>
        <v>682</v>
      </c>
    </row>
    <row r="1272" spans="1:4">
      <c r="A1272" s="213">
        <v>4905</v>
      </c>
      <c r="B1272" s="213" t="s">
        <v>1493</v>
      </c>
      <c r="C1272" s="213">
        <v>43.8</v>
      </c>
      <c r="D1272">
        <f t="shared" si="19"/>
        <v>407</v>
      </c>
    </row>
    <row r="1273" spans="1:4">
      <c r="A1273" s="213">
        <v>4907</v>
      </c>
      <c r="B1273" s="213" t="s">
        <v>1494</v>
      </c>
      <c r="C1273" s="213">
        <v>0</v>
      </c>
      <c r="D1273">
        <f t="shared" si="19"/>
        <v>1626</v>
      </c>
    </row>
    <row r="1274" spans="1:4">
      <c r="A1274" s="213">
        <v>4908</v>
      </c>
      <c r="B1274" s="213" t="s">
        <v>1495</v>
      </c>
      <c r="C1274" s="213">
        <v>16.399999999999999</v>
      </c>
      <c r="D1274">
        <f t="shared" si="19"/>
        <v>1065</v>
      </c>
    </row>
    <row r="1275" spans="1:4">
      <c r="A1275" s="213">
        <v>4909</v>
      </c>
      <c r="B1275" s="213" t="s">
        <v>355</v>
      </c>
      <c r="C1275" s="213">
        <v>22.2</v>
      </c>
      <c r="D1275">
        <f t="shared" si="19"/>
        <v>838</v>
      </c>
    </row>
    <row r="1276" spans="1:4">
      <c r="A1276" s="213">
        <v>4911</v>
      </c>
      <c r="B1276" s="213" t="s">
        <v>356</v>
      </c>
      <c r="C1276" s="213">
        <v>81.3</v>
      </c>
      <c r="D1276">
        <f t="shared" si="19"/>
        <v>187</v>
      </c>
    </row>
    <row r="1277" spans="1:4">
      <c r="A1277" s="213">
        <v>4924</v>
      </c>
      <c r="B1277" s="213" t="s">
        <v>2123</v>
      </c>
      <c r="C1277" s="213">
        <v>9.91</v>
      </c>
      <c r="D1277">
        <f t="shared" si="19"/>
        <v>1374</v>
      </c>
    </row>
    <row r="1278" spans="1:4">
      <c r="A1278" s="213">
        <v>4933</v>
      </c>
      <c r="B1278" s="213" t="s">
        <v>357</v>
      </c>
      <c r="C1278" s="213">
        <v>24.2</v>
      </c>
      <c r="D1278">
        <f t="shared" si="19"/>
        <v>760</v>
      </c>
    </row>
    <row r="1279" spans="1:4">
      <c r="A1279" s="213">
        <v>4939</v>
      </c>
      <c r="B1279" s="213" t="s">
        <v>358</v>
      </c>
      <c r="C1279" s="213">
        <v>8.36</v>
      </c>
      <c r="D1279">
        <f t="shared" si="19"/>
        <v>1450</v>
      </c>
    </row>
    <row r="1280" spans="1:4">
      <c r="A1280" s="213">
        <v>4944</v>
      </c>
      <c r="B1280" s="213" t="s">
        <v>1497</v>
      </c>
      <c r="C1280" s="213">
        <v>8.08</v>
      </c>
      <c r="D1280">
        <f t="shared" si="19"/>
        <v>1462</v>
      </c>
    </row>
    <row r="1281" spans="1:4">
      <c r="A1281" s="213">
        <v>4946</v>
      </c>
      <c r="B1281" s="213" t="s">
        <v>1498</v>
      </c>
      <c r="C1281" s="213">
        <v>29.95</v>
      </c>
      <c r="D1281">
        <f t="shared" si="19"/>
        <v>613</v>
      </c>
    </row>
    <row r="1282" spans="1:4">
      <c r="A1282" s="213">
        <v>4947</v>
      </c>
      <c r="B1282" s="213" t="s">
        <v>2124</v>
      </c>
      <c r="C1282" s="213">
        <v>204.5</v>
      </c>
      <c r="D1282">
        <f t="shared" ref="D1282:D1345" si="20">RANK(C1282,C:C,0)</f>
        <v>45</v>
      </c>
    </row>
    <row r="1283" spans="1:4">
      <c r="A1283" s="213">
        <v>4950</v>
      </c>
      <c r="B1283" s="213" t="s">
        <v>359</v>
      </c>
      <c r="C1283" s="213">
        <v>17.45</v>
      </c>
      <c r="D1283">
        <f t="shared" si="20"/>
        <v>1006</v>
      </c>
    </row>
    <row r="1284" spans="1:4">
      <c r="A1284" s="213">
        <v>4953</v>
      </c>
      <c r="B1284" s="213" t="s">
        <v>1500</v>
      </c>
      <c r="C1284" s="213">
        <v>20.6</v>
      </c>
      <c r="D1284">
        <f t="shared" si="20"/>
        <v>886</v>
      </c>
    </row>
    <row r="1285" spans="1:4">
      <c r="A1285" s="213">
        <v>4965</v>
      </c>
      <c r="B1285" s="213" t="s">
        <v>360</v>
      </c>
      <c r="C1285" s="213">
        <v>95.8</v>
      </c>
      <c r="D1285">
        <f t="shared" si="20"/>
        <v>144</v>
      </c>
    </row>
    <row r="1286" spans="1:4">
      <c r="A1286" s="213">
        <v>4966</v>
      </c>
      <c r="B1286" s="213" t="s">
        <v>2125</v>
      </c>
      <c r="C1286" s="213">
        <v>343</v>
      </c>
      <c r="D1286">
        <f t="shared" si="20"/>
        <v>18</v>
      </c>
    </row>
    <row r="1287" spans="1:4">
      <c r="A1287" s="213">
        <v>4971</v>
      </c>
      <c r="B1287" s="213" t="s">
        <v>2126</v>
      </c>
      <c r="C1287" s="213">
        <v>77.7</v>
      </c>
      <c r="D1287">
        <f t="shared" si="20"/>
        <v>202</v>
      </c>
    </row>
    <row r="1288" spans="1:4">
      <c r="A1288" s="213">
        <v>4972</v>
      </c>
      <c r="B1288" s="213" t="s">
        <v>2273</v>
      </c>
      <c r="C1288" s="213">
        <v>34.950000000000003</v>
      </c>
      <c r="D1288">
        <f t="shared" si="20"/>
        <v>528</v>
      </c>
    </row>
    <row r="1289" spans="1:4">
      <c r="A1289" s="213">
        <v>4973</v>
      </c>
      <c r="B1289" s="213" t="s">
        <v>1504</v>
      </c>
      <c r="C1289" s="213">
        <v>22.45</v>
      </c>
      <c r="D1289">
        <f t="shared" si="20"/>
        <v>829</v>
      </c>
    </row>
    <row r="1290" spans="1:4">
      <c r="A1290" s="213">
        <v>4974</v>
      </c>
      <c r="B1290" s="213" t="s">
        <v>361</v>
      </c>
      <c r="C1290" s="213">
        <v>32.799999999999997</v>
      </c>
      <c r="D1290">
        <f t="shared" si="20"/>
        <v>560</v>
      </c>
    </row>
    <row r="1291" spans="1:4">
      <c r="A1291" s="213">
        <v>4979</v>
      </c>
      <c r="B1291" s="213" t="s">
        <v>362</v>
      </c>
      <c r="C1291" s="213">
        <v>32.5</v>
      </c>
      <c r="D1291">
        <f t="shared" si="20"/>
        <v>563</v>
      </c>
    </row>
    <row r="1292" spans="1:4">
      <c r="A1292" s="213">
        <v>4987</v>
      </c>
      <c r="B1292" s="213" t="s">
        <v>1505</v>
      </c>
      <c r="C1292" s="213">
        <v>45.35</v>
      </c>
      <c r="D1292">
        <f t="shared" si="20"/>
        <v>390</v>
      </c>
    </row>
    <row r="1293" spans="1:4">
      <c r="A1293" s="213">
        <v>4991</v>
      </c>
      <c r="B1293" s="213" t="s">
        <v>2127</v>
      </c>
      <c r="C1293" s="213">
        <v>66.5</v>
      </c>
      <c r="D1293">
        <f t="shared" si="20"/>
        <v>243</v>
      </c>
    </row>
    <row r="1294" spans="1:4">
      <c r="A1294" s="213">
        <v>4995</v>
      </c>
      <c r="B1294" s="213" t="s">
        <v>1507</v>
      </c>
      <c r="C1294" s="213">
        <v>30.1</v>
      </c>
      <c r="D1294">
        <f t="shared" si="20"/>
        <v>608</v>
      </c>
    </row>
    <row r="1295" spans="1:4">
      <c r="A1295" s="213">
        <v>5009</v>
      </c>
      <c r="B1295" s="213" t="s">
        <v>363</v>
      </c>
      <c r="C1295" s="213">
        <v>17.149999999999999</v>
      </c>
      <c r="D1295">
        <f t="shared" si="20"/>
        <v>1018</v>
      </c>
    </row>
    <row r="1296" spans="1:4">
      <c r="A1296" s="213">
        <v>5011</v>
      </c>
      <c r="B1296" s="213" t="s">
        <v>364</v>
      </c>
      <c r="C1296" s="213">
        <v>18.5</v>
      </c>
      <c r="D1296">
        <f t="shared" si="20"/>
        <v>949</v>
      </c>
    </row>
    <row r="1297" spans="1:4">
      <c r="A1297" s="213">
        <v>5013</v>
      </c>
      <c r="B1297" s="213" t="s">
        <v>1508</v>
      </c>
      <c r="C1297" s="213">
        <v>28.25</v>
      </c>
      <c r="D1297">
        <f t="shared" si="20"/>
        <v>659</v>
      </c>
    </row>
    <row r="1298" spans="1:4">
      <c r="A1298" s="213">
        <v>5014</v>
      </c>
      <c r="B1298" s="213" t="s">
        <v>1509</v>
      </c>
      <c r="C1298" s="213">
        <v>7.17</v>
      </c>
      <c r="D1298">
        <f t="shared" si="20"/>
        <v>1508</v>
      </c>
    </row>
    <row r="1299" spans="1:4">
      <c r="A1299" s="213">
        <v>5015</v>
      </c>
      <c r="B1299" s="213" t="s">
        <v>365</v>
      </c>
      <c r="C1299" s="213">
        <v>24.75</v>
      </c>
      <c r="D1299">
        <f t="shared" si="20"/>
        <v>748</v>
      </c>
    </row>
    <row r="1300" spans="1:4">
      <c r="A1300" s="213">
        <v>5016</v>
      </c>
      <c r="B1300" s="213" t="s">
        <v>1510</v>
      </c>
      <c r="C1300" s="213">
        <v>27</v>
      </c>
      <c r="D1300">
        <f t="shared" si="20"/>
        <v>688</v>
      </c>
    </row>
    <row r="1301" spans="1:4">
      <c r="A1301" s="213">
        <v>5102</v>
      </c>
      <c r="B1301" s="213" t="s">
        <v>366</v>
      </c>
      <c r="C1301" s="213">
        <v>14</v>
      </c>
      <c r="D1301">
        <f t="shared" si="20"/>
        <v>1162</v>
      </c>
    </row>
    <row r="1302" spans="1:4">
      <c r="A1302" s="213">
        <v>5201</v>
      </c>
      <c r="B1302" s="213" t="s">
        <v>1511</v>
      </c>
      <c r="C1302" s="213">
        <v>26.9</v>
      </c>
      <c r="D1302">
        <f t="shared" si="20"/>
        <v>692</v>
      </c>
    </row>
    <row r="1303" spans="1:4">
      <c r="A1303" s="213">
        <v>5202</v>
      </c>
      <c r="B1303" s="213" t="s">
        <v>1512</v>
      </c>
      <c r="C1303" s="213">
        <v>15.7</v>
      </c>
      <c r="D1303">
        <f t="shared" si="20"/>
        <v>1091</v>
      </c>
    </row>
    <row r="1304" spans="1:4">
      <c r="A1304" s="213">
        <v>5205</v>
      </c>
      <c r="B1304" s="213" t="s">
        <v>1513</v>
      </c>
      <c r="C1304" s="213">
        <v>0</v>
      </c>
      <c r="D1304">
        <f t="shared" si="20"/>
        <v>1626</v>
      </c>
    </row>
    <row r="1305" spans="1:4">
      <c r="A1305" s="213">
        <v>5206</v>
      </c>
      <c r="B1305" s="213" t="s">
        <v>367</v>
      </c>
      <c r="C1305" s="213">
        <v>9.6</v>
      </c>
      <c r="D1305">
        <f t="shared" si="20"/>
        <v>1389</v>
      </c>
    </row>
    <row r="1306" spans="1:4">
      <c r="A1306" s="213">
        <v>5209</v>
      </c>
      <c r="B1306" s="213" t="s">
        <v>1514</v>
      </c>
      <c r="C1306" s="213">
        <v>0</v>
      </c>
      <c r="D1306">
        <f t="shared" si="20"/>
        <v>1626</v>
      </c>
    </row>
    <row r="1307" spans="1:4">
      <c r="A1307" s="213">
        <v>5210</v>
      </c>
      <c r="B1307" s="213" t="s">
        <v>368</v>
      </c>
      <c r="C1307" s="213">
        <v>6.78</v>
      </c>
      <c r="D1307">
        <f t="shared" si="20"/>
        <v>1525</v>
      </c>
    </row>
    <row r="1308" spans="1:4">
      <c r="A1308" s="213">
        <v>5211</v>
      </c>
      <c r="B1308" s="213" t="s">
        <v>369</v>
      </c>
      <c r="C1308" s="213">
        <v>20.350000000000001</v>
      </c>
      <c r="D1308">
        <f t="shared" si="20"/>
        <v>893</v>
      </c>
    </row>
    <row r="1309" spans="1:4">
      <c r="A1309" s="213">
        <v>5212</v>
      </c>
      <c r="B1309" s="213" t="s">
        <v>1515</v>
      </c>
      <c r="C1309" s="213">
        <v>16.55</v>
      </c>
      <c r="D1309">
        <f t="shared" si="20"/>
        <v>1053</v>
      </c>
    </row>
    <row r="1310" spans="1:4">
      <c r="A1310" s="213">
        <v>5213</v>
      </c>
      <c r="B1310" s="213" t="s">
        <v>1516</v>
      </c>
      <c r="C1310" s="213">
        <v>13</v>
      </c>
      <c r="D1310">
        <f t="shared" si="20"/>
        <v>1214</v>
      </c>
    </row>
    <row r="1311" spans="1:4">
      <c r="A1311" s="213">
        <v>5227</v>
      </c>
      <c r="B1311" s="213" t="s">
        <v>2128</v>
      </c>
      <c r="C1311" s="213">
        <v>35.1</v>
      </c>
      <c r="D1311">
        <f t="shared" si="20"/>
        <v>525</v>
      </c>
    </row>
    <row r="1312" spans="1:4">
      <c r="A1312" s="213">
        <v>5230</v>
      </c>
      <c r="B1312" s="213" t="s">
        <v>2129</v>
      </c>
      <c r="C1312" s="213">
        <v>38.700000000000003</v>
      </c>
      <c r="D1312">
        <f t="shared" si="20"/>
        <v>472</v>
      </c>
    </row>
    <row r="1313" spans="1:4">
      <c r="A1313" s="213">
        <v>5245</v>
      </c>
      <c r="B1313" s="213" t="s">
        <v>371</v>
      </c>
      <c r="C1313" s="213">
        <v>141</v>
      </c>
      <c r="D1313">
        <f t="shared" si="20"/>
        <v>85</v>
      </c>
    </row>
    <row r="1314" spans="1:4">
      <c r="A1314" s="213">
        <v>5251</v>
      </c>
      <c r="B1314" s="213" t="s">
        <v>372</v>
      </c>
      <c r="C1314" s="213">
        <v>29.1</v>
      </c>
      <c r="D1314">
        <f t="shared" si="20"/>
        <v>636</v>
      </c>
    </row>
    <row r="1315" spans="1:4">
      <c r="A1315" s="213">
        <v>5255</v>
      </c>
      <c r="B1315" s="213" t="s">
        <v>373</v>
      </c>
      <c r="C1315" s="213">
        <v>31.3</v>
      </c>
      <c r="D1315">
        <f t="shared" si="20"/>
        <v>589</v>
      </c>
    </row>
    <row r="1316" spans="1:4">
      <c r="A1316" s="213">
        <v>5263</v>
      </c>
      <c r="B1316" s="213" t="s">
        <v>1518</v>
      </c>
      <c r="C1316" s="213">
        <v>216.5</v>
      </c>
      <c r="D1316">
        <f t="shared" si="20"/>
        <v>39</v>
      </c>
    </row>
    <row r="1317" spans="1:4">
      <c r="A1317" s="213">
        <v>5272</v>
      </c>
      <c r="B1317" s="213" t="s">
        <v>374</v>
      </c>
      <c r="C1317" s="213">
        <v>40.299999999999997</v>
      </c>
      <c r="D1317">
        <f t="shared" si="20"/>
        <v>446</v>
      </c>
    </row>
    <row r="1318" spans="1:4">
      <c r="A1318" s="213">
        <v>5274</v>
      </c>
      <c r="B1318" s="213" t="s">
        <v>1519</v>
      </c>
      <c r="C1318" s="213">
        <v>453</v>
      </c>
      <c r="D1318">
        <f t="shared" si="20"/>
        <v>10</v>
      </c>
    </row>
    <row r="1319" spans="1:4">
      <c r="A1319" s="213">
        <v>5276</v>
      </c>
      <c r="B1319" s="213" t="s">
        <v>2130</v>
      </c>
      <c r="C1319" s="213">
        <v>22.2</v>
      </c>
      <c r="D1319">
        <f t="shared" si="20"/>
        <v>838</v>
      </c>
    </row>
    <row r="1320" spans="1:4">
      <c r="A1320" s="213">
        <v>5278</v>
      </c>
      <c r="B1320" s="213" t="s">
        <v>375</v>
      </c>
      <c r="C1320" s="213">
        <v>28.3</v>
      </c>
      <c r="D1320">
        <f t="shared" si="20"/>
        <v>657</v>
      </c>
    </row>
    <row r="1321" spans="1:4">
      <c r="A1321" s="213">
        <v>5281</v>
      </c>
      <c r="B1321" s="213" t="s">
        <v>2131</v>
      </c>
      <c r="C1321" s="213">
        <v>25.65</v>
      </c>
      <c r="D1321">
        <f t="shared" si="20"/>
        <v>722</v>
      </c>
    </row>
    <row r="1322" spans="1:4">
      <c r="A1322" s="213">
        <v>5284</v>
      </c>
      <c r="B1322" s="213" t="s">
        <v>2132</v>
      </c>
      <c r="C1322" s="213">
        <v>63.9</v>
      </c>
      <c r="D1322">
        <f t="shared" si="20"/>
        <v>256</v>
      </c>
    </row>
    <row r="1323" spans="1:4">
      <c r="A1323" s="213">
        <v>5287</v>
      </c>
      <c r="B1323" s="213" t="s">
        <v>376</v>
      </c>
      <c r="C1323" s="213">
        <v>200</v>
      </c>
      <c r="D1323">
        <f t="shared" si="20"/>
        <v>47</v>
      </c>
    </row>
    <row r="1324" spans="1:4">
      <c r="A1324" s="213">
        <v>5289</v>
      </c>
      <c r="B1324" s="213" t="s">
        <v>1522</v>
      </c>
      <c r="C1324" s="213">
        <v>83.6</v>
      </c>
      <c r="D1324">
        <f t="shared" si="20"/>
        <v>176</v>
      </c>
    </row>
    <row r="1325" spans="1:4">
      <c r="A1325" s="213">
        <v>5291</v>
      </c>
      <c r="B1325" s="213" t="s">
        <v>377</v>
      </c>
      <c r="C1325" s="213">
        <v>13.95</v>
      </c>
      <c r="D1325">
        <f t="shared" si="20"/>
        <v>1166</v>
      </c>
    </row>
    <row r="1326" spans="1:4">
      <c r="A1326" s="213">
        <v>5301</v>
      </c>
      <c r="B1326" s="213" t="s">
        <v>378</v>
      </c>
      <c r="C1326" s="213">
        <v>26.6</v>
      </c>
      <c r="D1326">
        <f t="shared" si="20"/>
        <v>697</v>
      </c>
    </row>
    <row r="1327" spans="1:4">
      <c r="A1327" s="213">
        <v>5302</v>
      </c>
      <c r="B1327" s="213" t="s">
        <v>379</v>
      </c>
      <c r="C1327" s="213">
        <v>5.57</v>
      </c>
      <c r="D1327">
        <f t="shared" si="20"/>
        <v>1563</v>
      </c>
    </row>
    <row r="1328" spans="1:4">
      <c r="A1328" s="213">
        <v>5304</v>
      </c>
      <c r="B1328" s="213" t="s">
        <v>380</v>
      </c>
      <c r="C1328" s="213">
        <v>2.29</v>
      </c>
      <c r="D1328">
        <f t="shared" si="20"/>
        <v>1610</v>
      </c>
    </row>
    <row r="1329" spans="1:4">
      <c r="A1329" s="213">
        <v>5306</v>
      </c>
      <c r="B1329" s="213" t="s">
        <v>1523</v>
      </c>
      <c r="C1329" s="213">
        <v>113</v>
      </c>
      <c r="D1329">
        <f t="shared" si="20"/>
        <v>116</v>
      </c>
    </row>
    <row r="1330" spans="1:4">
      <c r="A1330" s="213">
        <v>5309</v>
      </c>
      <c r="B1330" s="213" t="s">
        <v>1524</v>
      </c>
      <c r="C1330" s="213">
        <v>12.2</v>
      </c>
      <c r="D1330">
        <f t="shared" si="20"/>
        <v>1251</v>
      </c>
    </row>
    <row r="1331" spans="1:4">
      <c r="A1331" s="213">
        <v>5310</v>
      </c>
      <c r="B1331" s="213" t="s">
        <v>1525</v>
      </c>
      <c r="C1331" s="213">
        <v>23.4</v>
      </c>
      <c r="D1331">
        <f t="shared" si="20"/>
        <v>796</v>
      </c>
    </row>
    <row r="1332" spans="1:4">
      <c r="A1332" s="213">
        <v>5312</v>
      </c>
      <c r="B1332" s="213" t="s">
        <v>381</v>
      </c>
      <c r="C1332" s="213">
        <v>73.099999999999994</v>
      </c>
      <c r="D1332">
        <f t="shared" si="20"/>
        <v>215</v>
      </c>
    </row>
    <row r="1333" spans="1:4">
      <c r="A1333" s="213">
        <v>5314</v>
      </c>
      <c r="B1333" s="213" t="s">
        <v>1526</v>
      </c>
      <c r="C1333" s="213">
        <v>5.05</v>
      </c>
      <c r="D1333">
        <f t="shared" si="20"/>
        <v>1574</v>
      </c>
    </row>
    <row r="1334" spans="1:4">
      <c r="A1334" s="213">
        <v>5315</v>
      </c>
      <c r="B1334" s="213" t="s">
        <v>1527</v>
      </c>
      <c r="C1334" s="213">
        <v>28.05</v>
      </c>
      <c r="D1334">
        <f t="shared" si="20"/>
        <v>666</v>
      </c>
    </row>
    <row r="1335" spans="1:4">
      <c r="A1335" s="213">
        <v>5317</v>
      </c>
      <c r="B1335" s="213" t="s">
        <v>382</v>
      </c>
      <c r="C1335" s="213">
        <v>18.05</v>
      </c>
      <c r="D1335">
        <f t="shared" si="20"/>
        <v>970</v>
      </c>
    </row>
    <row r="1336" spans="1:4">
      <c r="A1336" s="213">
        <v>5321</v>
      </c>
      <c r="B1336" s="213" t="s">
        <v>1528</v>
      </c>
      <c r="C1336" s="213">
        <v>38.700000000000003</v>
      </c>
      <c r="D1336">
        <f t="shared" si="20"/>
        <v>472</v>
      </c>
    </row>
    <row r="1337" spans="1:4">
      <c r="A1337" s="213">
        <v>5324</v>
      </c>
      <c r="B1337" s="213" t="s">
        <v>383</v>
      </c>
      <c r="C1337" s="213">
        <v>11.5</v>
      </c>
      <c r="D1337">
        <f t="shared" si="20"/>
        <v>1286</v>
      </c>
    </row>
    <row r="1338" spans="1:4">
      <c r="A1338" s="213">
        <v>5328</v>
      </c>
      <c r="B1338" s="213" t="s">
        <v>1529</v>
      </c>
      <c r="C1338" s="213">
        <v>6.35</v>
      </c>
      <c r="D1338">
        <f t="shared" si="20"/>
        <v>1543</v>
      </c>
    </row>
    <row r="1339" spans="1:4">
      <c r="A1339" s="213">
        <v>5340</v>
      </c>
      <c r="B1339" s="213" t="s">
        <v>1530</v>
      </c>
      <c r="C1339" s="213">
        <v>5.08</v>
      </c>
      <c r="D1339">
        <f t="shared" si="20"/>
        <v>1572</v>
      </c>
    </row>
    <row r="1340" spans="1:4">
      <c r="A1340" s="213">
        <v>5344</v>
      </c>
      <c r="B1340" s="213" t="s">
        <v>1531</v>
      </c>
      <c r="C1340" s="213">
        <v>5.65</v>
      </c>
      <c r="D1340">
        <f t="shared" si="20"/>
        <v>1561</v>
      </c>
    </row>
    <row r="1341" spans="1:4">
      <c r="A1341" s="213">
        <v>5345</v>
      </c>
      <c r="B1341" s="213" t="s">
        <v>384</v>
      </c>
      <c r="C1341" s="213">
        <v>8.4700000000000006</v>
      </c>
      <c r="D1341">
        <f t="shared" si="20"/>
        <v>1447</v>
      </c>
    </row>
    <row r="1342" spans="1:4">
      <c r="A1342" s="213">
        <v>5347</v>
      </c>
      <c r="B1342" s="213" t="s">
        <v>385</v>
      </c>
      <c r="C1342" s="213">
        <v>67.099999999999994</v>
      </c>
      <c r="D1342">
        <f t="shared" si="20"/>
        <v>241</v>
      </c>
    </row>
    <row r="1343" spans="1:4">
      <c r="A1343" s="213">
        <v>5348</v>
      </c>
      <c r="B1343" s="213" t="s">
        <v>1532</v>
      </c>
      <c r="C1343" s="213">
        <v>5.3</v>
      </c>
      <c r="D1343">
        <f t="shared" si="20"/>
        <v>1569</v>
      </c>
    </row>
    <row r="1344" spans="1:4">
      <c r="A1344" s="213">
        <v>5349</v>
      </c>
      <c r="B1344" s="213" t="s">
        <v>1533</v>
      </c>
      <c r="C1344" s="213">
        <v>32</v>
      </c>
      <c r="D1344">
        <f t="shared" si="20"/>
        <v>576</v>
      </c>
    </row>
    <row r="1345" spans="1:4">
      <c r="A1345" s="213">
        <v>5351</v>
      </c>
      <c r="B1345" s="213" t="s">
        <v>1534</v>
      </c>
      <c r="C1345" s="213">
        <v>12.25</v>
      </c>
      <c r="D1345">
        <f t="shared" si="20"/>
        <v>1245</v>
      </c>
    </row>
    <row r="1346" spans="1:4">
      <c r="A1346" s="213">
        <v>5353</v>
      </c>
      <c r="B1346" s="213" t="s">
        <v>1535</v>
      </c>
      <c r="C1346" s="213">
        <v>10.8</v>
      </c>
      <c r="D1346">
        <f t="shared" ref="D1346:D1409" si="21">RANK(C1346,C:C,0)</f>
        <v>1321</v>
      </c>
    </row>
    <row r="1347" spans="1:4">
      <c r="A1347" s="213">
        <v>5355</v>
      </c>
      <c r="B1347" s="213" t="s">
        <v>386</v>
      </c>
      <c r="C1347" s="213">
        <v>6.55</v>
      </c>
      <c r="D1347">
        <f t="shared" si="21"/>
        <v>1534</v>
      </c>
    </row>
    <row r="1348" spans="1:4">
      <c r="A1348" s="213">
        <v>5356</v>
      </c>
      <c r="B1348" s="213" t="s">
        <v>1536</v>
      </c>
      <c r="C1348" s="213">
        <v>40</v>
      </c>
      <c r="D1348">
        <f t="shared" si="21"/>
        <v>449</v>
      </c>
    </row>
    <row r="1349" spans="1:4">
      <c r="A1349" s="213">
        <v>5364</v>
      </c>
      <c r="B1349" s="213" t="s">
        <v>387</v>
      </c>
      <c r="C1349" s="213">
        <v>22</v>
      </c>
      <c r="D1349">
        <f t="shared" si="21"/>
        <v>846</v>
      </c>
    </row>
    <row r="1350" spans="1:4">
      <c r="A1350" s="213">
        <v>5371</v>
      </c>
      <c r="B1350" s="213" t="s">
        <v>388</v>
      </c>
      <c r="C1350" s="213">
        <v>32.85</v>
      </c>
      <c r="D1350">
        <f t="shared" si="21"/>
        <v>558</v>
      </c>
    </row>
    <row r="1351" spans="1:4">
      <c r="A1351" s="213">
        <v>5381</v>
      </c>
      <c r="B1351" s="213" t="s">
        <v>1537</v>
      </c>
      <c r="C1351" s="213">
        <v>1.81</v>
      </c>
      <c r="D1351">
        <f t="shared" si="21"/>
        <v>1618</v>
      </c>
    </row>
    <row r="1352" spans="1:4">
      <c r="A1352" s="213">
        <v>5383</v>
      </c>
      <c r="B1352" s="213" t="s">
        <v>1538</v>
      </c>
      <c r="C1352" s="213">
        <v>8.52</v>
      </c>
      <c r="D1352">
        <f t="shared" si="21"/>
        <v>1446</v>
      </c>
    </row>
    <row r="1353" spans="1:4">
      <c r="A1353" s="213">
        <v>5384</v>
      </c>
      <c r="B1353" s="213" t="s">
        <v>389</v>
      </c>
      <c r="C1353" s="213">
        <v>11.85</v>
      </c>
      <c r="D1353">
        <f t="shared" si="21"/>
        <v>1267</v>
      </c>
    </row>
    <row r="1354" spans="1:4">
      <c r="A1354" s="213">
        <v>5386</v>
      </c>
      <c r="B1354" s="213" t="s">
        <v>1539</v>
      </c>
      <c r="C1354" s="213">
        <v>26</v>
      </c>
      <c r="D1354">
        <f t="shared" si="21"/>
        <v>712</v>
      </c>
    </row>
    <row r="1355" spans="1:4">
      <c r="A1355" s="213">
        <v>5392</v>
      </c>
      <c r="B1355" s="213" t="s">
        <v>1540</v>
      </c>
      <c r="C1355" s="213">
        <v>50.1</v>
      </c>
      <c r="D1355">
        <f t="shared" si="21"/>
        <v>339</v>
      </c>
    </row>
    <row r="1356" spans="1:4">
      <c r="A1356" s="213">
        <v>5398</v>
      </c>
      <c r="B1356" s="213" t="s">
        <v>390</v>
      </c>
      <c r="C1356" s="213">
        <v>48.3</v>
      </c>
      <c r="D1356">
        <f t="shared" si="21"/>
        <v>357</v>
      </c>
    </row>
    <row r="1357" spans="1:4">
      <c r="A1357" s="213">
        <v>5403</v>
      </c>
      <c r="B1357" s="213" t="s">
        <v>1724</v>
      </c>
      <c r="C1357" s="213">
        <v>30</v>
      </c>
      <c r="D1357">
        <f t="shared" si="21"/>
        <v>609</v>
      </c>
    </row>
    <row r="1358" spans="1:4">
      <c r="A1358" s="213">
        <v>5410</v>
      </c>
      <c r="B1358" s="213" t="s">
        <v>1542</v>
      </c>
      <c r="C1358" s="213">
        <v>13.25</v>
      </c>
      <c r="D1358">
        <f t="shared" si="21"/>
        <v>1198</v>
      </c>
    </row>
    <row r="1359" spans="1:4">
      <c r="A1359" s="213">
        <v>5425</v>
      </c>
      <c r="B1359" s="213" t="s">
        <v>391</v>
      </c>
      <c r="C1359" s="213">
        <v>36.5</v>
      </c>
      <c r="D1359">
        <f t="shared" si="21"/>
        <v>506</v>
      </c>
    </row>
    <row r="1360" spans="1:4">
      <c r="A1360" s="213">
        <v>5426</v>
      </c>
      <c r="B1360" s="213" t="s">
        <v>392</v>
      </c>
      <c r="C1360" s="213">
        <v>12.95</v>
      </c>
      <c r="D1360">
        <f t="shared" si="21"/>
        <v>1215</v>
      </c>
    </row>
    <row r="1361" spans="1:4">
      <c r="A1361" s="213">
        <v>5432</v>
      </c>
      <c r="B1361" s="213" t="s">
        <v>1543</v>
      </c>
      <c r="C1361" s="213">
        <v>15.1</v>
      </c>
      <c r="D1361">
        <f t="shared" si="21"/>
        <v>1119</v>
      </c>
    </row>
    <row r="1362" spans="1:4">
      <c r="A1362" s="213">
        <v>5438</v>
      </c>
      <c r="B1362" s="213" t="s">
        <v>1544</v>
      </c>
      <c r="C1362" s="213">
        <v>11.8</v>
      </c>
      <c r="D1362">
        <f t="shared" si="21"/>
        <v>1269</v>
      </c>
    </row>
    <row r="1363" spans="1:4">
      <c r="A1363" s="213">
        <v>5439</v>
      </c>
      <c r="B1363" s="213" t="s">
        <v>393</v>
      </c>
      <c r="C1363" s="213">
        <v>28.1</v>
      </c>
      <c r="D1363">
        <f t="shared" si="21"/>
        <v>665</v>
      </c>
    </row>
    <row r="1364" spans="1:4">
      <c r="A1364" s="213">
        <v>5443</v>
      </c>
      <c r="B1364" s="213" t="s">
        <v>1545</v>
      </c>
      <c r="C1364" s="213">
        <v>20.25</v>
      </c>
      <c r="D1364">
        <f t="shared" si="21"/>
        <v>895</v>
      </c>
    </row>
    <row r="1365" spans="1:4">
      <c r="A1365" s="213">
        <v>5450</v>
      </c>
      <c r="B1365" s="213" t="s">
        <v>394</v>
      </c>
      <c r="C1365" s="213">
        <v>0</v>
      </c>
      <c r="D1365">
        <f t="shared" si="21"/>
        <v>1626</v>
      </c>
    </row>
    <row r="1366" spans="1:4">
      <c r="A1366" s="213">
        <v>5452</v>
      </c>
      <c r="B1366" s="213" t="s">
        <v>395</v>
      </c>
      <c r="C1366" s="213">
        <v>9.5399999999999991</v>
      </c>
      <c r="D1366">
        <f t="shared" si="21"/>
        <v>1391</v>
      </c>
    </row>
    <row r="1367" spans="1:4">
      <c r="A1367" s="213">
        <v>5455</v>
      </c>
      <c r="B1367" s="213" t="s">
        <v>396</v>
      </c>
      <c r="C1367" s="213">
        <v>0</v>
      </c>
      <c r="D1367">
        <f t="shared" si="21"/>
        <v>1626</v>
      </c>
    </row>
    <row r="1368" spans="1:4">
      <c r="A1368" s="213">
        <v>5457</v>
      </c>
      <c r="B1368" s="213" t="s">
        <v>397</v>
      </c>
      <c r="C1368" s="213">
        <v>24</v>
      </c>
      <c r="D1368">
        <f t="shared" si="21"/>
        <v>767</v>
      </c>
    </row>
    <row r="1369" spans="1:4">
      <c r="A1369" s="213">
        <v>5460</v>
      </c>
      <c r="B1369" s="213" t="s">
        <v>1546</v>
      </c>
      <c r="C1369" s="213">
        <v>11.75</v>
      </c>
      <c r="D1369">
        <f t="shared" si="21"/>
        <v>1273</v>
      </c>
    </row>
    <row r="1370" spans="1:4">
      <c r="A1370" s="213">
        <v>5464</v>
      </c>
      <c r="B1370" s="213" t="s">
        <v>1547</v>
      </c>
      <c r="C1370" s="213">
        <v>16.399999999999999</v>
      </c>
      <c r="D1370">
        <f t="shared" si="21"/>
        <v>1065</v>
      </c>
    </row>
    <row r="1371" spans="1:4">
      <c r="A1371" s="213">
        <v>5465</v>
      </c>
      <c r="B1371" s="213" t="s">
        <v>398</v>
      </c>
      <c r="C1371" s="213">
        <v>14.85</v>
      </c>
      <c r="D1371">
        <f t="shared" si="21"/>
        <v>1129</v>
      </c>
    </row>
    <row r="1372" spans="1:4">
      <c r="A1372" s="213">
        <v>5468</v>
      </c>
      <c r="B1372" s="213" t="s">
        <v>399</v>
      </c>
      <c r="C1372" s="213">
        <v>0</v>
      </c>
      <c r="D1372">
        <f t="shared" si="21"/>
        <v>1626</v>
      </c>
    </row>
    <row r="1373" spans="1:4">
      <c r="A1373" s="213">
        <v>5474</v>
      </c>
      <c r="B1373" s="213" t="s">
        <v>1548</v>
      </c>
      <c r="C1373" s="213">
        <v>70.8</v>
      </c>
      <c r="D1373">
        <f t="shared" si="21"/>
        <v>226</v>
      </c>
    </row>
    <row r="1374" spans="1:4">
      <c r="A1374" s="213">
        <v>5475</v>
      </c>
      <c r="B1374" s="213" t="s">
        <v>1549</v>
      </c>
      <c r="C1374" s="213">
        <v>3.87</v>
      </c>
      <c r="D1374">
        <f t="shared" si="21"/>
        <v>1593</v>
      </c>
    </row>
    <row r="1375" spans="1:4">
      <c r="A1375" s="213">
        <v>5478</v>
      </c>
      <c r="B1375" s="213" t="s">
        <v>400</v>
      </c>
      <c r="C1375" s="213">
        <v>62.8</v>
      </c>
      <c r="D1375">
        <f t="shared" si="21"/>
        <v>260</v>
      </c>
    </row>
    <row r="1376" spans="1:4">
      <c r="A1376" s="213">
        <v>5480</v>
      </c>
      <c r="B1376" s="213" t="s">
        <v>1550</v>
      </c>
      <c r="C1376" s="213">
        <v>11.95</v>
      </c>
      <c r="D1376">
        <f t="shared" si="21"/>
        <v>1261</v>
      </c>
    </row>
    <row r="1377" spans="1:4">
      <c r="A1377" s="213">
        <v>5481</v>
      </c>
      <c r="B1377" s="213" t="s">
        <v>1551</v>
      </c>
      <c r="C1377" s="213">
        <v>17.2</v>
      </c>
      <c r="D1377">
        <f t="shared" si="21"/>
        <v>1015</v>
      </c>
    </row>
    <row r="1378" spans="1:4">
      <c r="A1378" s="213">
        <v>5483</v>
      </c>
      <c r="B1378" s="213" t="s">
        <v>1552</v>
      </c>
      <c r="C1378" s="213">
        <v>33.799999999999997</v>
      </c>
      <c r="D1378">
        <f t="shared" si="21"/>
        <v>544</v>
      </c>
    </row>
    <row r="1379" spans="1:4">
      <c r="A1379" s="213">
        <v>5487</v>
      </c>
      <c r="B1379" s="213" t="s">
        <v>401</v>
      </c>
      <c r="C1379" s="213">
        <v>24.8</v>
      </c>
      <c r="D1379">
        <f t="shared" si="21"/>
        <v>745</v>
      </c>
    </row>
    <row r="1380" spans="1:4">
      <c r="A1380" s="213">
        <v>5488</v>
      </c>
      <c r="B1380" s="213" t="s">
        <v>1553</v>
      </c>
      <c r="C1380" s="213">
        <v>6.68</v>
      </c>
      <c r="D1380">
        <f t="shared" si="21"/>
        <v>1528</v>
      </c>
    </row>
    <row r="1381" spans="1:4">
      <c r="A1381" s="213">
        <v>5489</v>
      </c>
      <c r="B1381" s="213" t="s">
        <v>1554</v>
      </c>
      <c r="C1381" s="213">
        <v>42</v>
      </c>
      <c r="D1381">
        <f t="shared" si="21"/>
        <v>423</v>
      </c>
    </row>
    <row r="1382" spans="1:4">
      <c r="A1382" s="213">
        <v>5490</v>
      </c>
      <c r="B1382" s="213" t="s">
        <v>402</v>
      </c>
      <c r="C1382" s="213">
        <v>43.9</v>
      </c>
      <c r="D1382">
        <f t="shared" si="21"/>
        <v>405</v>
      </c>
    </row>
    <row r="1383" spans="1:4">
      <c r="A1383" s="213">
        <v>5491</v>
      </c>
      <c r="B1383" s="213" t="s">
        <v>1555</v>
      </c>
      <c r="C1383" s="213">
        <v>8.6</v>
      </c>
      <c r="D1383">
        <f t="shared" si="21"/>
        <v>1443</v>
      </c>
    </row>
    <row r="1384" spans="1:4">
      <c r="A1384" s="213">
        <v>5493</v>
      </c>
      <c r="B1384" s="213" t="s">
        <v>1556</v>
      </c>
      <c r="C1384" s="213">
        <v>30.4</v>
      </c>
      <c r="D1384">
        <f t="shared" si="21"/>
        <v>605</v>
      </c>
    </row>
    <row r="1385" spans="1:4">
      <c r="A1385" s="213">
        <v>5498</v>
      </c>
      <c r="B1385" s="213" t="s">
        <v>1557</v>
      </c>
      <c r="C1385" s="213">
        <v>9.85</v>
      </c>
      <c r="D1385">
        <f t="shared" si="21"/>
        <v>1383</v>
      </c>
    </row>
    <row r="1386" spans="1:4">
      <c r="A1386" s="213">
        <v>5508</v>
      </c>
      <c r="B1386" s="213" t="s">
        <v>1558</v>
      </c>
      <c r="C1386" s="213">
        <v>24.95</v>
      </c>
      <c r="D1386">
        <f t="shared" si="21"/>
        <v>739</v>
      </c>
    </row>
    <row r="1387" spans="1:4">
      <c r="A1387" s="213">
        <v>5511</v>
      </c>
      <c r="B1387" s="213" t="s">
        <v>1559</v>
      </c>
      <c r="C1387" s="213">
        <v>22.3</v>
      </c>
      <c r="D1387">
        <f t="shared" si="21"/>
        <v>834</v>
      </c>
    </row>
    <row r="1388" spans="1:4">
      <c r="A1388" s="213">
        <v>5512</v>
      </c>
      <c r="B1388" s="213" t="s">
        <v>403</v>
      </c>
      <c r="C1388" s="213">
        <v>8.73</v>
      </c>
      <c r="D1388">
        <f t="shared" si="21"/>
        <v>1438</v>
      </c>
    </row>
    <row r="1389" spans="1:4">
      <c r="A1389" s="213">
        <v>5514</v>
      </c>
      <c r="B1389" s="213" t="s">
        <v>1560</v>
      </c>
      <c r="C1389" s="213">
        <v>9.25</v>
      </c>
      <c r="D1389">
        <f t="shared" si="21"/>
        <v>1408</v>
      </c>
    </row>
    <row r="1390" spans="1:4">
      <c r="A1390" s="213">
        <v>5516</v>
      </c>
      <c r="B1390" s="213" t="s">
        <v>1561</v>
      </c>
      <c r="C1390" s="213">
        <v>8.91</v>
      </c>
      <c r="D1390">
        <f t="shared" si="21"/>
        <v>1431</v>
      </c>
    </row>
    <row r="1391" spans="1:4">
      <c r="A1391" s="213">
        <v>5520</v>
      </c>
      <c r="B1391" s="213" t="s">
        <v>1562</v>
      </c>
      <c r="C1391" s="213">
        <v>27.1</v>
      </c>
      <c r="D1391">
        <f t="shared" si="21"/>
        <v>684</v>
      </c>
    </row>
    <row r="1392" spans="1:4">
      <c r="A1392" s="213">
        <v>5523</v>
      </c>
      <c r="B1392" s="213" t="s">
        <v>404</v>
      </c>
      <c r="C1392" s="213">
        <v>7.1</v>
      </c>
      <c r="D1392">
        <f t="shared" si="21"/>
        <v>1509</v>
      </c>
    </row>
    <row r="1393" spans="1:4">
      <c r="A1393" s="213">
        <v>5529</v>
      </c>
      <c r="B1393" s="213" t="s">
        <v>1563</v>
      </c>
      <c r="C1393" s="213">
        <v>8.7799999999999994</v>
      </c>
      <c r="D1393">
        <f t="shared" si="21"/>
        <v>1435</v>
      </c>
    </row>
    <row r="1394" spans="1:4">
      <c r="A1394" s="213">
        <v>5530</v>
      </c>
      <c r="B1394" s="213" t="s">
        <v>1564</v>
      </c>
      <c r="C1394" s="213">
        <v>53.5</v>
      </c>
      <c r="D1394">
        <f t="shared" si="21"/>
        <v>308</v>
      </c>
    </row>
    <row r="1395" spans="1:4">
      <c r="A1395" s="213">
        <v>5536</v>
      </c>
      <c r="B1395" s="213" t="s">
        <v>405</v>
      </c>
      <c r="C1395" s="213">
        <v>85</v>
      </c>
      <c r="D1395">
        <f t="shared" si="21"/>
        <v>169</v>
      </c>
    </row>
    <row r="1396" spans="1:4">
      <c r="A1396" s="213">
        <v>5543</v>
      </c>
      <c r="B1396" s="213" t="s">
        <v>2133</v>
      </c>
      <c r="C1396" s="213">
        <v>28.8</v>
      </c>
      <c r="D1396">
        <f t="shared" si="21"/>
        <v>648</v>
      </c>
    </row>
    <row r="1397" spans="1:4">
      <c r="A1397" s="213">
        <v>5601</v>
      </c>
      <c r="B1397" s="213" t="s">
        <v>1565</v>
      </c>
      <c r="C1397" s="213">
        <v>24</v>
      </c>
      <c r="D1397">
        <f t="shared" si="21"/>
        <v>767</v>
      </c>
    </row>
    <row r="1398" spans="1:4">
      <c r="A1398" s="213">
        <v>5603</v>
      </c>
      <c r="B1398" s="213" t="s">
        <v>406</v>
      </c>
      <c r="C1398" s="213">
        <v>13.15</v>
      </c>
      <c r="D1398">
        <f t="shared" si="21"/>
        <v>1203</v>
      </c>
    </row>
    <row r="1399" spans="1:4">
      <c r="A1399" s="213">
        <v>5604</v>
      </c>
      <c r="B1399" s="213" t="s">
        <v>1566</v>
      </c>
      <c r="C1399" s="213">
        <v>31.6</v>
      </c>
      <c r="D1399">
        <f t="shared" si="21"/>
        <v>584</v>
      </c>
    </row>
    <row r="1400" spans="1:4">
      <c r="A1400" s="213">
        <v>5609</v>
      </c>
      <c r="B1400" s="213" t="s">
        <v>407</v>
      </c>
      <c r="C1400" s="213">
        <v>21.2</v>
      </c>
      <c r="D1400">
        <f t="shared" si="21"/>
        <v>869</v>
      </c>
    </row>
    <row r="1401" spans="1:4">
      <c r="A1401" s="213">
        <v>5701</v>
      </c>
      <c r="B1401" s="213" t="s">
        <v>1567</v>
      </c>
      <c r="C1401" s="213">
        <v>2.71</v>
      </c>
      <c r="D1401">
        <f t="shared" si="21"/>
        <v>1605</v>
      </c>
    </row>
    <row r="1402" spans="1:4">
      <c r="A1402" s="213">
        <v>5703</v>
      </c>
      <c r="B1402" s="213" t="s">
        <v>1568</v>
      </c>
      <c r="C1402" s="213">
        <v>24.05</v>
      </c>
      <c r="D1402">
        <f t="shared" si="21"/>
        <v>766</v>
      </c>
    </row>
    <row r="1403" spans="1:4">
      <c r="A1403" s="213">
        <v>5704</v>
      </c>
      <c r="B1403" s="213" t="s">
        <v>1569</v>
      </c>
      <c r="C1403" s="213">
        <v>26.35</v>
      </c>
      <c r="D1403">
        <f t="shared" si="21"/>
        <v>700</v>
      </c>
    </row>
    <row r="1404" spans="1:4">
      <c r="A1404" s="213">
        <v>5820</v>
      </c>
      <c r="B1404" s="213" t="s">
        <v>1570</v>
      </c>
      <c r="C1404" s="213">
        <v>6.57</v>
      </c>
      <c r="D1404">
        <f t="shared" si="21"/>
        <v>1533</v>
      </c>
    </row>
    <row r="1405" spans="1:4">
      <c r="A1405" s="213">
        <v>5878</v>
      </c>
      <c r="B1405" s="213" t="s">
        <v>408</v>
      </c>
      <c r="C1405" s="213">
        <v>42.8</v>
      </c>
      <c r="D1405">
        <f t="shared" si="21"/>
        <v>414</v>
      </c>
    </row>
    <row r="1406" spans="1:4">
      <c r="A1406" s="213">
        <v>5902</v>
      </c>
      <c r="B1406" s="213" t="s">
        <v>409</v>
      </c>
      <c r="C1406" s="213">
        <v>12.75</v>
      </c>
      <c r="D1406">
        <f t="shared" si="21"/>
        <v>1227</v>
      </c>
    </row>
    <row r="1407" spans="1:4">
      <c r="A1407" s="213">
        <v>5903</v>
      </c>
      <c r="B1407" s="213" t="s">
        <v>1571</v>
      </c>
      <c r="C1407" s="213">
        <v>0</v>
      </c>
      <c r="D1407">
        <f t="shared" si="21"/>
        <v>1626</v>
      </c>
    </row>
    <row r="1408" spans="1:4">
      <c r="A1408" s="213">
        <v>5904</v>
      </c>
      <c r="B1408" s="213" t="s">
        <v>410</v>
      </c>
      <c r="C1408" s="213">
        <v>469.5</v>
      </c>
      <c r="D1408">
        <f t="shared" si="21"/>
        <v>8</v>
      </c>
    </row>
    <row r="1409" spans="1:4">
      <c r="A1409" s="213">
        <v>5905</v>
      </c>
      <c r="B1409" s="213" t="s">
        <v>1572</v>
      </c>
      <c r="C1409" s="213">
        <v>7.64</v>
      </c>
      <c r="D1409">
        <f t="shared" si="21"/>
        <v>1487</v>
      </c>
    </row>
    <row r="1410" spans="1:4">
      <c r="A1410" s="213">
        <v>6015</v>
      </c>
      <c r="B1410" s="213" t="s">
        <v>1573</v>
      </c>
      <c r="C1410" s="213">
        <v>5.67</v>
      </c>
      <c r="D1410">
        <f t="shared" ref="D1410:D1473" si="22">RANK(C1410,C:C,0)</f>
        <v>1560</v>
      </c>
    </row>
    <row r="1411" spans="1:4">
      <c r="A1411" s="213">
        <v>6016</v>
      </c>
      <c r="B1411" s="213" t="s">
        <v>1574</v>
      </c>
      <c r="C1411" s="213">
        <v>5.93</v>
      </c>
      <c r="D1411">
        <f t="shared" si="22"/>
        <v>1558</v>
      </c>
    </row>
    <row r="1412" spans="1:4">
      <c r="A1412" s="213">
        <v>6020</v>
      </c>
      <c r="B1412" s="213" t="s">
        <v>411</v>
      </c>
      <c r="C1412" s="213">
        <v>11.8</v>
      </c>
      <c r="D1412">
        <f t="shared" si="22"/>
        <v>1269</v>
      </c>
    </row>
    <row r="1413" spans="1:4">
      <c r="A1413" s="213">
        <v>6021</v>
      </c>
      <c r="B1413" s="213" t="s">
        <v>412</v>
      </c>
      <c r="C1413" s="213">
        <v>7.89</v>
      </c>
      <c r="D1413">
        <f t="shared" si="22"/>
        <v>1476</v>
      </c>
    </row>
    <row r="1414" spans="1:4">
      <c r="A1414" s="213">
        <v>6022</v>
      </c>
      <c r="B1414" s="213" t="s">
        <v>1575</v>
      </c>
      <c r="C1414" s="213">
        <v>7.76</v>
      </c>
      <c r="D1414">
        <f t="shared" si="22"/>
        <v>1483</v>
      </c>
    </row>
    <row r="1415" spans="1:4">
      <c r="A1415" s="213">
        <v>6023</v>
      </c>
      <c r="B1415" s="213" t="s">
        <v>1576</v>
      </c>
      <c r="C1415" s="213">
        <v>36.700000000000003</v>
      </c>
      <c r="D1415">
        <f t="shared" si="22"/>
        <v>500</v>
      </c>
    </row>
    <row r="1416" spans="1:4">
      <c r="A1416" s="213">
        <v>6024</v>
      </c>
      <c r="B1416" s="213" t="s">
        <v>413</v>
      </c>
      <c r="C1416" s="213">
        <v>36.85</v>
      </c>
      <c r="D1416">
        <f t="shared" si="22"/>
        <v>498</v>
      </c>
    </row>
    <row r="1417" spans="1:4">
      <c r="A1417" s="213">
        <v>6026</v>
      </c>
      <c r="B1417" s="213" t="s">
        <v>1813</v>
      </c>
      <c r="C1417" s="213">
        <v>7.48</v>
      </c>
      <c r="D1417">
        <f t="shared" si="22"/>
        <v>1492</v>
      </c>
    </row>
    <row r="1418" spans="1:4">
      <c r="A1418" s="213">
        <v>6101</v>
      </c>
      <c r="B1418" s="213" t="s">
        <v>1577</v>
      </c>
      <c r="C1418" s="213">
        <v>15.35</v>
      </c>
      <c r="D1418">
        <f t="shared" si="22"/>
        <v>1105</v>
      </c>
    </row>
    <row r="1419" spans="1:4">
      <c r="A1419" s="213">
        <v>6103</v>
      </c>
      <c r="B1419" s="213" t="s">
        <v>1578</v>
      </c>
      <c r="C1419" s="213">
        <v>0</v>
      </c>
      <c r="D1419">
        <f t="shared" si="22"/>
        <v>1626</v>
      </c>
    </row>
    <row r="1420" spans="1:4">
      <c r="A1420" s="213">
        <v>6104</v>
      </c>
      <c r="B1420" s="213" t="s">
        <v>1579</v>
      </c>
      <c r="C1420" s="213">
        <v>39.799999999999997</v>
      </c>
      <c r="D1420">
        <f t="shared" si="22"/>
        <v>455</v>
      </c>
    </row>
    <row r="1421" spans="1:4">
      <c r="A1421" s="213">
        <v>6105</v>
      </c>
      <c r="B1421" s="213" t="s">
        <v>1580</v>
      </c>
      <c r="C1421" s="213">
        <v>42.65</v>
      </c>
      <c r="D1421">
        <f t="shared" si="22"/>
        <v>418</v>
      </c>
    </row>
    <row r="1422" spans="1:4">
      <c r="A1422" s="213">
        <v>6107</v>
      </c>
      <c r="B1422" s="213" t="s">
        <v>1581</v>
      </c>
      <c r="C1422" s="213">
        <v>69.099999999999994</v>
      </c>
      <c r="D1422">
        <f t="shared" si="22"/>
        <v>232</v>
      </c>
    </row>
    <row r="1423" spans="1:4">
      <c r="A1423" s="213">
        <v>6109</v>
      </c>
      <c r="B1423" s="213" t="s">
        <v>1582</v>
      </c>
      <c r="C1423" s="213">
        <v>12.25</v>
      </c>
      <c r="D1423">
        <f t="shared" si="22"/>
        <v>1245</v>
      </c>
    </row>
    <row r="1424" spans="1:4">
      <c r="A1424" s="213">
        <v>6111</v>
      </c>
      <c r="B1424" s="213" t="s">
        <v>1583</v>
      </c>
      <c r="C1424" s="213">
        <v>125</v>
      </c>
      <c r="D1424">
        <f t="shared" si="22"/>
        <v>102</v>
      </c>
    </row>
    <row r="1425" spans="1:4">
      <c r="A1425" s="213">
        <v>6113</v>
      </c>
      <c r="B1425" s="213" t="s">
        <v>1584</v>
      </c>
      <c r="C1425" s="213">
        <v>8.8000000000000007</v>
      </c>
      <c r="D1425">
        <f t="shared" si="22"/>
        <v>1434</v>
      </c>
    </row>
    <row r="1426" spans="1:4">
      <c r="A1426" s="213">
        <v>6114</v>
      </c>
      <c r="B1426" s="213" t="s">
        <v>1585</v>
      </c>
      <c r="C1426" s="213">
        <v>67.5</v>
      </c>
      <c r="D1426">
        <f t="shared" si="22"/>
        <v>237</v>
      </c>
    </row>
    <row r="1427" spans="1:4">
      <c r="A1427" s="213">
        <v>6118</v>
      </c>
      <c r="B1427" s="213" t="s">
        <v>1586</v>
      </c>
      <c r="C1427" s="213">
        <v>6.6</v>
      </c>
      <c r="D1427">
        <f t="shared" si="22"/>
        <v>1530</v>
      </c>
    </row>
    <row r="1428" spans="1:4">
      <c r="A1428" s="213">
        <v>6121</v>
      </c>
      <c r="B1428" s="213" t="s">
        <v>414</v>
      </c>
      <c r="C1428" s="213">
        <v>99</v>
      </c>
      <c r="D1428">
        <f t="shared" si="22"/>
        <v>135</v>
      </c>
    </row>
    <row r="1429" spans="1:4">
      <c r="A1429" s="213">
        <v>6122</v>
      </c>
      <c r="B1429" s="213" t="s">
        <v>1587</v>
      </c>
      <c r="C1429" s="213">
        <v>8.0500000000000007</v>
      </c>
      <c r="D1429">
        <f t="shared" si="22"/>
        <v>1463</v>
      </c>
    </row>
    <row r="1430" spans="1:4">
      <c r="A1430" s="213">
        <v>6123</v>
      </c>
      <c r="B1430" s="213" t="s">
        <v>1588</v>
      </c>
      <c r="C1430" s="213">
        <v>32.200000000000003</v>
      </c>
      <c r="D1430">
        <f t="shared" si="22"/>
        <v>572</v>
      </c>
    </row>
    <row r="1431" spans="1:4">
      <c r="A1431" s="213">
        <v>6124</v>
      </c>
      <c r="B1431" s="213" t="s">
        <v>1589</v>
      </c>
      <c r="C1431" s="213">
        <v>31.8</v>
      </c>
      <c r="D1431">
        <f t="shared" si="22"/>
        <v>580</v>
      </c>
    </row>
    <row r="1432" spans="1:4">
      <c r="A1432" s="213">
        <v>6125</v>
      </c>
      <c r="B1432" s="213" t="s">
        <v>415</v>
      </c>
      <c r="C1432" s="213">
        <v>11.7</v>
      </c>
      <c r="D1432">
        <f t="shared" si="22"/>
        <v>1276</v>
      </c>
    </row>
    <row r="1433" spans="1:4">
      <c r="A1433" s="213">
        <v>6126</v>
      </c>
      <c r="B1433" s="213" t="s">
        <v>1590</v>
      </c>
      <c r="C1433" s="213">
        <v>11.2</v>
      </c>
      <c r="D1433">
        <f t="shared" si="22"/>
        <v>1297</v>
      </c>
    </row>
    <row r="1434" spans="1:4">
      <c r="A1434" s="213">
        <v>6127</v>
      </c>
      <c r="B1434" s="213" t="s">
        <v>1591</v>
      </c>
      <c r="C1434" s="213">
        <v>12</v>
      </c>
      <c r="D1434">
        <f t="shared" si="22"/>
        <v>1258</v>
      </c>
    </row>
    <row r="1435" spans="1:4">
      <c r="A1435" s="213">
        <v>6129</v>
      </c>
      <c r="B1435" s="213" t="s">
        <v>1592</v>
      </c>
      <c r="C1435" s="213">
        <v>8.85</v>
      </c>
      <c r="D1435">
        <f t="shared" si="22"/>
        <v>1432</v>
      </c>
    </row>
    <row r="1436" spans="1:4">
      <c r="A1436" s="213">
        <v>6130</v>
      </c>
      <c r="B1436" s="213" t="s">
        <v>416</v>
      </c>
      <c r="C1436" s="213">
        <v>22.75</v>
      </c>
      <c r="D1436">
        <f t="shared" si="22"/>
        <v>816</v>
      </c>
    </row>
    <row r="1437" spans="1:4">
      <c r="A1437" s="213">
        <v>6134</v>
      </c>
      <c r="B1437" s="213" t="s">
        <v>1593</v>
      </c>
      <c r="C1437" s="213">
        <v>9.9600000000000009</v>
      </c>
      <c r="D1437">
        <f t="shared" si="22"/>
        <v>1371</v>
      </c>
    </row>
    <row r="1438" spans="1:4">
      <c r="A1438" s="213">
        <v>6138</v>
      </c>
      <c r="B1438" s="213" t="s">
        <v>1594</v>
      </c>
      <c r="C1438" s="213">
        <v>28.9</v>
      </c>
      <c r="D1438">
        <f t="shared" si="22"/>
        <v>644</v>
      </c>
    </row>
    <row r="1439" spans="1:4">
      <c r="A1439" s="213">
        <v>6140</v>
      </c>
      <c r="B1439" s="213" t="s">
        <v>1595</v>
      </c>
      <c r="C1439" s="213">
        <v>11.15</v>
      </c>
      <c r="D1439">
        <f t="shared" si="22"/>
        <v>1299</v>
      </c>
    </row>
    <row r="1440" spans="1:4">
      <c r="A1440" s="213">
        <v>6143</v>
      </c>
      <c r="B1440" s="213" t="s">
        <v>1596</v>
      </c>
      <c r="C1440" s="213">
        <v>62.4</v>
      </c>
      <c r="D1440">
        <f t="shared" si="22"/>
        <v>264</v>
      </c>
    </row>
    <row r="1441" spans="1:4">
      <c r="A1441" s="213">
        <v>6144</v>
      </c>
      <c r="B1441" s="213" t="s">
        <v>1597</v>
      </c>
      <c r="C1441" s="213">
        <v>0</v>
      </c>
      <c r="D1441">
        <f t="shared" si="22"/>
        <v>1626</v>
      </c>
    </row>
    <row r="1442" spans="1:4">
      <c r="A1442" s="213">
        <v>6146</v>
      </c>
      <c r="B1442" s="213" t="s">
        <v>417</v>
      </c>
      <c r="C1442" s="213">
        <v>158</v>
      </c>
      <c r="D1442">
        <f t="shared" si="22"/>
        <v>73</v>
      </c>
    </row>
    <row r="1443" spans="1:4">
      <c r="A1443" s="213">
        <v>6147</v>
      </c>
      <c r="B1443" s="213" t="s">
        <v>1598</v>
      </c>
      <c r="C1443" s="213">
        <v>44.7</v>
      </c>
      <c r="D1443">
        <f t="shared" si="22"/>
        <v>401</v>
      </c>
    </row>
    <row r="1444" spans="1:4">
      <c r="A1444" s="213">
        <v>6148</v>
      </c>
      <c r="B1444" s="213" t="s">
        <v>1599</v>
      </c>
      <c r="C1444" s="213">
        <v>6.46</v>
      </c>
      <c r="D1444">
        <f t="shared" si="22"/>
        <v>1537</v>
      </c>
    </row>
    <row r="1445" spans="1:4">
      <c r="A1445" s="213">
        <v>6151</v>
      </c>
      <c r="B1445" s="213" t="s">
        <v>1601</v>
      </c>
      <c r="C1445" s="213">
        <v>22.7</v>
      </c>
      <c r="D1445">
        <f t="shared" si="22"/>
        <v>817</v>
      </c>
    </row>
    <row r="1446" spans="1:4">
      <c r="A1446" s="213">
        <v>6154</v>
      </c>
      <c r="B1446" s="213" t="s">
        <v>418</v>
      </c>
      <c r="C1446" s="213">
        <v>16.45</v>
      </c>
      <c r="D1446">
        <f t="shared" si="22"/>
        <v>1063</v>
      </c>
    </row>
    <row r="1447" spans="1:4">
      <c r="A1447" s="213">
        <v>6156</v>
      </c>
      <c r="B1447" s="213" t="s">
        <v>1725</v>
      </c>
      <c r="C1447" s="213">
        <v>15.6</v>
      </c>
      <c r="D1447">
        <f t="shared" si="22"/>
        <v>1095</v>
      </c>
    </row>
    <row r="1448" spans="1:4">
      <c r="A1448" s="213">
        <v>6158</v>
      </c>
      <c r="B1448" s="213" t="s">
        <v>419</v>
      </c>
      <c r="C1448" s="213">
        <v>16.850000000000001</v>
      </c>
      <c r="D1448">
        <f t="shared" si="22"/>
        <v>1043</v>
      </c>
    </row>
    <row r="1449" spans="1:4">
      <c r="A1449" s="213">
        <v>6160</v>
      </c>
      <c r="B1449" s="213" t="s">
        <v>1602</v>
      </c>
      <c r="C1449" s="213">
        <v>24.25</v>
      </c>
      <c r="D1449">
        <f t="shared" si="22"/>
        <v>759</v>
      </c>
    </row>
    <row r="1450" spans="1:4">
      <c r="A1450" s="213">
        <v>6161</v>
      </c>
      <c r="B1450" s="213" t="s">
        <v>420</v>
      </c>
      <c r="C1450" s="213">
        <v>8.98</v>
      </c>
      <c r="D1450">
        <f t="shared" si="22"/>
        <v>1426</v>
      </c>
    </row>
    <row r="1451" spans="1:4">
      <c r="A1451" s="213">
        <v>6163</v>
      </c>
      <c r="B1451" s="213" t="s">
        <v>421</v>
      </c>
      <c r="C1451" s="213">
        <v>10.1</v>
      </c>
      <c r="D1451">
        <f t="shared" si="22"/>
        <v>1355</v>
      </c>
    </row>
    <row r="1452" spans="1:4">
      <c r="A1452" s="213">
        <v>6167</v>
      </c>
      <c r="B1452" s="213" t="s">
        <v>1603</v>
      </c>
      <c r="C1452" s="213">
        <v>6.08</v>
      </c>
      <c r="D1452">
        <f t="shared" si="22"/>
        <v>1553</v>
      </c>
    </row>
    <row r="1453" spans="1:4">
      <c r="A1453" s="213">
        <v>6169</v>
      </c>
      <c r="B1453" s="213" t="s">
        <v>1604</v>
      </c>
      <c r="C1453" s="213">
        <v>29.45</v>
      </c>
      <c r="D1453">
        <f t="shared" si="22"/>
        <v>622</v>
      </c>
    </row>
    <row r="1454" spans="1:4">
      <c r="A1454" s="213">
        <v>6170</v>
      </c>
      <c r="B1454" s="213" t="s">
        <v>422</v>
      </c>
      <c r="C1454" s="213">
        <v>9.4600000000000009</v>
      </c>
      <c r="D1454">
        <f t="shared" si="22"/>
        <v>1397</v>
      </c>
    </row>
    <row r="1455" spans="1:4">
      <c r="A1455" s="213">
        <v>6171</v>
      </c>
      <c r="B1455" s="213" t="s">
        <v>423</v>
      </c>
      <c r="C1455" s="213">
        <v>10.95</v>
      </c>
      <c r="D1455">
        <f t="shared" si="22"/>
        <v>1311</v>
      </c>
    </row>
    <row r="1456" spans="1:4">
      <c r="A1456" s="213">
        <v>6173</v>
      </c>
      <c r="B1456" s="213" t="s">
        <v>1605</v>
      </c>
      <c r="C1456" s="213">
        <v>17.399999999999999</v>
      </c>
      <c r="D1456">
        <f t="shared" si="22"/>
        <v>1008</v>
      </c>
    </row>
    <row r="1457" spans="1:4">
      <c r="A1457" s="213">
        <v>6174</v>
      </c>
      <c r="B1457" s="213" t="s">
        <v>1606</v>
      </c>
      <c r="C1457" s="213">
        <v>15</v>
      </c>
      <c r="D1457">
        <f t="shared" si="22"/>
        <v>1125</v>
      </c>
    </row>
    <row r="1458" spans="1:4">
      <c r="A1458" s="213">
        <v>6175</v>
      </c>
      <c r="B1458" s="213" t="s">
        <v>424</v>
      </c>
      <c r="C1458" s="213">
        <v>13.4</v>
      </c>
      <c r="D1458">
        <f t="shared" si="22"/>
        <v>1191</v>
      </c>
    </row>
    <row r="1459" spans="1:4">
      <c r="A1459" s="213">
        <v>6179</v>
      </c>
      <c r="B1459" s="213" t="s">
        <v>425</v>
      </c>
      <c r="C1459" s="213">
        <v>50.9</v>
      </c>
      <c r="D1459">
        <f t="shared" si="22"/>
        <v>332</v>
      </c>
    </row>
    <row r="1460" spans="1:4">
      <c r="A1460" s="213">
        <v>6180</v>
      </c>
      <c r="B1460" s="213" t="s">
        <v>1607</v>
      </c>
      <c r="C1460" s="213">
        <v>29.35</v>
      </c>
      <c r="D1460">
        <f t="shared" si="22"/>
        <v>628</v>
      </c>
    </row>
    <row r="1461" spans="1:4">
      <c r="A1461" s="213">
        <v>6182</v>
      </c>
      <c r="B1461" s="213" t="s">
        <v>426</v>
      </c>
      <c r="C1461" s="213">
        <v>8.83</v>
      </c>
      <c r="D1461">
        <f t="shared" si="22"/>
        <v>1433</v>
      </c>
    </row>
    <row r="1462" spans="1:4">
      <c r="A1462" s="213">
        <v>6185</v>
      </c>
      <c r="B1462" s="213" t="s">
        <v>1608</v>
      </c>
      <c r="C1462" s="213">
        <v>20</v>
      </c>
      <c r="D1462">
        <f t="shared" si="22"/>
        <v>903</v>
      </c>
    </row>
    <row r="1463" spans="1:4">
      <c r="A1463" s="213">
        <v>6186</v>
      </c>
      <c r="B1463" s="213" t="s">
        <v>427</v>
      </c>
      <c r="C1463" s="213">
        <v>22.7</v>
      </c>
      <c r="D1463">
        <f t="shared" si="22"/>
        <v>817</v>
      </c>
    </row>
    <row r="1464" spans="1:4">
      <c r="A1464" s="213">
        <v>6187</v>
      </c>
      <c r="B1464" s="213" t="s">
        <v>1609</v>
      </c>
      <c r="C1464" s="213">
        <v>49.35</v>
      </c>
      <c r="D1464">
        <f t="shared" si="22"/>
        <v>344</v>
      </c>
    </row>
    <row r="1465" spans="1:4">
      <c r="A1465" s="213">
        <v>6188</v>
      </c>
      <c r="B1465" s="213" t="s">
        <v>1610</v>
      </c>
      <c r="C1465" s="213">
        <v>30.6</v>
      </c>
      <c r="D1465">
        <f t="shared" si="22"/>
        <v>601</v>
      </c>
    </row>
    <row r="1466" spans="1:4">
      <c r="A1466" s="213">
        <v>6190</v>
      </c>
      <c r="B1466" s="213" t="s">
        <v>428</v>
      </c>
      <c r="C1466" s="213">
        <v>12.2</v>
      </c>
      <c r="D1466">
        <f t="shared" si="22"/>
        <v>1251</v>
      </c>
    </row>
    <row r="1467" spans="1:4">
      <c r="A1467" s="213">
        <v>6194</v>
      </c>
      <c r="B1467" s="213" t="s">
        <v>1611</v>
      </c>
      <c r="C1467" s="213">
        <v>16.25</v>
      </c>
      <c r="D1467">
        <f t="shared" si="22"/>
        <v>1069</v>
      </c>
    </row>
    <row r="1468" spans="1:4">
      <c r="A1468" s="213">
        <v>6195</v>
      </c>
      <c r="B1468" s="213" t="s">
        <v>429</v>
      </c>
      <c r="C1468" s="213">
        <v>50.6</v>
      </c>
      <c r="D1468">
        <f t="shared" si="22"/>
        <v>333</v>
      </c>
    </row>
    <row r="1469" spans="1:4">
      <c r="A1469" s="213">
        <v>6198</v>
      </c>
      <c r="B1469" s="213" t="s">
        <v>1612</v>
      </c>
      <c r="C1469" s="213">
        <v>22</v>
      </c>
      <c r="D1469">
        <f t="shared" si="22"/>
        <v>846</v>
      </c>
    </row>
    <row r="1470" spans="1:4">
      <c r="A1470" s="213">
        <v>6199</v>
      </c>
      <c r="B1470" s="213" t="s">
        <v>1613</v>
      </c>
      <c r="C1470" s="213">
        <v>23.8</v>
      </c>
      <c r="D1470">
        <f t="shared" si="22"/>
        <v>780</v>
      </c>
    </row>
    <row r="1471" spans="1:4">
      <c r="A1471" s="213">
        <v>6203</v>
      </c>
      <c r="B1471" s="213" t="s">
        <v>430</v>
      </c>
      <c r="C1471" s="213">
        <v>30.9</v>
      </c>
      <c r="D1471">
        <f t="shared" si="22"/>
        <v>594</v>
      </c>
    </row>
    <row r="1472" spans="1:4">
      <c r="A1472" s="213">
        <v>6204</v>
      </c>
      <c r="B1472" s="213" t="s">
        <v>1614</v>
      </c>
      <c r="C1472" s="213">
        <v>20</v>
      </c>
      <c r="D1472">
        <f t="shared" si="22"/>
        <v>903</v>
      </c>
    </row>
    <row r="1473" spans="1:4">
      <c r="A1473" s="213">
        <v>6207</v>
      </c>
      <c r="B1473" s="213" t="s">
        <v>431</v>
      </c>
      <c r="C1473" s="213">
        <v>21.65</v>
      </c>
      <c r="D1473">
        <f t="shared" si="22"/>
        <v>860</v>
      </c>
    </row>
    <row r="1474" spans="1:4">
      <c r="A1474" s="213">
        <v>6208</v>
      </c>
      <c r="B1474" s="213" t="s">
        <v>1615</v>
      </c>
      <c r="C1474" s="213">
        <v>14.75</v>
      </c>
      <c r="D1474">
        <f t="shared" ref="D1474:D1537" si="23">RANK(C1474,C:C,0)</f>
        <v>1134</v>
      </c>
    </row>
    <row r="1475" spans="1:4">
      <c r="A1475" s="213">
        <v>6210</v>
      </c>
      <c r="B1475" s="213" t="s">
        <v>1616</v>
      </c>
      <c r="C1475" s="213">
        <v>35.5</v>
      </c>
      <c r="D1475">
        <f t="shared" si="23"/>
        <v>519</v>
      </c>
    </row>
    <row r="1476" spans="1:4">
      <c r="A1476" s="213">
        <v>6212</v>
      </c>
      <c r="B1476" s="213" t="s">
        <v>432</v>
      </c>
      <c r="C1476" s="213">
        <v>0</v>
      </c>
      <c r="D1476">
        <f t="shared" si="23"/>
        <v>1626</v>
      </c>
    </row>
    <row r="1477" spans="1:4">
      <c r="A1477" s="213">
        <v>6217</v>
      </c>
      <c r="B1477" s="213" t="s">
        <v>1617</v>
      </c>
      <c r="C1477" s="213">
        <v>39.85</v>
      </c>
      <c r="D1477">
        <f t="shared" si="23"/>
        <v>454</v>
      </c>
    </row>
    <row r="1478" spans="1:4">
      <c r="A1478" s="213">
        <v>6218</v>
      </c>
      <c r="B1478" s="213" t="s">
        <v>1618</v>
      </c>
      <c r="C1478" s="213">
        <v>20.25</v>
      </c>
      <c r="D1478">
        <f t="shared" si="23"/>
        <v>895</v>
      </c>
    </row>
    <row r="1479" spans="1:4">
      <c r="A1479" s="213">
        <v>6219</v>
      </c>
      <c r="B1479" s="213" t="s">
        <v>1619</v>
      </c>
      <c r="C1479" s="213">
        <v>10.95</v>
      </c>
      <c r="D1479">
        <f t="shared" si="23"/>
        <v>1311</v>
      </c>
    </row>
    <row r="1480" spans="1:4">
      <c r="A1480" s="213">
        <v>6220</v>
      </c>
      <c r="B1480" s="213" t="s">
        <v>433</v>
      </c>
      <c r="C1480" s="213">
        <v>36.950000000000003</v>
      </c>
      <c r="D1480">
        <f t="shared" si="23"/>
        <v>496</v>
      </c>
    </row>
    <row r="1481" spans="1:4">
      <c r="A1481" s="213">
        <v>6221</v>
      </c>
      <c r="B1481" s="213" t="s">
        <v>434</v>
      </c>
      <c r="C1481" s="213">
        <v>24.9</v>
      </c>
      <c r="D1481">
        <f t="shared" si="23"/>
        <v>741</v>
      </c>
    </row>
    <row r="1482" spans="1:4">
      <c r="A1482" s="213">
        <v>6223</v>
      </c>
      <c r="B1482" s="213" t="s">
        <v>435</v>
      </c>
      <c r="C1482" s="213">
        <v>78.3</v>
      </c>
      <c r="D1482">
        <f t="shared" si="23"/>
        <v>200</v>
      </c>
    </row>
    <row r="1483" spans="1:4">
      <c r="A1483" s="213">
        <v>6227</v>
      </c>
      <c r="B1483" s="213" t="s">
        <v>436</v>
      </c>
      <c r="C1483" s="213">
        <v>24.85</v>
      </c>
      <c r="D1483">
        <f t="shared" si="23"/>
        <v>743</v>
      </c>
    </row>
    <row r="1484" spans="1:4">
      <c r="A1484" s="213">
        <v>6228</v>
      </c>
      <c r="B1484" s="213" t="s">
        <v>1621</v>
      </c>
      <c r="C1484" s="213">
        <v>6.71</v>
      </c>
      <c r="D1484">
        <f t="shared" si="23"/>
        <v>1527</v>
      </c>
    </row>
    <row r="1485" spans="1:4">
      <c r="A1485" s="213">
        <v>6229</v>
      </c>
      <c r="B1485" s="213" t="s">
        <v>437</v>
      </c>
      <c r="C1485" s="213">
        <v>13.05</v>
      </c>
      <c r="D1485">
        <f t="shared" si="23"/>
        <v>1210</v>
      </c>
    </row>
    <row r="1486" spans="1:4">
      <c r="A1486" s="213">
        <v>6231</v>
      </c>
      <c r="B1486" s="213" t="s">
        <v>438</v>
      </c>
      <c r="C1486" s="213">
        <v>29.1</v>
      </c>
      <c r="D1486">
        <f t="shared" si="23"/>
        <v>636</v>
      </c>
    </row>
    <row r="1487" spans="1:4">
      <c r="A1487" s="213">
        <v>6233</v>
      </c>
      <c r="B1487" s="213" t="s">
        <v>1622</v>
      </c>
      <c r="C1487" s="213">
        <v>9.91</v>
      </c>
      <c r="D1487">
        <f t="shared" si="23"/>
        <v>1374</v>
      </c>
    </row>
    <row r="1488" spans="1:4">
      <c r="A1488" s="213">
        <v>6234</v>
      </c>
      <c r="B1488" s="213" t="s">
        <v>439</v>
      </c>
      <c r="C1488" s="213">
        <v>17.45</v>
      </c>
      <c r="D1488">
        <f t="shared" si="23"/>
        <v>1006</v>
      </c>
    </row>
    <row r="1489" spans="1:4">
      <c r="A1489" s="213">
        <v>6236</v>
      </c>
      <c r="B1489" s="213" t="s">
        <v>440</v>
      </c>
      <c r="C1489" s="213">
        <v>0</v>
      </c>
      <c r="D1489">
        <f t="shared" si="23"/>
        <v>1626</v>
      </c>
    </row>
    <row r="1490" spans="1:4">
      <c r="A1490" s="213">
        <v>6237</v>
      </c>
      <c r="B1490" s="213" t="s">
        <v>441</v>
      </c>
      <c r="C1490" s="213">
        <v>28.2</v>
      </c>
      <c r="D1490">
        <f t="shared" si="23"/>
        <v>662</v>
      </c>
    </row>
    <row r="1491" spans="1:4">
      <c r="A1491" s="213">
        <v>6238</v>
      </c>
      <c r="B1491" s="213" t="s">
        <v>1623</v>
      </c>
      <c r="C1491" s="213">
        <v>177.5</v>
      </c>
      <c r="D1491">
        <f t="shared" si="23"/>
        <v>59</v>
      </c>
    </row>
    <row r="1492" spans="1:4">
      <c r="A1492" s="213">
        <v>6241</v>
      </c>
      <c r="B1492" s="213" t="s">
        <v>442</v>
      </c>
      <c r="C1492" s="213">
        <v>15.55</v>
      </c>
      <c r="D1492">
        <f t="shared" si="23"/>
        <v>1098</v>
      </c>
    </row>
    <row r="1493" spans="1:4">
      <c r="A1493" s="213">
        <v>6242</v>
      </c>
      <c r="B1493" s="213" t="s">
        <v>1625</v>
      </c>
      <c r="C1493" s="213">
        <v>48</v>
      </c>
      <c r="D1493">
        <f t="shared" si="23"/>
        <v>361</v>
      </c>
    </row>
    <row r="1494" spans="1:4">
      <c r="A1494" s="213">
        <v>6244</v>
      </c>
      <c r="B1494" s="213" t="s">
        <v>443</v>
      </c>
      <c r="C1494" s="213">
        <v>31</v>
      </c>
      <c r="D1494">
        <f t="shared" si="23"/>
        <v>592</v>
      </c>
    </row>
    <row r="1495" spans="1:4">
      <c r="A1495" s="213">
        <v>6245</v>
      </c>
      <c r="B1495" s="213" t="s">
        <v>1626</v>
      </c>
      <c r="C1495" s="213">
        <v>44.9</v>
      </c>
      <c r="D1495">
        <f t="shared" si="23"/>
        <v>397</v>
      </c>
    </row>
    <row r="1496" spans="1:4">
      <c r="A1496" s="213">
        <v>6247</v>
      </c>
      <c r="B1496" s="213" t="s">
        <v>1627</v>
      </c>
      <c r="C1496" s="213">
        <v>9.52</v>
      </c>
      <c r="D1496">
        <f t="shared" si="23"/>
        <v>1392</v>
      </c>
    </row>
    <row r="1497" spans="1:4">
      <c r="A1497" s="213">
        <v>6248</v>
      </c>
      <c r="B1497" s="213" t="s">
        <v>445</v>
      </c>
      <c r="C1497" s="213">
        <v>0</v>
      </c>
      <c r="D1497">
        <f t="shared" si="23"/>
        <v>1626</v>
      </c>
    </row>
    <row r="1498" spans="1:4">
      <c r="A1498" s="213">
        <v>6259</v>
      </c>
      <c r="B1498" s="213" t="s">
        <v>446</v>
      </c>
      <c r="C1498" s="213">
        <v>3.1</v>
      </c>
      <c r="D1498">
        <f t="shared" si="23"/>
        <v>1599</v>
      </c>
    </row>
    <row r="1499" spans="1:4">
      <c r="A1499" s="213">
        <v>6261</v>
      </c>
      <c r="B1499" s="213" t="s">
        <v>447</v>
      </c>
      <c r="C1499" s="213">
        <v>45.9</v>
      </c>
      <c r="D1499">
        <f t="shared" si="23"/>
        <v>386</v>
      </c>
    </row>
    <row r="1500" spans="1:4">
      <c r="A1500" s="213">
        <v>6263</v>
      </c>
      <c r="B1500" s="213" t="s">
        <v>1628</v>
      </c>
      <c r="C1500" s="213">
        <v>46.2</v>
      </c>
      <c r="D1500">
        <f t="shared" si="23"/>
        <v>383</v>
      </c>
    </row>
    <row r="1501" spans="1:4">
      <c r="A1501" s="213">
        <v>6264</v>
      </c>
      <c r="B1501" s="213" t="s">
        <v>448</v>
      </c>
      <c r="C1501" s="213">
        <v>9</v>
      </c>
      <c r="D1501">
        <f t="shared" si="23"/>
        <v>1422</v>
      </c>
    </row>
    <row r="1502" spans="1:4">
      <c r="A1502" s="213">
        <v>6265</v>
      </c>
      <c r="B1502" s="213" t="s">
        <v>449</v>
      </c>
      <c r="C1502" s="213">
        <v>7.55</v>
      </c>
      <c r="D1502">
        <f t="shared" si="23"/>
        <v>1489</v>
      </c>
    </row>
    <row r="1503" spans="1:4">
      <c r="A1503" s="213">
        <v>6266</v>
      </c>
      <c r="B1503" s="213" t="s">
        <v>1629</v>
      </c>
      <c r="C1503" s="213">
        <v>12.45</v>
      </c>
      <c r="D1503">
        <f t="shared" si="23"/>
        <v>1236</v>
      </c>
    </row>
    <row r="1504" spans="1:4">
      <c r="A1504" s="213">
        <v>6270</v>
      </c>
      <c r="B1504" s="213" t="s">
        <v>1630</v>
      </c>
      <c r="C1504" s="213">
        <v>10.3</v>
      </c>
      <c r="D1504">
        <f t="shared" si="23"/>
        <v>1338</v>
      </c>
    </row>
    <row r="1505" spans="1:4">
      <c r="A1505" s="213">
        <v>6274</v>
      </c>
      <c r="B1505" s="213" t="s">
        <v>450</v>
      </c>
      <c r="C1505" s="213">
        <v>33.9</v>
      </c>
      <c r="D1505">
        <f t="shared" si="23"/>
        <v>541</v>
      </c>
    </row>
    <row r="1506" spans="1:4">
      <c r="A1506" s="213">
        <v>6275</v>
      </c>
      <c r="B1506" s="213" t="s">
        <v>1631</v>
      </c>
      <c r="C1506" s="213">
        <v>15.3</v>
      </c>
      <c r="D1506">
        <f t="shared" si="23"/>
        <v>1106</v>
      </c>
    </row>
    <row r="1507" spans="1:4">
      <c r="A1507" s="213">
        <v>6276</v>
      </c>
      <c r="B1507" s="213" t="s">
        <v>451</v>
      </c>
      <c r="C1507" s="213">
        <v>7.28</v>
      </c>
      <c r="D1507">
        <f t="shared" si="23"/>
        <v>1499</v>
      </c>
    </row>
    <row r="1508" spans="1:4">
      <c r="A1508" s="213">
        <v>6279</v>
      </c>
      <c r="B1508" s="213" t="s">
        <v>1632</v>
      </c>
      <c r="C1508" s="213">
        <v>143.5</v>
      </c>
      <c r="D1508">
        <f t="shared" si="23"/>
        <v>81</v>
      </c>
    </row>
    <row r="1509" spans="1:4">
      <c r="A1509" s="213">
        <v>6284</v>
      </c>
      <c r="B1509" s="213" t="s">
        <v>1633</v>
      </c>
      <c r="C1509" s="213">
        <v>20.9</v>
      </c>
      <c r="D1509">
        <f t="shared" si="23"/>
        <v>879</v>
      </c>
    </row>
    <row r="1510" spans="1:4">
      <c r="A1510" s="213">
        <v>6287</v>
      </c>
      <c r="B1510" s="213" t="s">
        <v>1634</v>
      </c>
      <c r="C1510" s="213">
        <v>2.95</v>
      </c>
      <c r="D1510">
        <f t="shared" si="23"/>
        <v>1603</v>
      </c>
    </row>
    <row r="1511" spans="1:4">
      <c r="A1511" s="213">
        <v>6290</v>
      </c>
      <c r="B1511" s="213" t="s">
        <v>1635</v>
      </c>
      <c r="C1511" s="213">
        <v>28.6</v>
      </c>
      <c r="D1511">
        <f t="shared" si="23"/>
        <v>653</v>
      </c>
    </row>
    <row r="1512" spans="1:4">
      <c r="A1512" s="213">
        <v>6291</v>
      </c>
      <c r="B1512" s="213" t="s">
        <v>452</v>
      </c>
      <c r="C1512" s="213">
        <v>2.42</v>
      </c>
      <c r="D1512">
        <f t="shared" si="23"/>
        <v>1608</v>
      </c>
    </row>
    <row r="1513" spans="1:4">
      <c r="A1513" s="213">
        <v>6292</v>
      </c>
      <c r="B1513" s="213" t="s">
        <v>1636</v>
      </c>
      <c r="C1513" s="213">
        <v>27.1</v>
      </c>
      <c r="D1513">
        <f t="shared" si="23"/>
        <v>684</v>
      </c>
    </row>
    <row r="1514" spans="1:4">
      <c r="A1514" s="213">
        <v>6294</v>
      </c>
      <c r="B1514" s="213" t="s">
        <v>1637</v>
      </c>
      <c r="C1514" s="213">
        <v>96.4</v>
      </c>
      <c r="D1514">
        <f t="shared" si="23"/>
        <v>142</v>
      </c>
    </row>
    <row r="1515" spans="1:4">
      <c r="A1515" s="213">
        <v>6298</v>
      </c>
      <c r="B1515" s="213" t="s">
        <v>1638</v>
      </c>
      <c r="C1515" s="213">
        <v>15.4</v>
      </c>
      <c r="D1515">
        <f t="shared" si="23"/>
        <v>1104</v>
      </c>
    </row>
    <row r="1516" spans="1:4">
      <c r="A1516" s="213">
        <v>6404</v>
      </c>
      <c r="B1516" s="213" t="s">
        <v>2134</v>
      </c>
      <c r="C1516" s="213">
        <v>16.7</v>
      </c>
      <c r="D1516">
        <f t="shared" si="23"/>
        <v>1047</v>
      </c>
    </row>
    <row r="1517" spans="1:4">
      <c r="A1517" s="213">
        <v>6411</v>
      </c>
      <c r="B1517" s="213" t="s">
        <v>453</v>
      </c>
      <c r="C1517" s="213">
        <v>52.2</v>
      </c>
      <c r="D1517">
        <f t="shared" si="23"/>
        <v>319</v>
      </c>
    </row>
    <row r="1518" spans="1:4">
      <c r="A1518" s="213">
        <v>6417</v>
      </c>
      <c r="B1518" s="213" t="s">
        <v>499</v>
      </c>
      <c r="C1518" s="213">
        <v>33.6</v>
      </c>
      <c r="D1518">
        <f t="shared" si="23"/>
        <v>547</v>
      </c>
    </row>
    <row r="1519" spans="1:4">
      <c r="A1519" s="213">
        <v>6419</v>
      </c>
      <c r="B1519" s="213" t="s">
        <v>1640</v>
      </c>
      <c r="C1519" s="213">
        <v>15.25</v>
      </c>
      <c r="D1519">
        <f t="shared" si="23"/>
        <v>1109</v>
      </c>
    </row>
    <row r="1520" spans="1:4">
      <c r="A1520" s="213">
        <v>6426</v>
      </c>
      <c r="B1520" s="213" t="s">
        <v>454</v>
      </c>
      <c r="C1520" s="213">
        <v>35.700000000000003</v>
      </c>
      <c r="D1520">
        <f t="shared" si="23"/>
        <v>516</v>
      </c>
    </row>
    <row r="1521" spans="1:4">
      <c r="A1521" s="213">
        <v>6432</v>
      </c>
      <c r="B1521" s="213" t="s">
        <v>1641</v>
      </c>
      <c r="C1521" s="213">
        <v>26.45</v>
      </c>
      <c r="D1521">
        <f t="shared" si="23"/>
        <v>699</v>
      </c>
    </row>
    <row r="1522" spans="1:4">
      <c r="A1522" s="213">
        <v>6435</v>
      </c>
      <c r="B1522" s="213" t="s">
        <v>1797</v>
      </c>
      <c r="C1522" s="213">
        <v>39.25</v>
      </c>
      <c r="D1522">
        <f t="shared" si="23"/>
        <v>461</v>
      </c>
    </row>
    <row r="1523" spans="1:4">
      <c r="A1523" s="213">
        <v>6446</v>
      </c>
      <c r="B1523" s="213" t="s">
        <v>2295</v>
      </c>
      <c r="C1523" s="213">
        <v>166</v>
      </c>
      <c r="D1523">
        <f t="shared" si="23"/>
        <v>67</v>
      </c>
    </row>
    <row r="1524" spans="1:4">
      <c r="A1524" s="213">
        <v>6457</v>
      </c>
      <c r="B1524" s="213" t="s">
        <v>1642</v>
      </c>
      <c r="C1524" s="213">
        <v>32.4</v>
      </c>
      <c r="D1524">
        <f t="shared" si="23"/>
        <v>568</v>
      </c>
    </row>
    <row r="1525" spans="1:4">
      <c r="A1525" s="213">
        <v>6462</v>
      </c>
      <c r="B1525" s="213" t="s">
        <v>1792</v>
      </c>
      <c r="C1525" s="213">
        <v>206</v>
      </c>
      <c r="D1525">
        <f t="shared" si="23"/>
        <v>43</v>
      </c>
    </row>
    <row r="1526" spans="1:4">
      <c r="A1526" s="213">
        <v>6465</v>
      </c>
      <c r="B1526" s="213" t="s">
        <v>1754</v>
      </c>
      <c r="C1526" s="213">
        <v>57.9</v>
      </c>
      <c r="D1526">
        <f t="shared" si="23"/>
        <v>289</v>
      </c>
    </row>
    <row r="1527" spans="1:4">
      <c r="A1527" s="213">
        <v>6469</v>
      </c>
      <c r="B1527" s="213" t="s">
        <v>1846</v>
      </c>
      <c r="C1527" s="213">
        <v>72.7</v>
      </c>
      <c r="D1527">
        <f t="shared" si="23"/>
        <v>216</v>
      </c>
    </row>
    <row r="1528" spans="1:4">
      <c r="A1528" s="213">
        <v>6470</v>
      </c>
      <c r="B1528" s="213" t="s">
        <v>1749</v>
      </c>
      <c r="C1528" s="213">
        <v>48.2</v>
      </c>
      <c r="D1528">
        <f t="shared" si="23"/>
        <v>358</v>
      </c>
    </row>
    <row r="1529" spans="1:4">
      <c r="A1529" s="213">
        <v>6482</v>
      </c>
      <c r="B1529" s="213" t="s">
        <v>1920</v>
      </c>
      <c r="C1529" s="213">
        <v>61.2</v>
      </c>
      <c r="D1529">
        <f t="shared" si="23"/>
        <v>270</v>
      </c>
    </row>
    <row r="1530" spans="1:4">
      <c r="A1530" s="213">
        <v>6485</v>
      </c>
      <c r="B1530" s="213" t="s">
        <v>1755</v>
      </c>
      <c r="C1530" s="213">
        <v>56.5</v>
      </c>
      <c r="D1530">
        <f t="shared" si="23"/>
        <v>295</v>
      </c>
    </row>
    <row r="1531" spans="1:4">
      <c r="A1531" s="213">
        <v>6486</v>
      </c>
      <c r="B1531" s="213" t="s">
        <v>3155</v>
      </c>
      <c r="C1531" s="213">
        <v>38.35</v>
      </c>
      <c r="D1531">
        <f t="shared" si="23"/>
        <v>477</v>
      </c>
    </row>
    <row r="1532" spans="1:4">
      <c r="A1532" s="213">
        <v>6488</v>
      </c>
      <c r="B1532" s="213" t="s">
        <v>1643</v>
      </c>
      <c r="C1532" s="213">
        <v>77.8</v>
      </c>
      <c r="D1532">
        <f t="shared" si="23"/>
        <v>201</v>
      </c>
    </row>
    <row r="1533" spans="1:4">
      <c r="A1533" s="213">
        <v>6494</v>
      </c>
      <c r="B1533" s="213" t="s">
        <v>1912</v>
      </c>
      <c r="C1533" s="213">
        <v>32.450000000000003</v>
      </c>
      <c r="D1533">
        <f t="shared" si="23"/>
        <v>566</v>
      </c>
    </row>
    <row r="1534" spans="1:4">
      <c r="A1534" s="213">
        <v>6496</v>
      </c>
      <c r="B1534" s="213" t="s">
        <v>1802</v>
      </c>
      <c r="C1534" s="213">
        <v>62.7</v>
      </c>
      <c r="D1534">
        <f t="shared" si="23"/>
        <v>262</v>
      </c>
    </row>
    <row r="1535" spans="1:4">
      <c r="A1535" s="213">
        <v>6499</v>
      </c>
      <c r="B1535" s="213" t="s">
        <v>2300</v>
      </c>
      <c r="C1535" s="213">
        <v>164.5</v>
      </c>
      <c r="D1535">
        <f t="shared" si="23"/>
        <v>70</v>
      </c>
    </row>
    <row r="1536" spans="1:4">
      <c r="A1536" s="213">
        <v>6506</v>
      </c>
      <c r="B1536" s="213" t="s">
        <v>1644</v>
      </c>
      <c r="C1536" s="213">
        <v>21.9</v>
      </c>
      <c r="D1536">
        <f t="shared" si="23"/>
        <v>850</v>
      </c>
    </row>
    <row r="1537" spans="1:4">
      <c r="A1537" s="213">
        <v>6508</v>
      </c>
      <c r="B1537" s="213" t="s">
        <v>455</v>
      </c>
      <c r="C1537" s="213">
        <v>26.3</v>
      </c>
      <c r="D1537">
        <f t="shared" si="23"/>
        <v>701</v>
      </c>
    </row>
    <row r="1538" spans="1:4">
      <c r="A1538" s="213">
        <v>6509</v>
      </c>
      <c r="B1538" s="213" t="s">
        <v>456</v>
      </c>
      <c r="C1538" s="213">
        <v>17.899999999999999</v>
      </c>
      <c r="D1538">
        <f t="shared" ref="D1538:D1601" si="24">RANK(C1538,C:C,0)</f>
        <v>979</v>
      </c>
    </row>
    <row r="1539" spans="1:4">
      <c r="A1539" s="213">
        <v>6510</v>
      </c>
      <c r="B1539" s="213" t="s">
        <v>1842</v>
      </c>
      <c r="C1539" s="213">
        <v>1095</v>
      </c>
      <c r="D1539">
        <f t="shared" si="24"/>
        <v>3</v>
      </c>
    </row>
    <row r="1540" spans="1:4">
      <c r="A1540" s="213">
        <v>6512</v>
      </c>
      <c r="B1540" s="213" t="s">
        <v>1843</v>
      </c>
      <c r="C1540" s="213">
        <v>41.15</v>
      </c>
      <c r="D1540">
        <f t="shared" si="24"/>
        <v>435</v>
      </c>
    </row>
    <row r="1541" spans="1:4">
      <c r="A1541" s="213">
        <v>6514</v>
      </c>
      <c r="B1541" s="213" t="s">
        <v>2135</v>
      </c>
      <c r="C1541" s="213">
        <v>32.799999999999997</v>
      </c>
      <c r="D1541">
        <f t="shared" si="24"/>
        <v>560</v>
      </c>
    </row>
    <row r="1542" spans="1:4">
      <c r="A1542" s="213">
        <v>6523</v>
      </c>
      <c r="B1542" s="213" t="s">
        <v>1921</v>
      </c>
      <c r="C1542" s="213">
        <v>209</v>
      </c>
      <c r="D1542">
        <f t="shared" si="24"/>
        <v>42</v>
      </c>
    </row>
    <row r="1543" spans="1:4">
      <c r="A1543" s="213">
        <v>6532</v>
      </c>
      <c r="B1543" s="213" t="s">
        <v>3164</v>
      </c>
      <c r="C1543" s="213">
        <v>32.200000000000003</v>
      </c>
      <c r="D1543">
        <f t="shared" si="24"/>
        <v>572</v>
      </c>
    </row>
    <row r="1544" spans="1:4">
      <c r="A1544" s="213">
        <v>6535</v>
      </c>
      <c r="B1544" s="213" t="s">
        <v>3165</v>
      </c>
      <c r="C1544" s="213">
        <v>59.3</v>
      </c>
      <c r="D1544">
        <f t="shared" si="24"/>
        <v>280</v>
      </c>
    </row>
    <row r="1545" spans="1:4">
      <c r="A1545" s="213">
        <v>6538</v>
      </c>
      <c r="B1545" s="213" t="s">
        <v>3209</v>
      </c>
      <c r="C1545" s="213">
        <v>92</v>
      </c>
      <c r="D1545">
        <f t="shared" si="24"/>
        <v>155</v>
      </c>
    </row>
    <row r="1546" spans="1:4">
      <c r="A1546" s="213">
        <v>6542</v>
      </c>
      <c r="B1546" s="213" t="s">
        <v>3149</v>
      </c>
      <c r="C1546" s="213">
        <v>92.1</v>
      </c>
      <c r="D1546">
        <f t="shared" si="24"/>
        <v>154</v>
      </c>
    </row>
    <row r="1547" spans="1:4">
      <c r="A1547" s="213">
        <v>6548</v>
      </c>
      <c r="B1547" s="213" t="s">
        <v>3156</v>
      </c>
      <c r="C1547" s="213">
        <v>243.5</v>
      </c>
      <c r="D1547">
        <f t="shared" si="24"/>
        <v>31</v>
      </c>
    </row>
    <row r="1548" spans="1:4">
      <c r="A1548" s="213">
        <v>6603</v>
      </c>
      <c r="B1548" s="213" t="s">
        <v>457</v>
      </c>
      <c r="C1548" s="213">
        <v>10.55</v>
      </c>
      <c r="D1548">
        <f t="shared" si="24"/>
        <v>1329</v>
      </c>
    </row>
    <row r="1549" spans="1:4">
      <c r="A1549" s="213">
        <v>6609</v>
      </c>
      <c r="B1549" s="213" t="s">
        <v>458</v>
      </c>
      <c r="C1549" s="213">
        <v>23.9</v>
      </c>
      <c r="D1549">
        <f t="shared" si="24"/>
        <v>776</v>
      </c>
    </row>
    <row r="1550" spans="1:4">
      <c r="A1550" s="213">
        <v>6803</v>
      </c>
      <c r="B1550" s="213" t="s">
        <v>1645</v>
      </c>
      <c r="C1550" s="213">
        <v>174</v>
      </c>
      <c r="D1550">
        <f t="shared" si="24"/>
        <v>61</v>
      </c>
    </row>
    <row r="1551" spans="1:4">
      <c r="A1551" s="213">
        <v>7402</v>
      </c>
      <c r="B1551" s="213" t="s">
        <v>1798</v>
      </c>
      <c r="C1551" s="213">
        <v>67.5</v>
      </c>
      <c r="D1551">
        <f t="shared" si="24"/>
        <v>237</v>
      </c>
    </row>
    <row r="1552" spans="1:4">
      <c r="A1552" s="213">
        <v>8024</v>
      </c>
      <c r="B1552" s="213" t="s">
        <v>459</v>
      </c>
      <c r="C1552" s="213">
        <v>12.75</v>
      </c>
      <c r="D1552">
        <f t="shared" si="24"/>
        <v>1227</v>
      </c>
    </row>
    <row r="1553" spans="1:4">
      <c r="A1553" s="213">
        <v>8027</v>
      </c>
      <c r="B1553" s="213" t="s">
        <v>1646</v>
      </c>
      <c r="C1553" s="213">
        <v>15.7</v>
      </c>
      <c r="D1553">
        <f t="shared" si="24"/>
        <v>1091</v>
      </c>
    </row>
    <row r="1554" spans="1:4">
      <c r="A1554" s="213">
        <v>8032</v>
      </c>
      <c r="B1554" s="213" t="s">
        <v>1647</v>
      </c>
      <c r="C1554" s="213">
        <v>24.95</v>
      </c>
      <c r="D1554">
        <f t="shared" si="24"/>
        <v>739</v>
      </c>
    </row>
    <row r="1555" spans="1:4">
      <c r="A1555" s="213">
        <v>8034</v>
      </c>
      <c r="B1555" s="213" t="s">
        <v>1648</v>
      </c>
      <c r="C1555" s="213">
        <v>6.3</v>
      </c>
      <c r="D1555">
        <f t="shared" si="24"/>
        <v>1544</v>
      </c>
    </row>
    <row r="1556" spans="1:4">
      <c r="A1556" s="213">
        <v>8038</v>
      </c>
      <c r="B1556" s="213" t="s">
        <v>460</v>
      </c>
      <c r="C1556" s="213">
        <v>48.2</v>
      </c>
      <c r="D1556">
        <f t="shared" si="24"/>
        <v>358</v>
      </c>
    </row>
    <row r="1557" spans="1:4">
      <c r="A1557" s="213">
        <v>8040</v>
      </c>
      <c r="B1557" s="213" t="s">
        <v>1649</v>
      </c>
      <c r="C1557" s="213">
        <v>7.34</v>
      </c>
      <c r="D1557">
        <f t="shared" si="24"/>
        <v>1496</v>
      </c>
    </row>
    <row r="1558" spans="1:4">
      <c r="A1558" s="213">
        <v>8042</v>
      </c>
      <c r="B1558" s="213" t="s">
        <v>1650</v>
      </c>
      <c r="C1558" s="213">
        <v>52</v>
      </c>
      <c r="D1558">
        <f t="shared" si="24"/>
        <v>320</v>
      </c>
    </row>
    <row r="1559" spans="1:4">
      <c r="A1559" s="213">
        <v>8043</v>
      </c>
      <c r="B1559" s="213" t="s">
        <v>1651</v>
      </c>
      <c r="C1559" s="213">
        <v>16.5</v>
      </c>
      <c r="D1559">
        <f t="shared" si="24"/>
        <v>1058</v>
      </c>
    </row>
    <row r="1560" spans="1:4">
      <c r="A1560" s="213">
        <v>8044</v>
      </c>
      <c r="B1560" s="213" t="s">
        <v>1652</v>
      </c>
      <c r="C1560" s="213">
        <v>352</v>
      </c>
      <c r="D1560">
        <f t="shared" si="24"/>
        <v>17</v>
      </c>
    </row>
    <row r="1561" spans="1:4">
      <c r="A1561" s="213">
        <v>8047</v>
      </c>
      <c r="B1561" s="213" t="s">
        <v>1653</v>
      </c>
      <c r="C1561" s="213">
        <v>10.1</v>
      </c>
      <c r="D1561">
        <f t="shared" si="24"/>
        <v>1355</v>
      </c>
    </row>
    <row r="1562" spans="1:4">
      <c r="A1562" s="213">
        <v>8048</v>
      </c>
      <c r="B1562" s="213" t="s">
        <v>1654</v>
      </c>
      <c r="C1562" s="213">
        <v>27.35</v>
      </c>
      <c r="D1562">
        <f t="shared" si="24"/>
        <v>680</v>
      </c>
    </row>
    <row r="1563" spans="1:4">
      <c r="A1563" s="213">
        <v>8049</v>
      </c>
      <c r="B1563" s="213" t="s">
        <v>1655</v>
      </c>
      <c r="C1563" s="213">
        <v>13.55</v>
      </c>
      <c r="D1563">
        <f t="shared" si="24"/>
        <v>1186</v>
      </c>
    </row>
    <row r="1564" spans="1:4">
      <c r="A1564" s="213">
        <v>8050</v>
      </c>
      <c r="B1564" s="213" t="s">
        <v>1656</v>
      </c>
      <c r="C1564" s="213">
        <v>67.900000000000006</v>
      </c>
      <c r="D1564">
        <f t="shared" si="24"/>
        <v>236</v>
      </c>
    </row>
    <row r="1565" spans="1:4">
      <c r="A1565" s="213">
        <v>8054</v>
      </c>
      <c r="B1565" s="213" t="s">
        <v>461</v>
      </c>
      <c r="C1565" s="213">
        <v>19.75</v>
      </c>
      <c r="D1565">
        <f t="shared" si="24"/>
        <v>919</v>
      </c>
    </row>
    <row r="1566" spans="1:4">
      <c r="A1566" s="213">
        <v>8059</v>
      </c>
      <c r="B1566" s="213" t="s">
        <v>1657</v>
      </c>
      <c r="C1566" s="213">
        <v>10.35</v>
      </c>
      <c r="D1566">
        <f t="shared" si="24"/>
        <v>1335</v>
      </c>
    </row>
    <row r="1567" spans="1:4">
      <c r="A1567" s="213">
        <v>8064</v>
      </c>
      <c r="B1567" s="213" t="s">
        <v>462</v>
      </c>
      <c r="C1567" s="213">
        <v>17.149999999999999</v>
      </c>
      <c r="D1567">
        <f t="shared" si="24"/>
        <v>1018</v>
      </c>
    </row>
    <row r="1568" spans="1:4">
      <c r="A1568" s="213">
        <v>8066</v>
      </c>
      <c r="B1568" s="213" t="s">
        <v>1658</v>
      </c>
      <c r="C1568" s="213">
        <v>81.400000000000006</v>
      </c>
      <c r="D1568">
        <f t="shared" si="24"/>
        <v>185</v>
      </c>
    </row>
    <row r="1569" spans="1:4">
      <c r="A1569" s="213">
        <v>8067</v>
      </c>
      <c r="B1569" s="213" t="s">
        <v>1659</v>
      </c>
      <c r="C1569" s="213">
        <v>0</v>
      </c>
      <c r="D1569">
        <f t="shared" si="24"/>
        <v>1626</v>
      </c>
    </row>
    <row r="1570" spans="1:4">
      <c r="A1570" s="213">
        <v>8068</v>
      </c>
      <c r="B1570" s="213" t="s">
        <v>463</v>
      </c>
      <c r="C1570" s="213">
        <v>25.45</v>
      </c>
      <c r="D1570">
        <f t="shared" si="24"/>
        <v>727</v>
      </c>
    </row>
    <row r="1571" spans="1:4">
      <c r="A1571" s="213">
        <v>8069</v>
      </c>
      <c r="B1571" s="213" t="s">
        <v>1660</v>
      </c>
      <c r="C1571" s="213">
        <v>26.25</v>
      </c>
      <c r="D1571">
        <f t="shared" si="24"/>
        <v>702</v>
      </c>
    </row>
    <row r="1572" spans="1:4">
      <c r="A1572" s="213">
        <v>8071</v>
      </c>
      <c r="B1572" s="213" t="s">
        <v>464</v>
      </c>
      <c r="C1572" s="213">
        <v>11.65</v>
      </c>
      <c r="D1572">
        <f t="shared" si="24"/>
        <v>1278</v>
      </c>
    </row>
    <row r="1573" spans="1:4">
      <c r="A1573" s="213">
        <v>8074</v>
      </c>
      <c r="B1573" s="213" t="s">
        <v>1661</v>
      </c>
      <c r="C1573" s="213">
        <v>28.15</v>
      </c>
      <c r="D1573">
        <f t="shared" si="24"/>
        <v>664</v>
      </c>
    </row>
    <row r="1574" spans="1:4">
      <c r="A1574" s="213">
        <v>8076</v>
      </c>
      <c r="B1574" s="213" t="s">
        <v>1662</v>
      </c>
      <c r="C1574" s="213">
        <v>66</v>
      </c>
      <c r="D1574">
        <f t="shared" si="24"/>
        <v>246</v>
      </c>
    </row>
    <row r="1575" spans="1:4">
      <c r="A1575" s="213">
        <v>8077</v>
      </c>
      <c r="B1575" s="213" t="s">
        <v>1663</v>
      </c>
      <c r="C1575" s="213">
        <v>24.2</v>
      </c>
      <c r="D1575">
        <f t="shared" si="24"/>
        <v>760</v>
      </c>
    </row>
    <row r="1576" spans="1:4">
      <c r="A1576" s="213">
        <v>8080</v>
      </c>
      <c r="B1576" s="213" t="s">
        <v>465</v>
      </c>
      <c r="C1576" s="213">
        <v>14.8</v>
      </c>
      <c r="D1576">
        <f t="shared" si="24"/>
        <v>1130</v>
      </c>
    </row>
    <row r="1577" spans="1:4">
      <c r="A1577" s="213">
        <v>8083</v>
      </c>
      <c r="B1577" s="213" t="s">
        <v>467</v>
      </c>
      <c r="C1577" s="213">
        <v>162</v>
      </c>
      <c r="D1577">
        <f t="shared" si="24"/>
        <v>71</v>
      </c>
    </row>
    <row r="1578" spans="1:4">
      <c r="A1578" s="213">
        <v>8084</v>
      </c>
      <c r="B1578" s="213" t="s">
        <v>1665</v>
      </c>
      <c r="C1578" s="213">
        <v>32.1</v>
      </c>
      <c r="D1578">
        <f t="shared" si="24"/>
        <v>575</v>
      </c>
    </row>
    <row r="1579" spans="1:4">
      <c r="A1579" s="213">
        <v>8085</v>
      </c>
      <c r="B1579" s="213" t="s">
        <v>468</v>
      </c>
      <c r="C1579" s="213">
        <v>4.5199999999999996</v>
      </c>
      <c r="D1579">
        <f t="shared" si="24"/>
        <v>1584</v>
      </c>
    </row>
    <row r="1580" spans="1:4">
      <c r="A1580" s="213">
        <v>8086</v>
      </c>
      <c r="B1580" s="213" t="s">
        <v>1666</v>
      </c>
      <c r="C1580" s="213">
        <v>47.8</v>
      </c>
      <c r="D1580">
        <f t="shared" si="24"/>
        <v>368</v>
      </c>
    </row>
    <row r="1581" spans="1:4">
      <c r="A1581" s="213">
        <v>8087</v>
      </c>
      <c r="B1581" s="213" t="s">
        <v>469</v>
      </c>
      <c r="C1581" s="213">
        <v>0</v>
      </c>
      <c r="D1581">
        <f t="shared" si="24"/>
        <v>1626</v>
      </c>
    </row>
    <row r="1582" spans="1:4">
      <c r="A1582" s="213">
        <v>8088</v>
      </c>
      <c r="B1582" s="213" t="s">
        <v>470</v>
      </c>
      <c r="C1582" s="213">
        <v>23.3</v>
      </c>
      <c r="D1582">
        <f t="shared" si="24"/>
        <v>803</v>
      </c>
    </row>
    <row r="1583" spans="1:4">
      <c r="A1583" s="213">
        <v>8091</v>
      </c>
      <c r="B1583" s="213" t="s">
        <v>1667</v>
      </c>
      <c r="C1583" s="213">
        <v>61.4</v>
      </c>
      <c r="D1583">
        <f t="shared" si="24"/>
        <v>269</v>
      </c>
    </row>
    <row r="1584" spans="1:4">
      <c r="A1584" s="213">
        <v>8092</v>
      </c>
      <c r="B1584" s="213" t="s">
        <v>1668</v>
      </c>
      <c r="C1584" s="213">
        <v>7.81</v>
      </c>
      <c r="D1584">
        <f t="shared" si="24"/>
        <v>1479</v>
      </c>
    </row>
    <row r="1585" spans="1:4">
      <c r="A1585" s="213">
        <v>8093</v>
      </c>
      <c r="B1585" s="213" t="s">
        <v>1669</v>
      </c>
      <c r="C1585" s="213">
        <v>7</v>
      </c>
      <c r="D1585">
        <f t="shared" si="24"/>
        <v>1516</v>
      </c>
    </row>
    <row r="1586" spans="1:4">
      <c r="A1586" s="213">
        <v>8096</v>
      </c>
      <c r="B1586" s="213" t="s">
        <v>1670</v>
      </c>
      <c r="C1586" s="213">
        <v>13.9</v>
      </c>
      <c r="D1586">
        <f t="shared" si="24"/>
        <v>1169</v>
      </c>
    </row>
    <row r="1587" spans="1:4">
      <c r="A1587" s="213">
        <v>8097</v>
      </c>
      <c r="B1587" s="213" t="s">
        <v>1671</v>
      </c>
      <c r="C1587" s="213">
        <v>10.8</v>
      </c>
      <c r="D1587">
        <f t="shared" si="24"/>
        <v>1321</v>
      </c>
    </row>
    <row r="1588" spans="1:4">
      <c r="A1588" s="213">
        <v>8099</v>
      </c>
      <c r="B1588" s="213" t="s">
        <v>1672</v>
      </c>
      <c r="C1588" s="213">
        <v>17.05</v>
      </c>
      <c r="D1588">
        <f t="shared" si="24"/>
        <v>1031</v>
      </c>
    </row>
    <row r="1589" spans="1:4">
      <c r="A1589" s="213">
        <v>8107</v>
      </c>
      <c r="B1589" s="213" t="s">
        <v>471</v>
      </c>
      <c r="C1589" s="213">
        <v>23.35</v>
      </c>
      <c r="D1589">
        <f t="shared" si="24"/>
        <v>802</v>
      </c>
    </row>
    <row r="1590" spans="1:4">
      <c r="A1590" s="213">
        <v>8109</v>
      </c>
      <c r="B1590" s="213" t="s">
        <v>1673</v>
      </c>
      <c r="C1590" s="213">
        <v>64.5</v>
      </c>
      <c r="D1590">
        <f t="shared" si="24"/>
        <v>252</v>
      </c>
    </row>
    <row r="1591" spans="1:4">
      <c r="A1591" s="213">
        <v>8111</v>
      </c>
      <c r="B1591" s="213" t="s">
        <v>1674</v>
      </c>
      <c r="C1591" s="213">
        <v>4.92</v>
      </c>
      <c r="D1591">
        <f t="shared" si="24"/>
        <v>1577</v>
      </c>
    </row>
    <row r="1592" spans="1:4">
      <c r="A1592" s="213">
        <v>8121</v>
      </c>
      <c r="B1592" s="213" t="s">
        <v>1675</v>
      </c>
      <c r="C1592" s="213">
        <v>13.1</v>
      </c>
      <c r="D1592">
        <f t="shared" si="24"/>
        <v>1208</v>
      </c>
    </row>
    <row r="1593" spans="1:4">
      <c r="A1593" s="213">
        <v>8147</v>
      </c>
      <c r="B1593" s="213" t="s">
        <v>1676</v>
      </c>
      <c r="C1593" s="213">
        <v>37.200000000000003</v>
      </c>
      <c r="D1593">
        <f t="shared" si="24"/>
        <v>491</v>
      </c>
    </row>
    <row r="1594" spans="1:4">
      <c r="A1594" s="213">
        <v>8155</v>
      </c>
      <c r="B1594" s="213" t="s">
        <v>1677</v>
      </c>
      <c r="C1594" s="213">
        <v>30.45</v>
      </c>
      <c r="D1594">
        <f t="shared" si="24"/>
        <v>604</v>
      </c>
    </row>
    <row r="1595" spans="1:4">
      <c r="A1595" s="213">
        <v>8171</v>
      </c>
      <c r="B1595" s="213" t="s">
        <v>1678</v>
      </c>
      <c r="C1595" s="213">
        <v>9.35</v>
      </c>
      <c r="D1595">
        <f t="shared" si="24"/>
        <v>1400</v>
      </c>
    </row>
    <row r="1596" spans="1:4">
      <c r="A1596" s="213">
        <v>8182</v>
      </c>
      <c r="B1596" s="213" t="s">
        <v>1680</v>
      </c>
      <c r="C1596" s="213">
        <v>14.25</v>
      </c>
      <c r="D1596">
        <f t="shared" si="24"/>
        <v>1148</v>
      </c>
    </row>
    <row r="1597" spans="1:4">
      <c r="A1597" s="213">
        <v>8183</v>
      </c>
      <c r="B1597" s="213" t="s">
        <v>1681</v>
      </c>
      <c r="C1597" s="213">
        <v>10.85</v>
      </c>
      <c r="D1597">
        <f t="shared" si="24"/>
        <v>1319</v>
      </c>
    </row>
    <row r="1598" spans="1:4">
      <c r="A1598" s="213">
        <v>8234</v>
      </c>
      <c r="B1598" s="213" t="s">
        <v>472</v>
      </c>
      <c r="C1598" s="213">
        <v>34</v>
      </c>
      <c r="D1598">
        <f t="shared" si="24"/>
        <v>538</v>
      </c>
    </row>
    <row r="1599" spans="1:4">
      <c r="A1599" s="213">
        <v>8240</v>
      </c>
      <c r="B1599" s="213" t="s">
        <v>1682</v>
      </c>
      <c r="C1599" s="213">
        <v>19.8</v>
      </c>
      <c r="D1599">
        <f t="shared" si="24"/>
        <v>917</v>
      </c>
    </row>
    <row r="1600" spans="1:4">
      <c r="A1600" s="213">
        <v>8255</v>
      </c>
      <c r="B1600" s="213" t="s">
        <v>1683</v>
      </c>
      <c r="C1600" s="213">
        <v>108</v>
      </c>
      <c r="D1600">
        <f t="shared" si="24"/>
        <v>125</v>
      </c>
    </row>
    <row r="1601" spans="1:4">
      <c r="A1601" s="213">
        <v>8266</v>
      </c>
      <c r="B1601" s="213" t="s">
        <v>1684</v>
      </c>
      <c r="C1601" s="213">
        <v>21.2</v>
      </c>
      <c r="D1601">
        <f t="shared" si="24"/>
        <v>869</v>
      </c>
    </row>
    <row r="1602" spans="1:4">
      <c r="A1602" s="213">
        <v>8277</v>
      </c>
      <c r="B1602" s="213" t="s">
        <v>1685</v>
      </c>
      <c r="C1602" s="213">
        <v>11.5</v>
      </c>
      <c r="D1602">
        <f t="shared" ref="D1602:D1665" si="25">RANK(C1602,C:C,0)</f>
        <v>1286</v>
      </c>
    </row>
    <row r="1603" spans="1:4">
      <c r="A1603" s="213">
        <v>8279</v>
      </c>
      <c r="B1603" s="213" t="s">
        <v>3166</v>
      </c>
      <c r="C1603" s="213">
        <v>126</v>
      </c>
      <c r="D1603">
        <f t="shared" si="25"/>
        <v>100</v>
      </c>
    </row>
    <row r="1604" spans="1:4">
      <c r="A1604" s="213">
        <v>8287</v>
      </c>
      <c r="B1604" s="213" t="s">
        <v>1686</v>
      </c>
      <c r="C1604" s="213">
        <v>16.8</v>
      </c>
      <c r="D1604">
        <f t="shared" si="25"/>
        <v>1045</v>
      </c>
    </row>
    <row r="1605" spans="1:4">
      <c r="A1605" s="213">
        <v>8289</v>
      </c>
      <c r="B1605" s="213" t="s">
        <v>1687</v>
      </c>
      <c r="C1605" s="213">
        <v>11.1</v>
      </c>
      <c r="D1605">
        <f t="shared" si="25"/>
        <v>1300</v>
      </c>
    </row>
    <row r="1606" spans="1:4">
      <c r="A1606" s="213">
        <v>8291</v>
      </c>
      <c r="B1606" s="213" t="s">
        <v>1688</v>
      </c>
      <c r="C1606" s="213">
        <v>6</v>
      </c>
      <c r="D1606">
        <f t="shared" si="25"/>
        <v>1556</v>
      </c>
    </row>
    <row r="1607" spans="1:4">
      <c r="A1607" s="213">
        <v>8299</v>
      </c>
      <c r="B1607" s="213" t="s">
        <v>1689</v>
      </c>
      <c r="C1607" s="213">
        <v>224.5</v>
      </c>
      <c r="D1607">
        <f t="shared" si="25"/>
        <v>37</v>
      </c>
    </row>
    <row r="1608" spans="1:4">
      <c r="A1608" s="213">
        <v>8349</v>
      </c>
      <c r="B1608" s="213" t="s">
        <v>1690</v>
      </c>
      <c r="C1608" s="213">
        <v>73.7</v>
      </c>
      <c r="D1608">
        <f t="shared" si="25"/>
        <v>211</v>
      </c>
    </row>
    <row r="1609" spans="1:4">
      <c r="A1609" s="213">
        <v>8354</v>
      </c>
      <c r="B1609" s="213" t="s">
        <v>1691</v>
      </c>
      <c r="C1609" s="213">
        <v>17.7</v>
      </c>
      <c r="D1609">
        <f t="shared" si="25"/>
        <v>992</v>
      </c>
    </row>
    <row r="1610" spans="1:4">
      <c r="A1610" s="213">
        <v>8358</v>
      </c>
      <c r="B1610" s="213" t="s">
        <v>1692</v>
      </c>
      <c r="C1610" s="213">
        <v>27.8</v>
      </c>
      <c r="D1610">
        <f t="shared" si="25"/>
        <v>669</v>
      </c>
    </row>
    <row r="1611" spans="1:4">
      <c r="A1611" s="213">
        <v>8383</v>
      </c>
      <c r="B1611" s="213" t="s">
        <v>473</v>
      </c>
      <c r="C1611" s="213">
        <v>50.1</v>
      </c>
      <c r="D1611">
        <f t="shared" si="25"/>
        <v>339</v>
      </c>
    </row>
    <row r="1612" spans="1:4">
      <c r="A1612" s="213">
        <v>8390</v>
      </c>
      <c r="B1612" s="213" t="s">
        <v>1693</v>
      </c>
      <c r="C1612" s="213">
        <v>13.6</v>
      </c>
      <c r="D1612">
        <f t="shared" si="25"/>
        <v>1184</v>
      </c>
    </row>
    <row r="1613" spans="1:4">
      <c r="A1613" s="213">
        <v>8401</v>
      </c>
      <c r="B1613" s="213" t="s">
        <v>1694</v>
      </c>
      <c r="C1613" s="213">
        <v>11</v>
      </c>
      <c r="D1613">
        <f t="shared" si="25"/>
        <v>1306</v>
      </c>
    </row>
    <row r="1614" spans="1:4">
      <c r="A1614" s="213">
        <v>8403</v>
      </c>
      <c r="B1614" s="213" t="s">
        <v>1695</v>
      </c>
      <c r="C1614" s="213">
        <v>35.950000000000003</v>
      </c>
      <c r="D1614">
        <f t="shared" si="25"/>
        <v>513</v>
      </c>
    </row>
    <row r="1615" spans="1:4">
      <c r="A1615" s="213">
        <v>8406</v>
      </c>
      <c r="B1615" s="213" t="s">
        <v>2136</v>
      </c>
      <c r="C1615" s="213">
        <v>304.5</v>
      </c>
      <c r="D1615">
        <f t="shared" si="25"/>
        <v>22</v>
      </c>
    </row>
    <row r="1616" spans="1:4">
      <c r="A1616" s="213">
        <v>8409</v>
      </c>
      <c r="B1616" s="213" t="s">
        <v>1697</v>
      </c>
      <c r="C1616" s="213">
        <v>22.5</v>
      </c>
      <c r="D1616">
        <f t="shared" si="25"/>
        <v>828</v>
      </c>
    </row>
    <row r="1617" spans="1:4">
      <c r="A1617" s="213">
        <v>8410</v>
      </c>
      <c r="B1617" s="213" t="s">
        <v>474</v>
      </c>
      <c r="C1617" s="213">
        <v>26.55</v>
      </c>
      <c r="D1617">
        <f t="shared" si="25"/>
        <v>698</v>
      </c>
    </row>
    <row r="1618" spans="1:4">
      <c r="A1618" s="213">
        <v>8415</v>
      </c>
      <c r="B1618" s="213" t="s">
        <v>3144</v>
      </c>
      <c r="C1618" s="213">
        <v>16.95</v>
      </c>
      <c r="D1618">
        <f t="shared" si="25"/>
        <v>1036</v>
      </c>
    </row>
    <row r="1619" spans="1:4">
      <c r="A1619" s="213">
        <v>8416</v>
      </c>
      <c r="B1619" s="213" t="s">
        <v>475</v>
      </c>
      <c r="C1619" s="213">
        <v>92.8</v>
      </c>
      <c r="D1619">
        <f t="shared" si="25"/>
        <v>149</v>
      </c>
    </row>
    <row r="1620" spans="1:4">
      <c r="A1620" s="213">
        <v>8418</v>
      </c>
      <c r="B1620" s="213" t="s">
        <v>2137</v>
      </c>
      <c r="C1620" s="213">
        <v>11.9</v>
      </c>
      <c r="D1620">
        <f t="shared" si="25"/>
        <v>1264</v>
      </c>
    </row>
    <row r="1621" spans="1:4">
      <c r="A1621" s="213">
        <v>8420</v>
      </c>
      <c r="B1621" s="213" t="s">
        <v>476</v>
      </c>
      <c r="C1621" s="213">
        <v>21.5</v>
      </c>
      <c r="D1621">
        <f t="shared" si="25"/>
        <v>863</v>
      </c>
    </row>
    <row r="1622" spans="1:4">
      <c r="A1622" s="213">
        <v>8421</v>
      </c>
      <c r="B1622" s="213" t="s">
        <v>477</v>
      </c>
      <c r="C1622" s="213">
        <v>19.899999999999999</v>
      </c>
      <c r="D1622">
        <f t="shared" si="25"/>
        <v>911</v>
      </c>
    </row>
    <row r="1623" spans="1:4">
      <c r="A1623" s="213">
        <v>8423</v>
      </c>
      <c r="B1623" s="213" t="s">
        <v>2138</v>
      </c>
      <c r="C1623" s="213">
        <v>0</v>
      </c>
      <c r="D1623">
        <f t="shared" si="25"/>
        <v>1626</v>
      </c>
    </row>
    <row r="1624" spans="1:4">
      <c r="A1624" s="213">
        <v>8424</v>
      </c>
      <c r="B1624" s="213" t="s">
        <v>478</v>
      </c>
      <c r="C1624" s="213">
        <v>33.799999999999997</v>
      </c>
      <c r="D1624">
        <f t="shared" si="25"/>
        <v>544</v>
      </c>
    </row>
    <row r="1625" spans="1:4">
      <c r="A1625" s="213">
        <v>8426</v>
      </c>
      <c r="B1625" s="213" t="s">
        <v>2139</v>
      </c>
      <c r="C1625" s="213">
        <v>49.7</v>
      </c>
      <c r="D1625">
        <f t="shared" si="25"/>
        <v>343</v>
      </c>
    </row>
    <row r="1626" spans="1:4">
      <c r="A1626" s="213">
        <v>8431</v>
      </c>
      <c r="B1626" s="213" t="s">
        <v>479</v>
      </c>
      <c r="C1626" s="213">
        <v>60.6</v>
      </c>
      <c r="D1626">
        <f t="shared" si="25"/>
        <v>273</v>
      </c>
    </row>
    <row r="1627" spans="1:4">
      <c r="A1627" s="213">
        <v>8432</v>
      </c>
      <c r="B1627" s="213" t="s">
        <v>480</v>
      </c>
      <c r="C1627" s="213">
        <v>78.400000000000006</v>
      </c>
      <c r="D1627">
        <f t="shared" si="25"/>
        <v>199</v>
      </c>
    </row>
    <row r="1628" spans="1:4">
      <c r="A1628" s="213">
        <v>8433</v>
      </c>
      <c r="B1628" s="213" t="s">
        <v>481</v>
      </c>
      <c r="C1628" s="213">
        <v>171.5</v>
      </c>
      <c r="D1628">
        <f t="shared" si="25"/>
        <v>65</v>
      </c>
    </row>
    <row r="1629" spans="1:4">
      <c r="A1629" s="213">
        <v>8435</v>
      </c>
      <c r="B1629" s="213" t="s">
        <v>482</v>
      </c>
      <c r="C1629" s="213">
        <v>40.75</v>
      </c>
      <c r="D1629">
        <f t="shared" si="25"/>
        <v>442</v>
      </c>
    </row>
    <row r="1630" spans="1:4">
      <c r="A1630" s="213">
        <v>8436</v>
      </c>
      <c r="B1630" s="213" t="s">
        <v>1701</v>
      </c>
      <c r="C1630" s="213">
        <v>165</v>
      </c>
      <c r="D1630">
        <f t="shared" si="25"/>
        <v>69</v>
      </c>
    </row>
    <row r="1631" spans="1:4">
      <c r="A1631" s="213">
        <v>8437</v>
      </c>
      <c r="B1631" s="213" t="s">
        <v>2140</v>
      </c>
      <c r="C1631" s="213">
        <v>189</v>
      </c>
      <c r="D1631">
        <f t="shared" si="25"/>
        <v>55</v>
      </c>
    </row>
    <row r="1632" spans="1:4">
      <c r="A1632" s="213">
        <v>8444</v>
      </c>
      <c r="B1632" s="213" t="s">
        <v>2141</v>
      </c>
      <c r="C1632" s="213">
        <v>172.5</v>
      </c>
      <c r="D1632">
        <f t="shared" si="25"/>
        <v>63</v>
      </c>
    </row>
    <row r="1633" spans="1:4">
      <c r="A1633" s="213">
        <v>8446</v>
      </c>
      <c r="B1633" s="213" t="s">
        <v>1703</v>
      </c>
      <c r="C1633" s="213">
        <v>112.5</v>
      </c>
      <c r="D1633">
        <f t="shared" si="25"/>
        <v>117</v>
      </c>
    </row>
    <row r="1634" spans="1:4">
      <c r="A1634" s="213">
        <v>8450</v>
      </c>
      <c r="B1634" s="213" t="s">
        <v>483</v>
      </c>
      <c r="C1634" s="213">
        <v>97.3</v>
      </c>
      <c r="D1634">
        <f t="shared" si="25"/>
        <v>137</v>
      </c>
    </row>
    <row r="1635" spans="1:4">
      <c r="A1635" s="213">
        <v>8455</v>
      </c>
      <c r="B1635" s="213" t="s">
        <v>2142</v>
      </c>
      <c r="C1635" s="213">
        <v>34.75</v>
      </c>
      <c r="D1635">
        <f t="shared" si="25"/>
        <v>530</v>
      </c>
    </row>
    <row r="1636" spans="1:4">
      <c r="A1636" s="213">
        <v>8462</v>
      </c>
      <c r="B1636" s="213" t="s">
        <v>1834</v>
      </c>
      <c r="C1636" s="213">
        <v>97.5</v>
      </c>
      <c r="D1636">
        <f t="shared" si="25"/>
        <v>136</v>
      </c>
    </row>
    <row r="1637" spans="1:4">
      <c r="A1637" s="213">
        <v>8472</v>
      </c>
      <c r="B1637" s="213" t="s">
        <v>1799</v>
      </c>
      <c r="C1637" s="213">
        <v>43.2</v>
      </c>
      <c r="D1637">
        <f t="shared" si="25"/>
        <v>412</v>
      </c>
    </row>
    <row r="1638" spans="1:4">
      <c r="A1638" s="213">
        <v>8905</v>
      </c>
      <c r="B1638" s="213" t="s">
        <v>1704</v>
      </c>
      <c r="C1638" s="213">
        <v>13.45</v>
      </c>
      <c r="D1638">
        <f t="shared" si="25"/>
        <v>1190</v>
      </c>
    </row>
    <row r="1639" spans="1:4">
      <c r="A1639" s="213">
        <v>8906</v>
      </c>
      <c r="B1639" s="213" t="s">
        <v>1705</v>
      </c>
      <c r="C1639" s="213">
        <v>0</v>
      </c>
      <c r="D1639">
        <f t="shared" si="25"/>
        <v>1626</v>
      </c>
    </row>
    <row r="1640" spans="1:4">
      <c r="A1640" s="213">
        <v>8908</v>
      </c>
      <c r="B1640" s="213" t="s">
        <v>484</v>
      </c>
      <c r="C1640" s="213">
        <v>29.15</v>
      </c>
      <c r="D1640">
        <f t="shared" si="25"/>
        <v>634</v>
      </c>
    </row>
    <row r="1641" spans="1:4">
      <c r="A1641" s="213">
        <v>8913</v>
      </c>
      <c r="B1641" s="213" t="s">
        <v>485</v>
      </c>
      <c r="C1641" s="213">
        <v>20</v>
      </c>
      <c r="D1641">
        <f t="shared" si="25"/>
        <v>903</v>
      </c>
    </row>
    <row r="1642" spans="1:4">
      <c r="A1642" s="213">
        <v>8916</v>
      </c>
      <c r="B1642" s="213" t="s">
        <v>486</v>
      </c>
      <c r="C1642" s="213">
        <v>48.7</v>
      </c>
      <c r="D1642">
        <f t="shared" si="25"/>
        <v>353</v>
      </c>
    </row>
    <row r="1643" spans="1:4">
      <c r="A1643" s="213">
        <v>8917</v>
      </c>
      <c r="B1643" s="213" t="s">
        <v>487</v>
      </c>
      <c r="C1643" s="213">
        <v>48.5</v>
      </c>
      <c r="D1643">
        <f t="shared" si="25"/>
        <v>356</v>
      </c>
    </row>
    <row r="1644" spans="1:4">
      <c r="A1644" s="213">
        <v>8921</v>
      </c>
      <c r="B1644" s="213" t="s">
        <v>1706</v>
      </c>
      <c r="C1644" s="213">
        <v>0</v>
      </c>
      <c r="D1644">
        <f t="shared" si="25"/>
        <v>1626</v>
      </c>
    </row>
    <row r="1645" spans="1:4">
      <c r="A1645" s="213">
        <v>8923</v>
      </c>
      <c r="B1645" s="213" t="s">
        <v>1707</v>
      </c>
      <c r="C1645" s="213">
        <v>0</v>
      </c>
      <c r="D1645">
        <f t="shared" si="25"/>
        <v>1626</v>
      </c>
    </row>
    <row r="1646" spans="1:4">
      <c r="A1646" s="213">
        <v>8924</v>
      </c>
      <c r="B1646" s="213" t="s">
        <v>1708</v>
      </c>
      <c r="C1646" s="213">
        <v>14</v>
      </c>
      <c r="D1646">
        <f t="shared" si="25"/>
        <v>1162</v>
      </c>
    </row>
    <row r="1647" spans="1:4">
      <c r="A1647" s="213">
        <v>8927</v>
      </c>
      <c r="B1647" s="213" t="s">
        <v>488</v>
      </c>
      <c r="C1647" s="213">
        <v>10</v>
      </c>
      <c r="D1647">
        <f t="shared" si="25"/>
        <v>1365</v>
      </c>
    </row>
    <row r="1648" spans="1:4">
      <c r="A1648" s="213">
        <v>8928</v>
      </c>
      <c r="B1648" s="213" t="s">
        <v>489</v>
      </c>
      <c r="C1648" s="213">
        <v>26.2</v>
      </c>
      <c r="D1648">
        <f t="shared" si="25"/>
        <v>704</v>
      </c>
    </row>
    <row r="1649" spans="1:4">
      <c r="A1649" s="213">
        <v>8929</v>
      </c>
      <c r="B1649" s="213" t="s">
        <v>490</v>
      </c>
      <c r="C1649" s="213">
        <v>24.2</v>
      </c>
      <c r="D1649">
        <f t="shared" si="25"/>
        <v>760</v>
      </c>
    </row>
    <row r="1650" spans="1:4">
      <c r="A1650" s="213">
        <v>8930</v>
      </c>
      <c r="B1650" s="213" t="s">
        <v>491</v>
      </c>
      <c r="C1650" s="213">
        <v>10.6</v>
      </c>
      <c r="D1650">
        <f t="shared" si="25"/>
        <v>1327</v>
      </c>
    </row>
    <row r="1651" spans="1:4">
      <c r="A1651" s="213">
        <v>8931</v>
      </c>
      <c r="B1651" s="213" t="s">
        <v>1709</v>
      </c>
      <c r="C1651" s="213">
        <v>19.100000000000001</v>
      </c>
      <c r="D1651">
        <f t="shared" si="25"/>
        <v>932</v>
      </c>
    </row>
    <row r="1652" spans="1:4">
      <c r="A1652" s="213">
        <v>8932</v>
      </c>
      <c r="B1652" s="213" t="s">
        <v>1710</v>
      </c>
      <c r="C1652" s="213">
        <v>9.17</v>
      </c>
      <c r="D1652">
        <f t="shared" si="25"/>
        <v>1410</v>
      </c>
    </row>
    <row r="1653" spans="1:4">
      <c r="A1653" s="213">
        <v>8933</v>
      </c>
      <c r="B1653" s="213" t="s">
        <v>1711</v>
      </c>
      <c r="C1653" s="213">
        <v>10.55</v>
      </c>
      <c r="D1653">
        <f t="shared" si="25"/>
        <v>1329</v>
      </c>
    </row>
    <row r="1654" spans="1:4">
      <c r="A1654" s="213">
        <v>8934</v>
      </c>
      <c r="B1654" s="213" t="s">
        <v>1712</v>
      </c>
      <c r="C1654" s="213">
        <v>27</v>
      </c>
      <c r="D1654">
        <f t="shared" si="25"/>
        <v>688</v>
      </c>
    </row>
    <row r="1655" spans="1:4">
      <c r="A1655" s="213">
        <v>8935</v>
      </c>
      <c r="B1655" s="213" t="s">
        <v>492</v>
      </c>
      <c r="C1655" s="213">
        <v>6.9</v>
      </c>
      <c r="D1655">
        <f t="shared" si="25"/>
        <v>1521</v>
      </c>
    </row>
    <row r="1656" spans="1:4">
      <c r="A1656" s="213">
        <v>8936</v>
      </c>
      <c r="B1656" s="213" t="s">
        <v>1713</v>
      </c>
      <c r="C1656" s="213">
        <v>17.8</v>
      </c>
      <c r="D1656">
        <f t="shared" si="25"/>
        <v>984</v>
      </c>
    </row>
    <row r="1657" spans="1:4">
      <c r="A1657" s="213">
        <v>8937</v>
      </c>
      <c r="B1657" s="213" t="s">
        <v>1714</v>
      </c>
      <c r="C1657" s="213">
        <v>10.3</v>
      </c>
      <c r="D1657">
        <f t="shared" si="25"/>
        <v>1338</v>
      </c>
    </row>
    <row r="1658" spans="1:4">
      <c r="A1658" s="213">
        <v>8938</v>
      </c>
      <c r="B1658" s="213" t="s">
        <v>493</v>
      </c>
      <c r="C1658" s="213">
        <v>20.350000000000001</v>
      </c>
      <c r="D1658">
        <f t="shared" si="25"/>
        <v>893</v>
      </c>
    </row>
    <row r="1659" spans="1:4">
      <c r="A1659" s="213">
        <v>8941</v>
      </c>
      <c r="B1659" s="213" t="s">
        <v>494</v>
      </c>
      <c r="C1659" s="213">
        <v>71</v>
      </c>
      <c r="D1659">
        <f t="shared" si="25"/>
        <v>223</v>
      </c>
    </row>
    <row r="1660" spans="1:4">
      <c r="A1660" s="213">
        <v>8942</v>
      </c>
      <c r="B1660" s="213" t="s">
        <v>1715</v>
      </c>
      <c r="C1660" s="213">
        <v>82.4</v>
      </c>
      <c r="D1660">
        <f t="shared" si="25"/>
        <v>182</v>
      </c>
    </row>
    <row r="1661" spans="1:4">
      <c r="A1661" s="213">
        <v>9949</v>
      </c>
      <c r="B1661" s="213" t="s">
        <v>495</v>
      </c>
      <c r="C1661" s="213">
        <v>12.25</v>
      </c>
      <c r="D1661">
        <f t="shared" si="25"/>
        <v>1245</v>
      </c>
    </row>
    <row r="1662" spans="1:4">
      <c r="A1662" s="213">
        <v>9950</v>
      </c>
      <c r="B1662" s="213" t="s">
        <v>1717</v>
      </c>
      <c r="C1662" s="213">
        <v>16.7</v>
      </c>
      <c r="D1662">
        <f t="shared" si="25"/>
        <v>1047</v>
      </c>
    </row>
    <row r="1663" spans="1:4">
      <c r="A1663" s="213">
        <v>9951</v>
      </c>
      <c r="B1663" s="213" t="s">
        <v>1718</v>
      </c>
      <c r="C1663" s="213">
        <v>189</v>
      </c>
      <c r="D1663">
        <f t="shared" si="25"/>
        <v>55</v>
      </c>
    </row>
    <row r="1664" spans="1:4">
      <c r="A1664" s="213">
        <v>9960</v>
      </c>
      <c r="B1664" s="213" t="s">
        <v>496</v>
      </c>
      <c r="C1664" s="213">
        <v>35.1</v>
      </c>
      <c r="D1664">
        <f t="shared" si="25"/>
        <v>525</v>
      </c>
    </row>
    <row r="1665" spans="1:4">
      <c r="A1665" s="213">
        <v>9962</v>
      </c>
      <c r="B1665" s="213" t="s">
        <v>1719</v>
      </c>
      <c r="C1665" s="213">
        <v>9.68</v>
      </c>
      <c r="D1665">
        <f t="shared" si="25"/>
        <v>1385</v>
      </c>
    </row>
  </sheetData>
  <phoneticPr fontId="2" type="noConversion"/>
  <pageMargins left="0.7" right="0.7" top="0.75" bottom="0.75" header="0.3" footer="0.3"/>
  <legacyDrawing r:id="rId1"/>
  <controls>
    <control shapeId="22529" r:id="rId2" name="CommandButton1"/>
  </controls>
</worksheet>
</file>

<file path=xl/worksheets/sheet10.xml><?xml version="1.0" encoding="utf-8"?>
<worksheet xmlns="http://schemas.openxmlformats.org/spreadsheetml/2006/main" xmlns:r="http://schemas.openxmlformats.org/officeDocument/2006/relationships">
  <sheetPr codeName="工作表7"/>
  <dimension ref="A1:K64"/>
  <sheetViews>
    <sheetView workbookViewId="0">
      <selection activeCell="C11" sqref="C11"/>
    </sheetView>
  </sheetViews>
  <sheetFormatPr defaultRowHeight="16.5"/>
  <cols>
    <col min="1" max="1" width="9.625" bestFit="1" customWidth="1"/>
    <col min="2" max="2" width="7.5" bestFit="1" customWidth="1"/>
    <col min="3" max="3" width="8.5" bestFit="1" customWidth="1"/>
    <col min="4" max="5" width="7.875" bestFit="1" customWidth="1"/>
    <col min="6" max="6" width="8.5" bestFit="1" customWidth="1"/>
    <col min="7" max="8" width="16" bestFit="1" customWidth="1"/>
    <col min="9" max="9" width="5.5" bestFit="1" customWidth="1"/>
    <col min="10" max="10" width="5.625" bestFit="1" customWidth="1"/>
    <col min="11" max="11" width="10.625" bestFit="1" customWidth="1"/>
  </cols>
  <sheetData>
    <row r="1" spans="1:11">
      <c r="B1" s="145">
        <f>(B4-E5)/E4</f>
        <v>-1.7211703958691911E-3</v>
      </c>
      <c r="C1" s="145">
        <f>(B5-E6)/E5</f>
        <v>1.1589403973509934E-2</v>
      </c>
      <c r="D1" s="145">
        <f>(B6-E7)/E6</f>
        <v>0</v>
      </c>
      <c r="E1" s="145">
        <f>(B7-E8)/E7</f>
        <v>0</v>
      </c>
      <c r="F1" s="145">
        <f>(B8-E9)/E8</f>
        <v>-4.9916805324459234E-3</v>
      </c>
      <c r="G1" s="145">
        <f>(B9-E10)/E9</f>
        <v>9.5846645367412137E-3</v>
      </c>
      <c r="H1" s="145">
        <f>(B10-E11)/E10</f>
        <v>1.1182108626198083E-2</v>
      </c>
    </row>
    <row r="3" spans="1:11">
      <c r="A3" s="276" t="s">
        <v>1853</v>
      </c>
      <c r="B3" s="276" t="s">
        <v>3031</v>
      </c>
      <c r="C3" s="276" t="s">
        <v>3032</v>
      </c>
      <c r="D3" s="276" t="s">
        <v>3033</v>
      </c>
      <c r="E3" s="276" t="s">
        <v>3034</v>
      </c>
      <c r="F3" s="345" t="s">
        <v>3035</v>
      </c>
      <c r="G3" s="345" t="s">
        <v>3036</v>
      </c>
      <c r="H3" s="345" t="s">
        <v>3037</v>
      </c>
      <c r="I3" s="345" t="s">
        <v>3038</v>
      </c>
      <c r="J3" s="345" t="s">
        <v>3039</v>
      </c>
      <c r="K3" s="345" t="s">
        <v>3040</v>
      </c>
    </row>
    <row r="4" spans="1:11">
      <c r="A4" s="326">
        <v>42663</v>
      </c>
      <c r="B4">
        <v>301.5</v>
      </c>
      <c r="C4">
        <v>301.5</v>
      </c>
      <c r="D4">
        <v>290.5</v>
      </c>
      <c r="E4">
        <v>290.5</v>
      </c>
      <c r="F4">
        <v>1938</v>
      </c>
      <c r="G4">
        <f t="shared" ref="G4:G35" si="0">MAX(C4:C58)</f>
        <v>529</v>
      </c>
      <c r="H4">
        <f t="shared" ref="H4:H35" si="1">MIN(D4:D58)</f>
        <v>290.5</v>
      </c>
      <c r="I4">
        <f t="shared" ref="I4:I35" si="2">G4-E4</f>
        <v>238.5</v>
      </c>
      <c r="J4">
        <f t="shared" ref="J4:J35" si="3">G4-H4</f>
        <v>238.5</v>
      </c>
      <c r="K4" s="299">
        <f t="shared" ref="K4:K35" si="4">(I4/J4)*-100</f>
        <v>-100</v>
      </c>
    </row>
    <row r="5" spans="1:11">
      <c r="A5" s="50">
        <v>42662</v>
      </c>
      <c r="B5">
        <v>306.5</v>
      </c>
      <c r="C5">
        <v>308.5</v>
      </c>
      <c r="D5">
        <v>302</v>
      </c>
      <c r="E5">
        <v>302</v>
      </c>
      <c r="F5">
        <v>907</v>
      </c>
      <c r="G5">
        <f t="shared" si="0"/>
        <v>529</v>
      </c>
      <c r="H5">
        <f t="shared" si="1"/>
        <v>293.5</v>
      </c>
      <c r="I5">
        <f t="shared" si="2"/>
        <v>227</v>
      </c>
      <c r="J5">
        <f t="shared" si="3"/>
        <v>235.5</v>
      </c>
      <c r="K5" s="299">
        <f t="shared" si="4"/>
        <v>-96.390658174097666</v>
      </c>
    </row>
    <row r="6" spans="1:11">
      <c r="A6" s="50">
        <v>42661</v>
      </c>
      <c r="B6">
        <v>306</v>
      </c>
      <c r="C6">
        <v>307.5</v>
      </c>
      <c r="D6">
        <v>303</v>
      </c>
      <c r="E6">
        <v>303</v>
      </c>
      <c r="F6">
        <v>364</v>
      </c>
      <c r="G6">
        <f t="shared" si="0"/>
        <v>529</v>
      </c>
      <c r="H6">
        <f t="shared" si="1"/>
        <v>293.5</v>
      </c>
      <c r="I6">
        <f t="shared" si="2"/>
        <v>226</v>
      </c>
      <c r="J6">
        <f t="shared" si="3"/>
        <v>235.5</v>
      </c>
      <c r="K6" s="299">
        <f t="shared" si="4"/>
        <v>-95.966029723991511</v>
      </c>
    </row>
    <row r="7" spans="1:11">
      <c r="A7" s="50">
        <v>42660</v>
      </c>
      <c r="B7">
        <v>300.5</v>
      </c>
      <c r="C7">
        <v>306.5</v>
      </c>
      <c r="D7">
        <v>293.5</v>
      </c>
      <c r="E7">
        <v>306</v>
      </c>
      <c r="F7">
        <v>1288</v>
      </c>
      <c r="G7">
        <f t="shared" si="0"/>
        <v>529</v>
      </c>
      <c r="H7">
        <f t="shared" si="1"/>
        <v>293.5</v>
      </c>
      <c r="I7">
        <f t="shared" si="2"/>
        <v>223</v>
      </c>
      <c r="J7">
        <f t="shared" si="3"/>
        <v>235.5</v>
      </c>
      <c r="K7" s="299">
        <f t="shared" si="4"/>
        <v>-94.692144373673031</v>
      </c>
    </row>
    <row r="8" spans="1:11">
      <c r="A8" s="50">
        <v>42657</v>
      </c>
      <c r="B8">
        <v>311.5</v>
      </c>
      <c r="C8">
        <v>313</v>
      </c>
      <c r="D8">
        <v>299.5</v>
      </c>
      <c r="E8">
        <v>300.5</v>
      </c>
      <c r="F8">
        <v>1467</v>
      </c>
      <c r="G8">
        <f t="shared" si="0"/>
        <v>529</v>
      </c>
      <c r="H8">
        <f t="shared" si="1"/>
        <v>295.5</v>
      </c>
      <c r="I8">
        <f t="shared" si="2"/>
        <v>228.5</v>
      </c>
      <c r="J8">
        <f t="shared" si="3"/>
        <v>233.5</v>
      </c>
      <c r="K8" s="299">
        <f t="shared" si="4"/>
        <v>-97.858672376873656</v>
      </c>
    </row>
    <row r="9" spans="1:11">
      <c r="A9" s="50">
        <v>42656</v>
      </c>
      <c r="B9">
        <v>316</v>
      </c>
      <c r="C9">
        <v>317.5</v>
      </c>
      <c r="D9">
        <v>311</v>
      </c>
      <c r="E9">
        <v>313</v>
      </c>
      <c r="F9">
        <v>538</v>
      </c>
      <c r="G9">
        <f t="shared" si="0"/>
        <v>529</v>
      </c>
      <c r="H9">
        <f t="shared" si="1"/>
        <v>295.5</v>
      </c>
      <c r="I9">
        <f t="shared" si="2"/>
        <v>216</v>
      </c>
      <c r="J9">
        <f t="shared" si="3"/>
        <v>233.5</v>
      </c>
      <c r="K9" s="299">
        <f t="shared" si="4"/>
        <v>-92.505353319057818</v>
      </c>
    </row>
    <row r="10" spans="1:11">
      <c r="A10" s="50">
        <v>42655</v>
      </c>
      <c r="B10">
        <v>319</v>
      </c>
      <c r="C10">
        <v>321.5</v>
      </c>
      <c r="D10">
        <v>313</v>
      </c>
      <c r="E10">
        <v>313</v>
      </c>
      <c r="F10">
        <v>643</v>
      </c>
      <c r="G10">
        <f t="shared" si="0"/>
        <v>529</v>
      </c>
      <c r="H10">
        <f t="shared" si="1"/>
        <v>295.5</v>
      </c>
      <c r="I10">
        <f t="shared" si="2"/>
        <v>216</v>
      </c>
      <c r="J10">
        <f t="shared" si="3"/>
        <v>233.5</v>
      </c>
      <c r="K10" s="299">
        <f t="shared" si="4"/>
        <v>-92.505353319057818</v>
      </c>
    </row>
    <row r="11" spans="1:11">
      <c r="A11" s="50">
        <v>42654</v>
      </c>
      <c r="B11">
        <v>321</v>
      </c>
      <c r="C11">
        <v>326</v>
      </c>
      <c r="D11">
        <v>311</v>
      </c>
      <c r="E11">
        <v>315.5</v>
      </c>
      <c r="F11">
        <v>1358</v>
      </c>
      <c r="G11">
        <f t="shared" si="0"/>
        <v>529</v>
      </c>
      <c r="H11">
        <f t="shared" si="1"/>
        <v>295.5</v>
      </c>
      <c r="I11">
        <f t="shared" si="2"/>
        <v>213.5</v>
      </c>
      <c r="J11">
        <f t="shared" si="3"/>
        <v>233.5</v>
      </c>
      <c r="K11" s="299">
        <f t="shared" si="4"/>
        <v>-91.434689507494653</v>
      </c>
    </row>
    <row r="12" spans="1:11">
      <c r="A12" s="50">
        <v>42650</v>
      </c>
      <c r="B12">
        <v>316.5</v>
      </c>
      <c r="C12">
        <v>319.5</v>
      </c>
      <c r="D12">
        <v>315</v>
      </c>
      <c r="E12">
        <v>317.5</v>
      </c>
      <c r="F12">
        <v>664</v>
      </c>
      <c r="G12">
        <f t="shared" si="0"/>
        <v>529</v>
      </c>
      <c r="H12">
        <f t="shared" si="1"/>
        <v>295.5</v>
      </c>
      <c r="I12">
        <f t="shared" si="2"/>
        <v>211.5</v>
      </c>
      <c r="J12">
        <f t="shared" si="3"/>
        <v>233.5</v>
      </c>
      <c r="K12" s="299">
        <f t="shared" si="4"/>
        <v>-90.578158458244104</v>
      </c>
    </row>
    <row r="13" spans="1:11">
      <c r="A13" s="50">
        <v>42649</v>
      </c>
      <c r="B13">
        <v>323</v>
      </c>
      <c r="C13">
        <v>325.5</v>
      </c>
      <c r="D13">
        <v>319</v>
      </c>
      <c r="E13">
        <v>321.5</v>
      </c>
      <c r="F13">
        <v>1853</v>
      </c>
      <c r="G13">
        <f t="shared" si="0"/>
        <v>529</v>
      </c>
      <c r="H13">
        <f t="shared" si="1"/>
        <v>295.5</v>
      </c>
      <c r="I13">
        <f t="shared" si="2"/>
        <v>207.5</v>
      </c>
      <c r="J13">
        <f t="shared" si="3"/>
        <v>233.5</v>
      </c>
      <c r="K13" s="299">
        <f t="shared" si="4"/>
        <v>-88.865096359743049</v>
      </c>
    </row>
    <row r="14" spans="1:11">
      <c r="A14" s="50">
        <v>42648</v>
      </c>
      <c r="B14">
        <v>296</v>
      </c>
      <c r="C14">
        <v>323</v>
      </c>
      <c r="D14">
        <v>296</v>
      </c>
      <c r="E14">
        <v>318</v>
      </c>
      <c r="F14">
        <v>3476</v>
      </c>
      <c r="G14">
        <f t="shared" si="0"/>
        <v>529</v>
      </c>
      <c r="H14">
        <f t="shared" si="1"/>
        <v>295.5</v>
      </c>
      <c r="I14">
        <f t="shared" si="2"/>
        <v>211</v>
      </c>
      <c r="J14">
        <f t="shared" si="3"/>
        <v>233.5</v>
      </c>
      <c r="K14" s="299">
        <f t="shared" si="4"/>
        <v>-90.364025695931488</v>
      </c>
    </row>
    <row r="15" spans="1:11">
      <c r="A15" s="50">
        <v>42647</v>
      </c>
      <c r="B15">
        <v>322</v>
      </c>
      <c r="C15">
        <v>326</v>
      </c>
      <c r="D15">
        <v>312</v>
      </c>
      <c r="E15">
        <v>314</v>
      </c>
      <c r="F15">
        <v>2162</v>
      </c>
      <c r="G15">
        <f t="shared" si="0"/>
        <v>529</v>
      </c>
      <c r="H15">
        <f t="shared" si="1"/>
        <v>295.5</v>
      </c>
      <c r="I15">
        <f t="shared" si="2"/>
        <v>215</v>
      </c>
      <c r="J15">
        <f t="shared" si="3"/>
        <v>233.5</v>
      </c>
      <c r="K15" s="299">
        <f t="shared" si="4"/>
        <v>-92.077087794432543</v>
      </c>
    </row>
    <row r="16" spans="1:11">
      <c r="A16" s="50">
        <v>42646</v>
      </c>
      <c r="B16">
        <v>341</v>
      </c>
      <c r="C16">
        <v>343</v>
      </c>
      <c r="D16">
        <v>328</v>
      </c>
      <c r="E16">
        <v>328</v>
      </c>
      <c r="F16">
        <v>2635</v>
      </c>
      <c r="G16">
        <f t="shared" si="0"/>
        <v>529</v>
      </c>
      <c r="H16">
        <f t="shared" si="1"/>
        <v>295.5</v>
      </c>
      <c r="I16">
        <f t="shared" si="2"/>
        <v>201</v>
      </c>
      <c r="J16">
        <f t="shared" si="3"/>
        <v>233.5</v>
      </c>
      <c r="K16" s="299">
        <f t="shared" si="4"/>
        <v>-86.081370449678801</v>
      </c>
    </row>
    <row r="17" spans="1:11">
      <c r="A17" s="50">
        <v>42643</v>
      </c>
      <c r="B17">
        <v>347</v>
      </c>
      <c r="C17">
        <v>347</v>
      </c>
      <c r="D17">
        <v>338.5</v>
      </c>
      <c r="E17">
        <v>346</v>
      </c>
      <c r="F17">
        <v>1399</v>
      </c>
      <c r="G17">
        <f t="shared" si="0"/>
        <v>529</v>
      </c>
      <c r="H17">
        <f t="shared" si="1"/>
        <v>295.5</v>
      </c>
      <c r="I17">
        <f t="shared" si="2"/>
        <v>183</v>
      </c>
      <c r="J17">
        <f t="shared" si="3"/>
        <v>233.5</v>
      </c>
      <c r="K17" s="299">
        <f t="shared" si="4"/>
        <v>-78.372591006423988</v>
      </c>
    </row>
    <row r="18" spans="1:11">
      <c r="A18" s="50">
        <v>42642</v>
      </c>
      <c r="B18">
        <v>358</v>
      </c>
      <c r="C18">
        <v>358.5</v>
      </c>
      <c r="D18">
        <v>347.5</v>
      </c>
      <c r="E18">
        <v>347.5</v>
      </c>
      <c r="F18">
        <v>1417</v>
      </c>
      <c r="G18">
        <f t="shared" si="0"/>
        <v>529</v>
      </c>
      <c r="H18">
        <f t="shared" si="1"/>
        <v>295.5</v>
      </c>
      <c r="I18">
        <f t="shared" si="2"/>
        <v>181.5</v>
      </c>
      <c r="J18">
        <f t="shared" si="3"/>
        <v>233.5</v>
      </c>
      <c r="K18" s="299">
        <f t="shared" si="4"/>
        <v>-77.730192719486084</v>
      </c>
    </row>
    <row r="19" spans="1:11">
      <c r="A19" s="50">
        <v>42639</v>
      </c>
      <c r="B19">
        <v>354.5</v>
      </c>
      <c r="C19">
        <v>359.5</v>
      </c>
      <c r="D19">
        <v>354</v>
      </c>
      <c r="E19">
        <v>358</v>
      </c>
      <c r="F19">
        <v>1385</v>
      </c>
      <c r="G19">
        <f t="shared" si="0"/>
        <v>529</v>
      </c>
      <c r="H19">
        <f t="shared" si="1"/>
        <v>295.5</v>
      </c>
      <c r="I19">
        <f t="shared" si="2"/>
        <v>171</v>
      </c>
      <c r="J19">
        <f t="shared" si="3"/>
        <v>233.5</v>
      </c>
      <c r="K19" s="299">
        <f t="shared" si="4"/>
        <v>-73.233404710920766</v>
      </c>
    </row>
    <row r="20" spans="1:11">
      <c r="A20" s="50">
        <v>42636</v>
      </c>
      <c r="B20">
        <v>341</v>
      </c>
      <c r="C20">
        <v>360</v>
      </c>
      <c r="D20">
        <v>341</v>
      </c>
      <c r="E20">
        <v>352.5</v>
      </c>
      <c r="F20">
        <v>1978</v>
      </c>
      <c r="G20">
        <f t="shared" si="0"/>
        <v>529</v>
      </c>
      <c r="H20">
        <f t="shared" si="1"/>
        <v>295.5</v>
      </c>
      <c r="I20">
        <f t="shared" si="2"/>
        <v>176.5</v>
      </c>
      <c r="J20">
        <f t="shared" si="3"/>
        <v>233.5</v>
      </c>
      <c r="K20" s="299">
        <f t="shared" si="4"/>
        <v>-75.588865096359754</v>
      </c>
    </row>
    <row r="21" spans="1:11">
      <c r="A21" s="50">
        <v>42635</v>
      </c>
      <c r="B21">
        <v>346</v>
      </c>
      <c r="C21">
        <v>346</v>
      </c>
      <c r="D21">
        <v>338.5</v>
      </c>
      <c r="E21">
        <v>340</v>
      </c>
      <c r="F21">
        <v>1525</v>
      </c>
      <c r="G21">
        <f t="shared" si="0"/>
        <v>529</v>
      </c>
      <c r="H21">
        <f t="shared" si="1"/>
        <v>295.5</v>
      </c>
      <c r="I21">
        <f t="shared" si="2"/>
        <v>189</v>
      </c>
      <c r="J21">
        <f t="shared" si="3"/>
        <v>233.5</v>
      </c>
      <c r="K21" s="299">
        <f t="shared" si="4"/>
        <v>-80.942184154175592</v>
      </c>
    </row>
    <row r="22" spans="1:11">
      <c r="A22" s="50">
        <v>42634</v>
      </c>
      <c r="B22">
        <v>336</v>
      </c>
      <c r="C22">
        <v>339</v>
      </c>
      <c r="D22">
        <v>329.5</v>
      </c>
      <c r="E22">
        <v>338.5</v>
      </c>
      <c r="F22">
        <v>1868</v>
      </c>
      <c r="G22">
        <f t="shared" si="0"/>
        <v>529</v>
      </c>
      <c r="H22">
        <f t="shared" si="1"/>
        <v>295.5</v>
      </c>
      <c r="I22">
        <f t="shared" si="2"/>
        <v>190.5</v>
      </c>
      <c r="J22">
        <f t="shared" si="3"/>
        <v>233.5</v>
      </c>
      <c r="K22" s="299">
        <f t="shared" si="4"/>
        <v>-81.584582441113497</v>
      </c>
    </row>
    <row r="23" spans="1:11">
      <c r="A23" s="50">
        <v>42633</v>
      </c>
      <c r="B23">
        <v>315</v>
      </c>
      <c r="C23">
        <v>338.5</v>
      </c>
      <c r="D23">
        <v>310.5</v>
      </c>
      <c r="E23">
        <v>332</v>
      </c>
      <c r="F23">
        <v>2259</v>
      </c>
      <c r="G23">
        <f t="shared" si="0"/>
        <v>529</v>
      </c>
      <c r="H23">
        <f t="shared" si="1"/>
        <v>295.5</v>
      </c>
      <c r="I23">
        <f t="shared" si="2"/>
        <v>197</v>
      </c>
      <c r="J23">
        <f t="shared" si="3"/>
        <v>233.5</v>
      </c>
      <c r="K23" s="299">
        <f t="shared" si="4"/>
        <v>-84.368308351177731</v>
      </c>
    </row>
    <row r="24" spans="1:11">
      <c r="A24" s="50">
        <v>42632</v>
      </c>
      <c r="B24">
        <v>308</v>
      </c>
      <c r="C24">
        <v>314.5</v>
      </c>
      <c r="D24">
        <v>304</v>
      </c>
      <c r="E24">
        <v>314.5</v>
      </c>
      <c r="F24">
        <v>1239</v>
      </c>
      <c r="G24">
        <f t="shared" si="0"/>
        <v>529</v>
      </c>
      <c r="H24">
        <f t="shared" si="1"/>
        <v>295.5</v>
      </c>
      <c r="I24">
        <f t="shared" si="2"/>
        <v>214.5</v>
      </c>
      <c r="J24">
        <f t="shared" si="3"/>
        <v>233.5</v>
      </c>
      <c r="K24" s="299">
        <f t="shared" si="4"/>
        <v>-91.862955032119913</v>
      </c>
    </row>
    <row r="25" spans="1:11">
      <c r="A25" s="50">
        <v>42627</v>
      </c>
      <c r="B25">
        <v>303.5</v>
      </c>
      <c r="C25">
        <v>304.5</v>
      </c>
      <c r="D25">
        <v>295.5</v>
      </c>
      <c r="E25">
        <v>299.5</v>
      </c>
      <c r="F25">
        <v>1831</v>
      </c>
      <c r="G25">
        <f t="shared" si="0"/>
        <v>529</v>
      </c>
      <c r="H25">
        <f t="shared" si="1"/>
        <v>295.5</v>
      </c>
      <c r="I25">
        <f t="shared" si="2"/>
        <v>229.5</v>
      </c>
      <c r="J25">
        <f t="shared" si="3"/>
        <v>233.5</v>
      </c>
      <c r="K25" s="299">
        <f t="shared" si="4"/>
        <v>-98.286937901498931</v>
      </c>
    </row>
    <row r="26" spans="1:11">
      <c r="A26" s="50">
        <v>42626</v>
      </c>
      <c r="B26">
        <v>318.5</v>
      </c>
      <c r="C26">
        <v>321.5</v>
      </c>
      <c r="D26">
        <v>299</v>
      </c>
      <c r="E26">
        <v>306</v>
      </c>
      <c r="F26">
        <v>2299</v>
      </c>
      <c r="G26">
        <f t="shared" si="0"/>
        <v>529</v>
      </c>
      <c r="H26">
        <f t="shared" si="1"/>
        <v>299</v>
      </c>
      <c r="I26">
        <f t="shared" si="2"/>
        <v>223</v>
      </c>
      <c r="J26">
        <f t="shared" si="3"/>
        <v>230</v>
      </c>
      <c r="K26" s="299">
        <f t="shared" si="4"/>
        <v>-96.956521739130437</v>
      </c>
    </row>
    <row r="27" spans="1:11">
      <c r="A27" s="50">
        <v>42625</v>
      </c>
      <c r="B27">
        <v>319</v>
      </c>
      <c r="C27">
        <v>322</v>
      </c>
      <c r="D27">
        <v>313</v>
      </c>
      <c r="E27">
        <v>313.5</v>
      </c>
      <c r="F27">
        <v>1070</v>
      </c>
      <c r="G27">
        <f t="shared" si="0"/>
        <v>529</v>
      </c>
      <c r="H27">
        <f t="shared" si="1"/>
        <v>313</v>
      </c>
      <c r="I27">
        <f t="shared" si="2"/>
        <v>215.5</v>
      </c>
      <c r="J27">
        <f t="shared" si="3"/>
        <v>216</v>
      </c>
      <c r="K27" s="299">
        <f t="shared" si="4"/>
        <v>-99.768518518518519</v>
      </c>
    </row>
    <row r="28" spans="1:11">
      <c r="A28" s="50">
        <v>42623</v>
      </c>
      <c r="B28">
        <v>325</v>
      </c>
      <c r="C28">
        <v>329.5</v>
      </c>
      <c r="D28">
        <v>316.5</v>
      </c>
      <c r="E28">
        <v>316.5</v>
      </c>
      <c r="F28">
        <v>1148</v>
      </c>
      <c r="G28">
        <f t="shared" si="0"/>
        <v>529</v>
      </c>
      <c r="H28">
        <f t="shared" si="1"/>
        <v>316.5</v>
      </c>
      <c r="I28">
        <f t="shared" si="2"/>
        <v>212.5</v>
      </c>
      <c r="J28">
        <f t="shared" si="3"/>
        <v>212.5</v>
      </c>
      <c r="K28" s="299">
        <f t="shared" si="4"/>
        <v>-100</v>
      </c>
    </row>
    <row r="29" spans="1:11">
      <c r="A29" s="50">
        <v>42622</v>
      </c>
      <c r="B29">
        <v>341</v>
      </c>
      <c r="C29">
        <v>342</v>
      </c>
      <c r="D29">
        <v>334.5</v>
      </c>
      <c r="E29">
        <v>334.5</v>
      </c>
      <c r="F29">
        <v>746</v>
      </c>
      <c r="G29">
        <f t="shared" si="0"/>
        <v>529</v>
      </c>
      <c r="H29">
        <f t="shared" si="1"/>
        <v>322.5</v>
      </c>
      <c r="I29">
        <f t="shared" si="2"/>
        <v>194.5</v>
      </c>
      <c r="J29">
        <f t="shared" si="3"/>
        <v>206.5</v>
      </c>
      <c r="K29" s="299">
        <f t="shared" si="4"/>
        <v>-94.188861985472144</v>
      </c>
    </row>
    <row r="30" spans="1:11">
      <c r="A30" s="50">
        <v>42621</v>
      </c>
      <c r="B30">
        <v>343</v>
      </c>
      <c r="C30">
        <v>348</v>
      </c>
      <c r="D30">
        <v>337</v>
      </c>
      <c r="E30">
        <v>345</v>
      </c>
      <c r="F30">
        <v>1217</v>
      </c>
      <c r="G30">
        <f t="shared" si="0"/>
        <v>529</v>
      </c>
      <c r="H30">
        <f t="shared" si="1"/>
        <v>322.5</v>
      </c>
      <c r="I30">
        <f t="shared" si="2"/>
        <v>184</v>
      </c>
      <c r="J30">
        <f t="shared" si="3"/>
        <v>206.5</v>
      </c>
      <c r="K30" s="299">
        <f t="shared" si="4"/>
        <v>-89.104116222760283</v>
      </c>
    </row>
    <row r="31" spans="1:11">
      <c r="A31" s="50">
        <v>42620</v>
      </c>
      <c r="B31">
        <v>348</v>
      </c>
      <c r="C31">
        <v>351</v>
      </c>
      <c r="D31">
        <v>344</v>
      </c>
      <c r="E31">
        <v>345</v>
      </c>
      <c r="F31">
        <v>1351</v>
      </c>
      <c r="G31">
        <f t="shared" si="0"/>
        <v>529</v>
      </c>
      <c r="H31">
        <f t="shared" si="1"/>
        <v>322.5</v>
      </c>
      <c r="I31">
        <f t="shared" si="2"/>
        <v>184</v>
      </c>
      <c r="J31">
        <f t="shared" si="3"/>
        <v>206.5</v>
      </c>
      <c r="K31" s="299">
        <f t="shared" si="4"/>
        <v>-89.104116222760283</v>
      </c>
    </row>
    <row r="32" spans="1:11">
      <c r="A32" s="50">
        <v>42619</v>
      </c>
      <c r="B32">
        <v>337</v>
      </c>
      <c r="C32">
        <v>359</v>
      </c>
      <c r="D32">
        <v>336</v>
      </c>
      <c r="E32">
        <v>354</v>
      </c>
      <c r="F32">
        <v>1858</v>
      </c>
      <c r="G32">
        <f t="shared" si="0"/>
        <v>529</v>
      </c>
      <c r="H32">
        <f t="shared" si="1"/>
        <v>322.5</v>
      </c>
      <c r="I32">
        <f t="shared" si="2"/>
        <v>175</v>
      </c>
      <c r="J32">
        <f t="shared" si="3"/>
        <v>206.5</v>
      </c>
      <c r="K32" s="299">
        <f t="shared" si="4"/>
        <v>-84.745762711864401</v>
      </c>
    </row>
    <row r="33" spans="1:11">
      <c r="A33" s="50">
        <v>42618</v>
      </c>
      <c r="B33">
        <v>332.5</v>
      </c>
      <c r="C33">
        <v>337</v>
      </c>
      <c r="D33">
        <v>322.5</v>
      </c>
      <c r="E33">
        <v>333.5</v>
      </c>
      <c r="F33">
        <v>1268</v>
      </c>
      <c r="G33">
        <f t="shared" si="0"/>
        <v>529</v>
      </c>
      <c r="H33">
        <f t="shared" si="1"/>
        <v>322.5</v>
      </c>
      <c r="I33">
        <f t="shared" si="2"/>
        <v>195.5</v>
      </c>
      <c r="J33">
        <f t="shared" si="3"/>
        <v>206.5</v>
      </c>
      <c r="K33" s="299">
        <f t="shared" si="4"/>
        <v>-94.673123486682812</v>
      </c>
    </row>
    <row r="34" spans="1:11">
      <c r="A34" s="50">
        <v>42615</v>
      </c>
      <c r="B34">
        <v>345</v>
      </c>
      <c r="C34">
        <v>348</v>
      </c>
      <c r="D34">
        <v>336.5</v>
      </c>
      <c r="E34">
        <v>337.5</v>
      </c>
      <c r="F34">
        <v>779</v>
      </c>
      <c r="G34">
        <f t="shared" si="0"/>
        <v>529</v>
      </c>
      <c r="H34">
        <f t="shared" si="1"/>
        <v>336.5</v>
      </c>
      <c r="I34">
        <f t="shared" si="2"/>
        <v>191.5</v>
      </c>
      <c r="J34">
        <f t="shared" si="3"/>
        <v>192.5</v>
      </c>
      <c r="K34" s="299">
        <f t="shared" si="4"/>
        <v>-99.480519480519476</v>
      </c>
    </row>
    <row r="35" spans="1:11">
      <c r="A35" s="50">
        <v>42614</v>
      </c>
      <c r="B35">
        <v>348</v>
      </c>
      <c r="C35">
        <v>350</v>
      </c>
      <c r="D35">
        <v>342</v>
      </c>
      <c r="E35">
        <v>345</v>
      </c>
      <c r="F35">
        <v>549</v>
      </c>
      <c r="G35">
        <f t="shared" si="0"/>
        <v>529</v>
      </c>
      <c r="H35">
        <f t="shared" si="1"/>
        <v>339.5</v>
      </c>
      <c r="I35">
        <f t="shared" si="2"/>
        <v>184</v>
      </c>
      <c r="J35">
        <f t="shared" si="3"/>
        <v>189.5</v>
      </c>
      <c r="K35" s="299">
        <f t="shared" si="4"/>
        <v>-97.097625329815301</v>
      </c>
    </row>
    <row r="36" spans="1:11">
      <c r="A36" s="50">
        <v>42613</v>
      </c>
      <c r="B36">
        <v>344</v>
      </c>
      <c r="C36">
        <v>352.5</v>
      </c>
      <c r="D36">
        <v>344</v>
      </c>
      <c r="E36">
        <v>345</v>
      </c>
      <c r="F36">
        <v>864</v>
      </c>
      <c r="G36">
        <f t="shared" ref="G36:G64" si="5">MAX(C36:C90)</f>
        <v>529</v>
      </c>
      <c r="H36">
        <f t="shared" ref="H36:H64" si="6">MIN(D36:D90)</f>
        <v>339.5</v>
      </c>
      <c r="I36">
        <f t="shared" ref="I36:I64" si="7">G36-E36</f>
        <v>184</v>
      </c>
      <c r="J36">
        <f t="shared" ref="J36:J64" si="8">G36-H36</f>
        <v>189.5</v>
      </c>
      <c r="K36" s="299">
        <f t="shared" ref="K36:K64" si="9">(I36/J36)*-100</f>
        <v>-97.097625329815301</v>
      </c>
    </row>
    <row r="37" spans="1:11">
      <c r="A37" s="50">
        <v>42612</v>
      </c>
      <c r="B37">
        <v>350</v>
      </c>
      <c r="C37">
        <v>352</v>
      </c>
      <c r="D37">
        <v>339.5</v>
      </c>
      <c r="E37">
        <v>343.5</v>
      </c>
      <c r="F37">
        <v>1318</v>
      </c>
      <c r="G37">
        <f t="shared" si="5"/>
        <v>529</v>
      </c>
      <c r="H37">
        <f t="shared" si="6"/>
        <v>339.5</v>
      </c>
      <c r="I37">
        <f t="shared" si="7"/>
        <v>185.5</v>
      </c>
      <c r="J37">
        <f t="shared" si="8"/>
        <v>189.5</v>
      </c>
      <c r="K37" s="299">
        <f t="shared" si="9"/>
        <v>-97.889182058047496</v>
      </c>
    </row>
    <row r="38" spans="1:11">
      <c r="A38" s="50">
        <v>42611</v>
      </c>
      <c r="B38">
        <v>359</v>
      </c>
      <c r="C38">
        <v>365</v>
      </c>
      <c r="D38">
        <v>351</v>
      </c>
      <c r="E38">
        <v>352</v>
      </c>
      <c r="F38">
        <v>1033</v>
      </c>
      <c r="G38">
        <f t="shared" si="5"/>
        <v>529</v>
      </c>
      <c r="H38">
        <f t="shared" si="6"/>
        <v>342</v>
      </c>
      <c r="I38">
        <f t="shared" si="7"/>
        <v>177</v>
      </c>
      <c r="J38">
        <f t="shared" si="8"/>
        <v>187</v>
      </c>
      <c r="K38" s="299">
        <f t="shared" si="9"/>
        <v>-94.652406417112303</v>
      </c>
    </row>
    <row r="39" spans="1:11">
      <c r="A39" s="50">
        <v>42608</v>
      </c>
      <c r="B39">
        <v>342</v>
      </c>
      <c r="C39">
        <v>358</v>
      </c>
      <c r="D39">
        <v>342</v>
      </c>
      <c r="E39">
        <v>355.5</v>
      </c>
      <c r="F39">
        <v>3132</v>
      </c>
      <c r="G39">
        <f t="shared" si="5"/>
        <v>529</v>
      </c>
      <c r="H39">
        <f t="shared" si="6"/>
        <v>342</v>
      </c>
      <c r="I39">
        <f t="shared" si="7"/>
        <v>173.5</v>
      </c>
      <c r="J39">
        <f t="shared" si="8"/>
        <v>187</v>
      </c>
      <c r="K39" s="299">
        <f t="shared" si="9"/>
        <v>-92.780748663101605</v>
      </c>
    </row>
    <row r="40" spans="1:11">
      <c r="A40" s="50">
        <v>42607</v>
      </c>
      <c r="B40">
        <v>384</v>
      </c>
      <c r="C40">
        <v>385</v>
      </c>
      <c r="D40">
        <v>370</v>
      </c>
      <c r="E40">
        <v>375</v>
      </c>
      <c r="F40">
        <v>3564</v>
      </c>
      <c r="G40">
        <f t="shared" si="5"/>
        <v>529</v>
      </c>
      <c r="H40">
        <f t="shared" si="6"/>
        <v>370</v>
      </c>
      <c r="I40">
        <f t="shared" si="7"/>
        <v>154</v>
      </c>
      <c r="J40">
        <f t="shared" si="8"/>
        <v>159</v>
      </c>
      <c r="K40" s="299">
        <f t="shared" si="9"/>
        <v>-96.855345911949684</v>
      </c>
    </row>
    <row r="41" spans="1:11">
      <c r="A41" s="50">
        <v>42606</v>
      </c>
      <c r="B41">
        <v>408.5</v>
      </c>
      <c r="C41">
        <v>409</v>
      </c>
      <c r="D41">
        <v>393</v>
      </c>
      <c r="E41">
        <v>393.5</v>
      </c>
      <c r="F41">
        <v>1335</v>
      </c>
      <c r="G41">
        <f t="shared" si="5"/>
        <v>529</v>
      </c>
      <c r="H41">
        <f t="shared" si="6"/>
        <v>379</v>
      </c>
      <c r="I41">
        <f t="shared" si="7"/>
        <v>135.5</v>
      </c>
      <c r="J41">
        <f t="shared" si="8"/>
        <v>150</v>
      </c>
      <c r="K41" s="299">
        <f t="shared" si="9"/>
        <v>-90.333333333333329</v>
      </c>
    </row>
    <row r="42" spans="1:11">
      <c r="A42" s="50">
        <v>42605</v>
      </c>
      <c r="B42">
        <v>412</v>
      </c>
      <c r="C42">
        <v>414</v>
      </c>
      <c r="D42">
        <v>406</v>
      </c>
      <c r="E42">
        <v>406.5</v>
      </c>
      <c r="F42">
        <v>898</v>
      </c>
      <c r="G42">
        <f t="shared" si="5"/>
        <v>529</v>
      </c>
      <c r="H42">
        <f t="shared" si="6"/>
        <v>379</v>
      </c>
      <c r="I42">
        <f t="shared" si="7"/>
        <v>122.5</v>
      </c>
      <c r="J42">
        <f t="shared" si="8"/>
        <v>150</v>
      </c>
      <c r="K42" s="299">
        <f t="shared" si="9"/>
        <v>-81.666666666666671</v>
      </c>
    </row>
    <row r="43" spans="1:11">
      <c r="A43" s="50">
        <v>42604</v>
      </c>
      <c r="B43">
        <v>423</v>
      </c>
      <c r="C43">
        <v>428</v>
      </c>
      <c r="D43">
        <v>408</v>
      </c>
      <c r="E43">
        <v>408</v>
      </c>
      <c r="F43">
        <v>1803</v>
      </c>
      <c r="G43">
        <f t="shared" si="5"/>
        <v>529</v>
      </c>
      <c r="H43">
        <f t="shared" si="6"/>
        <v>379</v>
      </c>
      <c r="I43">
        <f t="shared" si="7"/>
        <v>121</v>
      </c>
      <c r="J43">
        <f t="shared" si="8"/>
        <v>150</v>
      </c>
      <c r="K43" s="299">
        <f t="shared" si="9"/>
        <v>-80.666666666666657</v>
      </c>
    </row>
    <row r="44" spans="1:11">
      <c r="A44" s="50">
        <v>42601</v>
      </c>
      <c r="B44">
        <v>390</v>
      </c>
      <c r="C44">
        <v>421</v>
      </c>
      <c r="D44">
        <v>390</v>
      </c>
      <c r="E44">
        <v>416.5</v>
      </c>
      <c r="F44">
        <v>3985</v>
      </c>
      <c r="G44">
        <f t="shared" si="5"/>
        <v>529</v>
      </c>
      <c r="H44">
        <f t="shared" si="6"/>
        <v>379</v>
      </c>
      <c r="I44">
        <f t="shared" si="7"/>
        <v>112.5</v>
      </c>
      <c r="J44">
        <f t="shared" si="8"/>
        <v>150</v>
      </c>
      <c r="K44" s="299">
        <f t="shared" si="9"/>
        <v>-75</v>
      </c>
    </row>
    <row r="45" spans="1:11">
      <c r="A45" s="50">
        <v>42600</v>
      </c>
      <c r="B45">
        <v>387</v>
      </c>
      <c r="C45">
        <v>387</v>
      </c>
      <c r="D45">
        <v>379</v>
      </c>
      <c r="E45">
        <v>385</v>
      </c>
      <c r="F45">
        <v>674</v>
      </c>
      <c r="G45">
        <f t="shared" si="5"/>
        <v>529</v>
      </c>
      <c r="H45">
        <f t="shared" si="6"/>
        <v>379</v>
      </c>
      <c r="I45">
        <f t="shared" si="7"/>
        <v>144</v>
      </c>
      <c r="J45">
        <f t="shared" si="8"/>
        <v>150</v>
      </c>
      <c r="K45" s="299">
        <f t="shared" si="9"/>
        <v>-96</v>
      </c>
    </row>
    <row r="46" spans="1:11">
      <c r="A46" s="50">
        <v>42599</v>
      </c>
      <c r="B46">
        <v>386.5</v>
      </c>
      <c r="C46">
        <v>392</v>
      </c>
      <c r="D46">
        <v>383.5</v>
      </c>
      <c r="E46">
        <v>385</v>
      </c>
      <c r="F46">
        <v>571</v>
      </c>
      <c r="G46">
        <f t="shared" si="5"/>
        <v>529</v>
      </c>
      <c r="H46">
        <f t="shared" si="6"/>
        <v>380</v>
      </c>
      <c r="I46">
        <f t="shared" si="7"/>
        <v>144</v>
      </c>
      <c r="J46">
        <f t="shared" si="8"/>
        <v>149</v>
      </c>
      <c r="K46" s="299">
        <f t="shared" si="9"/>
        <v>-96.644295302013433</v>
      </c>
    </row>
    <row r="47" spans="1:11">
      <c r="A47" s="50">
        <v>42598</v>
      </c>
      <c r="B47">
        <v>397</v>
      </c>
      <c r="C47">
        <v>397</v>
      </c>
      <c r="D47">
        <v>380</v>
      </c>
      <c r="E47">
        <v>385.5</v>
      </c>
      <c r="F47">
        <v>1100</v>
      </c>
      <c r="G47">
        <f t="shared" si="5"/>
        <v>529</v>
      </c>
      <c r="H47">
        <f t="shared" si="6"/>
        <v>380</v>
      </c>
      <c r="I47">
        <f t="shared" si="7"/>
        <v>143.5</v>
      </c>
      <c r="J47">
        <f t="shared" si="8"/>
        <v>149</v>
      </c>
      <c r="K47" s="299">
        <f t="shared" si="9"/>
        <v>-96.308724832214764</v>
      </c>
    </row>
    <row r="48" spans="1:11">
      <c r="A48" s="50">
        <v>42597</v>
      </c>
      <c r="B48">
        <v>401</v>
      </c>
      <c r="C48">
        <v>401.5</v>
      </c>
      <c r="D48">
        <v>395</v>
      </c>
      <c r="E48">
        <v>395</v>
      </c>
      <c r="F48">
        <v>365</v>
      </c>
      <c r="G48">
        <f t="shared" si="5"/>
        <v>529</v>
      </c>
      <c r="H48">
        <f t="shared" si="6"/>
        <v>385</v>
      </c>
      <c r="I48">
        <f t="shared" si="7"/>
        <v>134</v>
      </c>
      <c r="J48">
        <f t="shared" si="8"/>
        <v>144</v>
      </c>
      <c r="K48" s="299">
        <f t="shared" si="9"/>
        <v>-93.055555555555557</v>
      </c>
    </row>
    <row r="49" spans="1:11">
      <c r="A49" s="50">
        <v>42594</v>
      </c>
      <c r="B49">
        <v>399.5</v>
      </c>
      <c r="C49">
        <v>399.5</v>
      </c>
      <c r="D49">
        <v>392</v>
      </c>
      <c r="E49">
        <v>398.5</v>
      </c>
      <c r="F49">
        <v>719</v>
      </c>
      <c r="G49">
        <f t="shared" si="5"/>
        <v>529</v>
      </c>
      <c r="H49">
        <f t="shared" si="6"/>
        <v>385</v>
      </c>
      <c r="I49">
        <f t="shared" si="7"/>
        <v>130.5</v>
      </c>
      <c r="J49">
        <f t="shared" si="8"/>
        <v>144</v>
      </c>
      <c r="K49" s="299">
        <f t="shared" si="9"/>
        <v>-90.625</v>
      </c>
    </row>
    <row r="50" spans="1:11">
      <c r="A50" s="50">
        <v>42593</v>
      </c>
      <c r="B50">
        <v>395</v>
      </c>
      <c r="C50">
        <v>399</v>
      </c>
      <c r="D50">
        <v>388</v>
      </c>
      <c r="E50">
        <v>395</v>
      </c>
      <c r="F50">
        <v>571</v>
      </c>
      <c r="G50">
        <f t="shared" si="5"/>
        <v>529</v>
      </c>
      <c r="H50">
        <f t="shared" si="6"/>
        <v>385</v>
      </c>
      <c r="I50">
        <f t="shared" si="7"/>
        <v>134</v>
      </c>
      <c r="J50">
        <f t="shared" si="8"/>
        <v>144</v>
      </c>
      <c r="K50" s="299">
        <f t="shared" si="9"/>
        <v>-93.055555555555557</v>
      </c>
    </row>
    <row r="51" spans="1:11">
      <c r="A51" s="50">
        <v>42592</v>
      </c>
      <c r="B51">
        <v>399.5</v>
      </c>
      <c r="C51">
        <v>403</v>
      </c>
      <c r="D51">
        <v>395.5</v>
      </c>
      <c r="E51">
        <v>395.5</v>
      </c>
      <c r="F51">
        <v>565</v>
      </c>
      <c r="G51">
        <f t="shared" si="5"/>
        <v>529</v>
      </c>
      <c r="H51">
        <f t="shared" si="6"/>
        <v>385</v>
      </c>
      <c r="I51">
        <f t="shared" si="7"/>
        <v>133.5</v>
      </c>
      <c r="J51">
        <f t="shared" si="8"/>
        <v>144</v>
      </c>
      <c r="K51" s="299">
        <f t="shared" si="9"/>
        <v>-92.708333333333343</v>
      </c>
    </row>
    <row r="52" spans="1:11">
      <c r="A52" s="50">
        <v>42591</v>
      </c>
      <c r="B52">
        <v>400.5</v>
      </c>
      <c r="C52">
        <v>403</v>
      </c>
      <c r="D52">
        <v>395</v>
      </c>
      <c r="E52">
        <v>395.5</v>
      </c>
      <c r="F52">
        <v>941</v>
      </c>
      <c r="G52">
        <f t="shared" si="5"/>
        <v>529</v>
      </c>
      <c r="H52">
        <f t="shared" si="6"/>
        <v>385</v>
      </c>
      <c r="I52">
        <f t="shared" si="7"/>
        <v>133.5</v>
      </c>
      <c r="J52">
        <f t="shared" si="8"/>
        <v>144</v>
      </c>
      <c r="K52" s="299">
        <f t="shared" si="9"/>
        <v>-92.708333333333343</v>
      </c>
    </row>
    <row r="53" spans="1:11">
      <c r="A53" s="50">
        <v>42590</v>
      </c>
      <c r="B53">
        <v>400</v>
      </c>
      <c r="C53">
        <v>407</v>
      </c>
      <c r="D53">
        <v>399</v>
      </c>
      <c r="E53">
        <v>399</v>
      </c>
      <c r="F53">
        <v>1058</v>
      </c>
      <c r="G53">
        <f t="shared" si="5"/>
        <v>529</v>
      </c>
      <c r="H53">
        <f t="shared" si="6"/>
        <v>385</v>
      </c>
      <c r="I53">
        <f t="shared" si="7"/>
        <v>130</v>
      </c>
      <c r="J53">
        <f t="shared" si="8"/>
        <v>144</v>
      </c>
      <c r="K53" s="299">
        <f t="shared" si="9"/>
        <v>-90.277777777777786</v>
      </c>
    </row>
    <row r="54" spans="1:11">
      <c r="A54" s="50">
        <v>42587</v>
      </c>
      <c r="B54">
        <v>389</v>
      </c>
      <c r="C54">
        <v>402</v>
      </c>
      <c r="D54">
        <v>389</v>
      </c>
      <c r="E54">
        <v>395.5</v>
      </c>
      <c r="F54">
        <v>1490</v>
      </c>
      <c r="G54">
        <f t="shared" si="5"/>
        <v>529</v>
      </c>
      <c r="H54">
        <f t="shared" si="6"/>
        <v>385</v>
      </c>
      <c r="I54">
        <f t="shared" si="7"/>
        <v>133.5</v>
      </c>
      <c r="J54">
        <f t="shared" si="8"/>
        <v>144</v>
      </c>
      <c r="K54" s="299">
        <f t="shared" si="9"/>
        <v>-92.708333333333343</v>
      </c>
    </row>
    <row r="55" spans="1:11">
      <c r="A55" s="50">
        <v>42586</v>
      </c>
      <c r="B55">
        <v>393.5</v>
      </c>
      <c r="C55">
        <v>397</v>
      </c>
      <c r="D55">
        <v>385</v>
      </c>
      <c r="E55">
        <v>385</v>
      </c>
      <c r="F55">
        <v>1150</v>
      </c>
      <c r="G55">
        <f t="shared" si="5"/>
        <v>529</v>
      </c>
      <c r="H55">
        <f t="shared" si="6"/>
        <v>385</v>
      </c>
      <c r="I55">
        <f t="shared" si="7"/>
        <v>144</v>
      </c>
      <c r="J55">
        <f t="shared" si="8"/>
        <v>144</v>
      </c>
      <c r="K55" s="299">
        <f t="shared" si="9"/>
        <v>-100</v>
      </c>
    </row>
    <row r="56" spans="1:11">
      <c r="A56" s="326">
        <v>42585</v>
      </c>
      <c r="B56">
        <v>390</v>
      </c>
      <c r="C56">
        <v>394.5</v>
      </c>
      <c r="D56">
        <v>389</v>
      </c>
      <c r="E56">
        <v>390</v>
      </c>
      <c r="F56">
        <v>1173</v>
      </c>
      <c r="G56">
        <f t="shared" si="5"/>
        <v>529</v>
      </c>
      <c r="H56">
        <f t="shared" si="6"/>
        <v>389</v>
      </c>
      <c r="I56">
        <f t="shared" si="7"/>
        <v>139</v>
      </c>
      <c r="J56">
        <f t="shared" si="8"/>
        <v>140</v>
      </c>
      <c r="K56" s="299">
        <f t="shared" si="9"/>
        <v>-99.285714285714292</v>
      </c>
    </row>
    <row r="57" spans="1:11">
      <c r="A57" s="50">
        <v>42584</v>
      </c>
      <c r="B57">
        <v>400</v>
      </c>
      <c r="C57">
        <v>406</v>
      </c>
      <c r="D57">
        <v>394</v>
      </c>
      <c r="E57">
        <v>398</v>
      </c>
      <c r="F57">
        <v>3615</v>
      </c>
      <c r="G57">
        <f t="shared" si="5"/>
        <v>529</v>
      </c>
      <c r="H57">
        <f t="shared" si="6"/>
        <v>394</v>
      </c>
      <c r="I57">
        <f t="shared" si="7"/>
        <v>131</v>
      </c>
      <c r="J57">
        <f t="shared" si="8"/>
        <v>135</v>
      </c>
      <c r="K57" s="299">
        <f t="shared" si="9"/>
        <v>-97.037037037037038</v>
      </c>
    </row>
    <row r="58" spans="1:11">
      <c r="A58" s="50">
        <v>42583</v>
      </c>
      <c r="B58">
        <v>513</v>
      </c>
      <c r="C58">
        <v>529</v>
      </c>
      <c r="D58">
        <v>507</v>
      </c>
      <c r="E58">
        <v>529</v>
      </c>
      <c r="F58">
        <v>1505</v>
      </c>
      <c r="G58">
        <f t="shared" si="5"/>
        <v>529</v>
      </c>
      <c r="H58">
        <f t="shared" si="6"/>
        <v>482</v>
      </c>
      <c r="I58">
        <f t="shared" si="7"/>
        <v>0</v>
      </c>
      <c r="J58">
        <f t="shared" si="8"/>
        <v>47</v>
      </c>
      <c r="K58" s="299">
        <f t="shared" si="9"/>
        <v>0</v>
      </c>
    </row>
    <row r="59" spans="1:11">
      <c r="A59" s="50">
        <v>42580</v>
      </c>
      <c r="B59">
        <v>511</v>
      </c>
      <c r="C59">
        <v>515</v>
      </c>
      <c r="D59">
        <v>502</v>
      </c>
      <c r="E59">
        <v>509</v>
      </c>
      <c r="F59">
        <v>962</v>
      </c>
      <c r="G59">
        <f t="shared" si="5"/>
        <v>527</v>
      </c>
      <c r="H59">
        <f t="shared" si="6"/>
        <v>482</v>
      </c>
      <c r="I59">
        <f t="shared" si="7"/>
        <v>18</v>
      </c>
      <c r="J59">
        <f t="shared" si="8"/>
        <v>45</v>
      </c>
      <c r="K59" s="299">
        <f t="shared" si="9"/>
        <v>-40</v>
      </c>
    </row>
    <row r="60" spans="1:11">
      <c r="A60" s="50">
        <v>42579</v>
      </c>
      <c r="B60">
        <v>515</v>
      </c>
      <c r="C60">
        <v>527</v>
      </c>
      <c r="D60">
        <v>502</v>
      </c>
      <c r="E60">
        <v>504</v>
      </c>
      <c r="F60">
        <v>1339</v>
      </c>
      <c r="G60">
        <f t="shared" si="5"/>
        <v>527</v>
      </c>
      <c r="H60">
        <f t="shared" si="6"/>
        <v>482</v>
      </c>
      <c r="I60">
        <f t="shared" si="7"/>
        <v>23</v>
      </c>
      <c r="J60">
        <f t="shared" si="8"/>
        <v>45</v>
      </c>
      <c r="K60" s="299">
        <f t="shared" si="9"/>
        <v>-51.111111111111107</v>
      </c>
    </row>
    <row r="61" spans="1:11">
      <c r="A61" s="50">
        <v>42578</v>
      </c>
      <c r="B61">
        <v>500</v>
      </c>
      <c r="C61">
        <v>507</v>
      </c>
      <c r="D61">
        <v>493.5</v>
      </c>
      <c r="E61">
        <v>507</v>
      </c>
      <c r="F61">
        <v>877</v>
      </c>
      <c r="G61">
        <f t="shared" si="5"/>
        <v>507</v>
      </c>
      <c r="H61">
        <f t="shared" si="6"/>
        <v>482</v>
      </c>
      <c r="I61">
        <f t="shared" si="7"/>
        <v>0</v>
      </c>
      <c r="J61">
        <f t="shared" si="8"/>
        <v>25</v>
      </c>
      <c r="K61" s="299">
        <f t="shared" si="9"/>
        <v>0</v>
      </c>
    </row>
    <row r="62" spans="1:11">
      <c r="A62" s="50">
        <v>42577</v>
      </c>
      <c r="B62">
        <v>488</v>
      </c>
      <c r="C62">
        <v>502</v>
      </c>
      <c r="D62">
        <v>482</v>
      </c>
      <c r="E62">
        <v>500</v>
      </c>
      <c r="F62">
        <v>1050</v>
      </c>
      <c r="G62">
        <f t="shared" si="5"/>
        <v>503</v>
      </c>
      <c r="H62">
        <f t="shared" si="6"/>
        <v>482</v>
      </c>
      <c r="I62">
        <f t="shared" si="7"/>
        <v>3</v>
      </c>
      <c r="J62">
        <f t="shared" si="8"/>
        <v>21</v>
      </c>
      <c r="K62" s="299">
        <f t="shared" si="9"/>
        <v>-14.285714285714285</v>
      </c>
    </row>
    <row r="63" spans="1:11">
      <c r="A63" s="326">
        <v>42576</v>
      </c>
      <c r="B63">
        <v>502</v>
      </c>
      <c r="C63">
        <v>503</v>
      </c>
      <c r="D63">
        <v>486</v>
      </c>
      <c r="E63">
        <v>486</v>
      </c>
      <c r="F63">
        <v>650</v>
      </c>
      <c r="G63">
        <f t="shared" si="5"/>
        <v>503</v>
      </c>
      <c r="H63">
        <f t="shared" si="6"/>
        <v>486</v>
      </c>
      <c r="I63">
        <f t="shared" si="7"/>
        <v>17</v>
      </c>
      <c r="J63">
        <f t="shared" si="8"/>
        <v>17</v>
      </c>
      <c r="K63" s="299">
        <f t="shared" si="9"/>
        <v>-100</v>
      </c>
    </row>
    <row r="64" spans="1:11">
      <c r="G64">
        <f t="shared" si="5"/>
        <v>0</v>
      </c>
      <c r="H64">
        <f t="shared" si="6"/>
        <v>0</v>
      </c>
      <c r="I64">
        <f t="shared" si="7"/>
        <v>0</v>
      </c>
      <c r="J64">
        <f t="shared" si="8"/>
        <v>0</v>
      </c>
      <c r="K64" s="299" t="e">
        <f t="shared" si="9"/>
        <v>#DIV/0!</v>
      </c>
    </row>
  </sheetData>
  <sortState ref="A4:K63">
    <sortCondition descending="1" ref="A4"/>
  </sortState>
  <phoneticPr fontId="2"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工作表1"/>
  <dimension ref="A1:F1634"/>
  <sheetViews>
    <sheetView workbookViewId="0">
      <pane xSplit="1" ySplit="1" topLeftCell="B2" activePane="bottomRight" state="frozen"/>
      <selection pane="topRight" activeCell="H1" sqref="H1"/>
      <selection pane="bottomLeft" activeCell="A2" sqref="A2"/>
      <selection pane="bottomRight" sqref="A1:E1600"/>
    </sheetView>
  </sheetViews>
  <sheetFormatPr defaultRowHeight="16.5"/>
  <cols>
    <col min="3" max="3" width="9.625" bestFit="1" customWidth="1"/>
    <col min="4" max="4" width="10.625" bestFit="1" customWidth="1"/>
    <col min="5" max="5" width="9.5" bestFit="1" customWidth="1"/>
  </cols>
  <sheetData>
    <row r="1" spans="1:6" ht="25.9" customHeight="1">
      <c r="A1" t="s">
        <v>1887</v>
      </c>
      <c r="B1" t="s">
        <v>2028</v>
      </c>
      <c r="C1" s="50">
        <v>42506</v>
      </c>
      <c r="D1" s="50">
        <v>42667</v>
      </c>
      <c r="E1" t="s">
        <v>1726</v>
      </c>
      <c r="F1" t="s">
        <v>1742</v>
      </c>
    </row>
    <row r="2" spans="1:6">
      <c r="A2">
        <v>2496</v>
      </c>
      <c r="B2" t="s">
        <v>880</v>
      </c>
      <c r="C2">
        <v>14</v>
      </c>
      <c r="D2">
        <f>VLOOKUP(A2,收盤價!A:C,3,0)</f>
        <v>104</v>
      </c>
      <c r="E2" s="87">
        <v>6.4285714285714288</v>
      </c>
      <c r="F2">
        <v>99.88</v>
      </c>
    </row>
    <row r="3" spans="1:6">
      <c r="A3">
        <v>2475</v>
      </c>
      <c r="B3" t="s">
        <v>863</v>
      </c>
      <c r="C3">
        <v>0.48</v>
      </c>
      <c r="D3">
        <f>VLOOKUP(A3,收盤價!A:C,3,0)</f>
        <v>1.58</v>
      </c>
      <c r="E3" s="87">
        <v>2.291666666666667</v>
      </c>
      <c r="F3">
        <v>99.82</v>
      </c>
    </row>
    <row r="4" spans="1:6">
      <c r="A4">
        <v>5906</v>
      </c>
      <c r="B4" t="s">
        <v>2293</v>
      </c>
      <c r="C4">
        <v>2.2999999999999998</v>
      </c>
      <c r="D4">
        <f>VLOOKUP(A4,收盤價!A:C,3,0)</f>
        <v>7.09</v>
      </c>
      <c r="E4" s="87">
        <v>2.0826086956521741</v>
      </c>
      <c r="F4">
        <v>99.76</v>
      </c>
    </row>
    <row r="5" spans="1:6">
      <c r="A5">
        <v>3522</v>
      </c>
      <c r="B5" t="s">
        <v>299</v>
      </c>
      <c r="C5">
        <v>14.4</v>
      </c>
      <c r="D5">
        <f>VLOOKUP(A5,收盤價!A:C,3,0)</f>
        <v>43.8</v>
      </c>
      <c r="E5" s="87">
        <v>2.0416666666666665</v>
      </c>
      <c r="F5">
        <v>99.69</v>
      </c>
    </row>
    <row r="6" spans="1:6">
      <c r="A6">
        <v>6283</v>
      </c>
      <c r="B6" t="s">
        <v>1226</v>
      </c>
      <c r="C6">
        <v>4.66</v>
      </c>
      <c r="D6">
        <f>VLOOKUP(A6,收盤價!A:C,3,0)</f>
        <v>14.15</v>
      </c>
      <c r="E6" s="87">
        <v>2.0364806866952789</v>
      </c>
      <c r="F6">
        <v>99.63</v>
      </c>
    </row>
    <row r="7" spans="1:6">
      <c r="A7">
        <v>3546</v>
      </c>
      <c r="B7" t="s">
        <v>1409</v>
      </c>
      <c r="C7">
        <v>29.1</v>
      </c>
      <c r="D7">
        <f>VLOOKUP(A7,收盤價!A:C,3,0)</f>
        <v>88</v>
      </c>
      <c r="E7" s="87">
        <v>2.0240549828178693</v>
      </c>
      <c r="F7">
        <v>99.57</v>
      </c>
    </row>
    <row r="8" spans="1:6">
      <c r="A8">
        <v>6201</v>
      </c>
      <c r="B8" t="s">
        <v>1310</v>
      </c>
      <c r="C8">
        <v>10.4</v>
      </c>
      <c r="D8">
        <f>VLOOKUP(A8,收盤價!A:C,3,0)</f>
        <v>30.9</v>
      </c>
      <c r="E8" s="87">
        <v>1.971153846153846</v>
      </c>
      <c r="F8">
        <v>99.51</v>
      </c>
    </row>
    <row r="9" spans="1:6">
      <c r="A9">
        <v>3555</v>
      </c>
      <c r="B9" t="s">
        <v>1906</v>
      </c>
      <c r="C9">
        <v>21.85</v>
      </c>
      <c r="D9">
        <f>VLOOKUP(A9,收盤價!A:C,3,0)</f>
        <v>63.9</v>
      </c>
      <c r="E9" s="87">
        <v>1.9244851258581233</v>
      </c>
      <c r="F9">
        <v>99.45</v>
      </c>
    </row>
    <row r="10" spans="1:6">
      <c r="A10">
        <v>4956</v>
      </c>
      <c r="B10" t="s">
        <v>1143</v>
      </c>
      <c r="C10">
        <v>8.82</v>
      </c>
      <c r="D10">
        <f>VLOOKUP(A10,收盤價!A:C,3,0)</f>
        <v>25.3</v>
      </c>
      <c r="E10" s="87">
        <v>1.8684807256235827</v>
      </c>
      <c r="F10">
        <v>99.39</v>
      </c>
    </row>
    <row r="11" spans="1:6">
      <c r="A11">
        <v>3339</v>
      </c>
      <c r="B11" t="s">
        <v>1383</v>
      </c>
      <c r="C11">
        <v>2.1800000000000002</v>
      </c>
      <c r="D11">
        <f>VLOOKUP(A11,收盤價!A:C,3,0)</f>
        <v>6.11</v>
      </c>
      <c r="E11" s="87">
        <v>1.8027522935779816</v>
      </c>
      <c r="F11">
        <v>99.33</v>
      </c>
    </row>
    <row r="12" spans="1:6">
      <c r="A12">
        <v>2314</v>
      </c>
      <c r="B12" t="s">
        <v>750</v>
      </c>
      <c r="C12">
        <v>9.59</v>
      </c>
      <c r="D12">
        <f>VLOOKUP(A12,收盤價!A:C,3,0)</f>
        <v>25.65</v>
      </c>
      <c r="E12" s="87">
        <v>1.6746611053180396</v>
      </c>
      <c r="F12">
        <v>99.27</v>
      </c>
    </row>
    <row r="13" spans="1:6">
      <c r="A13">
        <v>3313</v>
      </c>
      <c r="B13" t="s">
        <v>279</v>
      </c>
      <c r="C13">
        <v>6.02</v>
      </c>
      <c r="D13">
        <f>VLOOKUP(A13,收盤價!A:C,3,0)</f>
        <v>15.95</v>
      </c>
      <c r="E13" s="87">
        <v>1.6495016611295681</v>
      </c>
      <c r="F13">
        <v>99.2</v>
      </c>
    </row>
    <row r="14" spans="1:6">
      <c r="A14">
        <v>6116</v>
      </c>
      <c r="B14" t="s">
        <v>1175</v>
      </c>
      <c r="C14">
        <v>3</v>
      </c>
      <c r="D14">
        <f>VLOOKUP(A14,收盤價!A:C,3,0)</f>
        <v>7.83</v>
      </c>
      <c r="E14" s="87">
        <v>1.61</v>
      </c>
      <c r="F14">
        <v>99.14</v>
      </c>
    </row>
    <row r="15" spans="1:6">
      <c r="A15">
        <v>2328</v>
      </c>
      <c r="B15" t="s">
        <v>758</v>
      </c>
      <c r="C15">
        <v>10.8</v>
      </c>
      <c r="D15">
        <f>VLOOKUP(A15,收盤價!A:C,3,0)</f>
        <v>27.7</v>
      </c>
      <c r="E15" s="87">
        <v>1.5648148148148147</v>
      </c>
      <c r="F15">
        <v>99.08</v>
      </c>
    </row>
    <row r="16" spans="1:6">
      <c r="A16">
        <v>6220</v>
      </c>
      <c r="B16" t="s">
        <v>433</v>
      </c>
      <c r="C16">
        <v>14.7</v>
      </c>
      <c r="D16">
        <f>VLOOKUP(A16,收盤價!A:C,3,0)</f>
        <v>36.950000000000003</v>
      </c>
      <c r="E16" s="87">
        <v>1.513605442176871</v>
      </c>
      <c r="F16">
        <v>99.02</v>
      </c>
    </row>
    <row r="17" spans="1:6">
      <c r="A17">
        <v>3580</v>
      </c>
      <c r="B17" t="s">
        <v>1415</v>
      </c>
      <c r="C17">
        <v>10.5</v>
      </c>
      <c r="D17">
        <f>VLOOKUP(A17,收盤價!A:C,3,0)</f>
        <v>25.5</v>
      </c>
      <c r="E17" s="87">
        <v>1.4285714285714286</v>
      </c>
      <c r="F17">
        <v>98.96</v>
      </c>
    </row>
    <row r="18" spans="1:6">
      <c r="A18">
        <v>3219</v>
      </c>
      <c r="B18" t="s">
        <v>1364</v>
      </c>
      <c r="C18">
        <v>10.3</v>
      </c>
      <c r="D18">
        <f>VLOOKUP(A18,收盤價!A:C,3,0)</f>
        <v>24.4</v>
      </c>
      <c r="E18" s="87">
        <v>1.3689320388349511</v>
      </c>
      <c r="F18">
        <v>98.9</v>
      </c>
    </row>
    <row r="19" spans="1:6">
      <c r="A19">
        <v>2349</v>
      </c>
      <c r="B19" t="s">
        <v>771</v>
      </c>
      <c r="C19">
        <v>2.35</v>
      </c>
      <c r="D19">
        <f>VLOOKUP(A19,收盤價!A:C,3,0)</f>
        <v>5.55</v>
      </c>
      <c r="E19" s="87">
        <v>1.3617021276595742</v>
      </c>
      <c r="F19">
        <v>98.84</v>
      </c>
    </row>
    <row r="20" spans="1:6">
      <c r="A20">
        <v>1569</v>
      </c>
      <c r="B20" t="s">
        <v>228</v>
      </c>
      <c r="C20">
        <v>9.5399999999999991</v>
      </c>
      <c r="D20">
        <f>VLOOKUP(A20,收盤價!A:C,3,0)</f>
        <v>21.45</v>
      </c>
      <c r="E20" s="87">
        <v>1.2484276729559749</v>
      </c>
      <c r="F20">
        <v>98.78</v>
      </c>
    </row>
    <row r="21" spans="1:6">
      <c r="A21">
        <v>3024</v>
      </c>
      <c r="B21" t="s">
        <v>1000</v>
      </c>
      <c r="C21">
        <v>2.96</v>
      </c>
      <c r="D21">
        <f>VLOOKUP(A21,收盤價!A:C,3,0)</f>
        <v>6.64</v>
      </c>
      <c r="E21" s="87">
        <v>1.2432432432432432</v>
      </c>
      <c r="F21">
        <v>98.71</v>
      </c>
    </row>
    <row r="22" spans="1:6">
      <c r="A22">
        <v>6190</v>
      </c>
      <c r="B22" t="s">
        <v>428</v>
      </c>
      <c r="C22">
        <v>5.5</v>
      </c>
      <c r="D22">
        <f>VLOOKUP(A22,收盤價!A:C,3,0)</f>
        <v>12.2</v>
      </c>
      <c r="E22" s="87">
        <v>1.218181818181818</v>
      </c>
      <c r="F22">
        <v>98.65</v>
      </c>
    </row>
    <row r="23" spans="1:6">
      <c r="A23">
        <v>8068</v>
      </c>
      <c r="B23" t="s">
        <v>463</v>
      </c>
      <c r="C23">
        <v>11.5</v>
      </c>
      <c r="D23">
        <f>VLOOKUP(A23,收盤價!A:C,3,0)</f>
        <v>25.45</v>
      </c>
      <c r="E23" s="87">
        <v>1.2130434782608694</v>
      </c>
      <c r="F23">
        <v>98.59</v>
      </c>
    </row>
    <row r="24" spans="1:6">
      <c r="A24">
        <v>5201</v>
      </c>
      <c r="B24" t="s">
        <v>1511</v>
      </c>
      <c r="C24">
        <v>12.25</v>
      </c>
      <c r="D24">
        <f>VLOOKUP(A24,收盤價!A:C,3,0)</f>
        <v>26.9</v>
      </c>
      <c r="E24" s="87">
        <v>1.1959183673469387</v>
      </c>
      <c r="F24">
        <v>98.53</v>
      </c>
    </row>
    <row r="25" spans="1:6">
      <c r="A25">
        <v>1906</v>
      </c>
      <c r="B25" t="s">
        <v>694</v>
      </c>
      <c r="C25">
        <v>8.11</v>
      </c>
      <c r="D25">
        <f>VLOOKUP(A25,收盤價!A:C,3,0)</f>
        <v>17.649999999999999</v>
      </c>
      <c r="E25" s="87">
        <v>1.1763255240443897</v>
      </c>
      <c r="F25">
        <v>98.47</v>
      </c>
    </row>
    <row r="26" spans="1:6">
      <c r="A26">
        <v>3625</v>
      </c>
      <c r="B26" t="s">
        <v>315</v>
      </c>
      <c r="C26">
        <v>8.25</v>
      </c>
      <c r="D26">
        <f>VLOOKUP(A26,收盤價!A:C,3,0)</f>
        <v>17.8</v>
      </c>
      <c r="E26" s="87">
        <v>1.1575757575757577</v>
      </c>
      <c r="F26">
        <v>98.41</v>
      </c>
    </row>
    <row r="27" spans="1:6">
      <c r="A27">
        <v>2429</v>
      </c>
      <c r="B27" t="s">
        <v>829</v>
      </c>
      <c r="C27">
        <v>8.56</v>
      </c>
      <c r="D27">
        <f>VLOOKUP(A27,收盤價!A:C,3,0)</f>
        <v>18.100000000000001</v>
      </c>
      <c r="E27" s="87">
        <v>1.1144859813084114</v>
      </c>
      <c r="F27">
        <v>98.35</v>
      </c>
    </row>
    <row r="28" spans="1:6">
      <c r="A28">
        <v>3526</v>
      </c>
      <c r="B28" t="s">
        <v>1404</v>
      </c>
      <c r="C28">
        <v>33.85</v>
      </c>
      <c r="D28">
        <f>VLOOKUP(A28,收盤價!A:C,3,0)</f>
        <v>71.3</v>
      </c>
      <c r="E28" s="87">
        <v>1.1063515509601181</v>
      </c>
      <c r="F28">
        <v>98.29</v>
      </c>
    </row>
    <row r="29" spans="1:6">
      <c r="A29">
        <v>3149</v>
      </c>
      <c r="B29" t="s">
        <v>1039</v>
      </c>
      <c r="C29">
        <v>7.87</v>
      </c>
      <c r="D29">
        <f>VLOOKUP(A29,收盤價!A:C,3,0)</f>
        <v>16.55</v>
      </c>
      <c r="E29" s="87">
        <v>1.1029224904701398</v>
      </c>
      <c r="F29">
        <v>98.22</v>
      </c>
    </row>
    <row r="30" spans="1:6">
      <c r="A30">
        <v>6235</v>
      </c>
      <c r="B30" t="s">
        <v>1215</v>
      </c>
      <c r="C30">
        <v>10.050000000000001</v>
      </c>
      <c r="D30">
        <f>VLOOKUP(A30,收盤價!A:C,3,0)</f>
        <v>20.85</v>
      </c>
      <c r="E30" s="87">
        <v>1.0746268656716418</v>
      </c>
      <c r="F30">
        <v>98.16</v>
      </c>
    </row>
    <row r="31" spans="1:6">
      <c r="A31">
        <v>5255</v>
      </c>
      <c r="B31" t="s">
        <v>373</v>
      </c>
      <c r="C31">
        <v>15.3</v>
      </c>
      <c r="D31">
        <f>VLOOKUP(A31,收盤價!A:C,3,0)</f>
        <v>31.3</v>
      </c>
      <c r="E31" s="87">
        <v>1.0457516339869282</v>
      </c>
      <c r="F31">
        <v>98.1</v>
      </c>
    </row>
    <row r="32" spans="1:6">
      <c r="A32">
        <v>8358</v>
      </c>
      <c r="B32" t="s">
        <v>1692</v>
      </c>
      <c r="C32">
        <v>13.7</v>
      </c>
      <c r="D32">
        <f>VLOOKUP(A32,收盤價!A:C,3,0)</f>
        <v>27.8</v>
      </c>
      <c r="E32" s="87">
        <v>1.029197080291971</v>
      </c>
      <c r="F32">
        <v>98.04</v>
      </c>
    </row>
    <row r="33" spans="1:6">
      <c r="A33">
        <v>2439</v>
      </c>
      <c r="B33" t="s">
        <v>837</v>
      </c>
      <c r="C33">
        <v>64</v>
      </c>
      <c r="D33">
        <f>VLOOKUP(A33,收盤價!A:C,3,0)</f>
        <v>124.5</v>
      </c>
      <c r="E33" s="87">
        <v>0.9453125</v>
      </c>
      <c r="F33">
        <v>97.98</v>
      </c>
    </row>
    <row r="34" spans="1:6">
      <c r="A34">
        <v>3005</v>
      </c>
      <c r="B34" t="s">
        <v>986</v>
      </c>
      <c r="C34">
        <v>21.8</v>
      </c>
      <c r="D34">
        <f>VLOOKUP(A34,收盤價!A:C,3,0)</f>
        <v>42.2</v>
      </c>
      <c r="E34" s="87">
        <v>0.93577981651376152</v>
      </c>
      <c r="F34">
        <v>97.92</v>
      </c>
    </row>
    <row r="35" spans="1:6">
      <c r="A35">
        <v>4903</v>
      </c>
      <c r="B35" t="s">
        <v>1492</v>
      </c>
      <c r="C35">
        <v>14.25</v>
      </c>
      <c r="D35">
        <f>VLOOKUP(A35,收盤價!A:C,3,0)</f>
        <v>27.15</v>
      </c>
      <c r="E35" s="87">
        <v>0.90526315789473677</v>
      </c>
      <c r="F35">
        <v>97.86</v>
      </c>
    </row>
    <row r="36" spans="1:6">
      <c r="A36">
        <v>8444</v>
      </c>
      <c r="B36" t="s">
        <v>1740</v>
      </c>
      <c r="C36">
        <v>91</v>
      </c>
      <c r="D36">
        <f>VLOOKUP(A36,收盤價!A:C,3,0)</f>
        <v>172.5</v>
      </c>
      <c r="E36" s="87">
        <v>0.89560439560439564</v>
      </c>
      <c r="F36">
        <v>97.8</v>
      </c>
    </row>
    <row r="37" spans="1:6">
      <c r="A37">
        <v>3483</v>
      </c>
      <c r="B37" t="s">
        <v>292</v>
      </c>
      <c r="C37">
        <v>14.55</v>
      </c>
      <c r="D37">
        <f>VLOOKUP(A37,收盤價!A:C,3,0)</f>
        <v>27</v>
      </c>
      <c r="E37" s="87">
        <v>0.85567010309278346</v>
      </c>
      <c r="F37">
        <v>97.73</v>
      </c>
    </row>
    <row r="38" spans="1:6">
      <c r="A38">
        <v>3092</v>
      </c>
      <c r="B38" t="s">
        <v>250</v>
      </c>
      <c r="C38">
        <v>18.399999999999999</v>
      </c>
      <c r="D38">
        <f>VLOOKUP(A38,收盤價!A:C,3,0)</f>
        <v>34.1</v>
      </c>
      <c r="E38" s="87">
        <v>0.85326086956521763</v>
      </c>
      <c r="F38">
        <v>97.67</v>
      </c>
    </row>
    <row r="39" spans="1:6">
      <c r="A39">
        <v>5269</v>
      </c>
      <c r="B39" t="s">
        <v>1151</v>
      </c>
      <c r="C39">
        <v>140</v>
      </c>
      <c r="D39">
        <f>VLOOKUP(A39,收盤價!A:C,3,0)</f>
        <v>259</v>
      </c>
      <c r="E39" s="87">
        <v>0.85</v>
      </c>
      <c r="F39">
        <v>97.61</v>
      </c>
    </row>
    <row r="40" spans="1:6">
      <c r="A40">
        <v>3260</v>
      </c>
      <c r="B40" t="s">
        <v>1369</v>
      </c>
      <c r="C40">
        <v>27.25</v>
      </c>
      <c r="D40">
        <f>VLOOKUP(A40,收盤價!A:C,3,0)</f>
        <v>50.2</v>
      </c>
      <c r="E40" s="87">
        <v>0.84220183486238542</v>
      </c>
      <c r="F40">
        <v>97.55</v>
      </c>
    </row>
    <row r="41" spans="1:6">
      <c r="A41">
        <v>5484</v>
      </c>
      <c r="B41" t="s">
        <v>1158</v>
      </c>
      <c r="C41">
        <v>3.86</v>
      </c>
      <c r="D41">
        <f>VLOOKUP(A41,收盤價!A:C,3,0)</f>
        <v>7.04</v>
      </c>
      <c r="E41" s="87">
        <v>0.82383419689119175</v>
      </c>
      <c r="F41">
        <v>97.49</v>
      </c>
    </row>
    <row r="42" spans="1:6">
      <c r="A42">
        <v>3236</v>
      </c>
      <c r="B42" t="s">
        <v>267</v>
      </c>
      <c r="C42">
        <v>13.6</v>
      </c>
      <c r="D42">
        <f>VLOOKUP(A42,收盤價!A:C,3,0)</f>
        <v>24.4</v>
      </c>
      <c r="E42" s="87">
        <v>0.79411764705882348</v>
      </c>
      <c r="F42">
        <v>97.43</v>
      </c>
    </row>
    <row r="43" spans="1:6">
      <c r="A43">
        <v>6209</v>
      </c>
      <c r="B43" t="s">
        <v>1206</v>
      </c>
      <c r="C43">
        <v>13.3</v>
      </c>
      <c r="D43">
        <f>VLOOKUP(A43,收盤價!A:C,3,0)</f>
        <v>23.75</v>
      </c>
      <c r="E43" s="87">
        <v>0.78571428571428559</v>
      </c>
      <c r="F43">
        <v>97.37</v>
      </c>
    </row>
    <row r="44" spans="1:6">
      <c r="A44">
        <v>2364</v>
      </c>
      <c r="B44" t="s">
        <v>784</v>
      </c>
      <c r="C44">
        <v>1.57</v>
      </c>
      <c r="D44">
        <f>VLOOKUP(A44,收盤價!A:C,3,0)</f>
        <v>2.79</v>
      </c>
      <c r="E44" s="87">
        <v>0.77707006369426745</v>
      </c>
      <c r="F44">
        <v>97.31</v>
      </c>
    </row>
    <row r="45" spans="1:6">
      <c r="A45">
        <v>3207</v>
      </c>
      <c r="B45" t="s">
        <v>260</v>
      </c>
      <c r="C45">
        <v>6.54</v>
      </c>
      <c r="D45">
        <f>VLOOKUP(A45,收盤價!A:C,3,0)</f>
        <v>11.6</v>
      </c>
      <c r="E45" s="87">
        <v>0.7737003058103975</v>
      </c>
      <c r="F45">
        <v>97.24</v>
      </c>
    </row>
    <row r="46" spans="1:6">
      <c r="A46">
        <v>3085</v>
      </c>
      <c r="B46" t="s">
        <v>247</v>
      </c>
      <c r="C46">
        <v>7.98</v>
      </c>
      <c r="D46">
        <f>VLOOKUP(A46,收盤價!A:C,3,0)</f>
        <v>14.15</v>
      </c>
      <c r="E46" s="87">
        <v>0.77318295739348364</v>
      </c>
      <c r="F46">
        <v>97.18</v>
      </c>
    </row>
    <row r="47" spans="1:6">
      <c r="A47">
        <v>6165</v>
      </c>
      <c r="B47" t="s">
        <v>1189</v>
      </c>
      <c r="C47">
        <v>9.9</v>
      </c>
      <c r="D47">
        <f>VLOOKUP(A47,收盤價!A:C,3,0)</f>
        <v>17.55</v>
      </c>
      <c r="E47" s="87">
        <v>0.77272727272727271</v>
      </c>
      <c r="F47">
        <v>97.12</v>
      </c>
    </row>
    <row r="48" spans="1:6">
      <c r="A48">
        <v>3324</v>
      </c>
      <c r="B48" t="s">
        <v>1381</v>
      </c>
      <c r="C48">
        <v>54.5</v>
      </c>
      <c r="D48">
        <f>VLOOKUP(A48,收盤價!A:C,3,0)</f>
        <v>96.2</v>
      </c>
      <c r="E48" s="87">
        <v>0.76513761467889918</v>
      </c>
      <c r="F48">
        <v>97.06</v>
      </c>
    </row>
    <row r="49" spans="1:6">
      <c r="A49">
        <v>2641</v>
      </c>
      <c r="B49" t="s">
        <v>1332</v>
      </c>
      <c r="C49">
        <v>7.03</v>
      </c>
      <c r="D49">
        <f>VLOOKUP(A49,收盤價!A:C,3,0)</f>
        <v>12.2</v>
      </c>
      <c r="E49" s="87">
        <v>0.73541963015647205</v>
      </c>
      <c r="F49">
        <v>97</v>
      </c>
    </row>
    <row r="50" spans="1:6">
      <c r="A50">
        <v>2371</v>
      </c>
      <c r="B50" t="s">
        <v>789</v>
      </c>
      <c r="C50">
        <v>4.63</v>
      </c>
      <c r="D50">
        <f>VLOOKUP(A50,收盤價!A:C,3,0)</f>
        <v>8.02</v>
      </c>
      <c r="E50" s="87">
        <v>0.7321814254859611</v>
      </c>
      <c r="F50">
        <v>96.94</v>
      </c>
    </row>
    <row r="51" spans="1:6">
      <c r="A51">
        <v>8069</v>
      </c>
      <c r="B51" t="s">
        <v>1660</v>
      </c>
      <c r="C51">
        <v>15.25</v>
      </c>
      <c r="D51">
        <f>VLOOKUP(A51,收盤價!A:C,3,0)</f>
        <v>26.25</v>
      </c>
      <c r="E51" s="87">
        <v>0.72131147540983609</v>
      </c>
      <c r="F51">
        <v>96.88</v>
      </c>
    </row>
    <row r="52" spans="1:6">
      <c r="A52">
        <v>3276</v>
      </c>
      <c r="B52" t="s">
        <v>1371</v>
      </c>
      <c r="C52">
        <v>8.49</v>
      </c>
      <c r="D52">
        <f>VLOOKUP(A52,收盤價!A:C,3,0)</f>
        <v>14.6</v>
      </c>
      <c r="E52" s="87">
        <v>0.71967020023557116</v>
      </c>
      <c r="F52">
        <v>96.82</v>
      </c>
    </row>
    <row r="53" spans="1:6">
      <c r="A53">
        <v>2415</v>
      </c>
      <c r="B53" t="s">
        <v>818</v>
      </c>
      <c r="C53">
        <v>12.9</v>
      </c>
      <c r="D53">
        <f>VLOOKUP(A53,收盤價!A:C,3,0)</f>
        <v>22.1</v>
      </c>
      <c r="E53" s="87">
        <v>0.71317829457364346</v>
      </c>
      <c r="F53">
        <v>96.75</v>
      </c>
    </row>
    <row r="54" spans="1:6">
      <c r="A54">
        <v>3362</v>
      </c>
      <c r="B54" t="s">
        <v>1385</v>
      </c>
      <c r="C54">
        <v>13.95</v>
      </c>
      <c r="D54">
        <f>VLOOKUP(A54,收盤價!A:C,3,0)</f>
        <v>23.8</v>
      </c>
      <c r="E54" s="87">
        <v>0.70609318996415782</v>
      </c>
      <c r="F54">
        <v>96.69</v>
      </c>
    </row>
    <row r="55" spans="1:6">
      <c r="A55">
        <v>2368</v>
      </c>
      <c r="B55" t="s">
        <v>787</v>
      </c>
      <c r="C55">
        <v>6.42</v>
      </c>
      <c r="D55">
        <f>VLOOKUP(A55,收盤價!A:C,3,0)</f>
        <v>10.95</v>
      </c>
      <c r="E55" s="87">
        <v>0.70560747663551393</v>
      </c>
      <c r="F55">
        <v>96.63</v>
      </c>
    </row>
    <row r="56" spans="1:6">
      <c r="A56">
        <v>3188</v>
      </c>
      <c r="B56" t="s">
        <v>258</v>
      </c>
      <c r="C56">
        <v>9.81</v>
      </c>
      <c r="D56">
        <f>VLOOKUP(A56,收盤價!A:C,3,0)</f>
        <v>16.7</v>
      </c>
      <c r="E56" s="87">
        <v>0.70234454638124344</v>
      </c>
      <c r="F56">
        <v>96.57</v>
      </c>
    </row>
    <row r="57" spans="1:6">
      <c r="A57">
        <v>1568</v>
      </c>
      <c r="B57" t="s">
        <v>632</v>
      </c>
      <c r="C57">
        <v>21.8</v>
      </c>
      <c r="D57">
        <f>VLOOKUP(A57,收盤價!A:C,3,0)</f>
        <v>36.700000000000003</v>
      </c>
      <c r="E57" s="87">
        <v>0.68348623853211021</v>
      </c>
      <c r="F57">
        <v>96.51</v>
      </c>
    </row>
    <row r="58" spans="1:6">
      <c r="A58">
        <v>3557</v>
      </c>
      <c r="B58" t="s">
        <v>1083</v>
      </c>
      <c r="C58">
        <v>3.34</v>
      </c>
      <c r="D58">
        <f>VLOOKUP(A58,收盤價!A:C,3,0)</f>
        <v>5.61</v>
      </c>
      <c r="E58" s="87">
        <v>0.67964071856287445</v>
      </c>
      <c r="F58">
        <v>96.45</v>
      </c>
    </row>
    <row r="59" spans="1:6">
      <c r="A59">
        <v>4924</v>
      </c>
      <c r="B59" t="s">
        <v>1496</v>
      </c>
      <c r="C59">
        <v>5.91</v>
      </c>
      <c r="D59">
        <f>VLOOKUP(A59,收盤價!A:C,3,0)</f>
        <v>9.91</v>
      </c>
      <c r="E59" s="87">
        <v>0.67681895093062605</v>
      </c>
      <c r="F59">
        <v>96.39</v>
      </c>
    </row>
    <row r="60" spans="1:6">
      <c r="A60">
        <v>3325</v>
      </c>
      <c r="B60" t="s">
        <v>1382</v>
      </c>
      <c r="C60">
        <v>14.4</v>
      </c>
      <c r="D60">
        <f>VLOOKUP(A60,收盤價!A:C,3,0)</f>
        <v>23.85</v>
      </c>
      <c r="E60" s="87">
        <v>0.65625000000000011</v>
      </c>
      <c r="F60">
        <v>96.33</v>
      </c>
    </row>
    <row r="61" spans="1:6">
      <c r="A61">
        <v>4503</v>
      </c>
      <c r="B61" t="s">
        <v>342</v>
      </c>
      <c r="C61">
        <v>14.15</v>
      </c>
      <c r="D61">
        <f>VLOOKUP(A61,收盤價!A:C,3,0)</f>
        <v>23.4</v>
      </c>
      <c r="E61" s="87">
        <v>0.65371024734982319</v>
      </c>
      <c r="F61">
        <v>96.26</v>
      </c>
    </row>
    <row r="62" spans="1:6">
      <c r="A62">
        <v>6126</v>
      </c>
      <c r="B62" t="s">
        <v>1590</v>
      </c>
      <c r="C62">
        <v>6.8</v>
      </c>
      <c r="D62">
        <f>VLOOKUP(A62,收盤價!A:C,3,0)</f>
        <v>11.2</v>
      </c>
      <c r="E62" s="87">
        <v>0.64705882352941169</v>
      </c>
      <c r="F62">
        <v>96.2</v>
      </c>
    </row>
    <row r="63" spans="1:6">
      <c r="A63">
        <v>4976</v>
      </c>
      <c r="B63" t="s">
        <v>1145</v>
      </c>
      <c r="C63">
        <v>11.45</v>
      </c>
      <c r="D63">
        <f>VLOOKUP(A63,收盤價!A:C,3,0)</f>
        <v>18.8</v>
      </c>
      <c r="E63" s="87">
        <v>0.64192139737991283</v>
      </c>
      <c r="F63">
        <v>96.14</v>
      </c>
    </row>
    <row r="64" spans="1:6">
      <c r="A64">
        <v>6462</v>
      </c>
      <c r="B64" t="s">
        <v>1792</v>
      </c>
      <c r="C64">
        <v>125.5</v>
      </c>
      <c r="D64">
        <f>VLOOKUP(A64,收盤價!A:C,3,0)</f>
        <v>206</v>
      </c>
      <c r="E64" s="87">
        <v>0.64143426294820716</v>
      </c>
      <c r="F64">
        <v>96.08</v>
      </c>
    </row>
    <row r="65" spans="1:6">
      <c r="A65">
        <v>2614</v>
      </c>
      <c r="B65" t="s">
        <v>923</v>
      </c>
      <c r="C65">
        <v>4.71</v>
      </c>
      <c r="D65">
        <f>VLOOKUP(A65,收盤價!A:C,3,0)</f>
        <v>7.72</v>
      </c>
      <c r="E65" s="87">
        <v>0.63906581740976642</v>
      </c>
      <c r="F65">
        <v>96.02</v>
      </c>
    </row>
    <row r="66" spans="1:6">
      <c r="A66">
        <v>5469</v>
      </c>
      <c r="B66" t="s">
        <v>1156</v>
      </c>
      <c r="C66">
        <v>8.8000000000000007</v>
      </c>
      <c r="D66">
        <f>VLOOKUP(A66,收盤價!A:C,3,0)</f>
        <v>14.4</v>
      </c>
      <c r="E66" s="87">
        <v>0.63636363636363624</v>
      </c>
      <c r="F66">
        <v>95.96</v>
      </c>
    </row>
    <row r="67" spans="1:6">
      <c r="A67">
        <v>2377</v>
      </c>
      <c r="B67" t="s">
        <v>794</v>
      </c>
      <c r="C67">
        <v>50.7</v>
      </c>
      <c r="D67">
        <f>VLOOKUP(A67,收盤價!A:C,3,0)</f>
        <v>82.8</v>
      </c>
      <c r="E67" s="87">
        <v>0.63313609467455612</v>
      </c>
      <c r="F67">
        <v>95.9</v>
      </c>
    </row>
    <row r="68" spans="1:6">
      <c r="A68">
        <v>3284</v>
      </c>
      <c r="B68" t="s">
        <v>272</v>
      </c>
      <c r="C68">
        <v>10.9</v>
      </c>
      <c r="D68">
        <f>VLOOKUP(A68,收盤價!A:C,3,0)</f>
        <v>17.8</v>
      </c>
      <c r="E68" s="87">
        <v>0.6330275229357798</v>
      </c>
      <c r="F68">
        <v>95.84</v>
      </c>
    </row>
    <row r="69" spans="1:6">
      <c r="A69">
        <v>4939</v>
      </c>
      <c r="B69" t="s">
        <v>358</v>
      </c>
      <c r="C69">
        <v>5.15</v>
      </c>
      <c r="D69">
        <f>VLOOKUP(A69,收盤價!A:C,3,0)</f>
        <v>8.36</v>
      </c>
      <c r="E69" s="87">
        <v>0.62330097087378622</v>
      </c>
      <c r="F69">
        <v>95.77</v>
      </c>
    </row>
    <row r="70" spans="1:6">
      <c r="A70">
        <v>1225</v>
      </c>
      <c r="B70" t="s">
        <v>520</v>
      </c>
      <c r="C70">
        <v>31.75</v>
      </c>
      <c r="D70">
        <f>VLOOKUP(A70,收盤價!A:C,3,0)</f>
        <v>51.5</v>
      </c>
      <c r="E70" s="87">
        <v>0.62204724409448819</v>
      </c>
      <c r="F70">
        <v>95.71</v>
      </c>
    </row>
    <row r="71" spans="1:6">
      <c r="A71">
        <v>3073</v>
      </c>
      <c r="B71" t="s">
        <v>1343</v>
      </c>
      <c r="C71">
        <v>7.68</v>
      </c>
      <c r="D71">
        <f>VLOOKUP(A71,收盤價!A:C,3,0)</f>
        <v>12.45</v>
      </c>
      <c r="E71" s="87">
        <v>0.62109375</v>
      </c>
      <c r="F71">
        <v>95.65</v>
      </c>
    </row>
    <row r="72" spans="1:6">
      <c r="A72">
        <v>6510</v>
      </c>
      <c r="B72" t="s">
        <v>1842</v>
      </c>
      <c r="C72">
        <v>681</v>
      </c>
      <c r="D72">
        <f>VLOOKUP(A72,收盤價!A:C,3,0)</f>
        <v>1095</v>
      </c>
      <c r="E72" s="87">
        <v>0.60792951541850215</v>
      </c>
      <c r="F72">
        <v>95.59</v>
      </c>
    </row>
    <row r="73" spans="1:6">
      <c r="A73">
        <v>1215</v>
      </c>
      <c r="B73" t="s">
        <v>514</v>
      </c>
      <c r="C73">
        <v>28.7</v>
      </c>
      <c r="D73">
        <f>VLOOKUP(A73,收盤價!A:C,3,0)</f>
        <v>46.05</v>
      </c>
      <c r="E73" s="87">
        <v>0.60452961672473859</v>
      </c>
      <c r="F73">
        <v>95.53</v>
      </c>
    </row>
    <row r="74" spans="1:6">
      <c r="A74">
        <v>3374</v>
      </c>
      <c r="B74" t="s">
        <v>286</v>
      </c>
      <c r="C74">
        <v>19.899999999999999</v>
      </c>
      <c r="D74">
        <f>VLOOKUP(A74,收盤價!A:C,3,0)</f>
        <v>31.65</v>
      </c>
      <c r="E74" s="87">
        <v>0.59045226130653272</v>
      </c>
      <c r="F74">
        <v>95.47</v>
      </c>
    </row>
    <row r="75" spans="1:6">
      <c r="A75">
        <v>3013</v>
      </c>
      <c r="B75" t="s">
        <v>991</v>
      </c>
      <c r="C75">
        <v>11.7</v>
      </c>
      <c r="D75">
        <f>VLOOKUP(A75,收盤價!A:C,3,0)</f>
        <v>18.45</v>
      </c>
      <c r="E75" s="87">
        <v>0.57692307692307698</v>
      </c>
      <c r="F75">
        <v>95.41</v>
      </c>
    </row>
    <row r="76" spans="1:6">
      <c r="A76">
        <v>8070</v>
      </c>
      <c r="B76" t="s">
        <v>1246</v>
      </c>
      <c r="C76">
        <v>86.3</v>
      </c>
      <c r="D76">
        <f>VLOOKUP(A76,收盤價!A:C,3,0)</f>
        <v>136</v>
      </c>
      <c r="E76" s="87">
        <v>0.57589803012746243</v>
      </c>
      <c r="F76">
        <v>95.35</v>
      </c>
    </row>
    <row r="77" spans="1:6">
      <c r="A77">
        <v>5398</v>
      </c>
      <c r="B77" t="s">
        <v>390</v>
      </c>
      <c r="C77">
        <v>30.7</v>
      </c>
      <c r="D77">
        <f>VLOOKUP(A77,收盤價!A:C,3,0)</f>
        <v>48.3</v>
      </c>
      <c r="E77" s="87">
        <v>0.57328990228013021</v>
      </c>
      <c r="F77">
        <v>95.28</v>
      </c>
    </row>
    <row r="78" spans="1:6">
      <c r="A78">
        <v>8183</v>
      </c>
      <c r="B78" t="s">
        <v>1681</v>
      </c>
      <c r="C78">
        <v>6.9</v>
      </c>
      <c r="D78">
        <f>VLOOKUP(A78,收盤價!A:C,3,0)</f>
        <v>10.85</v>
      </c>
      <c r="E78" s="87">
        <v>0.57246376811594191</v>
      </c>
      <c r="F78">
        <v>95.22</v>
      </c>
    </row>
    <row r="79" spans="1:6">
      <c r="A79">
        <v>3541</v>
      </c>
      <c r="B79" t="s">
        <v>1408</v>
      </c>
      <c r="C79">
        <v>85.3</v>
      </c>
      <c r="D79">
        <f>VLOOKUP(A79,收盤價!A:C,3,0)</f>
        <v>134</v>
      </c>
      <c r="E79" s="87">
        <v>0.57092614302461908</v>
      </c>
      <c r="F79">
        <v>95.16</v>
      </c>
    </row>
    <row r="80" spans="1:6">
      <c r="A80">
        <v>9106</v>
      </c>
      <c r="B80" t="s">
        <v>2089</v>
      </c>
      <c r="C80">
        <v>1.42</v>
      </c>
      <c r="D80">
        <f>VLOOKUP(A80,收盤價!A:C,3,0)</f>
        <v>2.2200000000000002</v>
      </c>
      <c r="E80" s="87">
        <v>0.56338028169014109</v>
      </c>
      <c r="F80">
        <v>95.1</v>
      </c>
    </row>
    <row r="81" spans="1:6">
      <c r="A81">
        <v>6191</v>
      </c>
      <c r="B81" t="s">
        <v>1198</v>
      </c>
      <c r="C81">
        <v>7.05</v>
      </c>
      <c r="D81">
        <f>VLOOKUP(A81,收盤價!A:C,3,0)</f>
        <v>11</v>
      </c>
      <c r="E81" s="87">
        <v>0.56028368794326244</v>
      </c>
      <c r="F81">
        <v>95.04</v>
      </c>
    </row>
    <row r="82" spans="1:6">
      <c r="A82">
        <v>8277</v>
      </c>
      <c r="B82" t="s">
        <v>1685</v>
      </c>
      <c r="C82">
        <v>7.4</v>
      </c>
      <c r="D82">
        <f>VLOOKUP(A82,收盤價!A:C,3,0)</f>
        <v>11.5</v>
      </c>
      <c r="E82" s="87">
        <v>0.55405405405405395</v>
      </c>
      <c r="F82">
        <v>94.98</v>
      </c>
    </row>
    <row r="83" spans="1:6">
      <c r="A83">
        <v>8271</v>
      </c>
      <c r="B83" t="s">
        <v>1265</v>
      </c>
      <c r="C83">
        <v>22.2</v>
      </c>
      <c r="D83">
        <f>VLOOKUP(A83,收盤價!A:C,3,0)</f>
        <v>34.35</v>
      </c>
      <c r="E83" s="87">
        <v>0.54729729729729737</v>
      </c>
      <c r="F83">
        <v>94.92</v>
      </c>
    </row>
    <row r="84" spans="1:6">
      <c r="A84">
        <v>8112</v>
      </c>
      <c r="B84" t="s">
        <v>1253</v>
      </c>
      <c r="C84">
        <v>13.75</v>
      </c>
      <c r="D84">
        <f>VLOOKUP(A84,收盤價!A:C,3,0)</f>
        <v>21.2</v>
      </c>
      <c r="E84" s="87">
        <v>0.54181818181818175</v>
      </c>
      <c r="F84">
        <v>94.86</v>
      </c>
    </row>
    <row r="85" spans="1:6">
      <c r="A85">
        <v>2337</v>
      </c>
      <c r="B85" t="s">
        <v>763</v>
      </c>
      <c r="C85">
        <v>3</v>
      </c>
      <c r="D85">
        <f>VLOOKUP(A85,收盤價!A:C,3,0)</f>
        <v>4.62</v>
      </c>
      <c r="E85" s="87">
        <v>0.54</v>
      </c>
      <c r="F85">
        <v>94.79</v>
      </c>
    </row>
    <row r="86" spans="1:6">
      <c r="A86">
        <v>3105</v>
      </c>
      <c r="B86" t="s">
        <v>253</v>
      </c>
      <c r="C86">
        <v>60.2</v>
      </c>
      <c r="D86">
        <f>VLOOKUP(A86,收盤價!A:C,3,0)</f>
        <v>92.4</v>
      </c>
      <c r="E86" s="87">
        <v>0.53488372093023262</v>
      </c>
      <c r="F86">
        <v>94.73</v>
      </c>
    </row>
    <row r="87" spans="1:6">
      <c r="A87">
        <v>6188</v>
      </c>
      <c r="B87" t="s">
        <v>1610</v>
      </c>
      <c r="C87">
        <v>20</v>
      </c>
      <c r="D87">
        <f>VLOOKUP(A87,收盤價!A:C,3,0)</f>
        <v>30.6</v>
      </c>
      <c r="E87" s="87">
        <v>0.53</v>
      </c>
      <c r="F87">
        <v>94.67</v>
      </c>
    </row>
    <row r="88" spans="1:6">
      <c r="A88">
        <v>1604</v>
      </c>
      <c r="B88" t="s">
        <v>636</v>
      </c>
      <c r="C88">
        <v>13.4</v>
      </c>
      <c r="D88">
        <f>VLOOKUP(A88,收盤價!A:C,3,0)</f>
        <v>20.45</v>
      </c>
      <c r="E88" s="87">
        <v>0.52611940298507454</v>
      </c>
      <c r="F88">
        <v>94.61</v>
      </c>
    </row>
    <row r="89" spans="1:6">
      <c r="A89">
        <v>1305</v>
      </c>
      <c r="B89" t="s">
        <v>532</v>
      </c>
      <c r="C89">
        <v>14.9</v>
      </c>
      <c r="D89">
        <f>VLOOKUP(A89,收盤價!A:C,3,0)</f>
        <v>22.7</v>
      </c>
      <c r="E89" s="87">
        <v>0.52348993288590595</v>
      </c>
      <c r="F89">
        <v>94.55</v>
      </c>
    </row>
    <row r="90" spans="1:6">
      <c r="A90">
        <v>2023</v>
      </c>
      <c r="B90" t="s">
        <v>710</v>
      </c>
      <c r="C90">
        <v>7.75</v>
      </c>
      <c r="D90">
        <f>VLOOKUP(A90,收盤價!A:C,3,0)</f>
        <v>11.8</v>
      </c>
      <c r="E90" s="87">
        <v>0.52258064516129044</v>
      </c>
      <c r="F90">
        <v>94.49</v>
      </c>
    </row>
    <row r="91" spans="1:6">
      <c r="A91">
        <v>4532</v>
      </c>
      <c r="B91" t="s">
        <v>1123</v>
      </c>
      <c r="C91">
        <v>24.6</v>
      </c>
      <c r="D91">
        <f>VLOOKUP(A91,收盤價!A:C,3,0)</f>
        <v>37.450000000000003</v>
      </c>
      <c r="E91" s="87">
        <v>0.52235772357723576</v>
      </c>
      <c r="F91">
        <v>94.43</v>
      </c>
    </row>
    <row r="92" spans="1:6">
      <c r="A92">
        <v>8421</v>
      </c>
      <c r="B92" t="s">
        <v>477</v>
      </c>
      <c r="C92">
        <v>13.1</v>
      </c>
      <c r="D92">
        <f>VLOOKUP(A92,收盤價!A:C,3,0)</f>
        <v>19.899999999999999</v>
      </c>
      <c r="E92" s="87">
        <v>0.51908396946564883</v>
      </c>
      <c r="F92">
        <v>94.37</v>
      </c>
    </row>
    <row r="93" spans="1:6">
      <c r="A93">
        <v>1580</v>
      </c>
      <c r="B93" t="s">
        <v>1314</v>
      </c>
      <c r="C93">
        <v>98</v>
      </c>
      <c r="D93">
        <f>VLOOKUP(A93,收盤價!A:C,3,0)</f>
        <v>148.5</v>
      </c>
      <c r="E93" s="87">
        <v>0.51530612244897955</v>
      </c>
      <c r="F93">
        <v>94.3</v>
      </c>
    </row>
    <row r="94" spans="1:6">
      <c r="A94">
        <v>1333</v>
      </c>
      <c r="B94" t="s">
        <v>225</v>
      </c>
      <c r="C94">
        <v>2.78</v>
      </c>
      <c r="D94">
        <f>VLOOKUP(A94,收盤價!A:C,3,0)</f>
        <v>4.2</v>
      </c>
      <c r="E94" s="87">
        <v>0.51079136690647498</v>
      </c>
      <c r="F94">
        <v>94.24</v>
      </c>
    </row>
    <row r="95" spans="1:6">
      <c r="A95">
        <v>2498</v>
      </c>
      <c r="B95" t="s">
        <v>882</v>
      </c>
      <c r="C95">
        <v>62.6</v>
      </c>
      <c r="D95">
        <f>VLOOKUP(A95,收盤價!A:C,3,0)</f>
        <v>94.4</v>
      </c>
      <c r="E95" s="87">
        <v>0.50798722044728439</v>
      </c>
      <c r="F95">
        <v>94.18</v>
      </c>
    </row>
    <row r="96" spans="1:6">
      <c r="A96">
        <v>4999</v>
      </c>
      <c r="B96" t="s">
        <v>1147</v>
      </c>
      <c r="C96">
        <v>41</v>
      </c>
      <c r="D96">
        <f>VLOOKUP(A96,收盤價!A:C,3,0)</f>
        <v>61.8</v>
      </c>
      <c r="E96" s="87">
        <v>0.5073170731707316</v>
      </c>
      <c r="F96">
        <v>94.12</v>
      </c>
    </row>
    <row r="97" spans="1:6">
      <c r="A97">
        <v>4551</v>
      </c>
      <c r="B97" t="s">
        <v>1125</v>
      </c>
      <c r="C97">
        <v>96.6</v>
      </c>
      <c r="D97">
        <f>VLOOKUP(A97,收盤價!A:C,3,0)</f>
        <v>145</v>
      </c>
      <c r="E97" s="87">
        <v>0.50103519668737073</v>
      </c>
      <c r="F97">
        <v>94.06</v>
      </c>
    </row>
    <row r="98" spans="1:6">
      <c r="A98">
        <v>3152</v>
      </c>
      <c r="B98" t="s">
        <v>1354</v>
      </c>
      <c r="C98">
        <v>152</v>
      </c>
      <c r="D98">
        <f>VLOOKUP(A98,收盤價!A:C,3,0)</f>
        <v>227.5</v>
      </c>
      <c r="E98" s="87">
        <v>0.49671052631578949</v>
      </c>
      <c r="F98">
        <v>94</v>
      </c>
    </row>
    <row r="99" spans="1:6">
      <c r="A99">
        <v>6108</v>
      </c>
      <c r="B99" t="s">
        <v>1172</v>
      </c>
      <c r="C99">
        <v>14.9</v>
      </c>
      <c r="D99">
        <f>VLOOKUP(A99,收盤價!A:C,3,0)</f>
        <v>22.3</v>
      </c>
      <c r="E99" s="87">
        <v>0.49664429530201343</v>
      </c>
      <c r="F99">
        <v>93.94</v>
      </c>
    </row>
    <row r="100" spans="1:6">
      <c r="A100">
        <v>4711</v>
      </c>
      <c r="B100" t="s">
        <v>1484</v>
      </c>
      <c r="C100">
        <v>13.7</v>
      </c>
      <c r="D100">
        <f>VLOOKUP(A100,收盤價!A:C,3,0)</f>
        <v>20.45</v>
      </c>
      <c r="E100" s="87">
        <v>0.49270072992700731</v>
      </c>
      <c r="F100">
        <v>93.88</v>
      </c>
    </row>
    <row r="101" spans="1:6">
      <c r="A101">
        <v>2409</v>
      </c>
      <c r="B101" t="s">
        <v>814</v>
      </c>
      <c r="C101">
        <v>8.58</v>
      </c>
      <c r="D101">
        <f>VLOOKUP(A101,收盤價!A:C,3,0)</f>
        <v>12.8</v>
      </c>
      <c r="E101" s="87">
        <v>0.4918414918414919</v>
      </c>
      <c r="F101">
        <v>93.82</v>
      </c>
    </row>
    <row r="102" spans="1:6">
      <c r="A102">
        <v>1319</v>
      </c>
      <c r="B102" t="s">
        <v>543</v>
      </c>
      <c r="C102">
        <v>48.45</v>
      </c>
      <c r="D102">
        <f>VLOOKUP(A102,收盤價!A:C,3,0)</f>
        <v>72.2</v>
      </c>
      <c r="E102" s="87">
        <v>0.49019607843137253</v>
      </c>
      <c r="F102">
        <v>93.75</v>
      </c>
    </row>
    <row r="103" spans="1:6">
      <c r="A103">
        <v>3679</v>
      </c>
      <c r="B103" t="s">
        <v>1101</v>
      </c>
      <c r="C103">
        <v>49.4</v>
      </c>
      <c r="D103">
        <f>VLOOKUP(A103,收盤價!A:C,3,0)</f>
        <v>73.5</v>
      </c>
      <c r="E103" s="87">
        <v>0.4878542510121458</v>
      </c>
      <c r="F103">
        <v>93.69</v>
      </c>
    </row>
    <row r="104" spans="1:6">
      <c r="A104">
        <v>6411</v>
      </c>
      <c r="B104" t="s">
        <v>453</v>
      </c>
      <c r="C104">
        <v>35.15</v>
      </c>
      <c r="D104">
        <f>VLOOKUP(A104,收盤價!A:C,3,0)</f>
        <v>52.2</v>
      </c>
      <c r="E104" s="87">
        <v>0.48506401137980099</v>
      </c>
      <c r="F104">
        <v>93.63</v>
      </c>
    </row>
    <row r="105" spans="1:6">
      <c r="A105">
        <v>2029</v>
      </c>
      <c r="B105" t="s">
        <v>715</v>
      </c>
      <c r="C105">
        <v>19.55</v>
      </c>
      <c r="D105">
        <f>VLOOKUP(A105,收盤價!A:C,3,0)</f>
        <v>28.85</v>
      </c>
      <c r="E105" s="87">
        <v>0.47570332480818417</v>
      </c>
      <c r="F105">
        <v>93.57</v>
      </c>
    </row>
    <row r="106" spans="1:6">
      <c r="A106">
        <v>2321</v>
      </c>
      <c r="B106" t="s">
        <v>753</v>
      </c>
      <c r="C106">
        <v>1.42</v>
      </c>
      <c r="D106">
        <f>VLOOKUP(A106,收盤價!A:C,3,0)</f>
        <v>2.09</v>
      </c>
      <c r="E106" s="87">
        <v>0.47183098591549294</v>
      </c>
      <c r="F106">
        <v>93.51</v>
      </c>
    </row>
    <row r="107" spans="1:6">
      <c r="A107">
        <v>6452</v>
      </c>
      <c r="B107" t="s">
        <v>2077</v>
      </c>
      <c r="C107">
        <v>334</v>
      </c>
      <c r="D107">
        <f>VLOOKUP(A107,收盤價!A:C,3,0)</f>
        <v>490.5</v>
      </c>
      <c r="E107" s="87">
        <v>0.46856287425149701</v>
      </c>
      <c r="F107">
        <v>93.45</v>
      </c>
    </row>
    <row r="108" spans="1:6">
      <c r="A108">
        <v>3008</v>
      </c>
      <c r="B108" t="s">
        <v>988</v>
      </c>
      <c r="C108">
        <v>2570</v>
      </c>
      <c r="D108">
        <f>VLOOKUP(A108,收盤價!A:C,3,0)</f>
        <v>3770</v>
      </c>
      <c r="E108" s="87">
        <v>0.46692607003891051</v>
      </c>
      <c r="F108">
        <v>93.39</v>
      </c>
    </row>
    <row r="109" spans="1:6">
      <c r="A109">
        <v>3508</v>
      </c>
      <c r="B109" t="s">
        <v>297</v>
      </c>
      <c r="C109">
        <v>11.05</v>
      </c>
      <c r="D109">
        <f>VLOOKUP(A109,收盤價!A:C,3,0)</f>
        <v>16.2</v>
      </c>
      <c r="E109" s="87">
        <v>0.46606334841628944</v>
      </c>
      <c r="F109">
        <v>93.33</v>
      </c>
    </row>
    <row r="110" spans="1:6">
      <c r="A110">
        <v>6111</v>
      </c>
      <c r="B110" t="s">
        <v>1583</v>
      </c>
      <c r="C110">
        <v>85.5</v>
      </c>
      <c r="D110">
        <f>VLOOKUP(A110,收盤價!A:C,3,0)</f>
        <v>125</v>
      </c>
      <c r="E110" s="87">
        <v>0.46198830409356723</v>
      </c>
      <c r="F110">
        <v>93.26</v>
      </c>
    </row>
    <row r="111" spans="1:6">
      <c r="A111">
        <v>3265</v>
      </c>
      <c r="B111" t="s">
        <v>269</v>
      </c>
      <c r="C111">
        <v>17.7</v>
      </c>
      <c r="D111">
        <f>VLOOKUP(A111,收盤價!A:C,3,0)</f>
        <v>25.85</v>
      </c>
      <c r="E111" s="87">
        <v>0.46045197740113009</v>
      </c>
      <c r="F111">
        <v>93.2</v>
      </c>
    </row>
    <row r="112" spans="1:6">
      <c r="A112">
        <v>3540</v>
      </c>
      <c r="B112" t="s">
        <v>1407</v>
      </c>
      <c r="C112">
        <v>14.7</v>
      </c>
      <c r="D112">
        <f>VLOOKUP(A112,收盤價!A:C,3,0)</f>
        <v>21.45</v>
      </c>
      <c r="E112" s="87">
        <v>0.45918367346938777</v>
      </c>
      <c r="F112">
        <v>93.14</v>
      </c>
    </row>
    <row r="113" spans="1:6">
      <c r="A113">
        <v>3305</v>
      </c>
      <c r="B113" t="s">
        <v>1049</v>
      </c>
      <c r="C113">
        <v>20.2</v>
      </c>
      <c r="D113">
        <f>VLOOKUP(A113,收盤價!A:C,3,0)</f>
        <v>29.4</v>
      </c>
      <c r="E113" s="87">
        <v>0.45544554455445541</v>
      </c>
      <c r="F113">
        <v>93.08</v>
      </c>
    </row>
    <row r="114" spans="1:6">
      <c r="A114">
        <v>6114</v>
      </c>
      <c r="B114" t="s">
        <v>1585</v>
      </c>
      <c r="C114">
        <v>46.45</v>
      </c>
      <c r="D114">
        <f>VLOOKUP(A114,收盤價!A:C,3,0)</f>
        <v>67.5</v>
      </c>
      <c r="E114" s="87">
        <v>0.45317545748116245</v>
      </c>
      <c r="F114">
        <v>93.02</v>
      </c>
    </row>
    <row r="115" spans="1:6">
      <c r="A115">
        <v>2369</v>
      </c>
      <c r="B115" t="s">
        <v>788</v>
      </c>
      <c r="C115">
        <v>8</v>
      </c>
      <c r="D115">
        <f>VLOOKUP(A115,收盤價!A:C,3,0)</f>
        <v>11.6</v>
      </c>
      <c r="E115" s="87">
        <v>0.44999999999999996</v>
      </c>
      <c r="F115">
        <v>92.96</v>
      </c>
    </row>
    <row r="116" spans="1:6">
      <c r="A116">
        <v>2375</v>
      </c>
      <c r="B116" t="s">
        <v>792</v>
      </c>
      <c r="C116">
        <v>11.8</v>
      </c>
      <c r="D116">
        <f>VLOOKUP(A116,收盤價!A:C,3,0)</f>
        <v>17.100000000000001</v>
      </c>
      <c r="E116" s="87">
        <v>0.44915254237288138</v>
      </c>
      <c r="F116">
        <v>92.9</v>
      </c>
    </row>
    <row r="117" spans="1:6">
      <c r="A117">
        <v>8088</v>
      </c>
      <c r="B117" t="s">
        <v>470</v>
      </c>
      <c r="C117">
        <v>16.100000000000001</v>
      </c>
      <c r="D117">
        <f>VLOOKUP(A117,收盤價!A:C,3,0)</f>
        <v>23.3</v>
      </c>
      <c r="E117" s="87">
        <v>0.44720496894409928</v>
      </c>
      <c r="F117">
        <v>92.84</v>
      </c>
    </row>
    <row r="118" spans="1:6">
      <c r="A118">
        <v>5491</v>
      </c>
      <c r="B118" t="s">
        <v>1555</v>
      </c>
      <c r="C118">
        <v>5.95</v>
      </c>
      <c r="D118">
        <f>VLOOKUP(A118,收盤價!A:C,3,0)</f>
        <v>8.6</v>
      </c>
      <c r="E118" s="87">
        <v>0.44537815126050412</v>
      </c>
      <c r="F118">
        <v>92.77</v>
      </c>
    </row>
    <row r="119" spans="1:6">
      <c r="A119">
        <v>8410</v>
      </c>
      <c r="B119" t="s">
        <v>474</v>
      </c>
      <c r="C119">
        <v>18.399999999999999</v>
      </c>
      <c r="D119">
        <f>VLOOKUP(A119,收盤價!A:C,3,0)</f>
        <v>26.55</v>
      </c>
      <c r="E119" s="87">
        <v>0.44293478260869579</v>
      </c>
      <c r="F119">
        <v>92.71</v>
      </c>
    </row>
    <row r="120" spans="1:6">
      <c r="A120">
        <v>3666</v>
      </c>
      <c r="B120" t="s">
        <v>320</v>
      </c>
      <c r="C120">
        <v>20.350000000000001</v>
      </c>
      <c r="D120">
        <f>VLOOKUP(A120,收盤價!A:C,3,0)</f>
        <v>29.35</v>
      </c>
      <c r="E120" s="87">
        <v>0.44226044226044225</v>
      </c>
      <c r="F120">
        <v>92.65</v>
      </c>
    </row>
    <row r="121" spans="1:6">
      <c r="A121">
        <v>5013</v>
      </c>
      <c r="B121" t="s">
        <v>1508</v>
      </c>
      <c r="C121">
        <v>19.600000000000001</v>
      </c>
      <c r="D121">
        <f>VLOOKUP(A121,收盤價!A:C,3,0)</f>
        <v>28.25</v>
      </c>
      <c r="E121" s="87">
        <v>0.44132653061224481</v>
      </c>
      <c r="F121">
        <v>92.59</v>
      </c>
    </row>
    <row r="122" spans="1:6">
      <c r="A122">
        <v>910861</v>
      </c>
      <c r="B122" t="s">
        <v>2092</v>
      </c>
      <c r="C122">
        <v>10.199999999999999</v>
      </c>
      <c r="D122">
        <f>VLOOKUP(A122,收盤價!A:C,3,0)</f>
        <v>14.7</v>
      </c>
      <c r="E122" s="87">
        <v>0.44117647058823534</v>
      </c>
      <c r="F122">
        <v>92.53</v>
      </c>
    </row>
    <row r="123" spans="1:6">
      <c r="A123">
        <v>3050</v>
      </c>
      <c r="B123" t="s">
        <v>1025</v>
      </c>
      <c r="C123">
        <v>9.11</v>
      </c>
      <c r="D123">
        <f>VLOOKUP(A123,收盤價!A:C,3,0)</f>
        <v>13.1</v>
      </c>
      <c r="E123" s="87">
        <v>0.43798024149286502</v>
      </c>
      <c r="F123">
        <v>92.47</v>
      </c>
    </row>
    <row r="124" spans="1:6">
      <c r="A124">
        <v>3630</v>
      </c>
      <c r="B124" t="s">
        <v>316</v>
      </c>
      <c r="C124">
        <v>12.85</v>
      </c>
      <c r="D124">
        <f>VLOOKUP(A124,收盤價!A:C,3,0)</f>
        <v>18.45</v>
      </c>
      <c r="E124" s="87">
        <v>0.43579766536964981</v>
      </c>
      <c r="F124">
        <v>92.41</v>
      </c>
    </row>
    <row r="125" spans="1:6">
      <c r="A125">
        <v>3338</v>
      </c>
      <c r="B125" t="s">
        <v>1054</v>
      </c>
      <c r="C125">
        <v>21.4</v>
      </c>
      <c r="D125">
        <f>VLOOKUP(A125,收盤價!A:C,3,0)</f>
        <v>30.7</v>
      </c>
      <c r="E125" s="87">
        <v>0.4345794392523365</v>
      </c>
      <c r="F125">
        <v>92.35</v>
      </c>
    </row>
    <row r="126" spans="1:6">
      <c r="A126">
        <v>1742</v>
      </c>
      <c r="B126" t="s">
        <v>498</v>
      </c>
      <c r="C126">
        <v>8.3699999999999992</v>
      </c>
      <c r="D126">
        <f>VLOOKUP(A126,收盤價!A:C,3,0)</f>
        <v>12</v>
      </c>
      <c r="E126" s="87">
        <v>0.43369175627240159</v>
      </c>
      <c r="F126">
        <v>92.28</v>
      </c>
    </row>
    <row r="127" spans="1:6">
      <c r="A127">
        <v>3162</v>
      </c>
      <c r="B127" t="s">
        <v>1355</v>
      </c>
      <c r="C127">
        <v>5.25</v>
      </c>
      <c r="D127">
        <f>VLOOKUP(A127,收盤價!A:C,3,0)</f>
        <v>7.47</v>
      </c>
      <c r="E127" s="87">
        <v>0.42285714285714282</v>
      </c>
      <c r="F127">
        <v>92.22</v>
      </c>
    </row>
    <row r="128" spans="1:6">
      <c r="A128">
        <v>3658</v>
      </c>
      <c r="B128" t="s">
        <v>319</v>
      </c>
      <c r="C128">
        <v>974</v>
      </c>
      <c r="D128">
        <f>VLOOKUP(A128,收盤價!A:C,3,0)</f>
        <v>1385</v>
      </c>
      <c r="E128" s="87">
        <v>0.42197125256673512</v>
      </c>
      <c r="F128">
        <v>92.16</v>
      </c>
    </row>
    <row r="129" spans="1:6">
      <c r="A129">
        <v>3548</v>
      </c>
      <c r="B129" t="s">
        <v>303</v>
      </c>
      <c r="C129">
        <v>42.75</v>
      </c>
      <c r="D129">
        <f>VLOOKUP(A129,收盤價!A:C,3,0)</f>
        <v>60.5</v>
      </c>
      <c r="E129" s="87">
        <v>0.41520467836257308</v>
      </c>
      <c r="F129">
        <v>92.1</v>
      </c>
    </row>
    <row r="130" spans="1:6">
      <c r="A130">
        <v>2354</v>
      </c>
      <c r="B130" t="s">
        <v>775</v>
      </c>
      <c r="C130">
        <v>67.099999999999994</v>
      </c>
      <c r="D130">
        <f>VLOOKUP(A130,收盤價!A:C,3,0)</f>
        <v>94.9</v>
      </c>
      <c r="E130" s="87">
        <v>0.4143070044709391</v>
      </c>
      <c r="F130">
        <v>92.04</v>
      </c>
    </row>
    <row r="131" spans="1:6">
      <c r="A131">
        <v>2456</v>
      </c>
      <c r="B131" t="s">
        <v>849</v>
      </c>
      <c r="C131">
        <v>50.9</v>
      </c>
      <c r="D131">
        <f>VLOOKUP(A131,收盤價!A:C,3,0)</f>
        <v>71.900000000000006</v>
      </c>
      <c r="E131" s="87">
        <v>0.41257367387033411</v>
      </c>
      <c r="F131">
        <v>91.98</v>
      </c>
    </row>
    <row r="132" spans="1:6">
      <c r="A132">
        <v>3531</v>
      </c>
      <c r="B132" t="s">
        <v>1406</v>
      </c>
      <c r="C132">
        <v>13.1</v>
      </c>
      <c r="D132">
        <f>VLOOKUP(A132,收盤價!A:C,3,0)</f>
        <v>18.5</v>
      </c>
      <c r="E132" s="87">
        <v>0.41221374045801529</v>
      </c>
      <c r="F132">
        <v>91.92</v>
      </c>
    </row>
    <row r="133" spans="1:6">
      <c r="A133">
        <v>6412</v>
      </c>
      <c r="B133" t="s">
        <v>1231</v>
      </c>
      <c r="C133">
        <v>34.950000000000003</v>
      </c>
      <c r="D133">
        <f>VLOOKUP(A133,收盤價!A:C,3,0)</f>
        <v>49.3</v>
      </c>
      <c r="E133" s="87">
        <v>0.41058655221745333</v>
      </c>
      <c r="F133">
        <v>91.86</v>
      </c>
    </row>
    <row r="134" spans="1:6">
      <c r="A134">
        <v>3536</v>
      </c>
      <c r="B134" t="s">
        <v>1080</v>
      </c>
      <c r="C134">
        <v>10.65</v>
      </c>
      <c r="D134">
        <f>VLOOKUP(A134,收盤價!A:C,3,0)</f>
        <v>15</v>
      </c>
      <c r="E134" s="87">
        <v>0.40845070422535207</v>
      </c>
      <c r="F134">
        <v>91.79</v>
      </c>
    </row>
    <row r="135" spans="1:6">
      <c r="A135">
        <v>1524</v>
      </c>
      <c r="B135" t="s">
        <v>613</v>
      </c>
      <c r="C135">
        <v>8.15</v>
      </c>
      <c r="D135">
        <f>VLOOKUP(A135,收盤價!A:C,3,0)</f>
        <v>11.45</v>
      </c>
      <c r="E135" s="87">
        <v>0.40490797546012253</v>
      </c>
      <c r="F135">
        <v>91.73</v>
      </c>
    </row>
    <row r="136" spans="1:6">
      <c r="A136">
        <v>4534</v>
      </c>
      <c r="B136" t="s">
        <v>1479</v>
      </c>
      <c r="C136">
        <v>24.6</v>
      </c>
      <c r="D136">
        <f>VLOOKUP(A136,收盤價!A:C,3,0)</f>
        <v>34.5</v>
      </c>
      <c r="E136" s="87">
        <v>0.40243902439024382</v>
      </c>
      <c r="F136">
        <v>91.67</v>
      </c>
    </row>
    <row r="137" spans="1:6">
      <c r="A137">
        <v>1707</v>
      </c>
      <c r="B137" t="s">
        <v>651</v>
      </c>
      <c r="C137">
        <v>196.5</v>
      </c>
      <c r="D137">
        <f>VLOOKUP(A137,收盤價!A:C,3,0)</f>
        <v>275</v>
      </c>
      <c r="E137" s="87">
        <v>0.39949109414758271</v>
      </c>
      <c r="F137">
        <v>91.61</v>
      </c>
    </row>
    <row r="138" spans="1:6">
      <c r="A138">
        <v>6449</v>
      </c>
      <c r="B138" t="s">
        <v>1235</v>
      </c>
      <c r="C138">
        <v>23.2</v>
      </c>
      <c r="D138">
        <f>VLOOKUP(A138,收盤價!A:C,3,0)</f>
        <v>32.450000000000003</v>
      </c>
      <c r="E138" s="87">
        <v>0.39870689655172431</v>
      </c>
      <c r="F138">
        <v>91.55</v>
      </c>
    </row>
    <row r="139" spans="1:6">
      <c r="A139">
        <v>5434</v>
      </c>
      <c r="B139" t="s">
        <v>1155</v>
      </c>
      <c r="C139">
        <v>60</v>
      </c>
      <c r="D139">
        <f>VLOOKUP(A139,收盤價!A:C,3,0)</f>
        <v>83.8</v>
      </c>
      <c r="E139" s="87">
        <v>0.39666666666666661</v>
      </c>
      <c r="F139">
        <v>91.49</v>
      </c>
    </row>
    <row r="140" spans="1:6">
      <c r="A140">
        <v>6179</v>
      </c>
      <c r="B140" t="s">
        <v>425</v>
      </c>
      <c r="C140">
        <v>36.5</v>
      </c>
      <c r="D140">
        <f>VLOOKUP(A140,收盤價!A:C,3,0)</f>
        <v>50.9</v>
      </c>
      <c r="E140" s="87">
        <v>0.39452054794520541</v>
      </c>
      <c r="F140">
        <v>91.43</v>
      </c>
    </row>
    <row r="141" spans="1:6">
      <c r="A141">
        <v>5274</v>
      </c>
      <c r="B141" t="s">
        <v>1519</v>
      </c>
      <c r="C141">
        <v>325</v>
      </c>
      <c r="D141">
        <f>VLOOKUP(A141,收盤價!A:C,3,0)</f>
        <v>453</v>
      </c>
      <c r="E141" s="87">
        <v>0.39384615384615385</v>
      </c>
      <c r="F141">
        <v>91.37</v>
      </c>
    </row>
    <row r="142" spans="1:6">
      <c r="A142">
        <v>3402</v>
      </c>
      <c r="B142" t="s">
        <v>1388</v>
      </c>
      <c r="C142">
        <v>16.45</v>
      </c>
      <c r="D142">
        <f>VLOOKUP(A142,收盤價!A:C,3,0)</f>
        <v>22.9</v>
      </c>
      <c r="E142" s="87">
        <v>0.39209726443768994</v>
      </c>
      <c r="F142">
        <v>91.3</v>
      </c>
    </row>
    <row r="143" spans="1:6">
      <c r="A143">
        <v>6239</v>
      </c>
      <c r="B143" t="s">
        <v>1216</v>
      </c>
      <c r="C143">
        <v>63.7</v>
      </c>
      <c r="D143">
        <f>VLOOKUP(A143,收盤價!A:C,3,0)</f>
        <v>88.5</v>
      </c>
      <c r="E143" s="87">
        <v>0.38932496075353212</v>
      </c>
      <c r="F143">
        <v>91.24</v>
      </c>
    </row>
    <row r="144" spans="1:6">
      <c r="A144">
        <v>8110</v>
      </c>
      <c r="B144" t="s">
        <v>1252</v>
      </c>
      <c r="C144">
        <v>8</v>
      </c>
      <c r="D144">
        <f>VLOOKUP(A144,收盤價!A:C,3,0)</f>
        <v>11.1</v>
      </c>
      <c r="E144" s="87">
        <v>0.38749999999999996</v>
      </c>
      <c r="F144">
        <v>91.18</v>
      </c>
    </row>
    <row r="145" spans="1:6">
      <c r="A145">
        <v>4609</v>
      </c>
      <c r="B145" t="s">
        <v>1482</v>
      </c>
      <c r="C145">
        <v>7.5</v>
      </c>
      <c r="D145">
        <f>VLOOKUP(A145,收盤價!A:C,3,0)</f>
        <v>10.4</v>
      </c>
      <c r="E145" s="87">
        <v>0.38666666666666671</v>
      </c>
      <c r="F145">
        <v>91.12</v>
      </c>
    </row>
    <row r="146" spans="1:6">
      <c r="A146">
        <v>8093</v>
      </c>
      <c r="B146" t="s">
        <v>1669</v>
      </c>
      <c r="C146">
        <v>5.05</v>
      </c>
      <c r="D146">
        <f>VLOOKUP(A146,收盤價!A:C,3,0)</f>
        <v>7</v>
      </c>
      <c r="E146" s="87">
        <v>0.3861386138613862</v>
      </c>
      <c r="F146">
        <v>91.06</v>
      </c>
    </row>
    <row r="147" spans="1:6">
      <c r="A147">
        <v>2428</v>
      </c>
      <c r="B147" t="s">
        <v>828</v>
      </c>
      <c r="C147">
        <v>47.7</v>
      </c>
      <c r="D147">
        <f>VLOOKUP(A147,收盤價!A:C,3,0)</f>
        <v>66</v>
      </c>
      <c r="E147" s="87">
        <v>0.38364779874213828</v>
      </c>
      <c r="F147">
        <v>91</v>
      </c>
    </row>
    <row r="148" spans="1:6">
      <c r="A148">
        <v>3049</v>
      </c>
      <c r="B148" t="s">
        <v>1024</v>
      </c>
      <c r="C148">
        <v>5.26</v>
      </c>
      <c r="D148">
        <f>VLOOKUP(A148,收盤價!A:C,3,0)</f>
        <v>7.27</v>
      </c>
      <c r="E148" s="87">
        <v>0.38212927756653992</v>
      </c>
      <c r="F148">
        <v>90.94</v>
      </c>
    </row>
    <row r="149" spans="1:6">
      <c r="A149">
        <v>1218</v>
      </c>
      <c r="B149" t="s">
        <v>517</v>
      </c>
      <c r="C149">
        <v>12.35</v>
      </c>
      <c r="D149">
        <f>VLOOKUP(A149,收盤價!A:C,3,0)</f>
        <v>17.05</v>
      </c>
      <c r="E149" s="87">
        <v>0.38056680161943329</v>
      </c>
      <c r="F149">
        <v>90.88</v>
      </c>
    </row>
    <row r="150" spans="1:6">
      <c r="A150">
        <v>8234</v>
      </c>
      <c r="B150" t="s">
        <v>472</v>
      </c>
      <c r="C150">
        <v>24.7</v>
      </c>
      <c r="D150">
        <f>VLOOKUP(A150,收盤價!A:C,3,0)</f>
        <v>34</v>
      </c>
      <c r="E150" s="87">
        <v>0.37651821862348184</v>
      </c>
      <c r="F150">
        <v>90.81</v>
      </c>
    </row>
    <row r="151" spans="1:6">
      <c r="A151">
        <v>6451</v>
      </c>
      <c r="B151" t="s">
        <v>2076</v>
      </c>
      <c r="C151">
        <v>85</v>
      </c>
      <c r="D151">
        <f>VLOOKUP(A151,收盤價!A:C,3,0)</f>
        <v>117</v>
      </c>
      <c r="E151" s="87">
        <v>0.37647058823529411</v>
      </c>
      <c r="F151">
        <v>90.75</v>
      </c>
    </row>
    <row r="152" spans="1:6">
      <c r="A152">
        <v>3706</v>
      </c>
      <c r="B152" t="s">
        <v>1111</v>
      </c>
      <c r="C152">
        <v>21.5</v>
      </c>
      <c r="D152">
        <f>VLOOKUP(A152,收盤價!A:C,3,0)</f>
        <v>29.55</v>
      </c>
      <c r="E152" s="87">
        <v>0.37441860465116283</v>
      </c>
      <c r="F152">
        <v>90.69</v>
      </c>
    </row>
    <row r="153" spans="1:6">
      <c r="A153">
        <v>3669</v>
      </c>
      <c r="B153" t="s">
        <v>1100</v>
      </c>
      <c r="C153">
        <v>15.1</v>
      </c>
      <c r="D153">
        <f>VLOOKUP(A153,收盤價!A:C,3,0)</f>
        <v>20.75</v>
      </c>
      <c r="E153" s="87">
        <v>0.3741721854304636</v>
      </c>
      <c r="F153">
        <v>90.63</v>
      </c>
    </row>
    <row r="154" spans="1:6">
      <c r="A154">
        <v>3031</v>
      </c>
      <c r="B154" t="s">
        <v>1007</v>
      </c>
      <c r="C154">
        <v>7.25</v>
      </c>
      <c r="D154">
        <f>VLOOKUP(A154,收盤價!A:C,3,0)</f>
        <v>9.9499999999999993</v>
      </c>
      <c r="E154" s="87">
        <v>0.37241379310344819</v>
      </c>
      <c r="F154">
        <v>90.57</v>
      </c>
    </row>
    <row r="155" spans="1:6">
      <c r="A155">
        <v>3553</v>
      </c>
      <c r="B155" t="s">
        <v>305</v>
      </c>
      <c r="C155">
        <v>10.3</v>
      </c>
      <c r="D155">
        <f>VLOOKUP(A155,收盤價!A:C,3,0)</f>
        <v>14.1</v>
      </c>
      <c r="E155" s="87">
        <v>0.36893203883495135</v>
      </c>
      <c r="F155">
        <v>90.51</v>
      </c>
    </row>
    <row r="156" spans="1:6">
      <c r="A156">
        <v>2383</v>
      </c>
      <c r="B156" t="s">
        <v>798</v>
      </c>
      <c r="C156">
        <v>63.6</v>
      </c>
      <c r="D156">
        <f>VLOOKUP(A156,收盤價!A:C,3,0)</f>
        <v>86.7</v>
      </c>
      <c r="E156" s="87">
        <v>0.36320754716981135</v>
      </c>
      <c r="F156">
        <v>90.45</v>
      </c>
    </row>
    <row r="157" spans="1:6">
      <c r="A157">
        <v>2352</v>
      </c>
      <c r="B157" t="s">
        <v>773</v>
      </c>
      <c r="C157">
        <v>9.66</v>
      </c>
      <c r="D157">
        <f>VLOOKUP(A157,收盤價!A:C,3,0)</f>
        <v>13.15</v>
      </c>
      <c r="E157" s="87">
        <v>0.36128364389233958</v>
      </c>
      <c r="F157">
        <v>90.39</v>
      </c>
    </row>
    <row r="158" spans="1:6">
      <c r="A158">
        <v>2017</v>
      </c>
      <c r="B158" t="s">
        <v>707</v>
      </c>
      <c r="C158">
        <v>6.14</v>
      </c>
      <c r="D158">
        <f>VLOOKUP(A158,收盤價!A:C,3,0)</f>
        <v>8.35</v>
      </c>
      <c r="E158" s="87">
        <v>0.35993485342019543</v>
      </c>
      <c r="F158">
        <v>90.32</v>
      </c>
    </row>
    <row r="159" spans="1:6">
      <c r="A159">
        <v>3567</v>
      </c>
      <c r="B159" t="s">
        <v>1412</v>
      </c>
      <c r="C159">
        <v>15.2</v>
      </c>
      <c r="D159">
        <f>VLOOKUP(A159,收盤價!A:C,3,0)</f>
        <v>20.65</v>
      </c>
      <c r="E159" s="87">
        <v>0.35855263157894735</v>
      </c>
      <c r="F159">
        <v>90.26</v>
      </c>
    </row>
    <row r="160" spans="1:6">
      <c r="A160">
        <v>3068</v>
      </c>
      <c r="B160" t="s">
        <v>246</v>
      </c>
      <c r="C160">
        <v>38.9</v>
      </c>
      <c r="D160">
        <f>VLOOKUP(A160,收盤價!A:C,3,0)</f>
        <v>52.8</v>
      </c>
      <c r="E160" s="87">
        <v>0.35732647814910024</v>
      </c>
      <c r="F160">
        <v>90.2</v>
      </c>
    </row>
    <row r="161" spans="1:6">
      <c r="A161">
        <v>4415</v>
      </c>
      <c r="B161" t="s">
        <v>1464</v>
      </c>
      <c r="C161">
        <v>7.01</v>
      </c>
      <c r="D161">
        <f>VLOOKUP(A161,收盤價!A:C,3,0)</f>
        <v>9.5</v>
      </c>
      <c r="E161" s="87">
        <v>0.35520684736091301</v>
      </c>
      <c r="F161">
        <v>90.14</v>
      </c>
    </row>
    <row r="162" spans="1:6">
      <c r="A162">
        <v>4207</v>
      </c>
      <c r="B162" t="s">
        <v>1458</v>
      </c>
      <c r="C162">
        <v>9.0500000000000007</v>
      </c>
      <c r="D162">
        <f>VLOOKUP(A162,收盤價!A:C,3,0)</f>
        <v>12.25</v>
      </c>
      <c r="E162" s="87">
        <v>0.35359116022099435</v>
      </c>
      <c r="F162">
        <v>90.08</v>
      </c>
    </row>
    <row r="163" spans="1:6">
      <c r="A163">
        <v>2014</v>
      </c>
      <c r="B163" t="s">
        <v>705</v>
      </c>
      <c r="C163">
        <v>5.35</v>
      </c>
      <c r="D163">
        <f>VLOOKUP(A163,收盤價!A:C,3,0)</f>
        <v>7.24</v>
      </c>
      <c r="E163" s="87">
        <v>0.35327102803738331</v>
      </c>
      <c r="F163">
        <v>90.02</v>
      </c>
    </row>
    <row r="164" spans="1:6">
      <c r="A164">
        <v>5475</v>
      </c>
      <c r="B164" t="s">
        <v>1549</v>
      </c>
      <c r="C164">
        <v>2.86</v>
      </c>
      <c r="D164">
        <f>VLOOKUP(A164,收盤價!A:C,3,0)</f>
        <v>3.87</v>
      </c>
      <c r="E164" s="87">
        <v>0.35314685314685323</v>
      </c>
      <c r="F164">
        <v>89.96</v>
      </c>
    </row>
    <row r="165" spans="1:6">
      <c r="A165">
        <v>3006</v>
      </c>
      <c r="B165" t="s">
        <v>987</v>
      </c>
      <c r="C165">
        <v>24.8</v>
      </c>
      <c r="D165">
        <f>VLOOKUP(A165,收盤價!A:C,3,0)</f>
        <v>33.5</v>
      </c>
      <c r="E165" s="87">
        <v>0.35080645161290319</v>
      </c>
      <c r="F165">
        <v>89.9</v>
      </c>
    </row>
    <row r="166" spans="1:6">
      <c r="A166">
        <v>5443</v>
      </c>
      <c r="B166" t="s">
        <v>1545</v>
      </c>
      <c r="C166">
        <v>15</v>
      </c>
      <c r="D166">
        <f>VLOOKUP(A166,收盤價!A:C,3,0)</f>
        <v>20.25</v>
      </c>
      <c r="E166" s="87">
        <v>0.35</v>
      </c>
      <c r="F166">
        <v>89.83</v>
      </c>
    </row>
    <row r="167" spans="1:6">
      <c r="A167">
        <v>1313</v>
      </c>
      <c r="B167" t="s">
        <v>539</v>
      </c>
      <c r="C167">
        <v>8.4600000000000009</v>
      </c>
      <c r="D167">
        <f>VLOOKUP(A167,收盤價!A:C,3,0)</f>
        <v>11.4</v>
      </c>
      <c r="E167" s="87">
        <v>0.34751773049645379</v>
      </c>
      <c r="F167">
        <v>89.77</v>
      </c>
    </row>
    <row r="168" spans="1:6">
      <c r="A168">
        <v>6129</v>
      </c>
      <c r="B168" t="s">
        <v>1592</v>
      </c>
      <c r="C168">
        <v>6.57</v>
      </c>
      <c r="D168">
        <f>VLOOKUP(A168,收盤價!A:C,3,0)</f>
        <v>8.85</v>
      </c>
      <c r="E168" s="87">
        <v>0.3470319634703195</v>
      </c>
      <c r="F168">
        <v>89.71</v>
      </c>
    </row>
    <row r="169" spans="1:6">
      <c r="A169">
        <v>3432</v>
      </c>
      <c r="B169" t="s">
        <v>1063</v>
      </c>
      <c r="C169">
        <v>9.81</v>
      </c>
      <c r="D169">
        <f>VLOOKUP(A169,收盤價!A:C,3,0)</f>
        <v>13.2</v>
      </c>
      <c r="E169" s="87">
        <v>0.34556574923547384</v>
      </c>
      <c r="F169">
        <v>89.65</v>
      </c>
    </row>
    <row r="170" spans="1:6">
      <c r="A170">
        <v>3563</v>
      </c>
      <c r="B170" t="s">
        <v>309</v>
      </c>
      <c r="C170">
        <v>44.3</v>
      </c>
      <c r="D170">
        <f>VLOOKUP(A170,收盤價!A:C,3,0)</f>
        <v>59.6</v>
      </c>
      <c r="E170" s="87">
        <v>0.34537246049661413</v>
      </c>
      <c r="F170">
        <v>89.59</v>
      </c>
    </row>
    <row r="171" spans="1:6">
      <c r="A171">
        <v>5904</v>
      </c>
      <c r="B171" t="s">
        <v>410</v>
      </c>
      <c r="C171">
        <v>349</v>
      </c>
      <c r="D171">
        <f>VLOOKUP(A171,收盤價!A:C,3,0)</f>
        <v>469.5</v>
      </c>
      <c r="E171" s="87">
        <v>0.3452722063037249</v>
      </c>
      <c r="F171">
        <v>89.53</v>
      </c>
    </row>
    <row r="172" spans="1:6">
      <c r="A172">
        <v>8085</v>
      </c>
      <c r="B172" t="s">
        <v>468</v>
      </c>
      <c r="C172">
        <v>3.36</v>
      </c>
      <c r="D172">
        <f>VLOOKUP(A172,收盤價!A:C,3,0)</f>
        <v>4.5199999999999996</v>
      </c>
      <c r="E172" s="87">
        <v>0.34523809523809518</v>
      </c>
      <c r="F172">
        <v>89.47</v>
      </c>
    </row>
    <row r="173" spans="1:6">
      <c r="A173">
        <v>1538</v>
      </c>
      <c r="B173" t="s">
        <v>626</v>
      </c>
      <c r="C173">
        <v>4.49</v>
      </c>
      <c r="D173">
        <f>VLOOKUP(A173,收盤價!A:C,3,0)</f>
        <v>6.04</v>
      </c>
      <c r="E173" s="87">
        <v>0.34521158129175938</v>
      </c>
      <c r="F173">
        <v>89.41</v>
      </c>
    </row>
    <row r="174" spans="1:6">
      <c r="A174">
        <v>3272</v>
      </c>
      <c r="B174" t="s">
        <v>271</v>
      </c>
      <c r="C174">
        <v>37.1</v>
      </c>
      <c r="D174">
        <f>VLOOKUP(A174,收盤價!A:C,3,0)</f>
        <v>49.85</v>
      </c>
      <c r="E174" s="87">
        <v>0.34366576819407008</v>
      </c>
      <c r="F174">
        <v>89.34</v>
      </c>
    </row>
    <row r="175" spans="1:6">
      <c r="A175">
        <v>3312</v>
      </c>
      <c r="B175" t="s">
        <v>1052</v>
      </c>
      <c r="C175">
        <v>5.37</v>
      </c>
      <c r="D175">
        <f>VLOOKUP(A175,收盤價!A:C,3,0)</f>
        <v>7.2</v>
      </c>
      <c r="E175" s="87">
        <v>0.34078212290502796</v>
      </c>
      <c r="F175">
        <v>89.28</v>
      </c>
    </row>
    <row r="176" spans="1:6">
      <c r="A176">
        <v>3044</v>
      </c>
      <c r="B176" t="s">
        <v>1019</v>
      </c>
      <c r="C176">
        <v>55.8</v>
      </c>
      <c r="D176">
        <f>VLOOKUP(A176,收盤價!A:C,3,0)</f>
        <v>74.8</v>
      </c>
      <c r="E176" s="87">
        <v>0.34050179211469533</v>
      </c>
      <c r="F176">
        <v>89.22</v>
      </c>
    </row>
    <row r="177" spans="1:6">
      <c r="A177">
        <v>3646</v>
      </c>
      <c r="B177" t="s">
        <v>1423</v>
      </c>
      <c r="C177">
        <v>12.35</v>
      </c>
      <c r="D177">
        <f>VLOOKUP(A177,收盤價!A:C,3,0)</f>
        <v>16.55</v>
      </c>
      <c r="E177" s="87">
        <v>0.34008097165991913</v>
      </c>
      <c r="F177">
        <v>89.16</v>
      </c>
    </row>
    <row r="178" spans="1:6">
      <c r="A178">
        <v>4304</v>
      </c>
      <c r="B178" t="s">
        <v>338</v>
      </c>
      <c r="C178">
        <v>6.7</v>
      </c>
      <c r="D178">
        <f>VLOOKUP(A178,收盤價!A:C,3,0)</f>
        <v>8.9700000000000006</v>
      </c>
      <c r="E178" s="87">
        <v>0.33880597014925379</v>
      </c>
      <c r="F178">
        <v>89.1</v>
      </c>
    </row>
    <row r="179" spans="1:6">
      <c r="A179">
        <v>1439</v>
      </c>
      <c r="B179" t="s">
        <v>566</v>
      </c>
      <c r="C179">
        <v>12.85</v>
      </c>
      <c r="D179">
        <f>VLOOKUP(A179,收盤價!A:C,3,0)</f>
        <v>17.2</v>
      </c>
      <c r="E179" s="87">
        <v>0.33852140077821008</v>
      </c>
      <c r="F179">
        <v>89.04</v>
      </c>
    </row>
    <row r="180" spans="1:6">
      <c r="A180">
        <v>2492</v>
      </c>
      <c r="B180" t="s">
        <v>877</v>
      </c>
      <c r="C180">
        <v>29</v>
      </c>
      <c r="D180">
        <f>VLOOKUP(A180,收盤價!A:C,3,0)</f>
        <v>38.799999999999997</v>
      </c>
      <c r="E180" s="87">
        <v>0.33793103448275852</v>
      </c>
      <c r="F180">
        <v>88.98</v>
      </c>
    </row>
    <row r="181" spans="1:6">
      <c r="A181">
        <v>3588</v>
      </c>
      <c r="B181" t="s">
        <v>1089</v>
      </c>
      <c r="C181">
        <v>27.9</v>
      </c>
      <c r="D181">
        <f>VLOOKUP(A181,收盤價!A:C,3,0)</f>
        <v>37.299999999999997</v>
      </c>
      <c r="E181" s="87">
        <v>0.3369175627240143</v>
      </c>
      <c r="F181">
        <v>88.92</v>
      </c>
    </row>
    <row r="182" spans="1:6">
      <c r="A182">
        <v>3217</v>
      </c>
      <c r="B182" t="s">
        <v>1363</v>
      </c>
      <c r="C182">
        <v>13.3</v>
      </c>
      <c r="D182">
        <f>VLOOKUP(A182,收盤價!A:C,3,0)</f>
        <v>17.75</v>
      </c>
      <c r="E182" s="87">
        <v>0.33458646616541349</v>
      </c>
      <c r="F182">
        <v>88.85</v>
      </c>
    </row>
    <row r="183" spans="1:6">
      <c r="A183">
        <v>4935</v>
      </c>
      <c r="B183" t="s">
        <v>2060</v>
      </c>
      <c r="C183">
        <v>55.1</v>
      </c>
      <c r="D183">
        <f>VLOOKUP(A183,收盤價!A:C,3,0)</f>
        <v>73.400000000000006</v>
      </c>
      <c r="E183" s="87">
        <v>0.33212341197822148</v>
      </c>
      <c r="F183">
        <v>88.79</v>
      </c>
    </row>
    <row r="184" spans="1:6">
      <c r="A184">
        <v>3032</v>
      </c>
      <c r="B184" t="s">
        <v>1008</v>
      </c>
      <c r="C184">
        <v>33.799999999999997</v>
      </c>
      <c r="D184">
        <f>VLOOKUP(A184,收盤價!A:C,3,0)</f>
        <v>45</v>
      </c>
      <c r="E184" s="87">
        <v>0.33136094674556227</v>
      </c>
      <c r="F184">
        <v>88.73</v>
      </c>
    </row>
    <row r="185" spans="1:6">
      <c r="A185">
        <v>6172</v>
      </c>
      <c r="B185" t="s">
        <v>1192</v>
      </c>
      <c r="C185">
        <v>7.59</v>
      </c>
      <c r="D185">
        <f>VLOOKUP(A185,收盤價!A:C,3,0)</f>
        <v>10.1</v>
      </c>
      <c r="E185" s="87">
        <v>0.33069828722002631</v>
      </c>
      <c r="F185">
        <v>88.67</v>
      </c>
    </row>
    <row r="186" spans="1:6">
      <c r="A186">
        <v>6161</v>
      </c>
      <c r="B186" t="s">
        <v>420</v>
      </c>
      <c r="C186">
        <v>6.75</v>
      </c>
      <c r="D186">
        <f>VLOOKUP(A186,收盤價!A:C,3,0)</f>
        <v>8.98</v>
      </c>
      <c r="E186" s="87">
        <v>0.33037037037037043</v>
      </c>
      <c r="F186">
        <v>88.61</v>
      </c>
    </row>
    <row r="187" spans="1:6">
      <c r="A187">
        <v>3652</v>
      </c>
      <c r="B187" t="s">
        <v>318</v>
      </c>
      <c r="C187">
        <v>16.5</v>
      </c>
      <c r="D187">
        <f>VLOOKUP(A187,收盤價!A:C,3,0)</f>
        <v>21.95</v>
      </c>
      <c r="E187" s="87">
        <v>0.33030303030303027</v>
      </c>
      <c r="F187">
        <v>88.55</v>
      </c>
    </row>
    <row r="188" spans="1:6">
      <c r="A188">
        <v>2460</v>
      </c>
      <c r="B188" t="s">
        <v>853</v>
      </c>
      <c r="C188">
        <v>8.1999999999999993</v>
      </c>
      <c r="D188">
        <f>VLOOKUP(A188,收盤價!A:C,3,0)</f>
        <v>10.9</v>
      </c>
      <c r="E188" s="87">
        <v>0.32926829268292701</v>
      </c>
      <c r="F188">
        <v>88.49</v>
      </c>
    </row>
    <row r="189" spans="1:6">
      <c r="A189">
        <v>6276</v>
      </c>
      <c r="B189" t="s">
        <v>451</v>
      </c>
      <c r="C189">
        <v>5.48</v>
      </c>
      <c r="D189">
        <f>VLOOKUP(A189,收盤價!A:C,3,0)</f>
        <v>7.28</v>
      </c>
      <c r="E189" s="87">
        <v>0.32846715328467146</v>
      </c>
      <c r="F189">
        <v>88.43</v>
      </c>
    </row>
    <row r="190" spans="1:6">
      <c r="A190">
        <v>4938</v>
      </c>
      <c r="B190" t="s">
        <v>1140</v>
      </c>
      <c r="C190">
        <v>62.8</v>
      </c>
      <c r="D190">
        <f>VLOOKUP(A190,收盤價!A:C,3,0)</f>
        <v>83.3</v>
      </c>
      <c r="E190" s="87">
        <v>0.32643312101910832</v>
      </c>
      <c r="F190">
        <v>88.36</v>
      </c>
    </row>
    <row r="191" spans="1:6">
      <c r="A191">
        <v>5355</v>
      </c>
      <c r="B191" t="s">
        <v>386</v>
      </c>
      <c r="C191">
        <v>4.9400000000000004</v>
      </c>
      <c r="D191">
        <f>VLOOKUP(A191,收盤價!A:C,3,0)</f>
        <v>6.55</v>
      </c>
      <c r="E191" s="87">
        <v>0.32591093117408892</v>
      </c>
      <c r="F191">
        <v>88.3</v>
      </c>
    </row>
    <row r="192" spans="1:6">
      <c r="A192">
        <v>2353</v>
      </c>
      <c r="B192" t="s">
        <v>774</v>
      </c>
      <c r="C192">
        <v>10.9</v>
      </c>
      <c r="D192">
        <f>VLOOKUP(A192,收盤價!A:C,3,0)</f>
        <v>14.45</v>
      </c>
      <c r="E192" s="87">
        <v>0.32568807339449529</v>
      </c>
      <c r="F192">
        <v>88.24</v>
      </c>
    </row>
    <row r="193" spans="1:6">
      <c r="A193">
        <v>4706</v>
      </c>
      <c r="B193" t="s">
        <v>1483</v>
      </c>
      <c r="C193">
        <v>16.899999999999999</v>
      </c>
      <c r="D193">
        <f>VLOOKUP(A193,收盤價!A:C,3,0)</f>
        <v>22.4</v>
      </c>
      <c r="E193" s="87">
        <v>0.32544378698224857</v>
      </c>
      <c r="F193">
        <v>88.18</v>
      </c>
    </row>
    <row r="194" spans="1:6">
      <c r="A194">
        <v>1522</v>
      </c>
      <c r="B194" t="s">
        <v>612</v>
      </c>
      <c r="C194">
        <v>25.1</v>
      </c>
      <c r="D194">
        <f>VLOOKUP(A194,收盤價!A:C,3,0)</f>
        <v>33.25</v>
      </c>
      <c r="E194" s="87">
        <v>0.32470119521912344</v>
      </c>
      <c r="F194">
        <v>88.12</v>
      </c>
    </row>
    <row r="195" spans="1:6">
      <c r="A195">
        <v>1472</v>
      </c>
      <c r="B195" t="s">
        <v>594</v>
      </c>
      <c r="C195">
        <v>10.35</v>
      </c>
      <c r="D195">
        <f>VLOOKUP(A195,收盤價!A:C,3,0)</f>
        <v>13.7</v>
      </c>
      <c r="E195" s="87">
        <v>0.32367149758454106</v>
      </c>
      <c r="F195">
        <v>88.06</v>
      </c>
    </row>
    <row r="196" spans="1:6">
      <c r="A196">
        <v>6173</v>
      </c>
      <c r="B196" t="s">
        <v>1605</v>
      </c>
      <c r="C196">
        <v>13.15</v>
      </c>
      <c r="D196">
        <f>VLOOKUP(A196,收盤價!A:C,3,0)</f>
        <v>17.399999999999999</v>
      </c>
      <c r="E196" s="87">
        <v>0.32319391634980976</v>
      </c>
      <c r="F196">
        <v>88</v>
      </c>
    </row>
    <row r="197" spans="1:6">
      <c r="A197">
        <v>6120</v>
      </c>
      <c r="B197" t="s">
        <v>1177</v>
      </c>
      <c r="C197">
        <v>9.15</v>
      </c>
      <c r="D197">
        <f>VLOOKUP(A197,收盤價!A:C,3,0)</f>
        <v>12.1</v>
      </c>
      <c r="E197" s="87">
        <v>0.32240437158469937</v>
      </c>
      <c r="F197">
        <v>87.94</v>
      </c>
    </row>
    <row r="198" spans="1:6">
      <c r="A198">
        <v>3264</v>
      </c>
      <c r="B198" t="s">
        <v>1370</v>
      </c>
      <c r="C198">
        <v>17.850000000000001</v>
      </c>
      <c r="D198">
        <f>VLOOKUP(A198,收盤價!A:C,3,0)</f>
        <v>23.6</v>
      </c>
      <c r="E198" s="87">
        <v>0.32212885154061621</v>
      </c>
      <c r="F198">
        <v>87.88</v>
      </c>
    </row>
    <row r="199" spans="1:6">
      <c r="A199">
        <v>2330</v>
      </c>
      <c r="B199" t="s">
        <v>760</v>
      </c>
      <c r="C199">
        <v>144.5</v>
      </c>
      <c r="D199">
        <f>VLOOKUP(A199,收盤價!A:C,3,0)</f>
        <v>191</v>
      </c>
      <c r="E199" s="87">
        <v>0.3217993079584775</v>
      </c>
      <c r="F199">
        <v>87.81</v>
      </c>
    </row>
    <row r="200" spans="1:6">
      <c r="A200">
        <v>4725</v>
      </c>
      <c r="B200" t="s">
        <v>1128</v>
      </c>
      <c r="C200">
        <v>12.95</v>
      </c>
      <c r="D200">
        <f>VLOOKUP(A200,收盤價!A:C,3,0)</f>
        <v>17.100000000000001</v>
      </c>
      <c r="E200" s="87">
        <v>0.32046332046332066</v>
      </c>
      <c r="F200">
        <v>87.75</v>
      </c>
    </row>
    <row r="201" spans="1:6">
      <c r="A201">
        <v>2340</v>
      </c>
      <c r="B201" t="s">
        <v>765</v>
      </c>
      <c r="C201">
        <v>10.35</v>
      </c>
      <c r="D201">
        <f>VLOOKUP(A201,收盤價!A:C,3,0)</f>
        <v>13.65</v>
      </c>
      <c r="E201" s="87">
        <v>0.31884057971014501</v>
      </c>
      <c r="F201">
        <v>87.69</v>
      </c>
    </row>
    <row r="202" spans="1:6">
      <c r="A202">
        <v>1815</v>
      </c>
      <c r="B202" t="s">
        <v>1325</v>
      </c>
      <c r="C202">
        <v>10.050000000000001</v>
      </c>
      <c r="D202">
        <f>VLOOKUP(A202,收盤價!A:C,3,0)</f>
        <v>13.25</v>
      </c>
      <c r="E202" s="87">
        <v>0.31840796019900486</v>
      </c>
      <c r="F202">
        <v>87.63</v>
      </c>
    </row>
    <row r="203" spans="1:6">
      <c r="A203">
        <v>4915</v>
      </c>
      <c r="B203" t="s">
        <v>1135</v>
      </c>
      <c r="C203">
        <v>38.4</v>
      </c>
      <c r="D203">
        <f>VLOOKUP(A203,收盤價!A:C,3,0)</f>
        <v>50.6</v>
      </c>
      <c r="E203" s="87">
        <v>0.31770833333333343</v>
      </c>
      <c r="F203">
        <v>87.57</v>
      </c>
    </row>
    <row r="204" spans="1:6">
      <c r="A204">
        <v>3441</v>
      </c>
      <c r="B204" t="s">
        <v>1391</v>
      </c>
      <c r="C204">
        <v>10.55</v>
      </c>
      <c r="D204">
        <f>VLOOKUP(A204,收盤價!A:C,3,0)</f>
        <v>13.9</v>
      </c>
      <c r="E204" s="87">
        <v>0.31753554502369663</v>
      </c>
      <c r="F204">
        <v>87.51</v>
      </c>
    </row>
    <row r="205" spans="1:6">
      <c r="A205">
        <v>1416</v>
      </c>
      <c r="B205" t="s">
        <v>555</v>
      </c>
      <c r="C205">
        <v>18.899999999999999</v>
      </c>
      <c r="D205">
        <f>VLOOKUP(A205,收盤價!A:C,3,0)</f>
        <v>24.9</v>
      </c>
      <c r="E205" s="87">
        <v>0.3174603174603175</v>
      </c>
      <c r="F205">
        <v>87.45</v>
      </c>
    </row>
    <row r="206" spans="1:6">
      <c r="A206">
        <v>6127</v>
      </c>
      <c r="B206" t="s">
        <v>1591</v>
      </c>
      <c r="C206">
        <v>9.1199999999999992</v>
      </c>
      <c r="D206">
        <f>VLOOKUP(A206,收盤價!A:C,3,0)</f>
        <v>12</v>
      </c>
      <c r="E206" s="87">
        <v>0.31578947368421062</v>
      </c>
      <c r="F206">
        <v>87.39</v>
      </c>
    </row>
    <row r="207" spans="1:6">
      <c r="A207">
        <v>1476</v>
      </c>
      <c r="B207" t="s">
        <v>598</v>
      </c>
      <c r="C207">
        <v>295</v>
      </c>
      <c r="D207">
        <f>VLOOKUP(A207,收盤價!A:C,3,0)</f>
        <v>388</v>
      </c>
      <c r="E207" s="87">
        <v>0.31525423728813562</v>
      </c>
      <c r="F207">
        <v>87.32</v>
      </c>
    </row>
    <row r="208" spans="1:6">
      <c r="A208">
        <v>6134</v>
      </c>
      <c r="B208" t="s">
        <v>1593</v>
      </c>
      <c r="C208">
        <v>7.59</v>
      </c>
      <c r="D208">
        <f>VLOOKUP(A208,收盤價!A:C,3,0)</f>
        <v>9.9600000000000009</v>
      </c>
      <c r="E208" s="87">
        <v>0.31225296442687761</v>
      </c>
      <c r="F208">
        <v>87.26</v>
      </c>
    </row>
    <row r="209" spans="1:6">
      <c r="A209">
        <v>8091</v>
      </c>
      <c r="B209" t="s">
        <v>1667</v>
      </c>
      <c r="C209">
        <v>46.8</v>
      </c>
      <c r="D209">
        <f>VLOOKUP(A209,收盤價!A:C,3,0)</f>
        <v>61.4</v>
      </c>
      <c r="E209" s="87">
        <v>0.31196581196581202</v>
      </c>
      <c r="F209">
        <v>87.2</v>
      </c>
    </row>
    <row r="210" spans="1:6">
      <c r="A210">
        <v>3552</v>
      </c>
      <c r="B210" t="s">
        <v>1410</v>
      </c>
      <c r="C210">
        <v>356</v>
      </c>
      <c r="D210">
        <f>VLOOKUP(A210,收盤價!A:C,3,0)</f>
        <v>467</v>
      </c>
      <c r="E210" s="87">
        <v>0.31179775280898875</v>
      </c>
      <c r="F210">
        <v>87.14</v>
      </c>
    </row>
    <row r="211" spans="1:6">
      <c r="A211">
        <v>6208</v>
      </c>
      <c r="B211" t="s">
        <v>1615</v>
      </c>
      <c r="C211">
        <v>11.25</v>
      </c>
      <c r="D211">
        <f>VLOOKUP(A211,收盤價!A:C,3,0)</f>
        <v>14.75</v>
      </c>
      <c r="E211" s="87">
        <v>0.31111111111111112</v>
      </c>
      <c r="F211">
        <v>87.08</v>
      </c>
    </row>
    <row r="212" spans="1:6">
      <c r="A212">
        <v>5498</v>
      </c>
      <c r="B212" t="s">
        <v>1557</v>
      </c>
      <c r="C212">
        <v>7.52</v>
      </c>
      <c r="D212">
        <f>VLOOKUP(A212,收盤價!A:C,3,0)</f>
        <v>9.85</v>
      </c>
      <c r="E212" s="87">
        <v>0.30984042553191493</v>
      </c>
      <c r="F212">
        <v>87.02</v>
      </c>
    </row>
    <row r="213" spans="1:6">
      <c r="A213">
        <v>4919</v>
      </c>
      <c r="B213" t="s">
        <v>1137</v>
      </c>
      <c r="C213">
        <v>28.75</v>
      </c>
      <c r="D213">
        <f>VLOOKUP(A213,收盤價!A:C,3,0)</f>
        <v>37.65</v>
      </c>
      <c r="E213" s="87">
        <v>0.30956521739130433</v>
      </c>
      <c r="F213">
        <v>86.96</v>
      </c>
    </row>
    <row r="214" spans="1:6">
      <c r="A214">
        <v>3559</v>
      </c>
      <c r="B214" t="s">
        <v>1084</v>
      </c>
      <c r="C214">
        <v>17.8</v>
      </c>
      <c r="D214">
        <f>VLOOKUP(A214,收盤價!A:C,3,0)</f>
        <v>23.25</v>
      </c>
      <c r="E214" s="87">
        <v>0.30617977528089885</v>
      </c>
      <c r="F214">
        <v>86.9</v>
      </c>
    </row>
    <row r="215" spans="1:6">
      <c r="A215">
        <v>8464</v>
      </c>
      <c r="B215" t="s">
        <v>1789</v>
      </c>
      <c r="C215">
        <v>278.5</v>
      </c>
      <c r="D215">
        <f>VLOOKUP(A215,收盤價!A:C,3,0)</f>
        <v>363.5</v>
      </c>
      <c r="E215" s="87">
        <v>0.30520646319569122</v>
      </c>
      <c r="F215">
        <v>86.83</v>
      </c>
    </row>
    <row r="216" spans="1:6">
      <c r="A216">
        <v>3545</v>
      </c>
      <c r="B216" t="s">
        <v>1081</v>
      </c>
      <c r="C216">
        <v>25.8</v>
      </c>
      <c r="D216">
        <f>VLOOKUP(A216,收盤價!A:C,3,0)</f>
        <v>33.65</v>
      </c>
      <c r="E216" s="87">
        <v>0.3042635658914728</v>
      </c>
      <c r="F216">
        <v>86.77</v>
      </c>
    </row>
    <row r="217" spans="1:6">
      <c r="A217">
        <v>4402</v>
      </c>
      <c r="B217" t="s">
        <v>339</v>
      </c>
      <c r="C217">
        <v>4.21</v>
      </c>
      <c r="D217">
        <f>VLOOKUP(A217,收盤價!A:C,3,0)</f>
        <v>5.49</v>
      </c>
      <c r="E217" s="87">
        <v>0.30403800475059389</v>
      </c>
      <c r="F217">
        <v>86.71</v>
      </c>
    </row>
    <row r="218" spans="1:6">
      <c r="A218">
        <v>8111</v>
      </c>
      <c r="B218" t="s">
        <v>1674</v>
      </c>
      <c r="C218">
        <v>3.78</v>
      </c>
      <c r="D218">
        <f>VLOOKUP(A218,收盤價!A:C,3,0)</f>
        <v>4.92</v>
      </c>
      <c r="E218" s="87">
        <v>0.30158730158730163</v>
      </c>
      <c r="F218">
        <v>86.65</v>
      </c>
    </row>
    <row r="219" spans="1:6">
      <c r="A219">
        <v>6241</v>
      </c>
      <c r="B219" t="s">
        <v>442</v>
      </c>
      <c r="C219">
        <v>11.95</v>
      </c>
      <c r="D219">
        <f>VLOOKUP(A219,收盤價!A:C,3,0)</f>
        <v>15.55</v>
      </c>
      <c r="E219" s="87">
        <v>0.30125523012552313</v>
      </c>
      <c r="F219">
        <v>86.59</v>
      </c>
    </row>
    <row r="220" spans="1:6">
      <c r="A220">
        <v>3317</v>
      </c>
      <c r="B220" t="s">
        <v>1379</v>
      </c>
      <c r="C220">
        <v>12</v>
      </c>
      <c r="D220">
        <f>VLOOKUP(A220,收盤價!A:C,3,0)</f>
        <v>15.6</v>
      </c>
      <c r="E220" s="87">
        <v>0.3</v>
      </c>
      <c r="F220">
        <v>86.53</v>
      </c>
    </row>
    <row r="221" spans="1:6">
      <c r="A221">
        <v>2448</v>
      </c>
      <c r="B221" t="s">
        <v>843</v>
      </c>
      <c r="C221">
        <v>17.05</v>
      </c>
      <c r="D221">
        <f>VLOOKUP(A221,收盤價!A:C,3,0)</f>
        <v>22.15</v>
      </c>
      <c r="E221" s="87">
        <v>0.29912023460410542</v>
      </c>
      <c r="F221">
        <v>86.47</v>
      </c>
    </row>
    <row r="222" spans="1:6">
      <c r="A222">
        <v>1590</v>
      </c>
      <c r="B222" t="s">
        <v>2036</v>
      </c>
      <c r="C222">
        <v>206.5</v>
      </c>
      <c r="D222">
        <f>VLOOKUP(A222,收盤價!A:C,3,0)</f>
        <v>268</v>
      </c>
      <c r="E222" s="87">
        <v>0.29782082324455206</v>
      </c>
      <c r="F222">
        <v>86.41</v>
      </c>
    </row>
    <row r="223" spans="1:6">
      <c r="A223">
        <v>1809</v>
      </c>
      <c r="B223" t="s">
        <v>688</v>
      </c>
      <c r="C223">
        <v>10.6</v>
      </c>
      <c r="D223">
        <f>VLOOKUP(A223,收盤價!A:C,3,0)</f>
        <v>13.75</v>
      </c>
      <c r="E223" s="87">
        <v>0.29716981132075476</v>
      </c>
      <c r="F223">
        <v>86.34</v>
      </c>
    </row>
    <row r="224" spans="1:6">
      <c r="A224">
        <v>5243</v>
      </c>
      <c r="B224" t="s">
        <v>2067</v>
      </c>
      <c r="C224">
        <v>31.65</v>
      </c>
      <c r="D224">
        <f>VLOOKUP(A224,收盤價!A:C,3,0)</f>
        <v>41.05</v>
      </c>
      <c r="E224" s="87">
        <v>0.29699842022116901</v>
      </c>
      <c r="F224">
        <v>86.28</v>
      </c>
    </row>
    <row r="225" spans="1:6">
      <c r="A225">
        <v>5321</v>
      </c>
      <c r="B225" t="s">
        <v>1528</v>
      </c>
      <c r="C225">
        <v>29.85</v>
      </c>
      <c r="D225">
        <f>VLOOKUP(A225,收盤價!A:C,3,0)</f>
        <v>38.700000000000003</v>
      </c>
      <c r="E225" s="87">
        <v>0.29648241206030151</v>
      </c>
      <c r="F225">
        <v>86.22</v>
      </c>
    </row>
    <row r="226" spans="1:6">
      <c r="A226">
        <v>6104</v>
      </c>
      <c r="B226" t="s">
        <v>1579</v>
      </c>
      <c r="C226">
        <v>30.7</v>
      </c>
      <c r="D226">
        <f>VLOOKUP(A226,收盤價!A:C,3,0)</f>
        <v>39.799999999999997</v>
      </c>
      <c r="E226" s="87">
        <v>0.29641693811074915</v>
      </c>
      <c r="F226">
        <v>86.16</v>
      </c>
    </row>
    <row r="227" spans="1:6">
      <c r="A227">
        <v>3022</v>
      </c>
      <c r="B227" t="s">
        <v>998</v>
      </c>
      <c r="C227">
        <v>36.1</v>
      </c>
      <c r="D227">
        <f>VLOOKUP(A227,收盤價!A:C,3,0)</f>
        <v>46.8</v>
      </c>
      <c r="E227" s="87">
        <v>0.29639889196675889</v>
      </c>
      <c r="F227">
        <v>86.1</v>
      </c>
    </row>
    <row r="228" spans="1:6">
      <c r="A228">
        <v>5347</v>
      </c>
      <c r="B228" t="s">
        <v>385</v>
      </c>
      <c r="C228">
        <v>51.8</v>
      </c>
      <c r="D228">
        <f>VLOOKUP(A228,收盤價!A:C,3,0)</f>
        <v>67.099999999999994</v>
      </c>
      <c r="E228" s="87">
        <v>0.29536679536679533</v>
      </c>
      <c r="F228">
        <v>86.04</v>
      </c>
    </row>
    <row r="229" spans="1:6">
      <c r="A229">
        <v>6291</v>
      </c>
      <c r="B229" t="s">
        <v>452</v>
      </c>
      <c r="C229">
        <v>1.87</v>
      </c>
      <c r="D229">
        <f>VLOOKUP(A229,收盤價!A:C,3,0)</f>
        <v>2.42</v>
      </c>
      <c r="E229" s="87">
        <v>0.29411764705882343</v>
      </c>
      <c r="F229">
        <v>85.98</v>
      </c>
    </row>
    <row r="230" spans="1:6">
      <c r="A230">
        <v>1101</v>
      </c>
      <c r="B230" t="s">
        <v>504</v>
      </c>
      <c r="C230">
        <v>28.6</v>
      </c>
      <c r="D230">
        <f>VLOOKUP(A230,收盤價!A:C,3,0)</f>
        <v>37</v>
      </c>
      <c r="E230" s="87">
        <v>0.29370629370629364</v>
      </c>
      <c r="F230">
        <v>85.92</v>
      </c>
    </row>
    <row r="231" spans="1:6">
      <c r="A231">
        <v>3231</v>
      </c>
      <c r="B231" t="s">
        <v>1045</v>
      </c>
      <c r="C231">
        <v>18.2</v>
      </c>
      <c r="D231">
        <f>VLOOKUP(A231,收盤價!A:C,3,0)</f>
        <v>23.5</v>
      </c>
      <c r="E231" s="87">
        <v>0.29120879120879128</v>
      </c>
      <c r="F231">
        <v>85.85</v>
      </c>
    </row>
    <row r="232" spans="1:6">
      <c r="A232">
        <v>2809</v>
      </c>
      <c r="B232" t="s">
        <v>941</v>
      </c>
      <c r="C232">
        <v>20.2</v>
      </c>
      <c r="D232">
        <f>VLOOKUP(A232,收盤價!A:C,3,0)</f>
        <v>26.05</v>
      </c>
      <c r="E232" s="87">
        <v>0.28960396039603969</v>
      </c>
      <c r="F232">
        <v>85.79</v>
      </c>
    </row>
    <row r="233" spans="1:6">
      <c r="A233">
        <v>8064</v>
      </c>
      <c r="B233" t="s">
        <v>462</v>
      </c>
      <c r="C233">
        <v>13.3</v>
      </c>
      <c r="D233">
        <f>VLOOKUP(A233,收盤價!A:C,3,0)</f>
        <v>17.149999999999999</v>
      </c>
      <c r="E233" s="87">
        <v>0.28947368421052616</v>
      </c>
      <c r="F233">
        <v>85.73</v>
      </c>
    </row>
    <row r="234" spans="1:6">
      <c r="A234">
        <v>6124</v>
      </c>
      <c r="B234" t="s">
        <v>1589</v>
      </c>
      <c r="C234">
        <v>24.7</v>
      </c>
      <c r="D234">
        <f>VLOOKUP(A234,收盤價!A:C,3,0)</f>
        <v>31.8</v>
      </c>
      <c r="E234" s="87">
        <v>0.28744939271255066</v>
      </c>
      <c r="F234">
        <v>85.67</v>
      </c>
    </row>
    <row r="235" spans="1:6">
      <c r="A235">
        <v>2311</v>
      </c>
      <c r="B235" t="s">
        <v>747</v>
      </c>
      <c r="C235">
        <v>29.4</v>
      </c>
      <c r="D235">
        <f>VLOOKUP(A235,收盤價!A:C,3,0)</f>
        <v>37.799999999999997</v>
      </c>
      <c r="E235" s="87">
        <v>0.2857142857142857</v>
      </c>
      <c r="F235">
        <v>85.61</v>
      </c>
    </row>
    <row r="236" spans="1:6">
      <c r="A236">
        <v>6289</v>
      </c>
      <c r="B236" t="s">
        <v>1228</v>
      </c>
      <c r="C236">
        <v>1.06</v>
      </c>
      <c r="D236">
        <f>VLOOKUP(A236,收盤價!A:C,3,0)</f>
        <v>1.36</v>
      </c>
      <c r="E236" s="87">
        <v>0.28301886792452835</v>
      </c>
      <c r="F236">
        <v>85.55</v>
      </c>
    </row>
    <row r="237" spans="1:6">
      <c r="A237">
        <v>2545</v>
      </c>
      <c r="B237" t="s">
        <v>907</v>
      </c>
      <c r="C237">
        <v>29.7</v>
      </c>
      <c r="D237">
        <f>VLOOKUP(A237,收盤價!A:C,3,0)</f>
        <v>38.1</v>
      </c>
      <c r="E237" s="87">
        <v>0.28282828282828293</v>
      </c>
      <c r="F237">
        <v>85.49</v>
      </c>
    </row>
    <row r="238" spans="1:6">
      <c r="A238">
        <v>6230</v>
      </c>
      <c r="B238" t="s">
        <v>1214</v>
      </c>
      <c r="C238">
        <v>111.5</v>
      </c>
      <c r="D238">
        <f>VLOOKUP(A238,收盤價!A:C,3,0)</f>
        <v>143</v>
      </c>
      <c r="E238" s="87">
        <v>0.28251121076233182</v>
      </c>
      <c r="F238">
        <v>85.43</v>
      </c>
    </row>
    <row r="239" spans="1:6">
      <c r="A239">
        <v>2103</v>
      </c>
      <c r="B239" t="s">
        <v>727</v>
      </c>
      <c r="C239">
        <v>26.05</v>
      </c>
      <c r="D239">
        <f>VLOOKUP(A239,收盤價!A:C,3,0)</f>
        <v>33.35</v>
      </c>
      <c r="E239" s="87">
        <v>0.28023032629558542</v>
      </c>
      <c r="F239">
        <v>85.36</v>
      </c>
    </row>
    <row r="240" spans="1:6">
      <c r="A240">
        <v>8374</v>
      </c>
      <c r="B240" t="s">
        <v>1267</v>
      </c>
      <c r="C240">
        <v>11.1</v>
      </c>
      <c r="D240">
        <f>VLOOKUP(A240,收盤價!A:C,3,0)</f>
        <v>14.2</v>
      </c>
      <c r="E240" s="87">
        <v>0.27927927927927926</v>
      </c>
      <c r="F240">
        <v>85.3</v>
      </c>
    </row>
    <row r="241" spans="1:6">
      <c r="A241">
        <v>6138</v>
      </c>
      <c r="B241" t="s">
        <v>1594</v>
      </c>
      <c r="C241">
        <v>22.6</v>
      </c>
      <c r="D241">
        <f>VLOOKUP(A241,收盤價!A:C,3,0)</f>
        <v>28.9</v>
      </c>
      <c r="E241" s="87">
        <v>0.27876106194690253</v>
      </c>
      <c r="F241">
        <v>85.24</v>
      </c>
    </row>
    <row r="242" spans="1:6">
      <c r="A242">
        <v>9906</v>
      </c>
      <c r="B242" t="s">
        <v>1278</v>
      </c>
      <c r="C242">
        <v>14.25</v>
      </c>
      <c r="D242">
        <f>VLOOKUP(A242,收盤價!A:C,3,0)</f>
        <v>18.2</v>
      </c>
      <c r="E242" s="87">
        <v>0.27719298245614032</v>
      </c>
      <c r="F242">
        <v>85.18</v>
      </c>
    </row>
    <row r="243" spans="1:6">
      <c r="A243">
        <v>8291</v>
      </c>
      <c r="B243" t="s">
        <v>1688</v>
      </c>
      <c r="C243">
        <v>4.7</v>
      </c>
      <c r="D243">
        <f>VLOOKUP(A243,收盤價!A:C,3,0)</f>
        <v>6</v>
      </c>
      <c r="E243" s="87">
        <v>0.27659574468085102</v>
      </c>
      <c r="F243">
        <v>85.12</v>
      </c>
    </row>
    <row r="244" spans="1:6">
      <c r="A244">
        <v>3176</v>
      </c>
      <c r="B244" t="s">
        <v>257</v>
      </c>
      <c r="C244">
        <v>52.7</v>
      </c>
      <c r="D244">
        <f>VLOOKUP(A244,收盤價!A:C,3,0)</f>
        <v>67.2</v>
      </c>
      <c r="E244" s="87">
        <v>0.27514231499051234</v>
      </c>
      <c r="F244">
        <v>85.06</v>
      </c>
    </row>
    <row r="245" spans="1:6">
      <c r="A245">
        <v>1304</v>
      </c>
      <c r="B245" t="s">
        <v>531</v>
      </c>
      <c r="C245">
        <v>12.4</v>
      </c>
      <c r="D245">
        <f>VLOOKUP(A245,收盤價!A:C,3,0)</f>
        <v>15.8</v>
      </c>
      <c r="E245" s="87">
        <v>0.27419354838709681</v>
      </c>
      <c r="F245">
        <v>85</v>
      </c>
    </row>
    <row r="246" spans="1:6">
      <c r="A246">
        <v>5609</v>
      </c>
      <c r="B246" t="s">
        <v>407</v>
      </c>
      <c r="C246">
        <v>16.649999999999999</v>
      </c>
      <c r="D246">
        <f>VLOOKUP(A246,收盤價!A:C,3,0)</f>
        <v>21.2</v>
      </c>
      <c r="E246" s="87">
        <v>0.27327327327327333</v>
      </c>
      <c r="F246">
        <v>84.94</v>
      </c>
    </row>
    <row r="247" spans="1:6">
      <c r="A247">
        <v>3550</v>
      </c>
      <c r="B247" t="s">
        <v>1082</v>
      </c>
      <c r="C247">
        <v>12.5</v>
      </c>
      <c r="D247">
        <f>VLOOKUP(A247,收盤價!A:C,3,0)</f>
        <v>15.9</v>
      </c>
      <c r="E247" s="87">
        <v>0.27200000000000002</v>
      </c>
      <c r="F247">
        <v>84.87</v>
      </c>
    </row>
    <row r="248" spans="1:6">
      <c r="A248">
        <v>5234</v>
      </c>
      <c r="B248" t="s">
        <v>2066</v>
      </c>
      <c r="C248">
        <v>27.8</v>
      </c>
      <c r="D248">
        <f>VLOOKUP(A248,收盤價!A:C,3,0)</f>
        <v>35.299999999999997</v>
      </c>
      <c r="E248" s="87">
        <v>0.26978417266187038</v>
      </c>
      <c r="F248">
        <v>84.81</v>
      </c>
    </row>
    <row r="249" spans="1:6">
      <c r="A249">
        <v>3653</v>
      </c>
      <c r="B249" t="s">
        <v>1099</v>
      </c>
      <c r="C249">
        <v>40.4</v>
      </c>
      <c r="D249">
        <f>VLOOKUP(A249,收盤價!A:C,3,0)</f>
        <v>51.2</v>
      </c>
      <c r="E249" s="87">
        <v>0.26732673267326745</v>
      </c>
      <c r="F249">
        <v>84.75</v>
      </c>
    </row>
    <row r="250" spans="1:6">
      <c r="A250">
        <v>2302</v>
      </c>
      <c r="B250" t="s">
        <v>743</v>
      </c>
      <c r="C250">
        <v>5.47</v>
      </c>
      <c r="D250">
        <f>VLOOKUP(A250,收盤價!A:C,3,0)</f>
        <v>6.93</v>
      </c>
      <c r="E250" s="87">
        <v>0.26691042047531993</v>
      </c>
      <c r="F250">
        <v>84.69</v>
      </c>
    </row>
    <row r="251" spans="1:6">
      <c r="A251">
        <v>8121</v>
      </c>
      <c r="B251" t="s">
        <v>1675</v>
      </c>
      <c r="C251">
        <v>10.35</v>
      </c>
      <c r="D251">
        <f>VLOOKUP(A251,收盤價!A:C,3,0)</f>
        <v>13.1</v>
      </c>
      <c r="E251" s="87">
        <v>0.26570048309178745</v>
      </c>
      <c r="F251">
        <v>84.63</v>
      </c>
    </row>
    <row r="252" spans="1:6">
      <c r="A252">
        <v>2464</v>
      </c>
      <c r="B252" t="s">
        <v>856</v>
      </c>
      <c r="C252">
        <v>32.4</v>
      </c>
      <c r="D252">
        <f>VLOOKUP(A252,收盤價!A:C,3,0)</f>
        <v>41</v>
      </c>
      <c r="E252" s="87">
        <v>0.26543209876543217</v>
      </c>
      <c r="F252">
        <v>84.57</v>
      </c>
    </row>
    <row r="253" spans="1:6">
      <c r="A253">
        <v>9938</v>
      </c>
      <c r="B253" t="s">
        <v>1300</v>
      </c>
      <c r="C253">
        <v>90.5</v>
      </c>
      <c r="D253">
        <f>VLOOKUP(A253,收盤價!A:C,3,0)</f>
        <v>114.5</v>
      </c>
      <c r="E253" s="87">
        <v>0.26519337016574585</v>
      </c>
      <c r="F253">
        <v>84.51</v>
      </c>
    </row>
    <row r="254" spans="1:6">
      <c r="A254">
        <v>4973</v>
      </c>
      <c r="B254" t="s">
        <v>1504</v>
      </c>
      <c r="C254">
        <v>17.75</v>
      </c>
      <c r="D254">
        <f>VLOOKUP(A254,收盤價!A:C,3,0)</f>
        <v>22.45</v>
      </c>
      <c r="E254" s="87">
        <v>0.26478873239436618</v>
      </c>
      <c r="F254">
        <v>84.45</v>
      </c>
    </row>
    <row r="255" spans="1:6">
      <c r="A255">
        <v>6141</v>
      </c>
      <c r="B255" t="s">
        <v>1182</v>
      </c>
      <c r="C255">
        <v>7.91</v>
      </c>
      <c r="D255">
        <f>VLOOKUP(A255,收盤價!A:C,3,0)</f>
        <v>10</v>
      </c>
      <c r="E255" s="87">
        <v>0.26422250316055623</v>
      </c>
      <c r="F255">
        <v>84.38</v>
      </c>
    </row>
    <row r="256" spans="1:6">
      <c r="A256">
        <v>3360</v>
      </c>
      <c r="B256" t="s">
        <v>282</v>
      </c>
      <c r="C256">
        <v>14.1</v>
      </c>
      <c r="D256">
        <f>VLOOKUP(A256,收盤價!A:C,3,0)</f>
        <v>17.8</v>
      </c>
      <c r="E256" s="87">
        <v>0.2624113475177306</v>
      </c>
      <c r="F256">
        <v>84.32</v>
      </c>
    </row>
    <row r="257" spans="1:6">
      <c r="A257">
        <v>2399</v>
      </c>
      <c r="B257" t="s">
        <v>807</v>
      </c>
      <c r="C257">
        <v>7.21</v>
      </c>
      <c r="D257">
        <f>VLOOKUP(A257,收盤價!A:C,3,0)</f>
        <v>9.1</v>
      </c>
      <c r="E257" s="87">
        <v>0.26213592233009703</v>
      </c>
      <c r="F257">
        <v>84.26</v>
      </c>
    </row>
    <row r="258" spans="1:6">
      <c r="A258">
        <v>1608</v>
      </c>
      <c r="B258" t="s">
        <v>638</v>
      </c>
      <c r="C258">
        <v>6.26</v>
      </c>
      <c r="D258">
        <f>VLOOKUP(A258,收盤價!A:C,3,0)</f>
        <v>7.9</v>
      </c>
      <c r="E258" s="87">
        <v>0.26198083067092659</v>
      </c>
      <c r="F258">
        <v>84.2</v>
      </c>
    </row>
    <row r="259" spans="1:6">
      <c r="A259">
        <v>3078</v>
      </c>
      <c r="B259" t="s">
        <v>1344</v>
      </c>
      <c r="C259">
        <v>24.65</v>
      </c>
      <c r="D259">
        <f>VLOOKUP(A259,收盤價!A:C,3,0)</f>
        <v>31.1</v>
      </c>
      <c r="E259" s="87">
        <v>0.26166328600405692</v>
      </c>
      <c r="F259">
        <v>84.14</v>
      </c>
    </row>
    <row r="260" spans="1:6">
      <c r="A260">
        <v>3622</v>
      </c>
      <c r="B260" t="s">
        <v>1097</v>
      </c>
      <c r="C260">
        <v>9.75</v>
      </c>
      <c r="D260">
        <f>VLOOKUP(A260,收盤價!A:C,3,0)</f>
        <v>12.3</v>
      </c>
      <c r="E260" s="87">
        <v>0.26153846153846161</v>
      </c>
      <c r="F260">
        <v>84.08</v>
      </c>
    </row>
    <row r="261" spans="1:6">
      <c r="A261">
        <v>3056</v>
      </c>
      <c r="B261" t="s">
        <v>1030</v>
      </c>
      <c r="C261">
        <v>14.95</v>
      </c>
      <c r="D261">
        <f>VLOOKUP(A261,收盤價!A:C,3,0)</f>
        <v>18.850000000000001</v>
      </c>
      <c r="E261" s="87">
        <v>0.26086956521739146</v>
      </c>
      <c r="F261">
        <v>84.02</v>
      </c>
    </row>
    <row r="262" spans="1:6">
      <c r="A262">
        <v>8155</v>
      </c>
      <c r="B262" t="s">
        <v>1677</v>
      </c>
      <c r="C262">
        <v>24.15</v>
      </c>
      <c r="D262">
        <f>VLOOKUP(A262,收盤價!A:C,3,0)</f>
        <v>30.45</v>
      </c>
      <c r="E262" s="87">
        <v>0.26086956521739135</v>
      </c>
      <c r="F262">
        <v>83.96</v>
      </c>
    </row>
    <row r="263" spans="1:6">
      <c r="A263">
        <v>8042</v>
      </c>
      <c r="B263" t="s">
        <v>1650</v>
      </c>
      <c r="C263">
        <v>41.25</v>
      </c>
      <c r="D263">
        <f>VLOOKUP(A263,收盤價!A:C,3,0)</f>
        <v>52</v>
      </c>
      <c r="E263" s="87">
        <v>0.26060606060606062</v>
      </c>
      <c r="F263">
        <v>83.89</v>
      </c>
    </row>
    <row r="264" spans="1:6">
      <c r="A264">
        <v>1616</v>
      </c>
      <c r="B264" t="s">
        <v>645</v>
      </c>
      <c r="C264">
        <v>4.03</v>
      </c>
      <c r="D264">
        <f>VLOOKUP(A264,收盤價!A:C,3,0)</f>
        <v>5.08</v>
      </c>
      <c r="E264" s="87">
        <v>0.26054590570719599</v>
      </c>
      <c r="F264">
        <v>83.83</v>
      </c>
    </row>
    <row r="265" spans="1:6">
      <c r="A265">
        <v>4994</v>
      </c>
      <c r="B265" t="s">
        <v>1146</v>
      </c>
      <c r="C265">
        <v>44.45</v>
      </c>
      <c r="D265">
        <f>VLOOKUP(A265,收盤價!A:C,3,0)</f>
        <v>56</v>
      </c>
      <c r="E265" s="87">
        <v>0.2598425196850393</v>
      </c>
      <c r="F265">
        <v>83.77</v>
      </c>
    </row>
    <row r="266" spans="1:6">
      <c r="A266">
        <v>6122</v>
      </c>
      <c r="B266" t="s">
        <v>1587</v>
      </c>
      <c r="C266">
        <v>6.39</v>
      </c>
      <c r="D266">
        <f>VLOOKUP(A266,收盤價!A:C,3,0)</f>
        <v>8.0500000000000007</v>
      </c>
      <c r="E266" s="87">
        <v>0.25978090766823181</v>
      </c>
      <c r="F266">
        <v>83.71</v>
      </c>
    </row>
    <row r="267" spans="1:6">
      <c r="A267">
        <v>3455</v>
      </c>
      <c r="B267" t="s">
        <v>290</v>
      </c>
      <c r="C267">
        <v>28.6</v>
      </c>
      <c r="D267">
        <f>VLOOKUP(A267,收盤價!A:C,3,0)</f>
        <v>36</v>
      </c>
      <c r="E267" s="87">
        <v>0.2587412587412587</v>
      </c>
      <c r="F267">
        <v>83.65</v>
      </c>
    </row>
    <row r="268" spans="1:6">
      <c r="A268">
        <v>911868</v>
      </c>
      <c r="B268" t="s">
        <v>2099</v>
      </c>
      <c r="C268">
        <v>2.09</v>
      </c>
      <c r="D268">
        <f>VLOOKUP(A268,收盤價!A:C,3,0)</f>
        <v>2.63</v>
      </c>
      <c r="E268" s="87">
        <v>0.25837320574162681</v>
      </c>
      <c r="F268">
        <v>83.59</v>
      </c>
    </row>
    <row r="269" spans="1:6">
      <c r="A269">
        <v>4549</v>
      </c>
      <c r="B269" t="s">
        <v>345</v>
      </c>
      <c r="C269">
        <v>66.7</v>
      </c>
      <c r="D269">
        <f>VLOOKUP(A269,收盤價!A:C,3,0)</f>
        <v>83.9</v>
      </c>
      <c r="E269" s="87">
        <v>0.25787106446776614</v>
      </c>
      <c r="F269">
        <v>83.53</v>
      </c>
    </row>
    <row r="270" spans="1:6">
      <c r="A270">
        <v>1235</v>
      </c>
      <c r="B270" t="s">
        <v>527</v>
      </c>
      <c r="C270">
        <v>23.85</v>
      </c>
      <c r="D270">
        <f>VLOOKUP(A270,收盤價!A:C,3,0)</f>
        <v>30</v>
      </c>
      <c r="E270" s="87">
        <v>0.25786163522012573</v>
      </c>
      <c r="F270">
        <v>83.47</v>
      </c>
    </row>
    <row r="271" spans="1:6">
      <c r="A271">
        <v>6113</v>
      </c>
      <c r="B271" t="s">
        <v>1584</v>
      </c>
      <c r="C271">
        <v>7</v>
      </c>
      <c r="D271">
        <f>VLOOKUP(A271,收盤價!A:C,3,0)</f>
        <v>8.8000000000000007</v>
      </c>
      <c r="E271" s="87">
        <v>0.25714285714285723</v>
      </c>
      <c r="F271">
        <v>83.4</v>
      </c>
    </row>
    <row r="272" spans="1:6">
      <c r="A272">
        <v>1314</v>
      </c>
      <c r="B272" t="s">
        <v>540</v>
      </c>
      <c r="C272">
        <v>7.43</v>
      </c>
      <c r="D272">
        <f>VLOOKUP(A272,收盤價!A:C,3,0)</f>
        <v>9.33</v>
      </c>
      <c r="E272" s="87">
        <v>0.25572005383580088</v>
      </c>
      <c r="F272">
        <v>83.34</v>
      </c>
    </row>
    <row r="273" spans="1:6">
      <c r="A273">
        <v>2823</v>
      </c>
      <c r="B273" t="s">
        <v>945</v>
      </c>
      <c r="C273">
        <v>23.1</v>
      </c>
      <c r="D273">
        <f>VLOOKUP(A273,收盤價!A:C,3,0)</f>
        <v>29</v>
      </c>
      <c r="E273" s="87">
        <v>0.25541125541125531</v>
      </c>
      <c r="F273">
        <v>83.28</v>
      </c>
    </row>
    <row r="274" spans="1:6">
      <c r="A274">
        <v>2596</v>
      </c>
      <c r="B274" t="s">
        <v>1329</v>
      </c>
      <c r="C274">
        <v>13.55</v>
      </c>
      <c r="D274">
        <f>VLOOKUP(A274,收盤價!A:C,3,0)</f>
        <v>17</v>
      </c>
      <c r="E274" s="87">
        <v>0.25461254612546119</v>
      </c>
      <c r="F274">
        <v>83.22</v>
      </c>
    </row>
    <row r="275" spans="1:6">
      <c r="A275">
        <v>1721</v>
      </c>
      <c r="B275" t="s">
        <v>663</v>
      </c>
      <c r="C275">
        <v>13.5</v>
      </c>
      <c r="D275">
        <f>VLOOKUP(A275,收盤價!A:C,3,0)</f>
        <v>16.899999999999999</v>
      </c>
      <c r="E275" s="87">
        <v>0.25185185185185177</v>
      </c>
      <c r="F275">
        <v>83.16</v>
      </c>
    </row>
    <row r="276" spans="1:6">
      <c r="A276">
        <v>2489</v>
      </c>
      <c r="B276" t="s">
        <v>875</v>
      </c>
      <c r="C276">
        <v>19.55</v>
      </c>
      <c r="D276">
        <f>VLOOKUP(A276,收盤價!A:C,3,0)</f>
        <v>24.45</v>
      </c>
      <c r="E276" s="87">
        <v>0.25063938618925824</v>
      </c>
      <c r="F276">
        <v>83.1</v>
      </c>
    </row>
    <row r="277" spans="1:6">
      <c r="A277">
        <v>6218</v>
      </c>
      <c r="B277" t="s">
        <v>1618</v>
      </c>
      <c r="C277">
        <v>16.2</v>
      </c>
      <c r="D277">
        <f>VLOOKUP(A277,收盤價!A:C,3,0)</f>
        <v>20.25</v>
      </c>
      <c r="E277" s="87">
        <v>0.25000000000000006</v>
      </c>
      <c r="F277">
        <v>83.04</v>
      </c>
    </row>
    <row r="278" spans="1:6">
      <c r="A278">
        <v>8016</v>
      </c>
      <c r="B278" t="s">
        <v>1241</v>
      </c>
      <c r="C278">
        <v>93.6</v>
      </c>
      <c r="D278">
        <f>VLOOKUP(A278,收盤價!A:C,3,0)</f>
        <v>117</v>
      </c>
      <c r="E278" s="87">
        <v>0.25000000000000006</v>
      </c>
      <c r="F278">
        <v>82.98</v>
      </c>
    </row>
    <row r="279" spans="1:6">
      <c r="A279">
        <v>4958</v>
      </c>
      <c r="B279" t="s">
        <v>2061</v>
      </c>
      <c r="C279">
        <v>56.2</v>
      </c>
      <c r="D279">
        <f>VLOOKUP(A279,收盤價!A:C,3,0)</f>
        <v>70.2</v>
      </c>
      <c r="E279" s="87">
        <v>0.24911032028469748</v>
      </c>
      <c r="F279">
        <v>82.91</v>
      </c>
    </row>
    <row r="280" spans="1:6">
      <c r="A280">
        <v>8433</v>
      </c>
      <c r="B280" t="s">
        <v>481</v>
      </c>
      <c r="C280">
        <v>137.5</v>
      </c>
      <c r="D280">
        <f>VLOOKUP(A280,收盤價!A:C,3,0)</f>
        <v>171.5</v>
      </c>
      <c r="E280" s="87">
        <v>0.24727272727272728</v>
      </c>
      <c r="F280">
        <v>82.85</v>
      </c>
    </row>
    <row r="281" spans="1:6">
      <c r="A281">
        <v>8114</v>
      </c>
      <c r="B281" t="s">
        <v>1254</v>
      </c>
      <c r="C281">
        <v>158</v>
      </c>
      <c r="D281">
        <f>VLOOKUP(A281,收盤價!A:C,3,0)</f>
        <v>197</v>
      </c>
      <c r="E281" s="87">
        <v>0.24683544303797469</v>
      </c>
      <c r="F281">
        <v>82.79</v>
      </c>
    </row>
    <row r="282" spans="1:6">
      <c r="A282">
        <v>2115</v>
      </c>
      <c r="B282" t="s">
        <v>2040</v>
      </c>
      <c r="C282">
        <v>47</v>
      </c>
      <c r="D282">
        <f>VLOOKUP(A282,收盤價!A:C,3,0)</f>
        <v>58.6</v>
      </c>
      <c r="E282" s="87">
        <v>0.2468085106382979</v>
      </c>
      <c r="F282">
        <v>82.73</v>
      </c>
    </row>
    <row r="283" spans="1:6">
      <c r="A283">
        <v>6269</v>
      </c>
      <c r="B283" t="s">
        <v>1220</v>
      </c>
      <c r="C283">
        <v>73.5</v>
      </c>
      <c r="D283">
        <f>VLOOKUP(A283,收盤價!A:C,3,0)</f>
        <v>91.6</v>
      </c>
      <c r="E283" s="87">
        <v>0.24625850340136046</v>
      </c>
      <c r="F283">
        <v>82.67</v>
      </c>
    </row>
    <row r="284" spans="1:6">
      <c r="A284">
        <v>2881</v>
      </c>
      <c r="B284" t="s">
        <v>960</v>
      </c>
      <c r="C284">
        <v>36</v>
      </c>
      <c r="D284">
        <f>VLOOKUP(A284,收盤價!A:C,3,0)</f>
        <v>44.85</v>
      </c>
      <c r="E284" s="87">
        <v>0.24583333333333338</v>
      </c>
      <c r="F284">
        <v>82.61</v>
      </c>
    </row>
    <row r="285" spans="1:6">
      <c r="A285">
        <v>2207</v>
      </c>
      <c r="B285" t="s">
        <v>737</v>
      </c>
      <c r="C285">
        <v>291.5</v>
      </c>
      <c r="D285">
        <f>VLOOKUP(A285,收盤價!A:C,3,0)</f>
        <v>363</v>
      </c>
      <c r="E285" s="87">
        <v>0.24528301886792453</v>
      </c>
      <c r="F285">
        <v>82.55</v>
      </c>
    </row>
    <row r="286" spans="1:6">
      <c r="A286">
        <v>1609</v>
      </c>
      <c r="B286" t="s">
        <v>639</v>
      </c>
      <c r="C286">
        <v>4.16</v>
      </c>
      <c r="D286">
        <f>VLOOKUP(A286,收盤價!A:C,3,0)</f>
        <v>5.18</v>
      </c>
      <c r="E286" s="87">
        <v>0.24519230769230757</v>
      </c>
      <c r="F286">
        <v>82.49</v>
      </c>
    </row>
    <row r="287" spans="1:6">
      <c r="A287">
        <v>2929</v>
      </c>
      <c r="B287" t="s">
        <v>2048</v>
      </c>
      <c r="C287">
        <v>129.5</v>
      </c>
      <c r="D287">
        <f>VLOOKUP(A287,收盤價!A:C,3,0)</f>
        <v>161</v>
      </c>
      <c r="E287" s="87">
        <v>0.24324324324324326</v>
      </c>
      <c r="F287">
        <v>82.42</v>
      </c>
    </row>
    <row r="288" spans="1:6">
      <c r="A288">
        <v>4944</v>
      </c>
      <c r="B288" t="s">
        <v>1497</v>
      </c>
      <c r="C288">
        <v>6.5</v>
      </c>
      <c r="D288">
        <f>VLOOKUP(A288,收盤價!A:C,3,0)</f>
        <v>8.08</v>
      </c>
      <c r="E288" s="87">
        <v>0.24307692307692308</v>
      </c>
      <c r="F288">
        <v>82.36</v>
      </c>
    </row>
    <row r="289" spans="1:6">
      <c r="A289">
        <v>1210</v>
      </c>
      <c r="B289" t="s">
        <v>512</v>
      </c>
      <c r="C289">
        <v>23.15</v>
      </c>
      <c r="D289">
        <f>VLOOKUP(A289,收盤價!A:C,3,0)</f>
        <v>28.75</v>
      </c>
      <c r="E289" s="87">
        <v>0.24190064794816421</v>
      </c>
      <c r="F289">
        <v>82.3</v>
      </c>
    </row>
    <row r="290" spans="1:6">
      <c r="A290">
        <v>4506</v>
      </c>
      <c r="B290" t="s">
        <v>343</v>
      </c>
      <c r="C290">
        <v>28.15</v>
      </c>
      <c r="D290">
        <f>VLOOKUP(A290,收盤價!A:C,3,0)</f>
        <v>34.950000000000003</v>
      </c>
      <c r="E290" s="87">
        <v>0.24156305506216713</v>
      </c>
      <c r="F290">
        <v>82.24</v>
      </c>
    </row>
    <row r="291" spans="1:6">
      <c r="A291">
        <v>6414</v>
      </c>
      <c r="B291" t="s">
        <v>1232</v>
      </c>
      <c r="C291">
        <v>403</v>
      </c>
      <c r="D291">
        <f>VLOOKUP(A291,收盤價!A:C,3,0)</f>
        <v>500</v>
      </c>
      <c r="E291" s="87">
        <v>0.24069478908188585</v>
      </c>
      <c r="F291">
        <v>82.18</v>
      </c>
    </row>
    <row r="292" spans="1:6">
      <c r="A292">
        <v>2008</v>
      </c>
      <c r="B292" t="s">
        <v>700</v>
      </c>
      <c r="C292">
        <v>7.99</v>
      </c>
      <c r="D292">
        <f>VLOOKUP(A292,收盤價!A:C,3,0)</f>
        <v>9.9</v>
      </c>
      <c r="E292" s="87">
        <v>0.23904881101376721</v>
      </c>
      <c r="F292">
        <v>82.12</v>
      </c>
    </row>
    <row r="293" spans="1:6">
      <c r="A293">
        <v>6118</v>
      </c>
      <c r="B293" t="s">
        <v>1586</v>
      </c>
      <c r="C293">
        <v>5.33</v>
      </c>
      <c r="D293">
        <f>VLOOKUP(A293,收盤價!A:C,3,0)</f>
        <v>6.6</v>
      </c>
      <c r="E293" s="87">
        <v>0.23827392120075039</v>
      </c>
      <c r="F293">
        <v>82.06</v>
      </c>
    </row>
    <row r="294" spans="1:6">
      <c r="A294">
        <v>6153</v>
      </c>
      <c r="B294" t="s">
        <v>1186</v>
      </c>
      <c r="C294">
        <v>16.600000000000001</v>
      </c>
      <c r="D294">
        <f>VLOOKUP(A294,收盤價!A:C,3,0)</f>
        <v>20.55</v>
      </c>
      <c r="E294" s="87">
        <v>0.2379518072289156</v>
      </c>
      <c r="F294">
        <v>82</v>
      </c>
    </row>
    <row r="295" spans="1:6">
      <c r="A295">
        <v>1515</v>
      </c>
      <c r="B295" t="s">
        <v>607</v>
      </c>
      <c r="C295">
        <v>10.3</v>
      </c>
      <c r="D295">
        <f>VLOOKUP(A295,收盤價!A:C,3,0)</f>
        <v>12.75</v>
      </c>
      <c r="E295" s="87">
        <v>0.23786407766990283</v>
      </c>
      <c r="F295">
        <v>81.94</v>
      </c>
    </row>
    <row r="296" spans="1:6">
      <c r="A296">
        <v>2478</v>
      </c>
      <c r="B296" t="s">
        <v>866</v>
      </c>
      <c r="C296">
        <v>16.100000000000001</v>
      </c>
      <c r="D296">
        <f>VLOOKUP(A296,收盤價!A:C,3,0)</f>
        <v>19.899999999999999</v>
      </c>
      <c r="E296" s="87">
        <v>0.2360248447204967</v>
      </c>
      <c r="F296">
        <v>81.87</v>
      </c>
    </row>
    <row r="297" spans="1:6">
      <c r="A297">
        <v>4729</v>
      </c>
      <c r="B297" t="s">
        <v>353</v>
      </c>
      <c r="C297">
        <v>11.45</v>
      </c>
      <c r="D297">
        <f>VLOOKUP(A297,收盤價!A:C,3,0)</f>
        <v>14.15</v>
      </c>
      <c r="E297" s="87">
        <v>0.23580786026200884</v>
      </c>
      <c r="F297">
        <v>81.81</v>
      </c>
    </row>
    <row r="298" spans="1:6">
      <c r="A298">
        <v>1417</v>
      </c>
      <c r="B298" t="s">
        <v>556</v>
      </c>
      <c r="C298">
        <v>4.46</v>
      </c>
      <c r="D298">
        <f>VLOOKUP(A298,收盤價!A:C,3,0)</f>
        <v>5.51</v>
      </c>
      <c r="E298" s="87">
        <v>0.23542600896860982</v>
      </c>
      <c r="F298">
        <v>81.75</v>
      </c>
    </row>
    <row r="299" spans="1:6">
      <c r="A299">
        <v>5210</v>
      </c>
      <c r="B299" t="s">
        <v>368</v>
      </c>
      <c r="C299">
        <v>5.49</v>
      </c>
      <c r="D299">
        <f>VLOOKUP(A299,收盤價!A:C,3,0)</f>
        <v>6.78</v>
      </c>
      <c r="E299" s="87">
        <v>0.23497267759562843</v>
      </c>
      <c r="F299">
        <v>81.69</v>
      </c>
    </row>
    <row r="300" spans="1:6">
      <c r="A300">
        <v>6164</v>
      </c>
      <c r="B300" t="s">
        <v>1188</v>
      </c>
      <c r="C300">
        <v>10.050000000000001</v>
      </c>
      <c r="D300">
        <f>VLOOKUP(A300,收盤價!A:C,3,0)</f>
        <v>12.4</v>
      </c>
      <c r="E300" s="87">
        <v>0.23383084577114421</v>
      </c>
      <c r="F300">
        <v>81.63</v>
      </c>
    </row>
    <row r="301" spans="1:6">
      <c r="A301">
        <v>4755</v>
      </c>
      <c r="B301" t="s">
        <v>1132</v>
      </c>
      <c r="C301">
        <v>25</v>
      </c>
      <c r="D301">
        <f>VLOOKUP(A301,收盤價!A:C,3,0)</f>
        <v>30.8</v>
      </c>
      <c r="E301" s="87">
        <v>0.23200000000000004</v>
      </c>
      <c r="F301">
        <v>81.569999999999993</v>
      </c>
    </row>
    <row r="302" spans="1:6">
      <c r="A302">
        <v>8024</v>
      </c>
      <c r="B302" t="s">
        <v>459</v>
      </c>
      <c r="C302">
        <v>10.35</v>
      </c>
      <c r="D302">
        <f>VLOOKUP(A302,收盤價!A:C,3,0)</f>
        <v>12.75</v>
      </c>
      <c r="E302" s="87">
        <v>0.23188405797101452</v>
      </c>
      <c r="F302">
        <v>81.510000000000005</v>
      </c>
    </row>
    <row r="303" spans="1:6">
      <c r="A303">
        <v>5474</v>
      </c>
      <c r="B303" t="s">
        <v>1548</v>
      </c>
      <c r="C303">
        <v>57.5</v>
      </c>
      <c r="D303">
        <f>VLOOKUP(A303,收盤價!A:C,3,0)</f>
        <v>70.8</v>
      </c>
      <c r="E303" s="87">
        <v>0.23130434782608691</v>
      </c>
      <c r="F303">
        <v>81.45</v>
      </c>
    </row>
    <row r="304" spans="1:6">
      <c r="A304">
        <v>5317</v>
      </c>
      <c r="B304" t="s">
        <v>382</v>
      </c>
      <c r="C304">
        <v>14.7</v>
      </c>
      <c r="D304">
        <f>VLOOKUP(A304,收盤價!A:C,3,0)</f>
        <v>18.05</v>
      </c>
      <c r="E304" s="87">
        <v>0.22789115646258515</v>
      </c>
      <c r="F304">
        <v>81.38</v>
      </c>
    </row>
    <row r="305" spans="1:6">
      <c r="A305">
        <v>1519</v>
      </c>
      <c r="B305" t="s">
        <v>610</v>
      </c>
      <c r="C305">
        <v>14.7</v>
      </c>
      <c r="D305">
        <f>VLOOKUP(A305,收盤價!A:C,3,0)</f>
        <v>18.05</v>
      </c>
      <c r="E305" s="87">
        <v>0.22789115646258515</v>
      </c>
      <c r="F305">
        <v>81.319999999999993</v>
      </c>
    </row>
    <row r="306" spans="1:6">
      <c r="A306">
        <v>1104</v>
      </c>
      <c r="B306" t="s">
        <v>507</v>
      </c>
      <c r="C306">
        <v>20</v>
      </c>
      <c r="D306">
        <f>VLOOKUP(A306,收盤價!A:C,3,0)</f>
        <v>24.55</v>
      </c>
      <c r="E306" s="87">
        <v>0.22750000000000004</v>
      </c>
      <c r="F306">
        <v>81.260000000000005</v>
      </c>
    </row>
    <row r="307" spans="1:6">
      <c r="A307">
        <v>1714</v>
      </c>
      <c r="B307" t="s">
        <v>658</v>
      </c>
      <c r="C307">
        <v>6.52</v>
      </c>
      <c r="D307">
        <f>VLOOKUP(A307,收盤價!A:C,3,0)</f>
        <v>8</v>
      </c>
      <c r="E307" s="87">
        <v>0.22699386503067492</v>
      </c>
      <c r="F307">
        <v>81.2</v>
      </c>
    </row>
    <row r="308" spans="1:6">
      <c r="A308">
        <v>2031</v>
      </c>
      <c r="B308" t="s">
        <v>717</v>
      </c>
      <c r="C308">
        <v>14.1</v>
      </c>
      <c r="D308">
        <f>VLOOKUP(A308,收盤價!A:C,3,0)</f>
        <v>17.3</v>
      </c>
      <c r="E308" s="87">
        <v>0.22695035460992916</v>
      </c>
      <c r="F308">
        <v>81.14</v>
      </c>
    </row>
    <row r="309" spans="1:6">
      <c r="A309">
        <v>9921</v>
      </c>
      <c r="B309" t="s">
        <v>1288</v>
      </c>
      <c r="C309">
        <v>181</v>
      </c>
      <c r="D309">
        <f>VLOOKUP(A309,收盤價!A:C,3,0)</f>
        <v>222</v>
      </c>
      <c r="E309" s="87">
        <v>0.22651933701657459</v>
      </c>
      <c r="F309">
        <v>81.08</v>
      </c>
    </row>
    <row r="310" spans="1:6">
      <c r="A310">
        <v>6115</v>
      </c>
      <c r="B310" t="s">
        <v>1174</v>
      </c>
      <c r="C310">
        <v>36.700000000000003</v>
      </c>
      <c r="D310">
        <f>VLOOKUP(A310,收盤價!A:C,3,0)</f>
        <v>45</v>
      </c>
      <c r="E310" s="87">
        <v>0.22615803814713886</v>
      </c>
      <c r="F310">
        <v>81.02</v>
      </c>
    </row>
    <row r="311" spans="1:6">
      <c r="A311">
        <v>2344</v>
      </c>
      <c r="B311" t="s">
        <v>767</v>
      </c>
      <c r="C311">
        <v>8.32</v>
      </c>
      <c r="D311">
        <f>VLOOKUP(A311,收盤價!A:C,3,0)</f>
        <v>10.199999999999999</v>
      </c>
      <c r="E311" s="87">
        <v>0.22596153846153832</v>
      </c>
      <c r="F311">
        <v>80.959999999999994</v>
      </c>
    </row>
    <row r="312" spans="1:6">
      <c r="A312">
        <v>2356</v>
      </c>
      <c r="B312" t="s">
        <v>777</v>
      </c>
      <c r="C312">
        <v>20.3</v>
      </c>
      <c r="D312">
        <f>VLOOKUP(A312,收盤價!A:C,3,0)</f>
        <v>24.85</v>
      </c>
      <c r="E312" s="87">
        <v>0.22413793103448279</v>
      </c>
      <c r="F312">
        <v>80.89</v>
      </c>
    </row>
    <row r="313" spans="1:6">
      <c r="A313">
        <v>3062</v>
      </c>
      <c r="B313" t="s">
        <v>1035</v>
      </c>
      <c r="C313">
        <v>16.100000000000001</v>
      </c>
      <c r="D313">
        <f>VLOOKUP(A313,收盤價!A:C,3,0)</f>
        <v>19.7</v>
      </c>
      <c r="E313" s="87">
        <v>0.22360248447204953</v>
      </c>
      <c r="F313">
        <v>80.83</v>
      </c>
    </row>
    <row r="314" spans="1:6">
      <c r="A314">
        <v>3059</v>
      </c>
      <c r="B314" t="s">
        <v>1033</v>
      </c>
      <c r="C314">
        <v>19.2</v>
      </c>
      <c r="D314">
        <f>VLOOKUP(A314,收盤價!A:C,3,0)</f>
        <v>23.45</v>
      </c>
      <c r="E314" s="87">
        <v>0.22135416666666669</v>
      </c>
      <c r="F314">
        <v>80.77</v>
      </c>
    </row>
    <row r="315" spans="1:6">
      <c r="A315">
        <v>3675</v>
      </c>
      <c r="B315" t="s">
        <v>1427</v>
      </c>
      <c r="C315">
        <v>22.9</v>
      </c>
      <c r="D315">
        <f>VLOOKUP(A315,收盤價!A:C,3,0)</f>
        <v>27.95</v>
      </c>
      <c r="E315" s="87">
        <v>0.22052401746724895</v>
      </c>
      <c r="F315">
        <v>80.709999999999994</v>
      </c>
    </row>
    <row r="316" spans="1:6">
      <c r="A316">
        <v>8427</v>
      </c>
      <c r="B316" t="s">
        <v>2082</v>
      </c>
      <c r="C316">
        <v>57</v>
      </c>
      <c r="D316">
        <f>VLOOKUP(A316,收盤價!A:C,3,0)</f>
        <v>69.5</v>
      </c>
      <c r="E316" s="87">
        <v>0.21929824561403508</v>
      </c>
      <c r="F316">
        <v>80.650000000000006</v>
      </c>
    </row>
    <row r="317" spans="1:6">
      <c r="A317">
        <v>5439</v>
      </c>
      <c r="B317" t="s">
        <v>393</v>
      </c>
      <c r="C317">
        <v>23.05</v>
      </c>
      <c r="D317">
        <f>VLOOKUP(A317,收盤價!A:C,3,0)</f>
        <v>28.1</v>
      </c>
      <c r="E317" s="87">
        <v>0.21908893709327551</v>
      </c>
      <c r="F317">
        <v>80.59</v>
      </c>
    </row>
    <row r="318" spans="1:6">
      <c r="A318">
        <v>2442</v>
      </c>
      <c r="B318" t="s">
        <v>840</v>
      </c>
      <c r="C318">
        <v>5.42</v>
      </c>
      <c r="D318">
        <f>VLOOKUP(A318,收盤價!A:C,3,0)</f>
        <v>6.6</v>
      </c>
      <c r="E318" s="87">
        <v>0.21771217712177116</v>
      </c>
      <c r="F318">
        <v>80.53</v>
      </c>
    </row>
    <row r="319" spans="1:6">
      <c r="A319">
        <v>1324</v>
      </c>
      <c r="B319" t="s">
        <v>546</v>
      </c>
      <c r="C319">
        <v>10.85</v>
      </c>
      <c r="D319">
        <f>VLOOKUP(A319,收盤價!A:C,3,0)</f>
        <v>13.2</v>
      </c>
      <c r="E319" s="87">
        <v>0.21658986175115205</v>
      </c>
      <c r="F319">
        <v>80.47</v>
      </c>
    </row>
    <row r="320" spans="1:6">
      <c r="A320">
        <v>1529</v>
      </c>
      <c r="B320" t="s">
        <v>618</v>
      </c>
      <c r="C320">
        <v>2.91</v>
      </c>
      <c r="D320">
        <f>VLOOKUP(A320,收盤價!A:C,3,0)</f>
        <v>3.54</v>
      </c>
      <c r="E320" s="87">
        <v>0.21649484536082469</v>
      </c>
      <c r="F320">
        <v>80.400000000000006</v>
      </c>
    </row>
    <row r="321" spans="1:6">
      <c r="A321">
        <v>3019</v>
      </c>
      <c r="B321" t="s">
        <v>996</v>
      </c>
      <c r="C321">
        <v>24.5</v>
      </c>
      <c r="D321">
        <f>VLOOKUP(A321,收盤價!A:C,3,0)</f>
        <v>29.8</v>
      </c>
      <c r="E321" s="87">
        <v>0.21632653061224494</v>
      </c>
      <c r="F321">
        <v>80.34</v>
      </c>
    </row>
    <row r="322" spans="1:6">
      <c r="A322">
        <v>3232</v>
      </c>
      <c r="B322" t="s">
        <v>265</v>
      </c>
      <c r="C322">
        <v>16.45</v>
      </c>
      <c r="D322">
        <f>VLOOKUP(A322,收盤價!A:C,3,0)</f>
        <v>20</v>
      </c>
      <c r="E322" s="87">
        <v>0.21580547112462012</v>
      </c>
      <c r="F322">
        <v>80.28</v>
      </c>
    </row>
    <row r="323" spans="1:6">
      <c r="A323">
        <v>1597</v>
      </c>
      <c r="B323" t="s">
        <v>230</v>
      </c>
      <c r="C323">
        <v>26.2</v>
      </c>
      <c r="D323">
        <f>VLOOKUP(A323,收盤價!A:C,3,0)</f>
        <v>31.85</v>
      </c>
      <c r="E323" s="87">
        <v>0.21564885496183214</v>
      </c>
      <c r="F323">
        <v>80.22</v>
      </c>
    </row>
    <row r="324" spans="1:6">
      <c r="A324">
        <v>8261</v>
      </c>
      <c r="B324" t="s">
        <v>1264</v>
      </c>
      <c r="C324">
        <v>20.65</v>
      </c>
      <c r="D324">
        <f>VLOOKUP(A324,收盤價!A:C,3,0)</f>
        <v>25.1</v>
      </c>
      <c r="E324" s="87">
        <v>0.21549636803874106</v>
      </c>
      <c r="F324">
        <v>80.16</v>
      </c>
    </row>
    <row r="325" spans="1:6">
      <c r="A325">
        <v>2417</v>
      </c>
      <c r="B325" t="s">
        <v>819</v>
      </c>
      <c r="C325">
        <v>8.2799999999999994</v>
      </c>
      <c r="D325">
        <f>VLOOKUP(A325,收盤價!A:C,3,0)</f>
        <v>10.050000000000001</v>
      </c>
      <c r="E325" s="87">
        <v>0.21376811594202916</v>
      </c>
      <c r="F325">
        <v>80.099999999999994</v>
      </c>
    </row>
    <row r="326" spans="1:6">
      <c r="A326">
        <v>1611</v>
      </c>
      <c r="B326" t="s">
        <v>640</v>
      </c>
      <c r="C326">
        <v>7.12</v>
      </c>
      <c r="D326">
        <f>VLOOKUP(A326,收盤價!A:C,3,0)</f>
        <v>8.64</v>
      </c>
      <c r="E326" s="87">
        <v>0.21348314606741578</v>
      </c>
      <c r="F326">
        <v>80.040000000000006</v>
      </c>
    </row>
    <row r="327" spans="1:6">
      <c r="A327">
        <v>5324</v>
      </c>
      <c r="B327" t="s">
        <v>383</v>
      </c>
      <c r="C327">
        <v>9.48</v>
      </c>
      <c r="D327">
        <f>VLOOKUP(A327,收盤價!A:C,3,0)</f>
        <v>11.5</v>
      </c>
      <c r="E327" s="87">
        <v>0.21308016877637126</v>
      </c>
      <c r="F327">
        <v>79.98</v>
      </c>
    </row>
    <row r="328" spans="1:6">
      <c r="A328">
        <v>5278</v>
      </c>
      <c r="B328" t="s">
        <v>375</v>
      </c>
      <c r="C328">
        <v>23.35</v>
      </c>
      <c r="D328">
        <f>VLOOKUP(A328,收盤價!A:C,3,0)</f>
        <v>28.3</v>
      </c>
      <c r="E328" s="87">
        <v>0.21199143468950746</v>
      </c>
      <c r="F328">
        <v>79.91</v>
      </c>
    </row>
    <row r="329" spans="1:6">
      <c r="A329">
        <v>3645</v>
      </c>
      <c r="B329" t="s">
        <v>1098</v>
      </c>
      <c r="C329">
        <v>26</v>
      </c>
      <c r="D329">
        <f>VLOOKUP(A329,收盤價!A:C,3,0)</f>
        <v>31.5</v>
      </c>
      <c r="E329" s="87">
        <v>0.21153846153846154</v>
      </c>
      <c r="F329">
        <v>79.849999999999994</v>
      </c>
    </row>
    <row r="330" spans="1:6">
      <c r="A330">
        <v>2022</v>
      </c>
      <c r="B330" t="s">
        <v>709</v>
      </c>
      <c r="C330">
        <v>3.55</v>
      </c>
      <c r="D330">
        <f>VLOOKUP(A330,收盤價!A:C,3,0)</f>
        <v>4.3</v>
      </c>
      <c r="E330" s="87">
        <v>0.21126760563380284</v>
      </c>
      <c r="F330">
        <v>79.790000000000006</v>
      </c>
    </row>
    <row r="331" spans="1:6">
      <c r="A331">
        <v>2461</v>
      </c>
      <c r="B331" t="s">
        <v>854</v>
      </c>
      <c r="C331">
        <v>13.8</v>
      </c>
      <c r="D331">
        <f>VLOOKUP(A331,收盤價!A:C,3,0)</f>
        <v>16.7</v>
      </c>
      <c r="E331" s="87">
        <v>0.21014492753623176</v>
      </c>
      <c r="F331">
        <v>79.73</v>
      </c>
    </row>
    <row r="332" spans="1:6">
      <c r="A332">
        <v>2430</v>
      </c>
      <c r="B332" t="s">
        <v>830</v>
      </c>
      <c r="C332">
        <v>24.05</v>
      </c>
      <c r="D332">
        <f>VLOOKUP(A332,收盤價!A:C,3,0)</f>
        <v>29.1</v>
      </c>
      <c r="E332" s="87">
        <v>0.20997920997920999</v>
      </c>
      <c r="F332">
        <v>79.67</v>
      </c>
    </row>
    <row r="333" spans="1:6">
      <c r="A333" t="s">
        <v>1891</v>
      </c>
      <c r="B333" t="s">
        <v>2275</v>
      </c>
      <c r="C333">
        <v>19.36</v>
      </c>
      <c r="D333">
        <f>VLOOKUP(A333,收盤價!A:C,3,0)</f>
        <v>23.4</v>
      </c>
      <c r="E333" s="87">
        <v>0.20867768595041319</v>
      </c>
      <c r="F333">
        <v>79.61</v>
      </c>
    </row>
    <row r="334" spans="1:6">
      <c r="A334">
        <v>8011</v>
      </c>
      <c r="B334" t="s">
        <v>1240</v>
      </c>
      <c r="C334">
        <v>15.05</v>
      </c>
      <c r="D334">
        <f>VLOOKUP(A334,收盤價!A:C,3,0)</f>
        <v>18.149999999999999</v>
      </c>
      <c r="E334" s="87">
        <v>0.20598006644518257</v>
      </c>
      <c r="F334">
        <v>79.55</v>
      </c>
    </row>
    <row r="335" spans="1:6">
      <c r="A335">
        <v>5488</v>
      </c>
      <c r="B335" t="s">
        <v>1553</v>
      </c>
      <c r="C335">
        <v>5.54</v>
      </c>
      <c r="D335">
        <f>VLOOKUP(A335,收盤價!A:C,3,0)</f>
        <v>6.68</v>
      </c>
      <c r="E335" s="87">
        <v>0.20577617328519851</v>
      </c>
      <c r="F335">
        <v>79.489999999999995</v>
      </c>
    </row>
    <row r="336" spans="1:6">
      <c r="A336">
        <v>6505</v>
      </c>
      <c r="B336" t="s">
        <v>1237</v>
      </c>
      <c r="C336">
        <v>85.5</v>
      </c>
      <c r="D336">
        <f>VLOOKUP(A336,收盤價!A:C,3,0)</f>
        <v>103</v>
      </c>
      <c r="E336" s="87">
        <v>0.2046783625730994</v>
      </c>
      <c r="F336">
        <v>79.42</v>
      </c>
    </row>
    <row r="337" spans="1:6">
      <c r="A337">
        <v>2535</v>
      </c>
      <c r="B337" t="s">
        <v>899</v>
      </c>
      <c r="C337">
        <v>15.9</v>
      </c>
      <c r="D337">
        <f>VLOOKUP(A337,收盤價!A:C,3,0)</f>
        <v>19.149999999999999</v>
      </c>
      <c r="E337" s="87">
        <v>0.20440251572327031</v>
      </c>
      <c r="F337">
        <v>79.36</v>
      </c>
    </row>
    <row r="338" spans="1:6">
      <c r="A338">
        <v>6251</v>
      </c>
      <c r="B338" t="s">
        <v>1218</v>
      </c>
      <c r="C338">
        <v>8.2200000000000006</v>
      </c>
      <c r="D338">
        <f>VLOOKUP(A338,收盤價!A:C,3,0)</f>
        <v>9.9</v>
      </c>
      <c r="E338" s="87">
        <v>0.20437956204379557</v>
      </c>
      <c r="F338">
        <v>79.3</v>
      </c>
    </row>
    <row r="339" spans="1:6">
      <c r="A339">
        <v>6287</v>
      </c>
      <c r="B339" t="s">
        <v>1634</v>
      </c>
      <c r="C339">
        <v>2.4500000000000002</v>
      </c>
      <c r="D339">
        <f>VLOOKUP(A339,收盤價!A:C,3,0)</f>
        <v>2.95</v>
      </c>
      <c r="E339" s="87">
        <v>0.2040816326530612</v>
      </c>
      <c r="F339">
        <v>79.239999999999995</v>
      </c>
    </row>
    <row r="340" spans="1:6">
      <c r="A340">
        <v>1528</v>
      </c>
      <c r="B340" t="s">
        <v>617</v>
      </c>
      <c r="C340">
        <v>9.2200000000000006</v>
      </c>
      <c r="D340">
        <f>VLOOKUP(A340,收盤價!A:C,3,0)</f>
        <v>11.1</v>
      </c>
      <c r="E340" s="87">
        <v>0.2039045553145335</v>
      </c>
      <c r="F340">
        <v>79.180000000000007</v>
      </c>
    </row>
    <row r="341" spans="1:6">
      <c r="A341">
        <v>2345</v>
      </c>
      <c r="B341" t="s">
        <v>768</v>
      </c>
      <c r="C341">
        <v>39</v>
      </c>
      <c r="D341">
        <f>VLOOKUP(A341,收盤價!A:C,3,0)</f>
        <v>46.95</v>
      </c>
      <c r="E341" s="87">
        <v>0.20384615384615393</v>
      </c>
      <c r="F341">
        <v>79.12</v>
      </c>
    </row>
    <row r="342" spans="1:6">
      <c r="A342">
        <v>1527</v>
      </c>
      <c r="B342" t="s">
        <v>616</v>
      </c>
      <c r="C342">
        <v>69.900000000000006</v>
      </c>
      <c r="D342">
        <f>VLOOKUP(A342,收盤價!A:C,3,0)</f>
        <v>84</v>
      </c>
      <c r="E342" s="87">
        <v>0.20171673819742481</v>
      </c>
      <c r="F342">
        <v>79.06</v>
      </c>
    </row>
    <row r="343" spans="1:6">
      <c r="A343">
        <v>3537</v>
      </c>
      <c r="B343" t="s">
        <v>302</v>
      </c>
      <c r="C343">
        <v>18.149999999999999</v>
      </c>
      <c r="D343">
        <f>VLOOKUP(A343,收盤價!A:C,3,0)</f>
        <v>21.8</v>
      </c>
      <c r="E343" s="87">
        <v>0.20110192837465579</v>
      </c>
      <c r="F343">
        <v>79</v>
      </c>
    </row>
    <row r="344" spans="1:6">
      <c r="A344">
        <v>5480</v>
      </c>
      <c r="B344" t="s">
        <v>1550</v>
      </c>
      <c r="C344">
        <v>9.9499999999999993</v>
      </c>
      <c r="D344">
        <f>VLOOKUP(A344,收盤價!A:C,3,0)</f>
        <v>11.95</v>
      </c>
      <c r="E344" s="87">
        <v>0.20100502512562815</v>
      </c>
      <c r="F344">
        <v>78.930000000000007</v>
      </c>
    </row>
    <row r="345" spans="1:6">
      <c r="A345">
        <v>1256</v>
      </c>
      <c r="B345" t="s">
        <v>2030</v>
      </c>
      <c r="C345">
        <v>112</v>
      </c>
      <c r="D345">
        <f>VLOOKUP(A345,收盤價!A:C,3,0)</f>
        <v>134.5</v>
      </c>
      <c r="E345" s="87">
        <v>0.20089285714285715</v>
      </c>
      <c r="F345">
        <v>78.87</v>
      </c>
    </row>
    <row r="346" spans="1:6">
      <c r="A346">
        <v>2327</v>
      </c>
      <c r="B346" t="s">
        <v>757</v>
      </c>
      <c r="C346">
        <v>53.5</v>
      </c>
      <c r="D346">
        <f>VLOOKUP(A346,收盤價!A:C,3,0)</f>
        <v>64.099999999999994</v>
      </c>
      <c r="E346" s="87">
        <v>0.19813084112149523</v>
      </c>
      <c r="F346">
        <v>78.81</v>
      </c>
    </row>
    <row r="347" spans="1:6">
      <c r="A347">
        <v>1526</v>
      </c>
      <c r="B347" t="s">
        <v>615</v>
      </c>
      <c r="C347">
        <v>11.9</v>
      </c>
      <c r="D347">
        <f>VLOOKUP(A347,收盤價!A:C,3,0)</f>
        <v>14.25</v>
      </c>
      <c r="E347" s="87">
        <v>0.19747899159663862</v>
      </c>
      <c r="F347">
        <v>78.75</v>
      </c>
    </row>
    <row r="348" spans="1:6">
      <c r="A348">
        <v>3481</v>
      </c>
      <c r="B348" t="s">
        <v>1069</v>
      </c>
      <c r="C348">
        <v>9.19</v>
      </c>
      <c r="D348">
        <f>VLOOKUP(A348,收盤價!A:C,3,0)</f>
        <v>11</v>
      </c>
      <c r="E348" s="87">
        <v>0.19695321001088145</v>
      </c>
      <c r="F348">
        <v>78.69</v>
      </c>
    </row>
    <row r="349" spans="1:6">
      <c r="A349">
        <v>1584</v>
      </c>
      <c r="B349" t="s">
        <v>1315</v>
      </c>
      <c r="C349">
        <v>12</v>
      </c>
      <c r="D349">
        <f>VLOOKUP(A349,收盤價!A:C,3,0)</f>
        <v>14.35</v>
      </c>
      <c r="E349" s="87">
        <v>0.1958333333333333</v>
      </c>
      <c r="F349">
        <v>78.63</v>
      </c>
    </row>
    <row r="350" spans="1:6">
      <c r="A350">
        <v>2360</v>
      </c>
      <c r="B350" t="s">
        <v>781</v>
      </c>
      <c r="C350">
        <v>72.2</v>
      </c>
      <c r="D350">
        <f>VLOOKUP(A350,收盤價!A:C,3,0)</f>
        <v>86.3</v>
      </c>
      <c r="E350" s="87">
        <v>0.19529085872576168</v>
      </c>
      <c r="F350">
        <v>78.569999999999993</v>
      </c>
    </row>
    <row r="351" spans="1:6">
      <c r="A351">
        <v>1512</v>
      </c>
      <c r="B351" t="s">
        <v>604</v>
      </c>
      <c r="C351">
        <v>4.0999999999999996</v>
      </c>
      <c r="D351">
        <f>VLOOKUP(A351,收盤價!A:C,3,0)</f>
        <v>4.9000000000000004</v>
      </c>
      <c r="E351" s="87">
        <v>0.1951219512195124</v>
      </c>
      <c r="F351">
        <v>78.510000000000005</v>
      </c>
    </row>
    <row r="352" spans="1:6">
      <c r="A352">
        <v>3484</v>
      </c>
      <c r="B352" t="s">
        <v>293</v>
      </c>
      <c r="C352">
        <v>34.65</v>
      </c>
      <c r="D352">
        <f>VLOOKUP(A352,收盤價!A:C,3,0)</f>
        <v>41.4</v>
      </c>
      <c r="E352" s="87">
        <v>0.19480519480519481</v>
      </c>
      <c r="F352">
        <v>78.44</v>
      </c>
    </row>
    <row r="353" spans="1:6">
      <c r="A353">
        <v>2387</v>
      </c>
      <c r="B353" t="s">
        <v>800</v>
      </c>
      <c r="C353">
        <v>14.9</v>
      </c>
      <c r="D353">
        <f>VLOOKUP(A353,收盤價!A:C,3,0)</f>
        <v>17.8</v>
      </c>
      <c r="E353" s="87">
        <v>0.1946308724832215</v>
      </c>
      <c r="F353">
        <v>78.38</v>
      </c>
    </row>
    <row r="354" spans="1:6">
      <c r="A354">
        <v>4716</v>
      </c>
      <c r="B354" t="s">
        <v>1485</v>
      </c>
      <c r="C354">
        <v>9.3800000000000008</v>
      </c>
      <c r="D354">
        <f>VLOOKUP(A354,收盤價!A:C,3,0)</f>
        <v>11.2</v>
      </c>
      <c r="E354" s="87">
        <v>0.1940298507462685</v>
      </c>
      <c r="F354">
        <v>78.319999999999993</v>
      </c>
    </row>
    <row r="355" spans="1:6">
      <c r="A355">
        <v>2382</v>
      </c>
      <c r="B355" t="s">
        <v>797</v>
      </c>
      <c r="C355">
        <v>54.7</v>
      </c>
      <c r="D355">
        <f>VLOOKUP(A355,收盤價!A:C,3,0)</f>
        <v>65.3</v>
      </c>
      <c r="E355" s="87">
        <v>0.19378427787934174</v>
      </c>
      <c r="F355">
        <v>78.260000000000005</v>
      </c>
    </row>
    <row r="356" spans="1:6">
      <c r="A356">
        <v>2465</v>
      </c>
      <c r="B356" t="s">
        <v>857</v>
      </c>
      <c r="C356">
        <v>7.97</v>
      </c>
      <c r="D356">
        <f>VLOOKUP(A356,收盤價!A:C,3,0)</f>
        <v>9.51</v>
      </c>
      <c r="E356" s="87">
        <v>0.19322459222082811</v>
      </c>
      <c r="F356">
        <v>78.2</v>
      </c>
    </row>
    <row r="357" spans="1:6">
      <c r="A357">
        <v>4974</v>
      </c>
      <c r="B357" t="s">
        <v>361</v>
      </c>
      <c r="C357">
        <v>27.5</v>
      </c>
      <c r="D357">
        <f>VLOOKUP(A357,收盤價!A:C,3,0)</f>
        <v>32.799999999999997</v>
      </c>
      <c r="E357" s="87">
        <v>0.19272727272727264</v>
      </c>
      <c r="F357">
        <v>78.14</v>
      </c>
    </row>
    <row r="358" spans="1:6">
      <c r="A358">
        <v>8437</v>
      </c>
      <c r="B358" t="s">
        <v>1702</v>
      </c>
      <c r="C358">
        <v>158.5</v>
      </c>
      <c r="D358">
        <f>VLOOKUP(A358,收盤價!A:C,3,0)</f>
        <v>189</v>
      </c>
      <c r="E358" s="87">
        <v>0.19242902208201892</v>
      </c>
      <c r="F358">
        <v>78.08</v>
      </c>
    </row>
    <row r="359" spans="1:6">
      <c r="A359">
        <v>4933</v>
      </c>
      <c r="B359" t="s">
        <v>357</v>
      </c>
      <c r="C359">
        <v>20.3</v>
      </c>
      <c r="D359">
        <f>VLOOKUP(A359,收盤價!A:C,3,0)</f>
        <v>24.2</v>
      </c>
      <c r="E359" s="87">
        <v>0.19211822660098515</v>
      </c>
      <c r="F359">
        <v>78.02</v>
      </c>
    </row>
    <row r="360" spans="1:6">
      <c r="A360">
        <v>6245</v>
      </c>
      <c r="B360" t="s">
        <v>1626</v>
      </c>
      <c r="C360">
        <v>37.700000000000003</v>
      </c>
      <c r="D360">
        <f>VLOOKUP(A360,收盤價!A:C,3,0)</f>
        <v>44.9</v>
      </c>
      <c r="E360" s="87">
        <v>0.19098143236074258</v>
      </c>
      <c r="F360">
        <v>77.95</v>
      </c>
    </row>
    <row r="361" spans="1:6">
      <c r="A361">
        <v>3380</v>
      </c>
      <c r="B361" t="s">
        <v>1057</v>
      </c>
      <c r="C361">
        <v>15.8</v>
      </c>
      <c r="D361">
        <f>VLOOKUP(A361,收盤價!A:C,3,0)</f>
        <v>18.8</v>
      </c>
      <c r="E361" s="87">
        <v>0.18987341772151897</v>
      </c>
      <c r="F361">
        <v>77.89</v>
      </c>
    </row>
    <row r="362" spans="1:6">
      <c r="A362">
        <v>2462</v>
      </c>
      <c r="B362" t="s">
        <v>855</v>
      </c>
      <c r="C362">
        <v>16.899999999999999</v>
      </c>
      <c r="D362">
        <f>VLOOKUP(A362,收盤價!A:C,3,0)</f>
        <v>20.100000000000001</v>
      </c>
      <c r="E362" s="87">
        <v>0.18934911242603569</v>
      </c>
      <c r="F362">
        <v>77.83</v>
      </c>
    </row>
    <row r="363" spans="1:6">
      <c r="A363">
        <v>4947</v>
      </c>
      <c r="B363" t="s">
        <v>1499</v>
      </c>
      <c r="C363">
        <v>172</v>
      </c>
      <c r="D363">
        <f>VLOOKUP(A363,收盤價!A:C,3,0)</f>
        <v>204.5</v>
      </c>
      <c r="E363" s="87">
        <v>0.18895348837209303</v>
      </c>
      <c r="F363">
        <v>77.77</v>
      </c>
    </row>
    <row r="364" spans="1:6">
      <c r="A364">
        <v>6285</v>
      </c>
      <c r="B364" t="s">
        <v>1227</v>
      </c>
      <c r="C364">
        <v>75.2</v>
      </c>
      <c r="D364">
        <f>VLOOKUP(A364,收盤價!A:C,3,0)</f>
        <v>89.4</v>
      </c>
      <c r="E364" s="87">
        <v>0.18882978723404259</v>
      </c>
      <c r="F364">
        <v>77.709999999999994</v>
      </c>
    </row>
    <row r="365" spans="1:6">
      <c r="A365">
        <v>1474</v>
      </c>
      <c r="B365" t="s">
        <v>596</v>
      </c>
      <c r="C365">
        <v>10.6</v>
      </c>
      <c r="D365">
        <f>VLOOKUP(A365,收盤價!A:C,3,0)</f>
        <v>12.6</v>
      </c>
      <c r="E365" s="87">
        <v>0.18867924528301888</v>
      </c>
      <c r="F365">
        <v>77.650000000000006</v>
      </c>
    </row>
    <row r="366" spans="1:6">
      <c r="A366">
        <v>4157</v>
      </c>
      <c r="B366" t="s">
        <v>1449</v>
      </c>
      <c r="C366">
        <v>25.25</v>
      </c>
      <c r="D366">
        <f>VLOOKUP(A366,收盤價!A:C,3,0)</f>
        <v>30</v>
      </c>
      <c r="E366" s="87">
        <v>0.18811881188118812</v>
      </c>
      <c r="F366">
        <v>77.59</v>
      </c>
    </row>
    <row r="367" spans="1:6">
      <c r="A367">
        <v>3089</v>
      </c>
      <c r="B367" t="s">
        <v>249</v>
      </c>
      <c r="C367">
        <v>8</v>
      </c>
      <c r="D367">
        <f>VLOOKUP(A367,收盤價!A:C,3,0)</f>
        <v>9.5</v>
      </c>
      <c r="E367" s="87">
        <v>0.1875</v>
      </c>
      <c r="F367">
        <v>77.53</v>
      </c>
    </row>
    <row r="368" spans="1:6">
      <c r="A368">
        <v>3406</v>
      </c>
      <c r="B368" t="s">
        <v>1059</v>
      </c>
      <c r="C368">
        <v>43.25</v>
      </c>
      <c r="D368">
        <f>VLOOKUP(A368,收盤價!A:C,3,0)</f>
        <v>51.3</v>
      </c>
      <c r="E368" s="87">
        <v>0.18612716763005774</v>
      </c>
      <c r="F368">
        <v>77.459999999999994</v>
      </c>
    </row>
    <row r="369" spans="1:6">
      <c r="A369">
        <v>2308</v>
      </c>
      <c r="B369" t="s">
        <v>746</v>
      </c>
      <c r="C369">
        <v>140</v>
      </c>
      <c r="D369">
        <f>VLOOKUP(A369,收盤價!A:C,3,0)</f>
        <v>166</v>
      </c>
      <c r="E369" s="87">
        <v>0.18571428571428572</v>
      </c>
      <c r="F369">
        <v>77.400000000000006</v>
      </c>
    </row>
    <row r="370" spans="1:6">
      <c r="A370">
        <v>2376</v>
      </c>
      <c r="B370" t="s">
        <v>793</v>
      </c>
      <c r="C370">
        <v>34.9</v>
      </c>
      <c r="D370">
        <f>VLOOKUP(A370,收盤價!A:C,3,0)</f>
        <v>41.35</v>
      </c>
      <c r="E370" s="87">
        <v>0.18481375358166199</v>
      </c>
      <c r="F370">
        <v>77.34</v>
      </c>
    </row>
    <row r="371" spans="1:6">
      <c r="A371">
        <v>3383</v>
      </c>
      <c r="B371" t="s">
        <v>1058</v>
      </c>
      <c r="C371">
        <v>4.01</v>
      </c>
      <c r="D371">
        <f>VLOOKUP(A371,收盤價!A:C,3,0)</f>
        <v>4.75</v>
      </c>
      <c r="E371" s="87">
        <v>0.18453865336658359</v>
      </c>
      <c r="F371">
        <v>77.28</v>
      </c>
    </row>
    <row r="372" spans="1:6">
      <c r="A372">
        <v>5371</v>
      </c>
      <c r="B372" t="s">
        <v>388</v>
      </c>
      <c r="C372">
        <v>27.75</v>
      </c>
      <c r="D372">
        <f>VLOOKUP(A372,收盤價!A:C,3,0)</f>
        <v>32.85</v>
      </c>
      <c r="E372" s="87">
        <v>0.18378378378378382</v>
      </c>
      <c r="F372">
        <v>77.22</v>
      </c>
    </row>
    <row r="373" spans="1:6">
      <c r="A373">
        <v>4105</v>
      </c>
      <c r="B373" t="s">
        <v>1435</v>
      </c>
      <c r="C373">
        <v>106.5</v>
      </c>
      <c r="D373">
        <f>VLOOKUP(A373,收盤價!A:C,3,0)</f>
        <v>126</v>
      </c>
      <c r="E373" s="87">
        <v>0.18309859154929578</v>
      </c>
      <c r="F373">
        <v>77.16</v>
      </c>
    </row>
    <row r="374" spans="1:6">
      <c r="A374">
        <v>1437</v>
      </c>
      <c r="B374" t="s">
        <v>564</v>
      </c>
      <c r="C374">
        <v>12.9</v>
      </c>
      <c r="D374">
        <f>VLOOKUP(A374,收盤價!A:C,3,0)</f>
        <v>15.25</v>
      </c>
      <c r="E374" s="87">
        <v>0.18217054263565888</v>
      </c>
      <c r="F374">
        <v>77.099999999999994</v>
      </c>
    </row>
    <row r="375" spans="1:6">
      <c r="A375">
        <v>4743</v>
      </c>
      <c r="B375" t="s">
        <v>1489</v>
      </c>
      <c r="C375">
        <v>27.8</v>
      </c>
      <c r="D375">
        <f>VLOOKUP(A375,收盤價!A:C,3,0)</f>
        <v>32.85</v>
      </c>
      <c r="E375" s="87">
        <v>0.18165467625899281</v>
      </c>
      <c r="F375">
        <v>77.040000000000006</v>
      </c>
    </row>
    <row r="376" spans="1:6">
      <c r="A376">
        <v>2454</v>
      </c>
      <c r="B376" t="s">
        <v>847</v>
      </c>
      <c r="C376">
        <v>201.5</v>
      </c>
      <c r="D376">
        <f>VLOOKUP(A376,收盤價!A:C,3,0)</f>
        <v>238</v>
      </c>
      <c r="E376" s="87">
        <v>0.18114143920595532</v>
      </c>
      <c r="F376">
        <v>76.97</v>
      </c>
    </row>
    <row r="377" spans="1:6">
      <c r="A377">
        <v>8201</v>
      </c>
      <c r="B377" t="s">
        <v>1258</v>
      </c>
      <c r="C377">
        <v>7.64</v>
      </c>
      <c r="D377">
        <f>VLOOKUP(A377,收盤價!A:C,3,0)</f>
        <v>9.01</v>
      </c>
      <c r="E377" s="87">
        <v>0.1793193717277487</v>
      </c>
      <c r="F377">
        <v>76.91</v>
      </c>
    </row>
    <row r="378" spans="1:6">
      <c r="A378">
        <v>8436</v>
      </c>
      <c r="B378" t="s">
        <v>1701</v>
      </c>
      <c r="C378">
        <v>140</v>
      </c>
      <c r="D378">
        <f>VLOOKUP(A378,收盤價!A:C,3,0)</f>
        <v>165</v>
      </c>
      <c r="E378" s="87">
        <v>0.17857142857142858</v>
      </c>
      <c r="F378">
        <v>76.849999999999994</v>
      </c>
    </row>
    <row r="379" spans="1:6">
      <c r="A379">
        <v>2486</v>
      </c>
      <c r="B379" t="s">
        <v>873</v>
      </c>
      <c r="C379">
        <v>7.29</v>
      </c>
      <c r="D379">
        <f>VLOOKUP(A379,收盤價!A:C,3,0)</f>
        <v>8.59</v>
      </c>
      <c r="E379" s="87">
        <v>0.1783264746227709</v>
      </c>
      <c r="F379">
        <v>76.790000000000006</v>
      </c>
    </row>
    <row r="380" spans="1:6">
      <c r="A380">
        <v>5351</v>
      </c>
      <c r="B380" t="s">
        <v>1534</v>
      </c>
      <c r="C380">
        <v>10.4</v>
      </c>
      <c r="D380">
        <f>VLOOKUP(A380,收盤價!A:C,3,0)</f>
        <v>12.25</v>
      </c>
      <c r="E380" s="87">
        <v>0.17788461538461534</v>
      </c>
      <c r="F380">
        <v>76.73</v>
      </c>
    </row>
    <row r="381" spans="1:6">
      <c r="A381">
        <v>5426</v>
      </c>
      <c r="B381" t="s">
        <v>392</v>
      </c>
      <c r="C381">
        <v>11</v>
      </c>
      <c r="D381">
        <f>VLOOKUP(A381,收盤價!A:C,3,0)</f>
        <v>12.95</v>
      </c>
      <c r="E381" s="87">
        <v>0.17727272727272722</v>
      </c>
      <c r="F381">
        <v>76.67</v>
      </c>
    </row>
    <row r="382" spans="1:6">
      <c r="A382">
        <v>3230</v>
      </c>
      <c r="B382" t="s">
        <v>1367</v>
      </c>
      <c r="C382">
        <v>5.14</v>
      </c>
      <c r="D382">
        <f>VLOOKUP(A382,收盤價!A:C,3,0)</f>
        <v>6.05</v>
      </c>
      <c r="E382" s="87">
        <v>0.17704280155642027</v>
      </c>
      <c r="F382">
        <v>76.61</v>
      </c>
    </row>
    <row r="383" spans="1:6">
      <c r="A383">
        <v>1309</v>
      </c>
      <c r="B383" t="s">
        <v>535</v>
      </c>
      <c r="C383">
        <v>7.08</v>
      </c>
      <c r="D383">
        <f>VLOOKUP(A383,收盤價!A:C,3,0)</f>
        <v>8.33</v>
      </c>
      <c r="E383" s="87">
        <v>0.17655367231638419</v>
      </c>
      <c r="F383">
        <v>76.55</v>
      </c>
    </row>
    <row r="384" spans="1:6">
      <c r="A384">
        <v>1783</v>
      </c>
      <c r="B384" t="s">
        <v>681</v>
      </c>
      <c r="C384">
        <v>20.399999999999999</v>
      </c>
      <c r="D384">
        <f>VLOOKUP(A384,收盤價!A:C,3,0)</f>
        <v>24</v>
      </c>
      <c r="E384" s="87">
        <v>0.17647058823529421</v>
      </c>
      <c r="F384">
        <v>76.48</v>
      </c>
    </row>
    <row r="385" spans="1:6">
      <c r="A385">
        <v>8103</v>
      </c>
      <c r="B385" t="s">
        <v>1250</v>
      </c>
      <c r="C385">
        <v>22.85</v>
      </c>
      <c r="D385">
        <f>VLOOKUP(A385,收盤價!A:C,3,0)</f>
        <v>26.85</v>
      </c>
      <c r="E385" s="87">
        <v>0.17505470459518599</v>
      </c>
      <c r="F385">
        <v>76.42</v>
      </c>
    </row>
    <row r="386" spans="1:6">
      <c r="A386">
        <v>9955</v>
      </c>
      <c r="B386" t="s">
        <v>1308</v>
      </c>
      <c r="C386">
        <v>13.15</v>
      </c>
      <c r="D386">
        <f>VLOOKUP(A386,收盤價!A:C,3,0)</f>
        <v>15.45</v>
      </c>
      <c r="E386" s="87">
        <v>0.17490494296577938</v>
      </c>
      <c r="F386">
        <v>76.36</v>
      </c>
    </row>
    <row r="387" spans="1:6">
      <c r="A387">
        <v>4803</v>
      </c>
      <c r="B387" t="s">
        <v>1788</v>
      </c>
      <c r="C387">
        <v>166</v>
      </c>
      <c r="D387">
        <f>VLOOKUP(A387,收盤價!A:C,3,0)</f>
        <v>195</v>
      </c>
      <c r="E387" s="87">
        <v>0.1746987951807229</v>
      </c>
      <c r="F387">
        <v>76.3</v>
      </c>
    </row>
    <row r="388" spans="1:6">
      <c r="A388">
        <v>1737</v>
      </c>
      <c r="B388" t="s">
        <v>678</v>
      </c>
      <c r="C388">
        <v>26.35</v>
      </c>
      <c r="D388">
        <f>VLOOKUP(A388,收盤價!A:C,3,0)</f>
        <v>30.95</v>
      </c>
      <c r="E388" s="87">
        <v>0.1745730550284629</v>
      </c>
      <c r="F388">
        <v>76.239999999999995</v>
      </c>
    </row>
    <row r="389" spans="1:6">
      <c r="A389">
        <v>3144</v>
      </c>
      <c r="B389" t="s">
        <v>255</v>
      </c>
      <c r="C389">
        <v>14.05</v>
      </c>
      <c r="D389">
        <f>VLOOKUP(A389,收盤價!A:C,3,0)</f>
        <v>16.5</v>
      </c>
      <c r="E389" s="87">
        <v>0.17437722419928819</v>
      </c>
      <c r="F389">
        <v>76.180000000000007</v>
      </c>
    </row>
    <row r="390" spans="1:6">
      <c r="A390">
        <v>3058</v>
      </c>
      <c r="B390" t="s">
        <v>1032</v>
      </c>
      <c r="C390">
        <v>9.07</v>
      </c>
      <c r="D390">
        <f>VLOOKUP(A390,收盤價!A:C,3,0)</f>
        <v>10.65</v>
      </c>
      <c r="E390" s="87">
        <v>0.17420066152149946</v>
      </c>
      <c r="F390">
        <v>76.12</v>
      </c>
    </row>
    <row r="391" spans="1:6">
      <c r="A391">
        <v>2301</v>
      </c>
      <c r="B391" t="s">
        <v>742</v>
      </c>
      <c r="C391">
        <v>39.049999999999997</v>
      </c>
      <c r="D391">
        <f>VLOOKUP(A391,收盤價!A:C,3,0)</f>
        <v>45.85</v>
      </c>
      <c r="E391" s="87">
        <v>0.17413572343149819</v>
      </c>
      <c r="F391">
        <v>76.06</v>
      </c>
    </row>
    <row r="392" spans="1:6">
      <c r="A392">
        <v>3354</v>
      </c>
      <c r="B392" t="s">
        <v>1384</v>
      </c>
      <c r="C392">
        <v>7.97</v>
      </c>
      <c r="D392">
        <f>VLOOKUP(A392,收盤價!A:C,3,0)</f>
        <v>9.34</v>
      </c>
      <c r="E392" s="87">
        <v>0.17189460476787957</v>
      </c>
      <c r="F392">
        <v>76</v>
      </c>
    </row>
    <row r="393" spans="1:6">
      <c r="A393">
        <v>4714</v>
      </c>
      <c r="B393" t="s">
        <v>350</v>
      </c>
      <c r="C393">
        <v>8.15</v>
      </c>
      <c r="D393">
        <f>VLOOKUP(A393,收盤價!A:C,3,0)</f>
        <v>9.5500000000000007</v>
      </c>
      <c r="E393" s="87">
        <v>0.17177914110429451</v>
      </c>
      <c r="F393">
        <v>75.930000000000007</v>
      </c>
    </row>
    <row r="394" spans="1:6">
      <c r="A394">
        <v>3189</v>
      </c>
      <c r="B394" t="s">
        <v>1042</v>
      </c>
      <c r="C394">
        <v>60.6</v>
      </c>
      <c r="D394">
        <f>VLOOKUP(A394,收盤價!A:C,3,0)</f>
        <v>71</v>
      </c>
      <c r="E394" s="87">
        <v>0.17161716171617158</v>
      </c>
      <c r="F394">
        <v>75.87</v>
      </c>
    </row>
    <row r="395" spans="1:6">
      <c r="A395">
        <v>3591</v>
      </c>
      <c r="B395" t="s">
        <v>1090</v>
      </c>
      <c r="C395">
        <v>11.4</v>
      </c>
      <c r="D395">
        <f>VLOOKUP(A395,收盤價!A:C,3,0)</f>
        <v>13.35</v>
      </c>
      <c r="E395" s="87">
        <v>0.17105263157894729</v>
      </c>
      <c r="F395">
        <v>75.81</v>
      </c>
    </row>
    <row r="396" spans="1:6">
      <c r="A396">
        <v>8043</v>
      </c>
      <c r="B396" t="s">
        <v>1651</v>
      </c>
      <c r="C396">
        <v>14.1</v>
      </c>
      <c r="D396">
        <f>VLOOKUP(A396,收盤價!A:C,3,0)</f>
        <v>16.5</v>
      </c>
      <c r="E396" s="87">
        <v>0.17021276595744683</v>
      </c>
      <c r="F396">
        <v>75.75</v>
      </c>
    </row>
    <row r="397" spans="1:6">
      <c r="A397">
        <v>3021</v>
      </c>
      <c r="B397" t="s">
        <v>997</v>
      </c>
      <c r="C397">
        <v>11.75</v>
      </c>
      <c r="D397">
        <f>VLOOKUP(A397,收盤價!A:C,3,0)</f>
        <v>13.75</v>
      </c>
      <c r="E397" s="87">
        <v>0.1702127659574468</v>
      </c>
      <c r="F397">
        <v>75.69</v>
      </c>
    </row>
    <row r="398" spans="1:6">
      <c r="A398" t="s">
        <v>1889</v>
      </c>
      <c r="B398" t="s">
        <v>2029</v>
      </c>
      <c r="C398">
        <v>19.98</v>
      </c>
      <c r="D398">
        <f>VLOOKUP(A398,收盤價!A:C,3,0)</f>
        <v>23.38</v>
      </c>
      <c r="E398" s="87">
        <v>0.17017017017017008</v>
      </c>
      <c r="F398">
        <v>75.63</v>
      </c>
    </row>
    <row r="399" spans="1:6">
      <c r="A399">
        <v>1603</v>
      </c>
      <c r="B399" t="s">
        <v>635</v>
      </c>
      <c r="C399">
        <v>12.65</v>
      </c>
      <c r="D399">
        <f>VLOOKUP(A399,收盤價!A:C,3,0)</f>
        <v>14.8</v>
      </c>
      <c r="E399" s="87">
        <v>0.16996047430830041</v>
      </c>
      <c r="F399">
        <v>75.569999999999993</v>
      </c>
    </row>
    <row r="400" spans="1:6">
      <c r="A400">
        <v>2379</v>
      </c>
      <c r="B400" t="s">
        <v>795</v>
      </c>
      <c r="C400">
        <v>90.7</v>
      </c>
      <c r="D400">
        <f>VLOOKUP(A400,收盤價!A:C,3,0)</f>
        <v>106</v>
      </c>
      <c r="E400" s="87">
        <v>0.16868798235942664</v>
      </c>
      <c r="F400">
        <v>75.510000000000005</v>
      </c>
    </row>
    <row r="401" spans="1:6">
      <c r="A401">
        <v>3228</v>
      </c>
      <c r="B401" t="s">
        <v>264</v>
      </c>
      <c r="C401">
        <v>14.55</v>
      </c>
      <c r="D401">
        <f>VLOOKUP(A401,收盤價!A:C,3,0)</f>
        <v>17</v>
      </c>
      <c r="E401" s="87">
        <v>0.16838487972508584</v>
      </c>
      <c r="F401">
        <v>75.44</v>
      </c>
    </row>
    <row r="402" spans="1:6">
      <c r="A402">
        <v>6226</v>
      </c>
      <c r="B402" t="s">
        <v>1213</v>
      </c>
      <c r="C402">
        <v>5.38</v>
      </c>
      <c r="D402">
        <f>VLOOKUP(A402,收盤價!A:C,3,0)</f>
        <v>6.28</v>
      </c>
      <c r="E402" s="87">
        <v>0.16728624535315992</v>
      </c>
      <c r="F402">
        <v>75.38</v>
      </c>
    </row>
    <row r="403" spans="1:6">
      <c r="A403">
        <v>1773</v>
      </c>
      <c r="B403" t="s">
        <v>680</v>
      </c>
      <c r="C403">
        <v>43.35</v>
      </c>
      <c r="D403">
        <f>VLOOKUP(A403,收盤價!A:C,3,0)</f>
        <v>50.6</v>
      </c>
      <c r="E403" s="87">
        <v>0.16724336793540945</v>
      </c>
      <c r="F403">
        <v>75.319999999999993</v>
      </c>
    </row>
    <row r="404" spans="1:6">
      <c r="A404">
        <v>6271</v>
      </c>
      <c r="B404" t="s">
        <v>1221</v>
      </c>
      <c r="C404">
        <v>93.9</v>
      </c>
      <c r="D404">
        <f>VLOOKUP(A404,收盤價!A:C,3,0)</f>
        <v>109.5</v>
      </c>
      <c r="E404" s="87">
        <v>0.16613418530351431</v>
      </c>
      <c r="F404">
        <v>75.260000000000005</v>
      </c>
    </row>
    <row r="405" spans="1:6">
      <c r="A405">
        <v>3224</v>
      </c>
      <c r="B405" t="s">
        <v>1366</v>
      </c>
      <c r="C405">
        <v>25</v>
      </c>
      <c r="D405">
        <f>VLOOKUP(A405,收盤價!A:C,3,0)</f>
        <v>29.15</v>
      </c>
      <c r="E405" s="87">
        <v>0.16599999999999995</v>
      </c>
      <c r="F405">
        <v>75.2</v>
      </c>
    </row>
    <row r="406" spans="1:6">
      <c r="A406">
        <v>3587</v>
      </c>
      <c r="B406" t="s">
        <v>1417</v>
      </c>
      <c r="C406">
        <v>68.900000000000006</v>
      </c>
      <c r="D406">
        <f>VLOOKUP(A406,收盤價!A:C,3,0)</f>
        <v>80.3</v>
      </c>
      <c r="E406" s="87">
        <v>0.16545718432510872</v>
      </c>
      <c r="F406">
        <v>75.14</v>
      </c>
    </row>
    <row r="407" spans="1:6">
      <c r="A407">
        <v>3054</v>
      </c>
      <c r="B407" t="s">
        <v>1028</v>
      </c>
      <c r="C407">
        <v>17.850000000000001</v>
      </c>
      <c r="D407">
        <f>VLOOKUP(A407,收盤價!A:C,3,0)</f>
        <v>20.8</v>
      </c>
      <c r="E407" s="87">
        <v>0.16526610644257697</v>
      </c>
      <c r="F407">
        <v>75.08</v>
      </c>
    </row>
    <row r="408" spans="1:6">
      <c r="A408">
        <v>2436</v>
      </c>
      <c r="B408" t="s">
        <v>834</v>
      </c>
      <c r="C408">
        <v>20</v>
      </c>
      <c r="D408">
        <f>VLOOKUP(A408,收盤價!A:C,3,0)</f>
        <v>23.3</v>
      </c>
      <c r="E408" s="87">
        <v>0.16500000000000004</v>
      </c>
      <c r="F408">
        <v>75.02</v>
      </c>
    </row>
    <row r="409" spans="1:6">
      <c r="A409">
        <v>3083</v>
      </c>
      <c r="B409" t="s">
        <v>1346</v>
      </c>
      <c r="C409">
        <v>31.75</v>
      </c>
      <c r="D409">
        <f>VLOOKUP(A409,收盤價!A:C,3,0)</f>
        <v>36.950000000000003</v>
      </c>
      <c r="E409" s="87">
        <v>0.1637795275590552</v>
      </c>
      <c r="F409">
        <v>74.95</v>
      </c>
    </row>
    <row r="410" spans="1:6">
      <c r="A410">
        <v>2882</v>
      </c>
      <c r="B410" t="s">
        <v>961</v>
      </c>
      <c r="C410">
        <v>34.6</v>
      </c>
      <c r="D410">
        <f>VLOOKUP(A410,收盤價!A:C,3,0)</f>
        <v>40.25</v>
      </c>
      <c r="E410" s="87">
        <v>0.16329479768786123</v>
      </c>
      <c r="F410">
        <v>74.89</v>
      </c>
    </row>
    <row r="411" spans="1:6">
      <c r="A411">
        <v>5272</v>
      </c>
      <c r="B411" t="s">
        <v>374</v>
      </c>
      <c r="C411">
        <v>34.65</v>
      </c>
      <c r="D411">
        <f>VLOOKUP(A411,收盤價!A:C,3,0)</f>
        <v>40.299999999999997</v>
      </c>
      <c r="E411" s="87">
        <v>0.16305916305916301</v>
      </c>
      <c r="F411">
        <v>74.83</v>
      </c>
    </row>
    <row r="412" spans="1:6">
      <c r="A412">
        <v>2007</v>
      </c>
      <c r="B412" t="s">
        <v>699</v>
      </c>
      <c r="C412">
        <v>4.13</v>
      </c>
      <c r="D412">
        <f>VLOOKUP(A412,收盤價!A:C,3,0)</f>
        <v>4.8</v>
      </c>
      <c r="E412" s="87">
        <v>0.16222760290556901</v>
      </c>
      <c r="F412">
        <v>74.77</v>
      </c>
    </row>
    <row r="413" spans="1:6">
      <c r="A413">
        <v>3489</v>
      </c>
      <c r="B413" t="s">
        <v>294</v>
      </c>
      <c r="C413">
        <v>9.25</v>
      </c>
      <c r="D413">
        <f>VLOOKUP(A413,收盤價!A:C,3,0)</f>
        <v>10.75</v>
      </c>
      <c r="E413" s="87">
        <v>0.16216216216216217</v>
      </c>
      <c r="F413">
        <v>74.709999999999994</v>
      </c>
    </row>
    <row r="414" spans="1:6">
      <c r="A414">
        <v>6158</v>
      </c>
      <c r="B414" t="s">
        <v>419</v>
      </c>
      <c r="C414">
        <v>14.5</v>
      </c>
      <c r="D414">
        <f>VLOOKUP(A414,收盤價!A:C,3,0)</f>
        <v>16.850000000000001</v>
      </c>
      <c r="E414" s="87">
        <v>0.16206896551724148</v>
      </c>
      <c r="F414">
        <v>74.650000000000006</v>
      </c>
    </row>
    <row r="415" spans="1:6">
      <c r="A415">
        <v>2612</v>
      </c>
      <c r="B415" t="s">
        <v>921</v>
      </c>
      <c r="C415">
        <v>21.3</v>
      </c>
      <c r="D415">
        <f>VLOOKUP(A415,收盤價!A:C,3,0)</f>
        <v>24.75</v>
      </c>
      <c r="E415" s="87">
        <v>0.16197183098591544</v>
      </c>
      <c r="F415">
        <v>74.59</v>
      </c>
    </row>
    <row r="416" spans="1:6">
      <c r="A416">
        <v>4401</v>
      </c>
      <c r="B416" t="s">
        <v>1461</v>
      </c>
      <c r="C416">
        <v>80.5</v>
      </c>
      <c r="D416">
        <f>VLOOKUP(A416,收盤價!A:C,3,0)</f>
        <v>93.5</v>
      </c>
      <c r="E416" s="87">
        <v>0.16149068322981366</v>
      </c>
      <c r="F416">
        <v>74.53</v>
      </c>
    </row>
    <row r="417" spans="1:6">
      <c r="A417">
        <v>8083</v>
      </c>
      <c r="B417" t="s">
        <v>467</v>
      </c>
      <c r="C417">
        <v>139.5</v>
      </c>
      <c r="D417">
        <f>VLOOKUP(A417,收盤價!A:C,3,0)</f>
        <v>162</v>
      </c>
      <c r="E417" s="87">
        <v>0.16129032258064516</v>
      </c>
      <c r="F417">
        <v>74.459999999999994</v>
      </c>
    </row>
    <row r="418" spans="1:6">
      <c r="A418">
        <v>2450</v>
      </c>
      <c r="B418" t="s">
        <v>844</v>
      </c>
      <c r="C418">
        <v>43</v>
      </c>
      <c r="D418">
        <f>VLOOKUP(A418,收盤價!A:C,3,0)</f>
        <v>49.9</v>
      </c>
      <c r="E418" s="87">
        <v>0.16046511627906973</v>
      </c>
      <c r="F418">
        <v>74.400000000000006</v>
      </c>
    </row>
    <row r="419" spans="1:6">
      <c r="A419">
        <v>2233</v>
      </c>
      <c r="B419" t="s">
        <v>241</v>
      </c>
      <c r="C419">
        <v>73.599999999999994</v>
      </c>
      <c r="D419">
        <f>VLOOKUP(A419,收盤價!A:C,3,0)</f>
        <v>85.4</v>
      </c>
      <c r="E419" s="87">
        <v>0.1603260869565219</v>
      </c>
      <c r="F419">
        <v>74.34</v>
      </c>
    </row>
    <row r="420" spans="1:6">
      <c r="A420">
        <v>6142</v>
      </c>
      <c r="B420" t="s">
        <v>1183</v>
      </c>
      <c r="C420">
        <v>5.25</v>
      </c>
      <c r="D420">
        <f>VLOOKUP(A420,收盤價!A:C,3,0)</f>
        <v>6.09</v>
      </c>
      <c r="E420" s="87">
        <v>0.15999999999999998</v>
      </c>
      <c r="F420">
        <v>74.28</v>
      </c>
    </row>
    <row r="421" spans="1:6">
      <c r="A421">
        <v>3163</v>
      </c>
      <c r="B421" t="s">
        <v>256</v>
      </c>
      <c r="C421">
        <v>41.3</v>
      </c>
      <c r="D421">
        <f>VLOOKUP(A421,收盤價!A:C,3,0)</f>
        <v>47.9</v>
      </c>
      <c r="E421" s="87">
        <v>0.1598062953995158</v>
      </c>
      <c r="F421">
        <v>74.22</v>
      </c>
    </row>
    <row r="422" spans="1:6">
      <c r="A422">
        <v>3294</v>
      </c>
      <c r="B422" t="s">
        <v>275</v>
      </c>
      <c r="C422">
        <v>13.8</v>
      </c>
      <c r="D422">
        <f>VLOOKUP(A422,收盤價!A:C,3,0)</f>
        <v>16</v>
      </c>
      <c r="E422" s="87">
        <v>0.15942028985507239</v>
      </c>
      <c r="F422">
        <v>74.16</v>
      </c>
    </row>
    <row r="423" spans="1:6">
      <c r="A423">
        <v>2067</v>
      </c>
      <c r="B423" t="s">
        <v>1327</v>
      </c>
      <c r="C423">
        <v>13.8</v>
      </c>
      <c r="D423">
        <f>VLOOKUP(A423,收盤價!A:C,3,0)</f>
        <v>16</v>
      </c>
      <c r="E423" s="87">
        <v>0.15942028985507239</v>
      </c>
      <c r="F423">
        <v>74.099999999999994</v>
      </c>
    </row>
    <row r="424" spans="1:6">
      <c r="A424">
        <v>6274</v>
      </c>
      <c r="B424" t="s">
        <v>450</v>
      </c>
      <c r="C424">
        <v>29.25</v>
      </c>
      <c r="D424">
        <f>VLOOKUP(A424,收盤價!A:C,3,0)</f>
        <v>33.9</v>
      </c>
      <c r="E424" s="87">
        <v>0.15897435897435894</v>
      </c>
      <c r="F424">
        <v>74.040000000000006</v>
      </c>
    </row>
    <row r="425" spans="1:6">
      <c r="A425">
        <v>3520</v>
      </c>
      <c r="B425" t="s">
        <v>1401</v>
      </c>
      <c r="C425">
        <v>77.400000000000006</v>
      </c>
      <c r="D425">
        <f>VLOOKUP(A425,收盤價!A:C,3,0)</f>
        <v>89.7</v>
      </c>
      <c r="E425" s="87">
        <v>0.15891472868217049</v>
      </c>
      <c r="F425">
        <v>73.97</v>
      </c>
    </row>
    <row r="426" spans="1:6">
      <c r="A426">
        <v>2643</v>
      </c>
      <c r="B426" t="s">
        <v>1833</v>
      </c>
      <c r="C426">
        <v>35.75</v>
      </c>
      <c r="D426">
        <f>VLOOKUP(A426,收盤價!A:C,3,0)</f>
        <v>41.4</v>
      </c>
      <c r="E426" s="87">
        <v>0.158041958041958</v>
      </c>
      <c r="F426">
        <v>73.91</v>
      </c>
    </row>
    <row r="427" spans="1:6">
      <c r="A427">
        <v>3310</v>
      </c>
      <c r="B427" t="s">
        <v>1378</v>
      </c>
      <c r="C427">
        <v>13.65</v>
      </c>
      <c r="D427">
        <f>VLOOKUP(A427,收盤價!A:C,3,0)</f>
        <v>15.8</v>
      </c>
      <c r="E427" s="87">
        <v>0.15750915750915753</v>
      </c>
      <c r="F427">
        <v>73.849999999999994</v>
      </c>
    </row>
    <row r="428" spans="1:6">
      <c r="A428">
        <v>6494</v>
      </c>
      <c r="B428" t="s">
        <v>1912</v>
      </c>
      <c r="C428">
        <v>28.05</v>
      </c>
      <c r="D428">
        <f>VLOOKUP(A428,收盤價!A:C,3,0)</f>
        <v>32.450000000000003</v>
      </c>
      <c r="E428" s="87">
        <v>0.1568627450980393</v>
      </c>
      <c r="F428">
        <v>73.790000000000006</v>
      </c>
    </row>
    <row r="429" spans="1:6">
      <c r="A429">
        <v>3689</v>
      </c>
      <c r="B429" t="s">
        <v>1431</v>
      </c>
      <c r="C429">
        <v>27.5</v>
      </c>
      <c r="D429">
        <f>VLOOKUP(A429,收盤價!A:C,3,0)</f>
        <v>31.8</v>
      </c>
      <c r="E429" s="87">
        <v>0.1563636363636364</v>
      </c>
      <c r="F429">
        <v>73.73</v>
      </c>
    </row>
    <row r="430" spans="1:6">
      <c r="A430">
        <v>2362</v>
      </c>
      <c r="B430" t="s">
        <v>782</v>
      </c>
      <c r="C430">
        <v>25</v>
      </c>
      <c r="D430">
        <f>VLOOKUP(A430,收盤價!A:C,3,0)</f>
        <v>28.9</v>
      </c>
      <c r="E430" s="87">
        <v>0.15599999999999994</v>
      </c>
      <c r="F430">
        <v>73.67</v>
      </c>
    </row>
    <row r="431" spans="1:6">
      <c r="A431">
        <v>4735</v>
      </c>
      <c r="B431" t="s">
        <v>1487</v>
      </c>
      <c r="C431">
        <v>30.55</v>
      </c>
      <c r="D431">
        <f>VLOOKUP(A431,收盤價!A:C,3,0)</f>
        <v>35.299999999999997</v>
      </c>
      <c r="E431" s="87">
        <v>0.15548281505728304</v>
      </c>
      <c r="F431">
        <v>73.61</v>
      </c>
    </row>
    <row r="432" spans="1:6">
      <c r="A432">
        <v>4763</v>
      </c>
      <c r="B432" t="s">
        <v>2058</v>
      </c>
      <c r="C432">
        <v>100</v>
      </c>
      <c r="D432">
        <f>VLOOKUP(A432,收盤價!A:C,3,0)</f>
        <v>115.5</v>
      </c>
      <c r="E432" s="87">
        <v>0.155</v>
      </c>
      <c r="F432">
        <v>73.55</v>
      </c>
    </row>
    <row r="433" spans="1:6">
      <c r="A433">
        <v>8050</v>
      </c>
      <c r="B433" t="s">
        <v>1656</v>
      </c>
      <c r="C433">
        <v>58.8</v>
      </c>
      <c r="D433">
        <f>VLOOKUP(A433,收盤價!A:C,3,0)</f>
        <v>67.900000000000006</v>
      </c>
      <c r="E433" s="87">
        <v>0.15476190476190491</v>
      </c>
      <c r="F433">
        <v>73.48</v>
      </c>
    </row>
    <row r="434" spans="1:6">
      <c r="A434">
        <v>6231</v>
      </c>
      <c r="B434" t="s">
        <v>438</v>
      </c>
      <c r="C434">
        <v>25.2</v>
      </c>
      <c r="D434">
        <f>VLOOKUP(A434,收盤價!A:C,3,0)</f>
        <v>29.1</v>
      </c>
      <c r="E434" s="87">
        <v>0.15476190476190485</v>
      </c>
      <c r="F434">
        <v>73.42</v>
      </c>
    </row>
    <row r="435" spans="1:6">
      <c r="A435">
        <v>2457</v>
      </c>
      <c r="B435" t="s">
        <v>850</v>
      </c>
      <c r="C435">
        <v>8.6</v>
      </c>
      <c r="D435">
        <f>VLOOKUP(A435,收盤價!A:C,3,0)</f>
        <v>9.93</v>
      </c>
      <c r="E435" s="87">
        <v>0.15465116279069768</v>
      </c>
      <c r="F435">
        <v>73.36</v>
      </c>
    </row>
    <row r="436" spans="1:6">
      <c r="A436">
        <v>8240</v>
      </c>
      <c r="B436" t="s">
        <v>1682</v>
      </c>
      <c r="C436">
        <v>17.149999999999999</v>
      </c>
      <c r="D436">
        <f>VLOOKUP(A436,收盤價!A:C,3,0)</f>
        <v>19.8</v>
      </c>
      <c r="E436" s="87">
        <v>0.15451895043731792</v>
      </c>
      <c r="F436">
        <v>73.3</v>
      </c>
    </row>
    <row r="437" spans="1:6">
      <c r="A437">
        <v>4930</v>
      </c>
      <c r="B437" t="s">
        <v>1138</v>
      </c>
      <c r="C437">
        <v>11.75</v>
      </c>
      <c r="D437">
        <f>VLOOKUP(A437,收盤價!A:C,3,0)</f>
        <v>13.55</v>
      </c>
      <c r="E437" s="87">
        <v>0.15319148936170218</v>
      </c>
      <c r="F437">
        <v>73.239999999999995</v>
      </c>
    </row>
    <row r="438" spans="1:6">
      <c r="A438">
        <v>6488</v>
      </c>
      <c r="B438" t="s">
        <v>1643</v>
      </c>
      <c r="C438">
        <v>67.5</v>
      </c>
      <c r="D438">
        <f>VLOOKUP(A438,收盤價!A:C,3,0)</f>
        <v>77.8</v>
      </c>
      <c r="E438" s="87">
        <v>0.15259259259259256</v>
      </c>
      <c r="F438">
        <v>73.180000000000007</v>
      </c>
    </row>
    <row r="439" spans="1:6">
      <c r="A439">
        <v>3390</v>
      </c>
      <c r="B439" t="s">
        <v>1387</v>
      </c>
      <c r="C439">
        <v>12.85</v>
      </c>
      <c r="D439">
        <f>VLOOKUP(A439,收盤價!A:C,3,0)</f>
        <v>14.8</v>
      </c>
      <c r="E439" s="87">
        <v>0.15175097276264601</v>
      </c>
      <c r="F439">
        <v>73.12</v>
      </c>
    </row>
    <row r="440" spans="1:6">
      <c r="A440">
        <v>2351</v>
      </c>
      <c r="B440" t="s">
        <v>772</v>
      </c>
      <c r="C440">
        <v>34.65</v>
      </c>
      <c r="D440">
        <f>VLOOKUP(A440,收盤價!A:C,3,0)</f>
        <v>39.9</v>
      </c>
      <c r="E440" s="87">
        <v>0.15151515151515152</v>
      </c>
      <c r="F440">
        <v>73.06</v>
      </c>
    </row>
    <row r="441" spans="1:6">
      <c r="A441">
        <v>6128</v>
      </c>
      <c r="B441" t="s">
        <v>1178</v>
      </c>
      <c r="C441">
        <v>38</v>
      </c>
      <c r="D441">
        <f>VLOOKUP(A441,收盤價!A:C,3,0)</f>
        <v>43.75</v>
      </c>
      <c r="E441" s="87">
        <v>0.15131578947368421</v>
      </c>
      <c r="F441">
        <v>72.989999999999995</v>
      </c>
    </row>
    <row r="442" spans="1:6">
      <c r="A442">
        <v>1909</v>
      </c>
      <c r="B442" t="s">
        <v>696</v>
      </c>
      <c r="C442">
        <v>13.25</v>
      </c>
      <c r="D442">
        <f>VLOOKUP(A442,收盤價!A:C,3,0)</f>
        <v>15.25</v>
      </c>
      <c r="E442" s="87">
        <v>0.15094339622641509</v>
      </c>
      <c r="F442">
        <v>72.930000000000007</v>
      </c>
    </row>
    <row r="443" spans="1:6">
      <c r="A443">
        <v>2323</v>
      </c>
      <c r="B443" t="s">
        <v>754</v>
      </c>
      <c r="C443">
        <v>3.25</v>
      </c>
      <c r="D443">
        <f>VLOOKUP(A443,收盤價!A:C,3,0)</f>
        <v>3.74</v>
      </c>
      <c r="E443" s="87">
        <v>0.15076923076923082</v>
      </c>
      <c r="F443">
        <v>72.87</v>
      </c>
    </row>
    <row r="444" spans="1:6">
      <c r="A444">
        <v>4550</v>
      </c>
      <c r="B444" t="s">
        <v>346</v>
      </c>
      <c r="C444">
        <v>20.65</v>
      </c>
      <c r="D444">
        <f>VLOOKUP(A444,收盤價!A:C,3,0)</f>
        <v>23.75</v>
      </c>
      <c r="E444" s="87">
        <v>0.15012106537530273</v>
      </c>
      <c r="F444">
        <v>72.81</v>
      </c>
    </row>
    <row r="445" spans="1:6">
      <c r="A445">
        <v>2431</v>
      </c>
      <c r="B445" t="s">
        <v>831</v>
      </c>
      <c r="C445">
        <v>12.4</v>
      </c>
      <c r="D445">
        <f>VLOOKUP(A445,收盤價!A:C,3,0)</f>
        <v>14.25</v>
      </c>
      <c r="E445" s="87">
        <v>0.14919354838709675</v>
      </c>
      <c r="F445">
        <v>72.75</v>
      </c>
    </row>
    <row r="446" spans="1:6">
      <c r="A446">
        <v>4417</v>
      </c>
      <c r="B446" t="s">
        <v>1465</v>
      </c>
      <c r="C446">
        <v>31.85</v>
      </c>
      <c r="D446">
        <f>VLOOKUP(A446,收盤價!A:C,3,0)</f>
        <v>36.6</v>
      </c>
      <c r="E446" s="87">
        <v>0.14913657770800628</v>
      </c>
      <c r="F446">
        <v>72.69</v>
      </c>
    </row>
    <row r="447" spans="1:6">
      <c r="A447">
        <v>6201</v>
      </c>
      <c r="B447" t="s">
        <v>1202</v>
      </c>
      <c r="C447">
        <v>26.9</v>
      </c>
      <c r="D447">
        <f>VLOOKUP(A447,收盤價!A:C,3,0)</f>
        <v>30.9</v>
      </c>
      <c r="E447" s="87">
        <v>0.14869888475836432</v>
      </c>
      <c r="F447">
        <v>72.63</v>
      </c>
    </row>
    <row r="448" spans="1:6">
      <c r="A448">
        <v>3376</v>
      </c>
      <c r="B448" t="s">
        <v>1056</v>
      </c>
      <c r="C448">
        <v>93.6</v>
      </c>
      <c r="D448">
        <f>VLOOKUP(A448,收盤價!A:C,3,0)</f>
        <v>107.5</v>
      </c>
      <c r="E448" s="87">
        <v>0.14850427350427359</v>
      </c>
      <c r="F448">
        <v>72.569999999999993</v>
      </c>
    </row>
    <row r="449" spans="1:6">
      <c r="A449">
        <v>4728</v>
      </c>
      <c r="B449" t="s">
        <v>352</v>
      </c>
      <c r="C449">
        <v>37.25</v>
      </c>
      <c r="D449">
        <f>VLOOKUP(A449,收盤價!A:C,3,0)</f>
        <v>42.75</v>
      </c>
      <c r="E449" s="87">
        <v>0.1476510067114094</v>
      </c>
      <c r="F449">
        <v>72.5</v>
      </c>
    </row>
    <row r="450" spans="1:6">
      <c r="A450">
        <v>2484</v>
      </c>
      <c r="B450" t="s">
        <v>871</v>
      </c>
      <c r="C450">
        <v>16.95</v>
      </c>
      <c r="D450">
        <f>VLOOKUP(A450,收盤價!A:C,3,0)</f>
        <v>19.45</v>
      </c>
      <c r="E450" s="87">
        <v>0.14749262536873156</v>
      </c>
      <c r="F450">
        <v>72.44</v>
      </c>
    </row>
    <row r="451" spans="1:6">
      <c r="A451">
        <v>2885</v>
      </c>
      <c r="B451" t="s">
        <v>964</v>
      </c>
      <c r="C451">
        <v>10.199999999999999</v>
      </c>
      <c r="D451">
        <f>VLOOKUP(A451,收盤價!A:C,3,0)</f>
        <v>11.7</v>
      </c>
      <c r="E451" s="87">
        <v>0.14705882352941177</v>
      </c>
      <c r="F451">
        <v>72.38</v>
      </c>
    </row>
    <row r="452" spans="1:6">
      <c r="A452">
        <v>3437</v>
      </c>
      <c r="B452" t="s">
        <v>1064</v>
      </c>
      <c r="C452">
        <v>20.75</v>
      </c>
      <c r="D452">
        <f>VLOOKUP(A452,收盤價!A:C,3,0)</f>
        <v>23.8</v>
      </c>
      <c r="E452" s="87">
        <v>0.14698795180722896</v>
      </c>
      <c r="F452">
        <v>72.319999999999993</v>
      </c>
    </row>
    <row r="453" spans="1:6">
      <c r="A453">
        <v>3315</v>
      </c>
      <c r="B453" t="s">
        <v>1053</v>
      </c>
      <c r="C453">
        <v>16</v>
      </c>
      <c r="D453">
        <f>VLOOKUP(A453,收盤價!A:C,3,0)</f>
        <v>18.350000000000001</v>
      </c>
      <c r="E453" s="87">
        <v>0.14687500000000009</v>
      </c>
      <c r="F453">
        <v>72.260000000000005</v>
      </c>
    </row>
    <row r="454" spans="1:6">
      <c r="A454">
        <v>2427</v>
      </c>
      <c r="B454" t="s">
        <v>827</v>
      </c>
      <c r="C454">
        <v>6</v>
      </c>
      <c r="D454">
        <f>VLOOKUP(A454,收盤價!A:C,3,0)</f>
        <v>6.88</v>
      </c>
      <c r="E454" s="87">
        <v>0.14666666666666664</v>
      </c>
      <c r="F454">
        <v>72.2</v>
      </c>
    </row>
    <row r="455" spans="1:6">
      <c r="A455">
        <v>8084</v>
      </c>
      <c r="B455" t="s">
        <v>1665</v>
      </c>
      <c r="C455">
        <v>28</v>
      </c>
      <c r="D455">
        <f>VLOOKUP(A455,收盤價!A:C,3,0)</f>
        <v>32.1</v>
      </c>
      <c r="E455" s="87">
        <v>0.14642857142857149</v>
      </c>
      <c r="F455">
        <v>72.14</v>
      </c>
    </row>
    <row r="456" spans="1:6">
      <c r="A456">
        <v>6275</v>
      </c>
      <c r="B456" t="s">
        <v>1631</v>
      </c>
      <c r="C456">
        <v>13.35</v>
      </c>
      <c r="D456">
        <f>VLOOKUP(A456,收盤價!A:C,3,0)</f>
        <v>15.3</v>
      </c>
      <c r="E456" s="87">
        <v>0.14606741573033716</v>
      </c>
      <c r="F456">
        <v>72.08</v>
      </c>
    </row>
    <row r="457" spans="1:6">
      <c r="A457">
        <v>2467</v>
      </c>
      <c r="B457" t="s">
        <v>859</v>
      </c>
      <c r="C457">
        <v>13.7</v>
      </c>
      <c r="D457">
        <f>VLOOKUP(A457,收盤價!A:C,3,0)</f>
        <v>15.7</v>
      </c>
      <c r="E457" s="87">
        <v>0.14598540145985403</v>
      </c>
      <c r="F457">
        <v>72.010000000000005</v>
      </c>
    </row>
    <row r="458" spans="1:6">
      <c r="A458">
        <v>9802</v>
      </c>
      <c r="B458" t="s">
        <v>2105</v>
      </c>
      <c r="C458">
        <v>54.2</v>
      </c>
      <c r="D458">
        <f>VLOOKUP(A458,收盤價!A:C,3,0)</f>
        <v>62.1</v>
      </c>
      <c r="E458" s="87">
        <v>0.14575645756457561</v>
      </c>
      <c r="F458">
        <v>71.95</v>
      </c>
    </row>
    <row r="459" spans="1:6">
      <c r="A459">
        <v>5487</v>
      </c>
      <c r="B459" t="s">
        <v>401</v>
      </c>
      <c r="C459">
        <v>21.65</v>
      </c>
      <c r="D459">
        <f>VLOOKUP(A459,收盤價!A:C,3,0)</f>
        <v>24.8</v>
      </c>
      <c r="E459" s="87">
        <v>0.14549653579676686</v>
      </c>
      <c r="F459">
        <v>71.89</v>
      </c>
    </row>
    <row r="460" spans="1:6">
      <c r="A460">
        <v>8034</v>
      </c>
      <c r="B460" t="s">
        <v>1648</v>
      </c>
      <c r="C460">
        <v>5.5</v>
      </c>
      <c r="D460">
        <f>VLOOKUP(A460,收盤價!A:C,3,0)</f>
        <v>6.3</v>
      </c>
      <c r="E460" s="87">
        <v>0.14545454545454542</v>
      </c>
      <c r="F460">
        <v>71.83</v>
      </c>
    </row>
    <row r="461" spans="1:6">
      <c r="A461">
        <v>4167</v>
      </c>
      <c r="B461" t="s">
        <v>332</v>
      </c>
      <c r="C461">
        <v>22.75</v>
      </c>
      <c r="D461">
        <f>VLOOKUP(A461,收盤價!A:C,3,0)</f>
        <v>26.05</v>
      </c>
      <c r="E461" s="87">
        <v>0.14505494505494509</v>
      </c>
      <c r="F461">
        <v>71.77</v>
      </c>
    </row>
    <row r="462" spans="1:6">
      <c r="A462">
        <v>3311</v>
      </c>
      <c r="B462" t="s">
        <v>1051</v>
      </c>
      <c r="C462">
        <v>14.15</v>
      </c>
      <c r="D462">
        <f>VLOOKUP(A462,收盤價!A:C,3,0)</f>
        <v>16.2</v>
      </c>
      <c r="E462" s="87">
        <v>0.14487632508833914</v>
      </c>
      <c r="F462">
        <v>71.709999999999994</v>
      </c>
    </row>
    <row r="463" spans="1:6">
      <c r="A463">
        <v>6229</v>
      </c>
      <c r="B463" t="s">
        <v>437</v>
      </c>
      <c r="C463">
        <v>11.4</v>
      </c>
      <c r="D463">
        <f>VLOOKUP(A463,收盤價!A:C,3,0)</f>
        <v>13.05</v>
      </c>
      <c r="E463" s="87">
        <v>0.14473684210526319</v>
      </c>
      <c r="F463">
        <v>71.650000000000006</v>
      </c>
    </row>
    <row r="464" spans="1:6">
      <c r="A464">
        <v>3034</v>
      </c>
      <c r="B464" t="s">
        <v>1010</v>
      </c>
      <c r="C464">
        <v>104</v>
      </c>
      <c r="D464">
        <f>VLOOKUP(A464,收盤價!A:C,3,0)</f>
        <v>119</v>
      </c>
      <c r="E464" s="87">
        <v>0.14423076923076922</v>
      </c>
      <c r="F464">
        <v>71.59</v>
      </c>
    </row>
    <row r="465" spans="1:6">
      <c r="A465">
        <v>2474</v>
      </c>
      <c r="B465" t="s">
        <v>862</v>
      </c>
      <c r="C465">
        <v>215</v>
      </c>
      <c r="D465">
        <f>VLOOKUP(A465,收盤價!A:C,3,0)</f>
        <v>246</v>
      </c>
      <c r="E465" s="87">
        <v>0.14418604651162792</v>
      </c>
      <c r="F465">
        <v>71.52</v>
      </c>
    </row>
    <row r="466" spans="1:6">
      <c r="A466">
        <v>3499</v>
      </c>
      <c r="B466" t="s">
        <v>296</v>
      </c>
      <c r="C466">
        <v>14.25</v>
      </c>
      <c r="D466">
        <f>VLOOKUP(A466,收盤價!A:C,3,0)</f>
        <v>16.3</v>
      </c>
      <c r="E466" s="87">
        <v>0.14385964912280708</v>
      </c>
      <c r="F466">
        <v>71.459999999999994</v>
      </c>
    </row>
    <row r="467" spans="1:6">
      <c r="A467">
        <v>1326</v>
      </c>
      <c r="B467" t="s">
        <v>548</v>
      </c>
      <c r="C467">
        <v>80.900000000000006</v>
      </c>
      <c r="D467">
        <f>VLOOKUP(A467,收盤價!A:C,3,0)</f>
        <v>92.5</v>
      </c>
      <c r="E467" s="87">
        <v>0.14338689740420263</v>
      </c>
      <c r="F467">
        <v>71.400000000000006</v>
      </c>
    </row>
    <row r="468" spans="1:6">
      <c r="A468">
        <v>3428</v>
      </c>
      <c r="B468" t="s">
        <v>288</v>
      </c>
      <c r="C468">
        <v>50.4</v>
      </c>
      <c r="D468">
        <f>VLOOKUP(A468,收盤價!A:C,3,0)</f>
        <v>57.6</v>
      </c>
      <c r="E468" s="87">
        <v>0.1428571428571429</v>
      </c>
      <c r="F468">
        <v>71.34</v>
      </c>
    </row>
    <row r="469" spans="1:6">
      <c r="A469">
        <v>3516</v>
      </c>
      <c r="B469" t="s">
        <v>298</v>
      </c>
      <c r="C469">
        <v>7.86</v>
      </c>
      <c r="D469">
        <f>VLOOKUP(A469,收盤價!A:C,3,0)</f>
        <v>8.9700000000000006</v>
      </c>
      <c r="E469" s="87">
        <v>0.14122137404580157</v>
      </c>
      <c r="F469">
        <v>71.28</v>
      </c>
    </row>
    <row r="470" spans="1:6">
      <c r="A470">
        <v>2482</v>
      </c>
      <c r="B470" t="s">
        <v>869</v>
      </c>
      <c r="C470">
        <v>12.05</v>
      </c>
      <c r="D470">
        <f>VLOOKUP(A470,收盤價!A:C,3,0)</f>
        <v>13.75</v>
      </c>
      <c r="E470" s="87">
        <v>0.1410788381742738</v>
      </c>
      <c r="F470">
        <v>71.22</v>
      </c>
    </row>
    <row r="471" spans="1:6">
      <c r="A471">
        <v>1262</v>
      </c>
      <c r="B471" t="s">
        <v>2031</v>
      </c>
      <c r="C471">
        <v>149</v>
      </c>
      <c r="D471">
        <f>VLOOKUP(A471,收盤價!A:C,3,0)</f>
        <v>170</v>
      </c>
      <c r="E471" s="87">
        <v>0.14093959731543623</v>
      </c>
      <c r="F471">
        <v>71.16</v>
      </c>
    </row>
    <row r="472" spans="1:6">
      <c r="A472">
        <v>6147</v>
      </c>
      <c r="B472" t="s">
        <v>1598</v>
      </c>
      <c r="C472">
        <v>39.200000000000003</v>
      </c>
      <c r="D472">
        <f>VLOOKUP(A472,收盤價!A:C,3,0)</f>
        <v>44.7</v>
      </c>
      <c r="E472" s="87">
        <v>0.14030612244897958</v>
      </c>
      <c r="F472">
        <v>71.099999999999994</v>
      </c>
    </row>
    <row r="473" spans="1:6">
      <c r="A473">
        <v>3663</v>
      </c>
      <c r="B473" t="s">
        <v>1425</v>
      </c>
      <c r="C473">
        <v>15.45</v>
      </c>
      <c r="D473">
        <f>VLOOKUP(A473,收盤價!A:C,3,0)</f>
        <v>17.600000000000001</v>
      </c>
      <c r="E473" s="87">
        <v>0.13915857605178009</v>
      </c>
      <c r="F473">
        <v>71.03</v>
      </c>
    </row>
    <row r="474" spans="1:6">
      <c r="A474">
        <v>3288</v>
      </c>
      <c r="B474" t="s">
        <v>1373</v>
      </c>
      <c r="C474">
        <v>5.62</v>
      </c>
      <c r="D474">
        <f>VLOOKUP(A474,收盤價!A:C,3,0)</f>
        <v>6.4</v>
      </c>
      <c r="E474" s="87">
        <v>0.13879003558718866</v>
      </c>
      <c r="F474">
        <v>70.97</v>
      </c>
    </row>
    <row r="475" spans="1:6">
      <c r="A475">
        <v>2476</v>
      </c>
      <c r="B475" t="s">
        <v>864</v>
      </c>
      <c r="C475">
        <v>22.1</v>
      </c>
      <c r="D475">
        <f>VLOOKUP(A475,收盤價!A:C,3,0)</f>
        <v>25.15</v>
      </c>
      <c r="E475" s="87">
        <v>0.13800904977375553</v>
      </c>
      <c r="F475">
        <v>70.91</v>
      </c>
    </row>
    <row r="476" spans="1:6">
      <c r="A476">
        <v>2317</v>
      </c>
      <c r="B476" t="s">
        <v>752</v>
      </c>
      <c r="C476">
        <v>74</v>
      </c>
      <c r="D476">
        <f>VLOOKUP(A476,收盤價!A:C,3,0)</f>
        <v>84.2</v>
      </c>
      <c r="E476" s="87">
        <v>0.13783783783783787</v>
      </c>
      <c r="F476">
        <v>70.849999999999994</v>
      </c>
    </row>
    <row r="477" spans="1:6">
      <c r="A477">
        <v>3018</v>
      </c>
      <c r="B477" t="s">
        <v>995</v>
      </c>
      <c r="C477">
        <v>15.65</v>
      </c>
      <c r="D477">
        <f>VLOOKUP(A477,收盤價!A:C,3,0)</f>
        <v>17.8</v>
      </c>
      <c r="E477" s="87">
        <v>0.13738019169329074</v>
      </c>
      <c r="F477">
        <v>70.790000000000006</v>
      </c>
    </row>
    <row r="478" spans="1:6">
      <c r="A478">
        <v>3227</v>
      </c>
      <c r="B478" t="s">
        <v>263</v>
      </c>
      <c r="C478">
        <v>61.3</v>
      </c>
      <c r="D478">
        <f>VLOOKUP(A478,收盤價!A:C,3,0)</f>
        <v>69.599999999999994</v>
      </c>
      <c r="E478" s="87">
        <v>0.1353996737357259</v>
      </c>
      <c r="F478">
        <v>70.73</v>
      </c>
    </row>
    <row r="479" spans="1:6">
      <c r="A479">
        <v>8049</v>
      </c>
      <c r="B479" t="s">
        <v>1655</v>
      </c>
      <c r="C479">
        <v>11.95</v>
      </c>
      <c r="D479">
        <f>VLOOKUP(A479,收盤價!A:C,3,0)</f>
        <v>13.55</v>
      </c>
      <c r="E479" s="87">
        <v>0.13389121338912147</v>
      </c>
      <c r="F479">
        <v>70.67</v>
      </c>
    </row>
    <row r="480" spans="1:6">
      <c r="A480">
        <v>1460</v>
      </c>
      <c r="B480" t="s">
        <v>584</v>
      </c>
      <c r="C480">
        <v>14.95</v>
      </c>
      <c r="D480">
        <f>VLOOKUP(A480,收盤價!A:C,3,0)</f>
        <v>16.95</v>
      </c>
      <c r="E480" s="87">
        <v>0.13377926421404682</v>
      </c>
      <c r="F480">
        <v>70.61</v>
      </c>
    </row>
    <row r="481" spans="1:6">
      <c r="A481">
        <v>5465</v>
      </c>
      <c r="B481" t="s">
        <v>398</v>
      </c>
      <c r="C481">
        <v>13.1</v>
      </c>
      <c r="D481">
        <f>VLOOKUP(A481,收盤價!A:C,3,0)</f>
        <v>14.85</v>
      </c>
      <c r="E481" s="87">
        <v>0.13358778625954199</v>
      </c>
      <c r="F481">
        <v>70.55</v>
      </c>
    </row>
    <row r="482" spans="1:6">
      <c r="A482">
        <v>2305</v>
      </c>
      <c r="B482" t="s">
        <v>745</v>
      </c>
      <c r="C482">
        <v>7</v>
      </c>
      <c r="D482">
        <f>VLOOKUP(A482,收盤價!A:C,3,0)</f>
        <v>7.93</v>
      </c>
      <c r="E482" s="87">
        <v>0.13285714285714281</v>
      </c>
      <c r="F482">
        <v>70.48</v>
      </c>
    </row>
    <row r="483" spans="1:6">
      <c r="A483">
        <v>6169</v>
      </c>
      <c r="B483" t="s">
        <v>1604</v>
      </c>
      <c r="C483">
        <v>26</v>
      </c>
      <c r="D483">
        <f>VLOOKUP(A483,收盤價!A:C,3,0)</f>
        <v>29.45</v>
      </c>
      <c r="E483" s="87">
        <v>0.13269230769230766</v>
      </c>
      <c r="F483">
        <v>70.42</v>
      </c>
    </row>
    <row r="484" spans="1:6">
      <c r="A484">
        <v>1312</v>
      </c>
      <c r="B484" t="s">
        <v>537</v>
      </c>
      <c r="C484">
        <v>15.1</v>
      </c>
      <c r="D484">
        <f>VLOOKUP(A484,收盤價!A:C,3,0)</f>
        <v>17.100000000000001</v>
      </c>
      <c r="E484" s="87">
        <v>0.13245033112582794</v>
      </c>
      <c r="F484">
        <v>70.36</v>
      </c>
    </row>
    <row r="485" spans="1:6">
      <c r="A485">
        <v>4946</v>
      </c>
      <c r="B485" t="s">
        <v>1498</v>
      </c>
      <c r="C485">
        <v>26.45</v>
      </c>
      <c r="D485">
        <f>VLOOKUP(A485,收盤價!A:C,3,0)</f>
        <v>29.95</v>
      </c>
      <c r="E485" s="87">
        <v>0.13232514177693763</v>
      </c>
      <c r="F485">
        <v>70.3</v>
      </c>
    </row>
    <row r="486" spans="1:6">
      <c r="A486">
        <v>5016</v>
      </c>
      <c r="B486" t="s">
        <v>1510</v>
      </c>
      <c r="C486">
        <v>23.85</v>
      </c>
      <c r="D486">
        <f>VLOOKUP(A486,收盤價!A:C,3,0)</f>
        <v>27</v>
      </c>
      <c r="E486" s="87">
        <v>0.13207547169811315</v>
      </c>
      <c r="F486">
        <v>70.239999999999995</v>
      </c>
    </row>
    <row r="487" spans="1:6">
      <c r="A487">
        <v>5328</v>
      </c>
      <c r="B487" t="s">
        <v>1529</v>
      </c>
      <c r="C487">
        <v>5.61</v>
      </c>
      <c r="D487">
        <f>VLOOKUP(A487,收盤價!A:C,3,0)</f>
        <v>6.35</v>
      </c>
      <c r="E487" s="87">
        <v>0.13190730837789649</v>
      </c>
      <c r="F487">
        <v>70.180000000000007</v>
      </c>
    </row>
    <row r="488" spans="1:6">
      <c r="A488">
        <v>5381</v>
      </c>
      <c r="B488" t="s">
        <v>1537</v>
      </c>
      <c r="C488">
        <v>1.6</v>
      </c>
      <c r="D488">
        <f>VLOOKUP(A488,收盤價!A:C,3,0)</f>
        <v>1.81</v>
      </c>
      <c r="E488" s="87">
        <v>0.13124999999999998</v>
      </c>
      <c r="F488">
        <v>70.12</v>
      </c>
    </row>
    <row r="489" spans="1:6">
      <c r="A489">
        <v>1504</v>
      </c>
      <c r="B489" t="s">
        <v>601</v>
      </c>
      <c r="C489">
        <v>24.4</v>
      </c>
      <c r="D489">
        <f>VLOOKUP(A489,收盤價!A:C,3,0)</f>
        <v>27.6</v>
      </c>
      <c r="E489" s="87">
        <v>0.13114754098360668</v>
      </c>
      <c r="F489">
        <v>70.06</v>
      </c>
    </row>
    <row r="490" spans="1:6">
      <c r="A490">
        <v>4966</v>
      </c>
      <c r="B490" t="s">
        <v>1501</v>
      </c>
      <c r="C490">
        <v>303.5</v>
      </c>
      <c r="D490">
        <f>VLOOKUP(A490,收盤價!A:C,3,0)</f>
        <v>343</v>
      </c>
      <c r="E490" s="87">
        <v>0.13014827018121911</v>
      </c>
      <c r="F490">
        <v>69.989999999999995</v>
      </c>
    </row>
    <row r="491" spans="1:6">
      <c r="A491">
        <v>2347</v>
      </c>
      <c r="B491" t="s">
        <v>769</v>
      </c>
      <c r="C491">
        <v>30.1</v>
      </c>
      <c r="D491">
        <f>VLOOKUP(A491,收盤價!A:C,3,0)</f>
        <v>34</v>
      </c>
      <c r="E491" s="87">
        <v>0.12956810631229232</v>
      </c>
      <c r="F491">
        <v>69.930000000000007</v>
      </c>
    </row>
    <row r="492" spans="1:6">
      <c r="A492">
        <v>3518</v>
      </c>
      <c r="B492" t="s">
        <v>1075</v>
      </c>
      <c r="C492">
        <v>20.9</v>
      </c>
      <c r="D492">
        <f>VLOOKUP(A492,收盤價!A:C,3,0)</f>
        <v>23.6</v>
      </c>
      <c r="E492" s="87">
        <v>0.12918660287081354</v>
      </c>
      <c r="F492">
        <v>69.87</v>
      </c>
    </row>
    <row r="493" spans="1:6">
      <c r="A493">
        <v>2425</v>
      </c>
      <c r="B493" t="s">
        <v>825</v>
      </c>
      <c r="C493">
        <v>18.600000000000001</v>
      </c>
      <c r="D493">
        <f>VLOOKUP(A493,收盤價!A:C,3,0)</f>
        <v>21</v>
      </c>
      <c r="E493" s="87">
        <v>0.12903225806451604</v>
      </c>
      <c r="F493">
        <v>69.81</v>
      </c>
    </row>
    <row r="494" spans="1:6">
      <c r="A494">
        <v>2313</v>
      </c>
      <c r="B494" t="s">
        <v>749</v>
      </c>
      <c r="C494">
        <v>15.2</v>
      </c>
      <c r="D494">
        <f>VLOOKUP(A494,收盤價!A:C,3,0)</f>
        <v>17.149999999999999</v>
      </c>
      <c r="E494" s="87">
        <v>0.12828947368421048</v>
      </c>
      <c r="F494">
        <v>69.75</v>
      </c>
    </row>
    <row r="495" spans="1:6">
      <c r="A495">
        <v>2458</v>
      </c>
      <c r="B495" t="s">
        <v>851</v>
      </c>
      <c r="C495">
        <v>32</v>
      </c>
      <c r="D495">
        <f>VLOOKUP(A495,收盤價!A:C,3,0)</f>
        <v>36.1</v>
      </c>
      <c r="E495" s="87">
        <v>0.12812500000000004</v>
      </c>
      <c r="F495">
        <v>69.69</v>
      </c>
    </row>
    <row r="496" spans="1:6">
      <c r="A496">
        <v>2104</v>
      </c>
      <c r="B496" t="s">
        <v>728</v>
      </c>
      <c r="C496">
        <v>22.35</v>
      </c>
      <c r="D496">
        <f>VLOOKUP(A496,收盤價!A:C,3,0)</f>
        <v>25.2</v>
      </c>
      <c r="E496" s="87">
        <v>0.12751677852348983</v>
      </c>
      <c r="F496">
        <v>69.63</v>
      </c>
    </row>
    <row r="497" spans="1:6">
      <c r="A497">
        <v>1613</v>
      </c>
      <c r="B497" t="s">
        <v>642</v>
      </c>
      <c r="C497">
        <v>2.75</v>
      </c>
      <c r="D497">
        <f>VLOOKUP(A497,收盤價!A:C,3,0)</f>
        <v>3.1</v>
      </c>
      <c r="E497" s="87">
        <v>0.12727272727272732</v>
      </c>
      <c r="F497">
        <v>69.569999999999993</v>
      </c>
    </row>
    <row r="498" spans="1:6">
      <c r="A498">
        <v>6265</v>
      </c>
      <c r="B498" t="s">
        <v>449</v>
      </c>
      <c r="C498">
        <v>6.7</v>
      </c>
      <c r="D498">
        <f>VLOOKUP(A498,收盤價!A:C,3,0)</f>
        <v>7.55</v>
      </c>
      <c r="E498" s="87">
        <v>0.12686567164179099</v>
      </c>
      <c r="F498">
        <v>69.5</v>
      </c>
    </row>
    <row r="499" spans="1:6">
      <c r="A499">
        <v>3014</v>
      </c>
      <c r="B499" t="s">
        <v>992</v>
      </c>
      <c r="C499">
        <v>26.15</v>
      </c>
      <c r="D499">
        <f>VLOOKUP(A499,收盤價!A:C,3,0)</f>
        <v>29.45</v>
      </c>
      <c r="E499" s="87">
        <v>0.12619502868068838</v>
      </c>
      <c r="F499">
        <v>69.44</v>
      </c>
    </row>
    <row r="500" spans="1:6">
      <c r="A500">
        <v>4120</v>
      </c>
      <c r="B500" t="s">
        <v>326</v>
      </c>
      <c r="C500">
        <v>51.7</v>
      </c>
      <c r="D500">
        <f>VLOOKUP(A500,收盤價!A:C,3,0)</f>
        <v>58.2</v>
      </c>
      <c r="E500" s="87">
        <v>0.12572533849129594</v>
      </c>
      <c r="F500">
        <v>69.38</v>
      </c>
    </row>
    <row r="501" spans="1:6">
      <c r="A501">
        <v>4133</v>
      </c>
      <c r="B501" t="s">
        <v>1116</v>
      </c>
      <c r="C501">
        <v>32</v>
      </c>
      <c r="D501">
        <f>VLOOKUP(A501,收盤價!A:C,3,0)</f>
        <v>36</v>
      </c>
      <c r="E501" s="87">
        <v>0.125</v>
      </c>
      <c r="F501">
        <v>69.319999999999993</v>
      </c>
    </row>
    <row r="502" spans="1:6">
      <c r="A502">
        <v>8081</v>
      </c>
      <c r="B502" t="s">
        <v>1248</v>
      </c>
      <c r="C502">
        <v>62.6</v>
      </c>
      <c r="D502">
        <f>VLOOKUP(A502,收盤價!A:C,3,0)</f>
        <v>70.400000000000006</v>
      </c>
      <c r="E502" s="87">
        <v>0.12460063897763585</v>
      </c>
      <c r="F502">
        <v>69.260000000000005</v>
      </c>
    </row>
    <row r="503" spans="1:6">
      <c r="A503">
        <v>2459</v>
      </c>
      <c r="B503" t="s">
        <v>852</v>
      </c>
      <c r="C503">
        <v>33</v>
      </c>
      <c r="D503">
        <f>VLOOKUP(A503,收盤價!A:C,3,0)</f>
        <v>37.1</v>
      </c>
      <c r="E503" s="87">
        <v>0.12424242424242428</v>
      </c>
      <c r="F503">
        <v>69.2</v>
      </c>
    </row>
    <row r="504" spans="1:6">
      <c r="A504">
        <v>6456</v>
      </c>
      <c r="B504" t="s">
        <v>2078</v>
      </c>
      <c r="C504">
        <v>77.3</v>
      </c>
      <c r="D504">
        <f>VLOOKUP(A504,收盤價!A:C,3,0)</f>
        <v>86.9</v>
      </c>
      <c r="E504" s="87">
        <v>0.12419146183699882</v>
      </c>
      <c r="F504">
        <v>69.14</v>
      </c>
    </row>
    <row r="505" spans="1:6">
      <c r="A505">
        <v>9942</v>
      </c>
      <c r="B505" t="s">
        <v>1304</v>
      </c>
      <c r="C505">
        <v>74.099999999999994</v>
      </c>
      <c r="D505">
        <f>VLOOKUP(A505,收盤價!A:C,3,0)</f>
        <v>83.3</v>
      </c>
      <c r="E505" s="87">
        <v>0.12415654520917684</v>
      </c>
      <c r="F505">
        <v>69.08</v>
      </c>
    </row>
    <row r="506" spans="1:6">
      <c r="A506">
        <v>2395</v>
      </c>
      <c r="B506" t="s">
        <v>805</v>
      </c>
      <c r="C506">
        <v>226</v>
      </c>
      <c r="D506">
        <f>VLOOKUP(A506,收盤價!A:C,3,0)</f>
        <v>254</v>
      </c>
      <c r="E506" s="87">
        <v>0.12389380530973451</v>
      </c>
      <c r="F506">
        <v>69.010000000000005</v>
      </c>
    </row>
    <row r="507" spans="1:6">
      <c r="A507">
        <v>2239</v>
      </c>
      <c r="B507" t="s">
        <v>2043</v>
      </c>
      <c r="C507">
        <v>162</v>
      </c>
      <c r="D507">
        <f>VLOOKUP(A507,收盤價!A:C,3,0)</f>
        <v>182</v>
      </c>
      <c r="E507" s="87">
        <v>0.12345679012345678</v>
      </c>
      <c r="F507">
        <v>68.95</v>
      </c>
    </row>
    <row r="508" spans="1:6">
      <c r="A508">
        <v>2002</v>
      </c>
      <c r="B508" t="s">
        <v>697</v>
      </c>
      <c r="C508">
        <v>19.850000000000001</v>
      </c>
      <c r="D508">
        <f>VLOOKUP(A508,收盤價!A:C,3,0)</f>
        <v>22.3</v>
      </c>
      <c r="E508" s="87">
        <v>0.12342569269521406</v>
      </c>
      <c r="F508">
        <v>68.89</v>
      </c>
    </row>
    <row r="509" spans="1:6">
      <c r="A509">
        <v>6405</v>
      </c>
      <c r="B509" t="s">
        <v>1229</v>
      </c>
      <c r="C509">
        <v>13.8</v>
      </c>
      <c r="D509">
        <f>VLOOKUP(A509,收盤價!A:C,3,0)</f>
        <v>15.5</v>
      </c>
      <c r="E509" s="87">
        <v>0.12318840579710139</v>
      </c>
      <c r="F509">
        <v>68.83</v>
      </c>
    </row>
    <row r="510" spans="1:6">
      <c r="A510">
        <v>8054</v>
      </c>
      <c r="B510" t="s">
        <v>461</v>
      </c>
      <c r="C510">
        <v>17.600000000000001</v>
      </c>
      <c r="D510">
        <f>VLOOKUP(A510,收盤價!A:C,3,0)</f>
        <v>19.75</v>
      </c>
      <c r="E510" s="87">
        <v>0.12215909090909081</v>
      </c>
      <c r="F510">
        <v>68.77</v>
      </c>
    </row>
    <row r="511" spans="1:6">
      <c r="A511">
        <v>8182</v>
      </c>
      <c r="B511" t="s">
        <v>1680</v>
      </c>
      <c r="C511">
        <v>12.7</v>
      </c>
      <c r="D511">
        <f>VLOOKUP(A511,收盤價!A:C,3,0)</f>
        <v>14.25</v>
      </c>
      <c r="E511" s="87">
        <v>0.12204724409448825</v>
      </c>
      <c r="F511">
        <v>68.709999999999994</v>
      </c>
    </row>
    <row r="512" spans="1:6">
      <c r="A512">
        <v>3036</v>
      </c>
      <c r="B512" t="s">
        <v>1012</v>
      </c>
      <c r="C512">
        <v>39.85</v>
      </c>
      <c r="D512">
        <f>VLOOKUP(A512,收盤價!A:C,3,0)</f>
        <v>44.7</v>
      </c>
      <c r="E512" s="87">
        <v>0.12170639899623592</v>
      </c>
      <c r="F512">
        <v>68.650000000000006</v>
      </c>
    </row>
    <row r="513" spans="1:6">
      <c r="A513">
        <v>3514</v>
      </c>
      <c r="B513" t="s">
        <v>1073</v>
      </c>
      <c r="C513">
        <v>20.6</v>
      </c>
      <c r="D513">
        <f>VLOOKUP(A513,收盤價!A:C,3,0)</f>
        <v>23.1</v>
      </c>
      <c r="E513" s="87">
        <v>0.12135922330097086</v>
      </c>
      <c r="F513">
        <v>68.59</v>
      </c>
    </row>
    <row r="514" spans="1:6">
      <c r="A514">
        <v>1709</v>
      </c>
      <c r="B514" t="s">
        <v>653</v>
      </c>
      <c r="C514">
        <v>15.25</v>
      </c>
      <c r="D514">
        <f>VLOOKUP(A514,收盤價!A:C,3,0)</f>
        <v>17.100000000000001</v>
      </c>
      <c r="E514" s="87">
        <v>0.12131147540983615</v>
      </c>
      <c r="F514">
        <v>68.52</v>
      </c>
    </row>
    <row r="515" spans="1:6">
      <c r="A515">
        <v>3071</v>
      </c>
      <c r="B515" t="s">
        <v>1342</v>
      </c>
      <c r="C515">
        <v>6.57</v>
      </c>
      <c r="D515">
        <f>VLOOKUP(A515,收盤價!A:C,3,0)</f>
        <v>7.36</v>
      </c>
      <c r="E515" s="87">
        <v>0.12024353120243531</v>
      </c>
      <c r="F515">
        <v>68.459999999999994</v>
      </c>
    </row>
    <row r="516" spans="1:6">
      <c r="A516">
        <v>5305</v>
      </c>
      <c r="B516" t="s">
        <v>1153</v>
      </c>
      <c r="C516">
        <v>20</v>
      </c>
      <c r="D516">
        <f>VLOOKUP(A516,收盤價!A:C,3,0)</f>
        <v>22.4</v>
      </c>
      <c r="E516" s="87">
        <v>0.11999999999999993</v>
      </c>
      <c r="F516">
        <v>68.400000000000006</v>
      </c>
    </row>
    <row r="517" spans="1:6">
      <c r="A517">
        <v>3631</v>
      </c>
      <c r="B517" t="s">
        <v>317</v>
      </c>
      <c r="C517">
        <v>20.55</v>
      </c>
      <c r="D517">
        <f>VLOOKUP(A517,收盤價!A:C,3,0)</f>
        <v>23</v>
      </c>
      <c r="E517" s="87">
        <v>0.11922141119221408</v>
      </c>
      <c r="F517">
        <v>68.34</v>
      </c>
    </row>
    <row r="518" spans="1:6">
      <c r="A518">
        <v>1310</v>
      </c>
      <c r="B518" t="s">
        <v>536</v>
      </c>
      <c r="C518">
        <v>15.1</v>
      </c>
      <c r="D518">
        <f>VLOOKUP(A518,收盤價!A:C,3,0)</f>
        <v>16.899999999999999</v>
      </c>
      <c r="E518" s="87">
        <v>0.11920529801324496</v>
      </c>
      <c r="F518">
        <v>68.28</v>
      </c>
    </row>
    <row r="519" spans="1:6">
      <c r="A519">
        <v>9934</v>
      </c>
      <c r="B519" t="s">
        <v>1297</v>
      </c>
      <c r="C519">
        <v>13.85</v>
      </c>
      <c r="D519">
        <f>VLOOKUP(A519,收盤價!A:C,3,0)</f>
        <v>15.5</v>
      </c>
      <c r="E519" s="87">
        <v>0.11913357400722024</v>
      </c>
      <c r="F519">
        <v>68.22</v>
      </c>
    </row>
    <row r="520" spans="1:6">
      <c r="A520">
        <v>2888</v>
      </c>
      <c r="B520" t="s">
        <v>967</v>
      </c>
      <c r="C520">
        <v>6.14</v>
      </c>
      <c r="D520">
        <f>VLOOKUP(A520,收盤價!A:C,3,0)</f>
        <v>6.87</v>
      </c>
      <c r="E520" s="87">
        <v>0.11889250814332256</v>
      </c>
      <c r="F520">
        <v>68.16</v>
      </c>
    </row>
    <row r="521" spans="1:6">
      <c r="A521">
        <v>1475</v>
      </c>
      <c r="B521" t="s">
        <v>597</v>
      </c>
      <c r="C521">
        <v>7.08</v>
      </c>
      <c r="D521">
        <f>VLOOKUP(A521,收盤價!A:C,3,0)</f>
        <v>7.92</v>
      </c>
      <c r="E521" s="87">
        <v>0.11864406779661014</v>
      </c>
      <c r="F521">
        <v>68.099999999999994</v>
      </c>
    </row>
    <row r="522" spans="1:6">
      <c r="A522">
        <v>3532</v>
      </c>
      <c r="B522" t="s">
        <v>1077</v>
      </c>
      <c r="C522">
        <v>29.15</v>
      </c>
      <c r="D522">
        <f>VLOOKUP(A522,收盤價!A:C,3,0)</f>
        <v>32.6</v>
      </c>
      <c r="E522" s="87">
        <v>0.11835334476843921</v>
      </c>
      <c r="F522">
        <v>68.03</v>
      </c>
    </row>
    <row r="523" spans="1:6">
      <c r="A523">
        <v>5392</v>
      </c>
      <c r="B523" t="s">
        <v>1540</v>
      </c>
      <c r="C523">
        <v>44.8</v>
      </c>
      <c r="D523">
        <f>VLOOKUP(A523,收盤價!A:C,3,0)</f>
        <v>50.1</v>
      </c>
      <c r="E523" s="87">
        <v>0.11830357142857154</v>
      </c>
      <c r="F523">
        <v>67.97</v>
      </c>
    </row>
    <row r="524" spans="1:6">
      <c r="A524">
        <v>1537</v>
      </c>
      <c r="B524" t="s">
        <v>625</v>
      </c>
      <c r="C524">
        <v>132</v>
      </c>
      <c r="D524">
        <f>VLOOKUP(A524,收盤價!A:C,3,0)</f>
        <v>147.5</v>
      </c>
      <c r="E524" s="87">
        <v>0.11742424242424243</v>
      </c>
      <c r="F524">
        <v>67.91</v>
      </c>
    </row>
    <row r="525" spans="1:6">
      <c r="A525">
        <v>2312</v>
      </c>
      <c r="B525" t="s">
        <v>748</v>
      </c>
      <c r="C525">
        <v>10.65</v>
      </c>
      <c r="D525">
        <f>VLOOKUP(A525,收盤價!A:C,3,0)</f>
        <v>11.9</v>
      </c>
      <c r="E525" s="87">
        <v>0.11737089201877934</v>
      </c>
      <c r="F525">
        <v>67.849999999999994</v>
      </c>
    </row>
    <row r="526" spans="1:6">
      <c r="A526">
        <v>4984</v>
      </c>
      <c r="B526" t="s">
        <v>2063</v>
      </c>
      <c r="C526">
        <v>54</v>
      </c>
      <c r="D526">
        <f>VLOOKUP(A526,收盤價!A:C,3,0)</f>
        <v>60.2</v>
      </c>
      <c r="E526" s="87">
        <v>0.11481481481481487</v>
      </c>
      <c r="F526">
        <v>67.790000000000006</v>
      </c>
    </row>
    <row r="527" spans="1:6">
      <c r="A527">
        <v>3680</v>
      </c>
      <c r="B527" t="s">
        <v>1428</v>
      </c>
      <c r="C527">
        <v>27.5</v>
      </c>
      <c r="D527">
        <f>VLOOKUP(A527,收盤價!A:C,3,0)</f>
        <v>30.65</v>
      </c>
      <c r="E527" s="87">
        <v>0.11454545454545449</v>
      </c>
      <c r="F527">
        <v>67.73</v>
      </c>
    </row>
    <row r="528" spans="1:6">
      <c r="A528">
        <v>8426</v>
      </c>
      <c r="B528" t="s">
        <v>1700</v>
      </c>
      <c r="C528">
        <v>44.6</v>
      </c>
      <c r="D528">
        <f>VLOOKUP(A528,收盤價!A:C,3,0)</f>
        <v>49.7</v>
      </c>
      <c r="E528" s="87">
        <v>0.11434977578475339</v>
      </c>
      <c r="F528">
        <v>67.67</v>
      </c>
    </row>
    <row r="529" spans="1:6">
      <c r="A529">
        <v>2421</v>
      </c>
      <c r="B529" t="s">
        <v>822</v>
      </c>
      <c r="C529">
        <v>21.1</v>
      </c>
      <c r="D529">
        <f>VLOOKUP(A529,收盤價!A:C,3,0)</f>
        <v>23.5</v>
      </c>
      <c r="E529" s="87">
        <v>0.11374407582938381</v>
      </c>
      <c r="F529">
        <v>67.61</v>
      </c>
    </row>
    <row r="530" spans="1:6">
      <c r="A530">
        <v>4953</v>
      </c>
      <c r="B530" t="s">
        <v>1500</v>
      </c>
      <c r="C530">
        <v>18.5</v>
      </c>
      <c r="D530">
        <f>VLOOKUP(A530,收盤價!A:C,3,0)</f>
        <v>20.6</v>
      </c>
      <c r="E530" s="87">
        <v>0.11351351351351359</v>
      </c>
      <c r="F530">
        <v>67.540000000000006</v>
      </c>
    </row>
    <row r="531" spans="1:6">
      <c r="A531">
        <v>3202</v>
      </c>
      <c r="B531" t="s">
        <v>1359</v>
      </c>
      <c r="C531">
        <v>10.6</v>
      </c>
      <c r="D531">
        <f>VLOOKUP(A531,收盤價!A:C,3,0)</f>
        <v>11.8</v>
      </c>
      <c r="E531" s="87">
        <v>0.11320754716981142</v>
      </c>
      <c r="F531">
        <v>67.48</v>
      </c>
    </row>
    <row r="532" spans="1:6">
      <c r="A532">
        <v>1560</v>
      </c>
      <c r="B532" t="s">
        <v>631</v>
      </c>
      <c r="C532">
        <v>47.9</v>
      </c>
      <c r="D532">
        <f>VLOOKUP(A532,收盤價!A:C,3,0)</f>
        <v>53.3</v>
      </c>
      <c r="E532" s="87">
        <v>0.11273486430062628</v>
      </c>
      <c r="F532">
        <v>67.42</v>
      </c>
    </row>
    <row r="533" spans="1:6">
      <c r="A533">
        <v>4527</v>
      </c>
      <c r="B533" t="s">
        <v>1474</v>
      </c>
      <c r="C533">
        <v>24.4</v>
      </c>
      <c r="D533">
        <f>VLOOKUP(A533,收盤價!A:C,3,0)</f>
        <v>27.15</v>
      </c>
      <c r="E533" s="87">
        <v>0.11270491803278689</v>
      </c>
      <c r="F533">
        <v>67.36</v>
      </c>
    </row>
    <row r="534" spans="1:6">
      <c r="A534">
        <v>1615</v>
      </c>
      <c r="B534" t="s">
        <v>644</v>
      </c>
      <c r="C534">
        <v>8.9</v>
      </c>
      <c r="D534">
        <f>VLOOKUP(A534,收盤價!A:C,3,0)</f>
        <v>9.9</v>
      </c>
      <c r="E534" s="87">
        <v>0.11235955056179775</v>
      </c>
      <c r="F534">
        <v>67.3</v>
      </c>
    </row>
    <row r="535" spans="1:6">
      <c r="A535">
        <v>6225</v>
      </c>
      <c r="B535" t="s">
        <v>1212</v>
      </c>
      <c r="C535">
        <v>3.3</v>
      </c>
      <c r="D535">
        <f>VLOOKUP(A535,收盤價!A:C,3,0)</f>
        <v>3.67</v>
      </c>
      <c r="E535" s="87">
        <v>0.11212121212121216</v>
      </c>
      <c r="F535">
        <v>67.239999999999995</v>
      </c>
    </row>
    <row r="536" spans="1:6">
      <c r="A536">
        <v>5543</v>
      </c>
      <c r="B536" t="s">
        <v>3150</v>
      </c>
      <c r="C536">
        <v>25.9</v>
      </c>
      <c r="D536">
        <f>VLOOKUP(A536,收盤價!A:C,3,0)</f>
        <v>28.8</v>
      </c>
      <c r="E536" s="87">
        <v>0.11196911196911205</v>
      </c>
      <c r="F536">
        <v>67.180000000000007</v>
      </c>
    </row>
    <row r="537" spans="1:6">
      <c r="A537">
        <v>2385</v>
      </c>
      <c r="B537" t="s">
        <v>799</v>
      </c>
      <c r="C537">
        <v>72.599999999999994</v>
      </c>
      <c r="D537">
        <f>VLOOKUP(A537,收盤價!A:C,3,0)</f>
        <v>80.7</v>
      </c>
      <c r="E537" s="87">
        <v>0.11157024793388443</v>
      </c>
      <c r="F537">
        <v>67.12</v>
      </c>
    </row>
    <row r="538" spans="1:6">
      <c r="A538">
        <v>2049</v>
      </c>
      <c r="B538" t="s">
        <v>722</v>
      </c>
      <c r="C538">
        <v>130</v>
      </c>
      <c r="D538">
        <f>VLOOKUP(A538,收盤價!A:C,3,0)</f>
        <v>144.5</v>
      </c>
      <c r="E538" s="87">
        <v>0.11153846153846154</v>
      </c>
      <c r="F538">
        <v>67.05</v>
      </c>
    </row>
    <row r="539" spans="1:6">
      <c r="A539">
        <v>1463</v>
      </c>
      <c r="B539" t="s">
        <v>585</v>
      </c>
      <c r="C539">
        <v>16.600000000000001</v>
      </c>
      <c r="D539">
        <f>VLOOKUP(A539,收盤價!A:C,3,0)</f>
        <v>18.45</v>
      </c>
      <c r="E539" s="87">
        <v>0.11144578313252998</v>
      </c>
      <c r="F539">
        <v>66.989999999999995</v>
      </c>
    </row>
    <row r="540" spans="1:6">
      <c r="A540">
        <v>6264</v>
      </c>
      <c r="B540" t="s">
        <v>448</v>
      </c>
      <c r="C540">
        <v>8.1</v>
      </c>
      <c r="D540">
        <f>VLOOKUP(A540,收盤價!A:C,3,0)</f>
        <v>9</v>
      </c>
      <c r="E540" s="87">
        <v>0.11111111111111116</v>
      </c>
      <c r="F540">
        <v>66.930000000000007</v>
      </c>
    </row>
    <row r="541" spans="1:6">
      <c r="A541">
        <v>5403</v>
      </c>
      <c r="B541" t="s">
        <v>1724</v>
      </c>
      <c r="C541">
        <v>27</v>
      </c>
      <c r="D541">
        <f>VLOOKUP(A541,收盤價!A:C,3,0)</f>
        <v>30</v>
      </c>
      <c r="E541" s="87">
        <v>0.1111111111111111</v>
      </c>
      <c r="F541">
        <v>66.87</v>
      </c>
    </row>
    <row r="542" spans="1:6">
      <c r="A542">
        <v>1784</v>
      </c>
      <c r="B542" t="s">
        <v>1321</v>
      </c>
      <c r="C542">
        <v>27.5</v>
      </c>
      <c r="D542">
        <f>VLOOKUP(A542,收盤價!A:C,3,0)</f>
        <v>30.55</v>
      </c>
      <c r="E542" s="87">
        <v>0.11090909090909093</v>
      </c>
      <c r="F542">
        <v>66.81</v>
      </c>
    </row>
    <row r="543" spans="1:6">
      <c r="A543">
        <v>8033</v>
      </c>
      <c r="B543" t="s">
        <v>1243</v>
      </c>
      <c r="C543">
        <v>7.68</v>
      </c>
      <c r="D543">
        <f>VLOOKUP(A543,收盤價!A:C,3,0)</f>
        <v>8.5299999999999994</v>
      </c>
      <c r="E543" s="87">
        <v>0.11067708333333329</v>
      </c>
      <c r="F543">
        <v>66.75</v>
      </c>
    </row>
    <row r="544" spans="1:6">
      <c r="A544">
        <v>2472</v>
      </c>
      <c r="B544" t="s">
        <v>1722</v>
      </c>
      <c r="C544">
        <v>35.700000000000003</v>
      </c>
      <c r="D544">
        <f>VLOOKUP(A544,收盤價!A:C,3,0)</f>
        <v>39.65</v>
      </c>
      <c r="E544" s="87">
        <v>0.1106442577030811</v>
      </c>
      <c r="F544">
        <v>66.69</v>
      </c>
    </row>
    <row r="545" spans="1:6">
      <c r="A545">
        <v>1704</v>
      </c>
      <c r="B545" t="s">
        <v>650</v>
      </c>
      <c r="C545">
        <v>35.049999999999997</v>
      </c>
      <c r="D545">
        <f>VLOOKUP(A545,收盤價!A:C,3,0)</f>
        <v>38.9</v>
      </c>
      <c r="E545" s="87">
        <v>0.1098430813124109</v>
      </c>
      <c r="F545">
        <v>66.63</v>
      </c>
    </row>
    <row r="546" spans="1:6">
      <c r="A546">
        <v>1308</v>
      </c>
      <c r="B546" t="s">
        <v>534</v>
      </c>
      <c r="C546">
        <v>16.899999999999999</v>
      </c>
      <c r="D546">
        <f>VLOOKUP(A546,收盤價!A:C,3,0)</f>
        <v>18.75</v>
      </c>
      <c r="E546" s="87">
        <v>0.10946745562130186</v>
      </c>
      <c r="F546">
        <v>66.56</v>
      </c>
    </row>
    <row r="547" spans="1:6">
      <c r="A547">
        <v>1323</v>
      </c>
      <c r="B547" t="s">
        <v>545</v>
      </c>
      <c r="C547">
        <v>32.200000000000003</v>
      </c>
      <c r="D547">
        <f>VLOOKUP(A547,收盤價!A:C,3,0)</f>
        <v>35.700000000000003</v>
      </c>
      <c r="E547" s="87">
        <v>0.10869565217391304</v>
      </c>
      <c r="F547">
        <v>66.5</v>
      </c>
    </row>
    <row r="548" spans="1:6">
      <c r="A548">
        <v>1718</v>
      </c>
      <c r="B548" t="s">
        <v>661</v>
      </c>
      <c r="C548">
        <v>7.11</v>
      </c>
      <c r="D548">
        <f>VLOOKUP(A548,收盤價!A:C,3,0)</f>
        <v>7.88</v>
      </c>
      <c r="E548" s="87">
        <v>0.10829817158931077</v>
      </c>
      <c r="F548">
        <v>66.44</v>
      </c>
    </row>
    <row r="549" spans="1:6">
      <c r="A549">
        <v>3268</v>
      </c>
      <c r="B549" t="s">
        <v>270</v>
      </c>
      <c r="C549">
        <v>11.55</v>
      </c>
      <c r="D549">
        <f>VLOOKUP(A549,收盤價!A:C,3,0)</f>
        <v>12.8</v>
      </c>
      <c r="E549" s="87">
        <v>0.10822510822510822</v>
      </c>
      <c r="F549">
        <v>66.38</v>
      </c>
    </row>
    <row r="550" spans="1:6">
      <c r="A550">
        <v>1259</v>
      </c>
      <c r="B550" t="s">
        <v>223</v>
      </c>
      <c r="C550">
        <v>72.2</v>
      </c>
      <c r="D550">
        <f>VLOOKUP(A550,收盤價!A:C,3,0)</f>
        <v>80</v>
      </c>
      <c r="E550" s="87">
        <v>0.10803324099722987</v>
      </c>
      <c r="F550">
        <v>66.319999999999993</v>
      </c>
    </row>
    <row r="551" spans="1:6">
      <c r="A551" t="s">
        <v>1893</v>
      </c>
      <c r="B551" t="s">
        <v>2285</v>
      </c>
      <c r="C551">
        <v>75.400000000000006</v>
      </c>
      <c r="D551">
        <f>VLOOKUP(A551,收盤價!A:C,3,0)</f>
        <v>83.5</v>
      </c>
      <c r="E551" s="87">
        <v>0.10742705570291769</v>
      </c>
      <c r="F551">
        <v>66.260000000000005</v>
      </c>
    </row>
    <row r="552" spans="1:6">
      <c r="A552">
        <v>5015</v>
      </c>
      <c r="B552" t="s">
        <v>365</v>
      </c>
      <c r="C552">
        <v>22.35</v>
      </c>
      <c r="D552">
        <f>VLOOKUP(A552,收盤價!A:C,3,0)</f>
        <v>24.75</v>
      </c>
      <c r="E552" s="87">
        <v>0.1073825503355704</v>
      </c>
      <c r="F552">
        <v>66.2</v>
      </c>
    </row>
    <row r="553" spans="1:6">
      <c r="A553">
        <v>6435</v>
      </c>
      <c r="B553" t="s">
        <v>1797</v>
      </c>
      <c r="C553">
        <v>35.450000000000003</v>
      </c>
      <c r="D553">
        <f>VLOOKUP(A553,收盤價!A:C,3,0)</f>
        <v>39.25</v>
      </c>
      <c r="E553" s="87">
        <v>0.10719322990126931</v>
      </c>
      <c r="F553">
        <v>66.14</v>
      </c>
    </row>
    <row r="554" spans="1:6">
      <c r="A554">
        <v>6171</v>
      </c>
      <c r="B554" t="s">
        <v>423</v>
      </c>
      <c r="C554">
        <v>9.9</v>
      </c>
      <c r="D554">
        <f>VLOOKUP(A554,收盤價!A:C,3,0)</f>
        <v>10.95</v>
      </c>
      <c r="E554" s="87">
        <v>0.10606060606060595</v>
      </c>
      <c r="F554">
        <v>66.069999999999993</v>
      </c>
    </row>
    <row r="555" spans="1:6">
      <c r="A555">
        <v>2524</v>
      </c>
      <c r="B555" t="s">
        <v>894</v>
      </c>
      <c r="C555">
        <v>17</v>
      </c>
      <c r="D555">
        <f>VLOOKUP(A555,收盤價!A:C,3,0)</f>
        <v>18.8</v>
      </c>
      <c r="E555" s="87">
        <v>0.10588235294117651</v>
      </c>
      <c r="F555">
        <v>66.010000000000005</v>
      </c>
    </row>
    <row r="556" spans="1:6">
      <c r="A556">
        <v>8431</v>
      </c>
      <c r="B556" t="s">
        <v>479</v>
      </c>
      <c r="C556">
        <v>54.8</v>
      </c>
      <c r="D556">
        <f>VLOOKUP(A556,收盤價!A:C,3,0)</f>
        <v>60.6</v>
      </c>
      <c r="E556" s="87">
        <v>0.10583941605839424</v>
      </c>
      <c r="F556">
        <v>65.95</v>
      </c>
    </row>
    <row r="557" spans="1:6">
      <c r="A557">
        <v>4906</v>
      </c>
      <c r="B557" t="s">
        <v>1134</v>
      </c>
      <c r="C557">
        <v>16.600000000000001</v>
      </c>
      <c r="D557">
        <f>VLOOKUP(A557,收盤價!A:C,3,0)</f>
        <v>18.350000000000001</v>
      </c>
      <c r="E557" s="87">
        <v>0.10542168674698794</v>
      </c>
      <c r="F557">
        <v>65.89</v>
      </c>
    </row>
    <row r="558" spans="1:6">
      <c r="A558">
        <v>1449</v>
      </c>
      <c r="B558" t="s">
        <v>575</v>
      </c>
      <c r="C558">
        <v>3.7</v>
      </c>
      <c r="D558">
        <f>VLOOKUP(A558,收盤價!A:C,3,0)</f>
        <v>4.09</v>
      </c>
      <c r="E558" s="87">
        <v>0.10540540540540531</v>
      </c>
      <c r="F558">
        <v>65.83</v>
      </c>
    </row>
    <row r="559" spans="1:6">
      <c r="A559">
        <v>9940</v>
      </c>
      <c r="B559" t="s">
        <v>1302</v>
      </c>
      <c r="C559">
        <v>26.3</v>
      </c>
      <c r="D559">
        <f>VLOOKUP(A559,收盤價!A:C,3,0)</f>
        <v>29.05</v>
      </c>
      <c r="E559" s="87">
        <v>0.10456273764258554</v>
      </c>
      <c r="F559">
        <v>65.77</v>
      </c>
    </row>
    <row r="560" spans="1:6">
      <c r="A560">
        <v>6205</v>
      </c>
      <c r="B560" t="s">
        <v>1204</v>
      </c>
      <c r="C560">
        <v>27.3</v>
      </c>
      <c r="D560">
        <f>VLOOKUP(A560,收盤價!A:C,3,0)</f>
        <v>30.15</v>
      </c>
      <c r="E560" s="87">
        <v>0.10439560439560432</v>
      </c>
      <c r="F560">
        <v>65.709999999999994</v>
      </c>
    </row>
    <row r="561" spans="1:6">
      <c r="A561">
        <v>3454</v>
      </c>
      <c r="B561" t="s">
        <v>1067</v>
      </c>
      <c r="C561">
        <v>72</v>
      </c>
      <c r="D561">
        <f>VLOOKUP(A561,收盤價!A:C,3,0)</f>
        <v>79.5</v>
      </c>
      <c r="E561" s="87">
        <v>0.10416666666666667</v>
      </c>
      <c r="F561">
        <v>65.650000000000006</v>
      </c>
    </row>
    <row r="562" spans="1:6">
      <c r="A562">
        <v>3443</v>
      </c>
      <c r="B562" t="s">
        <v>1065</v>
      </c>
      <c r="C562">
        <v>71.099999999999994</v>
      </c>
      <c r="D562">
        <f>VLOOKUP(A562,收盤價!A:C,3,0)</f>
        <v>78.5</v>
      </c>
      <c r="E562" s="87">
        <v>0.10407876230661049</v>
      </c>
      <c r="F562">
        <v>65.58</v>
      </c>
    </row>
    <row r="563" spans="1:6">
      <c r="A563">
        <v>1712</v>
      </c>
      <c r="B563" t="s">
        <v>656</v>
      </c>
      <c r="C563">
        <v>14</v>
      </c>
      <c r="D563">
        <f>VLOOKUP(A563,收盤價!A:C,3,0)</f>
        <v>15.45</v>
      </c>
      <c r="E563" s="87">
        <v>0.10357142857142852</v>
      </c>
      <c r="F563">
        <v>65.52</v>
      </c>
    </row>
    <row r="564" spans="1:6">
      <c r="A564">
        <v>4190</v>
      </c>
      <c r="B564" t="s">
        <v>2056</v>
      </c>
      <c r="C564">
        <v>88.1</v>
      </c>
      <c r="D564">
        <f>VLOOKUP(A564,收盤價!A:C,3,0)</f>
        <v>97.2</v>
      </c>
      <c r="E564" s="87">
        <v>0.1032917139614076</v>
      </c>
      <c r="F564">
        <v>65.459999999999994</v>
      </c>
    </row>
    <row r="565" spans="1:6">
      <c r="A565">
        <v>2402</v>
      </c>
      <c r="B565" t="s">
        <v>809</v>
      </c>
      <c r="C565">
        <v>13.1</v>
      </c>
      <c r="D565">
        <f>VLOOKUP(A565,收盤價!A:C,3,0)</f>
        <v>14.45</v>
      </c>
      <c r="E565" s="87">
        <v>0.10305343511450379</v>
      </c>
      <c r="F565">
        <v>65.400000000000006</v>
      </c>
    </row>
    <row r="566" spans="1:6">
      <c r="A566">
        <v>9914</v>
      </c>
      <c r="B566" t="s">
        <v>1284</v>
      </c>
      <c r="C566">
        <v>127</v>
      </c>
      <c r="D566">
        <f>VLOOKUP(A566,收盤價!A:C,3,0)</f>
        <v>140</v>
      </c>
      <c r="E566" s="87">
        <v>0.10236220472440945</v>
      </c>
      <c r="F566">
        <v>65.34</v>
      </c>
    </row>
    <row r="567" spans="1:6">
      <c r="A567">
        <v>5353</v>
      </c>
      <c r="B567" t="s">
        <v>1535</v>
      </c>
      <c r="C567">
        <v>9.8000000000000007</v>
      </c>
      <c r="D567">
        <f>VLOOKUP(A567,收盤價!A:C,3,0)</f>
        <v>10.8</v>
      </c>
      <c r="E567" s="87">
        <v>0.1020408163265306</v>
      </c>
      <c r="F567">
        <v>65.28</v>
      </c>
    </row>
    <row r="568" spans="1:6">
      <c r="A568">
        <v>2441</v>
      </c>
      <c r="B568" t="s">
        <v>839</v>
      </c>
      <c r="C568">
        <v>35.799999999999997</v>
      </c>
      <c r="D568">
        <f>VLOOKUP(A568,收盤價!A:C,3,0)</f>
        <v>39.4</v>
      </c>
      <c r="E568" s="87">
        <v>0.10055865921787714</v>
      </c>
      <c r="F568">
        <v>65.22</v>
      </c>
    </row>
    <row r="569" spans="1:6">
      <c r="A569">
        <v>1452</v>
      </c>
      <c r="B569" t="s">
        <v>577</v>
      </c>
      <c r="C569">
        <v>17.899999999999999</v>
      </c>
      <c r="D569">
        <f>VLOOKUP(A569,收盤價!A:C,3,0)</f>
        <v>19.7</v>
      </c>
      <c r="E569" s="87">
        <v>0.10055865921787714</v>
      </c>
      <c r="F569">
        <v>65.16</v>
      </c>
    </row>
    <row r="570" spans="1:6">
      <c r="A570">
        <v>5871</v>
      </c>
      <c r="B570" t="s">
        <v>2071</v>
      </c>
      <c r="C570">
        <v>49.8</v>
      </c>
      <c r="D570">
        <f>VLOOKUP(A570,收盤價!A:C,3,0)</f>
        <v>54.8</v>
      </c>
      <c r="E570" s="87">
        <v>0.10040160642570281</v>
      </c>
      <c r="F570">
        <v>65.09</v>
      </c>
    </row>
    <row r="571" spans="1:6">
      <c r="A571">
        <v>6198</v>
      </c>
      <c r="B571" t="s">
        <v>1612</v>
      </c>
      <c r="C571">
        <v>20</v>
      </c>
      <c r="D571">
        <f>VLOOKUP(A571,收盤價!A:C,3,0)</f>
        <v>22</v>
      </c>
      <c r="E571" s="87">
        <v>0.1</v>
      </c>
      <c r="F571">
        <v>65.03</v>
      </c>
    </row>
    <row r="572" spans="1:6">
      <c r="A572">
        <v>3577</v>
      </c>
      <c r="B572" t="s">
        <v>1414</v>
      </c>
      <c r="C572">
        <v>35.1</v>
      </c>
      <c r="D572">
        <f>VLOOKUP(A572,收盤價!A:C,3,0)</f>
        <v>38.6</v>
      </c>
      <c r="E572" s="87">
        <v>9.9715099715099717E-2</v>
      </c>
      <c r="F572">
        <v>64.97</v>
      </c>
    </row>
    <row r="573" spans="1:6">
      <c r="A573">
        <v>4510</v>
      </c>
      <c r="B573" t="s">
        <v>1471</v>
      </c>
      <c r="C573">
        <v>15.55</v>
      </c>
      <c r="D573">
        <f>VLOOKUP(A573,收盤價!A:C,3,0)</f>
        <v>17.100000000000001</v>
      </c>
      <c r="E573" s="87">
        <v>9.9678456591639916E-2</v>
      </c>
      <c r="F573">
        <v>64.91</v>
      </c>
    </row>
    <row r="574" spans="1:6">
      <c r="A574">
        <v>1232</v>
      </c>
      <c r="B574" t="s">
        <v>524</v>
      </c>
      <c r="C574">
        <v>77.3</v>
      </c>
      <c r="D574">
        <f>VLOOKUP(A574,收盤價!A:C,3,0)</f>
        <v>85</v>
      </c>
      <c r="E574" s="87">
        <v>9.9611901681759416E-2</v>
      </c>
      <c r="F574">
        <v>64.849999999999994</v>
      </c>
    </row>
    <row r="575" spans="1:6">
      <c r="A575">
        <v>5009</v>
      </c>
      <c r="B575" t="s">
        <v>363</v>
      </c>
      <c r="C575">
        <v>15.6</v>
      </c>
      <c r="D575">
        <f>VLOOKUP(A575,收盤價!A:C,3,0)</f>
        <v>17.149999999999999</v>
      </c>
      <c r="E575" s="87">
        <v>9.9358974358974297E-2</v>
      </c>
      <c r="F575">
        <v>64.790000000000006</v>
      </c>
    </row>
    <row r="576" spans="1:6">
      <c r="A576">
        <v>2423</v>
      </c>
      <c r="B576" t="s">
        <v>823</v>
      </c>
      <c r="C576">
        <v>17.649999999999999</v>
      </c>
      <c r="D576">
        <f>VLOOKUP(A576,收盤價!A:C,3,0)</f>
        <v>19.399999999999999</v>
      </c>
      <c r="E576" s="87">
        <v>9.9150141643059492E-2</v>
      </c>
      <c r="F576">
        <v>64.73</v>
      </c>
    </row>
    <row r="577" spans="1:6">
      <c r="A577">
        <v>5902</v>
      </c>
      <c r="B577" t="s">
        <v>409</v>
      </c>
      <c r="C577">
        <v>11.6</v>
      </c>
      <c r="D577">
        <f>VLOOKUP(A577,收盤價!A:C,3,0)</f>
        <v>12.75</v>
      </c>
      <c r="E577" s="87">
        <v>9.913793103448279E-2</v>
      </c>
      <c r="F577">
        <v>64.67</v>
      </c>
    </row>
    <row r="578" spans="1:6">
      <c r="A578">
        <v>2923</v>
      </c>
      <c r="B578" t="s">
        <v>2047</v>
      </c>
      <c r="C578">
        <v>19.8</v>
      </c>
      <c r="D578">
        <f>VLOOKUP(A578,收盤價!A:C,3,0)</f>
        <v>21.75</v>
      </c>
      <c r="E578" s="87">
        <v>9.8484848484848439E-2</v>
      </c>
      <c r="F578">
        <v>64.61</v>
      </c>
    </row>
    <row r="579" spans="1:6">
      <c r="A579">
        <v>3702</v>
      </c>
      <c r="B579" t="s">
        <v>1107</v>
      </c>
      <c r="C579">
        <v>33.549999999999997</v>
      </c>
      <c r="D579">
        <f>VLOOKUP(A579,收盤價!A:C,3,0)</f>
        <v>36.85</v>
      </c>
      <c r="E579" s="87">
        <v>9.8360655737705055E-2</v>
      </c>
      <c r="F579">
        <v>64.540000000000006</v>
      </c>
    </row>
    <row r="580" spans="1:6">
      <c r="A580">
        <v>6175</v>
      </c>
      <c r="B580" t="s">
        <v>424</v>
      </c>
      <c r="C580">
        <v>12.2</v>
      </c>
      <c r="D580">
        <f>VLOOKUP(A580,收盤價!A:C,3,0)</f>
        <v>13.4</v>
      </c>
      <c r="E580" s="87">
        <v>9.8360655737705013E-2</v>
      </c>
      <c r="F580">
        <v>64.48</v>
      </c>
    </row>
    <row r="581" spans="1:6">
      <c r="A581">
        <v>1729</v>
      </c>
      <c r="B581" t="s">
        <v>670</v>
      </c>
      <c r="C581">
        <v>69.400000000000006</v>
      </c>
      <c r="D581">
        <f>VLOOKUP(A581,收盤價!A:C,3,0)</f>
        <v>76.2</v>
      </c>
      <c r="E581" s="87">
        <v>9.7982708933717536E-2</v>
      </c>
      <c r="F581">
        <v>64.42</v>
      </c>
    </row>
    <row r="582" spans="1:6">
      <c r="A582">
        <v>1626</v>
      </c>
      <c r="B582" t="s">
        <v>2038</v>
      </c>
      <c r="C582">
        <v>24.5</v>
      </c>
      <c r="D582">
        <f>VLOOKUP(A582,收盤價!A:C,3,0)</f>
        <v>26.9</v>
      </c>
      <c r="E582" s="87">
        <v>9.7959183673469327E-2</v>
      </c>
      <c r="F582">
        <v>64.36</v>
      </c>
    </row>
    <row r="583" spans="1:6">
      <c r="A583">
        <v>6213</v>
      </c>
      <c r="B583" t="s">
        <v>1207</v>
      </c>
      <c r="C583">
        <v>29.15</v>
      </c>
      <c r="D583">
        <f>VLOOKUP(A583,收盤價!A:C,3,0)</f>
        <v>32</v>
      </c>
      <c r="E583" s="87">
        <v>9.7770154373928012E-2</v>
      </c>
      <c r="F583">
        <v>64.3</v>
      </c>
    </row>
    <row r="584" spans="1:6">
      <c r="A584">
        <v>1229</v>
      </c>
      <c r="B584" t="s">
        <v>522</v>
      </c>
      <c r="C584">
        <v>19.95</v>
      </c>
      <c r="D584">
        <f>VLOOKUP(A584,收盤價!A:C,3,0)</f>
        <v>21.9</v>
      </c>
      <c r="E584" s="87">
        <v>9.7744360902255606E-2</v>
      </c>
      <c r="F584">
        <v>64.239999999999995</v>
      </c>
    </row>
    <row r="585" spans="1:6">
      <c r="A585">
        <v>2024</v>
      </c>
      <c r="B585" t="s">
        <v>711</v>
      </c>
      <c r="C585">
        <v>6.61</v>
      </c>
      <c r="D585">
        <f>VLOOKUP(A585,收盤價!A:C,3,0)</f>
        <v>7.25</v>
      </c>
      <c r="E585" s="87">
        <v>9.6822995461422035E-2</v>
      </c>
      <c r="F585">
        <v>64.180000000000007</v>
      </c>
    </row>
    <row r="586" spans="1:6">
      <c r="A586">
        <v>3596</v>
      </c>
      <c r="B586" t="s">
        <v>1092</v>
      </c>
      <c r="C586">
        <v>52.2</v>
      </c>
      <c r="D586">
        <f>VLOOKUP(A586,收盤價!A:C,3,0)</f>
        <v>57.2</v>
      </c>
      <c r="E586" s="87">
        <v>9.5785440613026809E-2</v>
      </c>
      <c r="F586">
        <v>64.12</v>
      </c>
    </row>
    <row r="587" spans="1:6">
      <c r="A587">
        <v>2491</v>
      </c>
      <c r="B587" t="s">
        <v>876</v>
      </c>
      <c r="C587">
        <v>7.1</v>
      </c>
      <c r="D587">
        <f>VLOOKUP(A587,收盤價!A:C,3,0)</f>
        <v>7.78</v>
      </c>
      <c r="E587" s="87">
        <v>9.5774647887324038E-2</v>
      </c>
      <c r="F587">
        <v>64.05</v>
      </c>
    </row>
    <row r="588" spans="1:6">
      <c r="A588">
        <v>8074</v>
      </c>
      <c r="B588" t="s">
        <v>1661</v>
      </c>
      <c r="C588">
        <v>25.7</v>
      </c>
      <c r="D588">
        <f>VLOOKUP(A588,收盤價!A:C,3,0)</f>
        <v>28.15</v>
      </c>
      <c r="E588" s="87">
        <v>9.5330739299610875E-2</v>
      </c>
      <c r="F588">
        <v>63.99</v>
      </c>
    </row>
    <row r="589" spans="1:6">
      <c r="A589">
        <v>3221</v>
      </c>
      <c r="B589" t="s">
        <v>1365</v>
      </c>
      <c r="C589">
        <v>24.75</v>
      </c>
      <c r="D589">
        <f>VLOOKUP(A589,收盤價!A:C,3,0)</f>
        <v>27.1</v>
      </c>
      <c r="E589" s="87">
        <v>9.4949494949495006E-2</v>
      </c>
      <c r="F589">
        <v>63.93</v>
      </c>
    </row>
    <row r="590" spans="1:6">
      <c r="A590">
        <v>2324</v>
      </c>
      <c r="B590" t="s">
        <v>755</v>
      </c>
      <c r="C590">
        <v>17.399999999999999</v>
      </c>
      <c r="D590">
        <f>VLOOKUP(A590,收盤價!A:C,3,0)</f>
        <v>19.05</v>
      </c>
      <c r="E590" s="87">
        <v>9.4827586206896686E-2</v>
      </c>
      <c r="F590">
        <v>63.87</v>
      </c>
    </row>
    <row r="591" spans="1:6">
      <c r="A591">
        <v>2488</v>
      </c>
      <c r="B591" t="s">
        <v>874</v>
      </c>
      <c r="C591">
        <v>43.8</v>
      </c>
      <c r="D591">
        <f>VLOOKUP(A591,收盤價!A:C,3,0)</f>
        <v>47.95</v>
      </c>
      <c r="E591" s="87">
        <v>9.4748858447488718E-2</v>
      </c>
      <c r="F591">
        <v>63.81</v>
      </c>
    </row>
    <row r="592" spans="1:6">
      <c r="A592">
        <v>3048</v>
      </c>
      <c r="B592" t="s">
        <v>1023</v>
      </c>
      <c r="C592">
        <v>15.9</v>
      </c>
      <c r="D592">
        <f>VLOOKUP(A592,收盤價!A:C,3,0)</f>
        <v>17.399999999999999</v>
      </c>
      <c r="E592" s="87">
        <v>9.4339622641509316E-2</v>
      </c>
      <c r="F592">
        <v>63.75</v>
      </c>
    </row>
    <row r="593" spans="1:6">
      <c r="A593">
        <v>1605</v>
      </c>
      <c r="B593" t="s">
        <v>637</v>
      </c>
      <c r="C593">
        <v>9.4600000000000009</v>
      </c>
      <c r="D593">
        <f>VLOOKUP(A593,收盤價!A:C,3,0)</f>
        <v>10.35</v>
      </c>
      <c r="E593" s="87">
        <v>9.4080338266384636E-2</v>
      </c>
      <c r="F593">
        <v>63.69</v>
      </c>
    </row>
    <row r="594" spans="1:6">
      <c r="A594">
        <v>3025</v>
      </c>
      <c r="B594" t="s">
        <v>1001</v>
      </c>
      <c r="C594">
        <v>10.1</v>
      </c>
      <c r="D594">
        <f>VLOOKUP(A594,收盤價!A:C,3,0)</f>
        <v>11.05</v>
      </c>
      <c r="E594" s="87">
        <v>9.4059405940594171E-2</v>
      </c>
      <c r="F594">
        <v>63.63</v>
      </c>
    </row>
    <row r="595" spans="1:6">
      <c r="A595">
        <v>2204</v>
      </c>
      <c r="B595" t="s">
        <v>736</v>
      </c>
      <c r="C595">
        <v>22.55</v>
      </c>
      <c r="D595">
        <f>VLOOKUP(A595,收盤價!A:C,3,0)</f>
        <v>24.65</v>
      </c>
      <c r="E595" s="87">
        <v>9.312638580931254E-2</v>
      </c>
      <c r="F595">
        <v>63.56</v>
      </c>
    </row>
    <row r="596" spans="1:6">
      <c r="A596">
        <v>4533</v>
      </c>
      <c r="B596" t="s">
        <v>1478</v>
      </c>
      <c r="C596">
        <v>12.35</v>
      </c>
      <c r="D596">
        <f>VLOOKUP(A596,收盤價!A:C,3,0)</f>
        <v>13.5</v>
      </c>
      <c r="E596" s="87">
        <v>9.3117408906882623E-2</v>
      </c>
      <c r="F596">
        <v>63.5</v>
      </c>
    </row>
    <row r="597" spans="1:6">
      <c r="A597">
        <v>1102</v>
      </c>
      <c r="B597" t="s">
        <v>505</v>
      </c>
      <c r="C597">
        <v>24.75</v>
      </c>
      <c r="D597">
        <f>VLOOKUP(A597,收盤價!A:C,3,0)</f>
        <v>27.05</v>
      </c>
      <c r="E597" s="87">
        <v>9.2929292929292959E-2</v>
      </c>
      <c r="F597">
        <v>63.44</v>
      </c>
    </row>
    <row r="598" spans="1:6">
      <c r="A598">
        <v>5478</v>
      </c>
      <c r="B598" t="s">
        <v>400</v>
      </c>
      <c r="C598">
        <v>57.5</v>
      </c>
      <c r="D598">
        <f>VLOOKUP(A598,收盤價!A:C,3,0)</f>
        <v>62.8</v>
      </c>
      <c r="E598" s="87">
        <v>9.2173913043478217E-2</v>
      </c>
      <c r="F598">
        <v>63.38</v>
      </c>
    </row>
    <row r="599" spans="1:6">
      <c r="A599">
        <v>5302</v>
      </c>
      <c r="B599" t="s">
        <v>379</v>
      </c>
      <c r="C599">
        <v>5.0999999999999996</v>
      </c>
      <c r="D599">
        <f>VLOOKUP(A599,收盤價!A:C,3,0)</f>
        <v>5.57</v>
      </c>
      <c r="E599" s="87">
        <v>9.215686274509817E-2</v>
      </c>
      <c r="F599">
        <v>63.32</v>
      </c>
    </row>
    <row r="600" spans="1:6">
      <c r="A600">
        <v>1710</v>
      </c>
      <c r="B600" t="s">
        <v>654</v>
      </c>
      <c r="C600">
        <v>19</v>
      </c>
      <c r="D600">
        <f>VLOOKUP(A600,收盤價!A:C,3,0)</f>
        <v>20.75</v>
      </c>
      <c r="E600" s="87">
        <v>9.2105263157894732E-2</v>
      </c>
      <c r="F600">
        <v>63.26</v>
      </c>
    </row>
    <row r="601" spans="1:6">
      <c r="A601">
        <v>2534</v>
      </c>
      <c r="B601" t="s">
        <v>898</v>
      </c>
      <c r="C601">
        <v>15.8</v>
      </c>
      <c r="D601">
        <f>VLOOKUP(A601,收盤價!A:C,3,0)</f>
        <v>17.25</v>
      </c>
      <c r="E601" s="87">
        <v>9.1772151898734125E-2</v>
      </c>
      <c r="F601">
        <v>63.2</v>
      </c>
    </row>
    <row r="602" spans="1:6">
      <c r="A602">
        <v>3055</v>
      </c>
      <c r="B602" t="s">
        <v>1029</v>
      </c>
      <c r="C602">
        <v>16.5</v>
      </c>
      <c r="D602">
        <f>VLOOKUP(A602,收盤價!A:C,3,0)</f>
        <v>18</v>
      </c>
      <c r="E602" s="87">
        <v>9.0909090909090912E-2</v>
      </c>
      <c r="F602">
        <v>63.14</v>
      </c>
    </row>
    <row r="603" spans="1:6">
      <c r="A603">
        <v>1810</v>
      </c>
      <c r="B603" t="s">
        <v>689</v>
      </c>
      <c r="C603">
        <v>7.49</v>
      </c>
      <c r="D603">
        <f>VLOOKUP(A603,收盤價!A:C,3,0)</f>
        <v>8.17</v>
      </c>
      <c r="E603" s="87">
        <v>9.0787716955941219E-2</v>
      </c>
      <c r="F603">
        <v>63.07</v>
      </c>
    </row>
    <row r="604" spans="1:6">
      <c r="A604">
        <v>2101</v>
      </c>
      <c r="B604" t="s">
        <v>725</v>
      </c>
      <c r="C604">
        <v>27</v>
      </c>
      <c r="D604">
        <f>VLOOKUP(A604,收盤價!A:C,3,0)</f>
        <v>29.45</v>
      </c>
      <c r="E604" s="87">
        <v>9.0740740740740719E-2</v>
      </c>
      <c r="F604">
        <v>63.01</v>
      </c>
    </row>
    <row r="605" spans="1:6">
      <c r="A605">
        <v>5285</v>
      </c>
      <c r="B605" t="s">
        <v>1152</v>
      </c>
      <c r="C605">
        <v>30.6</v>
      </c>
      <c r="D605">
        <f>VLOOKUP(A605,收盤價!A:C,3,0)</f>
        <v>33.35</v>
      </c>
      <c r="E605" s="87">
        <v>8.9869281045751634E-2</v>
      </c>
      <c r="F605">
        <v>62.95</v>
      </c>
    </row>
    <row r="606" spans="1:6">
      <c r="A606">
        <v>1402</v>
      </c>
      <c r="B606" t="s">
        <v>550</v>
      </c>
      <c r="C606">
        <v>22.3</v>
      </c>
      <c r="D606">
        <f>VLOOKUP(A606,收盤價!A:C,3,0)</f>
        <v>24.3</v>
      </c>
      <c r="E606" s="87">
        <v>8.9686098654708515E-2</v>
      </c>
      <c r="F606">
        <v>62.89</v>
      </c>
    </row>
    <row r="607" spans="1:6">
      <c r="A607">
        <v>1301</v>
      </c>
      <c r="B607" t="s">
        <v>529</v>
      </c>
      <c r="C607">
        <v>77.2</v>
      </c>
      <c r="D607">
        <f>VLOOKUP(A607,收盤價!A:C,3,0)</f>
        <v>84.1</v>
      </c>
      <c r="E607" s="87">
        <v>8.9378238341968799E-2</v>
      </c>
      <c r="F607">
        <v>62.83</v>
      </c>
    </row>
    <row r="608" spans="1:6">
      <c r="A608">
        <v>3047</v>
      </c>
      <c r="B608" t="s">
        <v>1022</v>
      </c>
      <c r="C608">
        <v>9.5500000000000007</v>
      </c>
      <c r="D608">
        <f>VLOOKUP(A608,收盤價!A:C,3,0)</f>
        <v>10.4</v>
      </c>
      <c r="E608" s="87">
        <v>8.9005235602094196E-2</v>
      </c>
      <c r="F608">
        <v>62.77</v>
      </c>
    </row>
    <row r="609" spans="1:6">
      <c r="A609">
        <v>3122</v>
      </c>
      <c r="B609" t="s">
        <v>1351</v>
      </c>
      <c r="C609">
        <v>15.75</v>
      </c>
      <c r="D609">
        <f>VLOOKUP(A609,收盤價!A:C,3,0)</f>
        <v>17.149999999999999</v>
      </c>
      <c r="E609" s="87">
        <v>8.8888888888888795E-2</v>
      </c>
      <c r="F609">
        <v>62.71</v>
      </c>
    </row>
    <row r="610" spans="1:6">
      <c r="A610">
        <v>6224</v>
      </c>
      <c r="B610" t="s">
        <v>1211</v>
      </c>
      <c r="C610">
        <v>55.2</v>
      </c>
      <c r="D610">
        <f>VLOOKUP(A610,收盤價!A:C,3,0)</f>
        <v>60.1</v>
      </c>
      <c r="E610" s="87">
        <v>8.876811594202895E-2</v>
      </c>
      <c r="F610">
        <v>62.65</v>
      </c>
    </row>
    <row r="611" spans="1:6">
      <c r="A611">
        <v>6215</v>
      </c>
      <c r="B611" t="s">
        <v>1209</v>
      </c>
      <c r="C611">
        <v>11.3</v>
      </c>
      <c r="D611">
        <f>VLOOKUP(A611,收盤價!A:C,3,0)</f>
        <v>12.3</v>
      </c>
      <c r="E611" s="87">
        <v>8.8495575221238937E-2</v>
      </c>
      <c r="F611">
        <v>62.58</v>
      </c>
    </row>
    <row r="612" spans="1:6">
      <c r="A612">
        <v>3306</v>
      </c>
      <c r="B612" t="s">
        <v>1377</v>
      </c>
      <c r="C612">
        <v>22.2</v>
      </c>
      <c r="D612">
        <f>VLOOKUP(A612,收盤價!A:C,3,0)</f>
        <v>24.1</v>
      </c>
      <c r="E612" s="87">
        <v>8.5585585585585683E-2</v>
      </c>
      <c r="F612">
        <v>62.52</v>
      </c>
    </row>
    <row r="613" spans="1:6">
      <c r="A613">
        <v>3027</v>
      </c>
      <c r="B613" t="s">
        <v>1003</v>
      </c>
      <c r="C613">
        <v>11.7</v>
      </c>
      <c r="D613">
        <f>VLOOKUP(A613,收盤價!A:C,3,0)</f>
        <v>12.7</v>
      </c>
      <c r="E613" s="87">
        <v>8.5470085470085472E-2</v>
      </c>
      <c r="F613">
        <v>62.46</v>
      </c>
    </row>
    <row r="614" spans="1:6">
      <c r="A614">
        <v>3551</v>
      </c>
      <c r="B614" t="s">
        <v>304</v>
      </c>
      <c r="C614">
        <v>29.85</v>
      </c>
      <c r="D614">
        <f>VLOOKUP(A614,收盤價!A:C,3,0)</f>
        <v>32.4</v>
      </c>
      <c r="E614" s="87">
        <v>8.5427135678391858E-2</v>
      </c>
      <c r="F614">
        <v>62.4</v>
      </c>
    </row>
    <row r="615" spans="1:6">
      <c r="A615">
        <v>4205</v>
      </c>
      <c r="B615" t="s">
        <v>1457</v>
      </c>
      <c r="C615">
        <v>41</v>
      </c>
      <c r="D615">
        <f>VLOOKUP(A615,收盤價!A:C,3,0)</f>
        <v>44.5</v>
      </c>
      <c r="E615" s="87">
        <v>8.5365853658536592E-2</v>
      </c>
      <c r="F615">
        <v>62.34</v>
      </c>
    </row>
    <row r="616" spans="1:6">
      <c r="A616">
        <v>2915</v>
      </c>
      <c r="B616" t="s">
        <v>982</v>
      </c>
      <c r="C616">
        <v>45.2</v>
      </c>
      <c r="D616">
        <f>VLOOKUP(A616,收盤價!A:C,3,0)</f>
        <v>49.05</v>
      </c>
      <c r="E616" s="87">
        <v>8.5176991150442347E-2</v>
      </c>
      <c r="F616">
        <v>62.28</v>
      </c>
    </row>
    <row r="617" spans="1:6">
      <c r="A617">
        <v>5481</v>
      </c>
      <c r="B617" t="s">
        <v>1551</v>
      </c>
      <c r="C617">
        <v>15.85</v>
      </c>
      <c r="D617">
        <f>VLOOKUP(A617,收盤價!A:C,3,0)</f>
        <v>17.2</v>
      </c>
      <c r="E617" s="87">
        <v>8.517350157728705E-2</v>
      </c>
      <c r="F617">
        <v>62.22</v>
      </c>
    </row>
    <row r="618" spans="1:6">
      <c r="A618">
        <v>2357</v>
      </c>
      <c r="B618" t="s">
        <v>778</v>
      </c>
      <c r="C618">
        <v>258.5</v>
      </c>
      <c r="D618">
        <f>VLOOKUP(A618,收盤價!A:C,3,0)</f>
        <v>280.5</v>
      </c>
      <c r="E618" s="87">
        <v>8.5106382978723402E-2</v>
      </c>
      <c r="F618">
        <v>62.16</v>
      </c>
    </row>
    <row r="619" spans="1:6">
      <c r="A619">
        <v>2006</v>
      </c>
      <c r="B619" t="s">
        <v>2039</v>
      </c>
      <c r="C619">
        <v>18.25</v>
      </c>
      <c r="D619">
        <f>VLOOKUP(A619,收盤價!A:C,3,0)</f>
        <v>19.8</v>
      </c>
      <c r="E619" s="87">
        <v>8.4931506849315108E-2</v>
      </c>
      <c r="F619">
        <v>62.09</v>
      </c>
    </row>
    <row r="620" spans="1:6">
      <c r="A620">
        <v>2468</v>
      </c>
      <c r="B620" t="s">
        <v>860</v>
      </c>
      <c r="C620">
        <v>10.1</v>
      </c>
      <c r="D620">
        <f>VLOOKUP(A620,收盤價!A:C,3,0)</f>
        <v>10.95</v>
      </c>
      <c r="E620" s="87">
        <v>8.4158415841584122E-2</v>
      </c>
      <c r="F620">
        <v>62.03</v>
      </c>
    </row>
    <row r="621" spans="1:6">
      <c r="A621">
        <v>6195</v>
      </c>
      <c r="B621" t="s">
        <v>429</v>
      </c>
      <c r="C621">
        <v>46.7</v>
      </c>
      <c r="D621">
        <f>VLOOKUP(A621,收盤價!A:C,3,0)</f>
        <v>50.6</v>
      </c>
      <c r="E621" s="87">
        <v>8.3511777301927159E-2</v>
      </c>
      <c r="F621">
        <v>61.97</v>
      </c>
    </row>
    <row r="622" spans="1:6">
      <c r="A622">
        <v>5703</v>
      </c>
      <c r="B622" t="s">
        <v>1568</v>
      </c>
      <c r="C622">
        <v>22.2</v>
      </c>
      <c r="D622">
        <f>VLOOKUP(A622,收盤價!A:C,3,0)</f>
        <v>24.05</v>
      </c>
      <c r="E622" s="87">
        <v>8.3333333333333398E-2</v>
      </c>
      <c r="F622">
        <v>61.91</v>
      </c>
    </row>
    <row r="623" spans="1:6">
      <c r="A623">
        <v>6279</v>
      </c>
      <c r="B623" t="s">
        <v>1632</v>
      </c>
      <c r="C623">
        <v>132.5</v>
      </c>
      <c r="D623">
        <f>VLOOKUP(A623,收盤價!A:C,3,0)</f>
        <v>143.5</v>
      </c>
      <c r="E623" s="87">
        <v>8.3018867924528297E-2</v>
      </c>
      <c r="F623">
        <v>61.85</v>
      </c>
    </row>
    <row r="624" spans="1:6">
      <c r="A624">
        <v>1726</v>
      </c>
      <c r="B624" t="s">
        <v>668</v>
      </c>
      <c r="C624">
        <v>71.2</v>
      </c>
      <c r="D624">
        <f>VLOOKUP(A624,收盤價!A:C,3,0)</f>
        <v>77.099999999999994</v>
      </c>
      <c r="E624" s="87">
        <v>8.2865168539325726E-2</v>
      </c>
      <c r="F624">
        <v>61.79</v>
      </c>
    </row>
    <row r="625" spans="1:6">
      <c r="A625">
        <v>5907</v>
      </c>
      <c r="B625" t="s">
        <v>2072</v>
      </c>
      <c r="C625">
        <v>21.15</v>
      </c>
      <c r="D625">
        <f>VLOOKUP(A625,收盤價!A:C,3,0)</f>
        <v>22.9</v>
      </c>
      <c r="E625" s="87">
        <v>8.2742316784869985E-2</v>
      </c>
      <c r="F625">
        <v>61.73</v>
      </c>
    </row>
    <row r="626" spans="1:6">
      <c r="A626">
        <v>5344</v>
      </c>
      <c r="B626" t="s">
        <v>1531</v>
      </c>
      <c r="C626">
        <v>5.22</v>
      </c>
      <c r="D626">
        <f>VLOOKUP(A626,收盤價!A:C,3,0)</f>
        <v>5.65</v>
      </c>
      <c r="E626" s="87">
        <v>8.2375478927203191E-2</v>
      </c>
      <c r="F626">
        <v>61.67</v>
      </c>
    </row>
    <row r="627" spans="1:6">
      <c r="A627">
        <v>2032</v>
      </c>
      <c r="B627" t="s">
        <v>718</v>
      </c>
      <c r="C627">
        <v>9.15</v>
      </c>
      <c r="D627">
        <f>VLOOKUP(A627,收盤價!A:C,3,0)</f>
        <v>9.9</v>
      </c>
      <c r="E627" s="87">
        <v>8.1967213114754092E-2</v>
      </c>
      <c r="F627">
        <v>61.6</v>
      </c>
    </row>
    <row r="628" spans="1:6">
      <c r="A628">
        <v>6192</v>
      </c>
      <c r="B628" t="s">
        <v>1199</v>
      </c>
      <c r="C628">
        <v>45.15</v>
      </c>
      <c r="D628">
        <f>VLOOKUP(A628,收盤價!A:C,3,0)</f>
        <v>48.85</v>
      </c>
      <c r="E628" s="87">
        <v>8.19490586932448E-2</v>
      </c>
      <c r="F628">
        <v>61.54</v>
      </c>
    </row>
    <row r="629" spans="1:6">
      <c r="A629">
        <v>1315</v>
      </c>
      <c r="B629" t="s">
        <v>541</v>
      </c>
      <c r="C629">
        <v>23.2</v>
      </c>
      <c r="D629">
        <f>VLOOKUP(A629,收盤價!A:C,3,0)</f>
        <v>25.1</v>
      </c>
      <c r="E629" s="87">
        <v>8.1896551724138025E-2</v>
      </c>
      <c r="F629">
        <v>61.48</v>
      </c>
    </row>
    <row r="630" spans="1:6">
      <c r="A630">
        <v>3252</v>
      </c>
      <c r="B630" t="s">
        <v>268</v>
      </c>
      <c r="C630">
        <v>25.7</v>
      </c>
      <c r="D630">
        <f>VLOOKUP(A630,收盤價!A:C,3,0)</f>
        <v>27.8</v>
      </c>
      <c r="E630" s="87">
        <v>8.1712062256809395E-2</v>
      </c>
      <c r="F630">
        <v>61.42</v>
      </c>
    </row>
    <row r="631" spans="1:6">
      <c r="A631">
        <v>8213</v>
      </c>
      <c r="B631" t="s">
        <v>1260</v>
      </c>
      <c r="C631">
        <v>28.8</v>
      </c>
      <c r="D631">
        <f>VLOOKUP(A631,收盤價!A:C,3,0)</f>
        <v>31.15</v>
      </c>
      <c r="E631" s="87">
        <v>8.159722222222214E-2</v>
      </c>
      <c r="F631">
        <v>61.36</v>
      </c>
    </row>
    <row r="632" spans="1:6">
      <c r="A632">
        <v>3057</v>
      </c>
      <c r="B632" t="s">
        <v>1031</v>
      </c>
      <c r="C632">
        <v>13.55</v>
      </c>
      <c r="D632">
        <f>VLOOKUP(A632,收盤價!A:C,3,0)</f>
        <v>14.65</v>
      </c>
      <c r="E632" s="87">
        <v>8.118081180811805E-2</v>
      </c>
      <c r="F632">
        <v>61.3</v>
      </c>
    </row>
    <row r="633" spans="1:6">
      <c r="A633">
        <v>2603</v>
      </c>
      <c r="B633" t="s">
        <v>913</v>
      </c>
      <c r="C633">
        <v>11.1</v>
      </c>
      <c r="D633">
        <f>VLOOKUP(A633,收盤價!A:C,3,0)</f>
        <v>12</v>
      </c>
      <c r="E633" s="87">
        <v>8.1081081081081113E-2</v>
      </c>
      <c r="F633">
        <v>61.24</v>
      </c>
    </row>
    <row r="634" spans="1:6">
      <c r="A634">
        <v>2027</v>
      </c>
      <c r="B634" t="s">
        <v>713</v>
      </c>
      <c r="C634">
        <v>14.85</v>
      </c>
      <c r="D634">
        <f>VLOOKUP(A634,收盤價!A:C,3,0)</f>
        <v>16.05</v>
      </c>
      <c r="E634" s="87">
        <v>8.0808080808080884E-2</v>
      </c>
      <c r="F634">
        <v>61.18</v>
      </c>
    </row>
    <row r="635" spans="1:6">
      <c r="A635">
        <v>1702</v>
      </c>
      <c r="B635" t="s">
        <v>649</v>
      </c>
      <c r="C635">
        <v>63.2</v>
      </c>
      <c r="D635">
        <f>VLOOKUP(A635,收盤價!A:C,3,0)</f>
        <v>68.3</v>
      </c>
      <c r="E635" s="87">
        <v>8.0696202531645472E-2</v>
      </c>
      <c r="F635">
        <v>61.11</v>
      </c>
    </row>
    <row r="636" spans="1:6">
      <c r="A636">
        <v>1303</v>
      </c>
      <c r="B636" t="s">
        <v>530</v>
      </c>
      <c r="C636">
        <v>59.7</v>
      </c>
      <c r="D636">
        <f>VLOOKUP(A636,收盤價!A:C,3,0)</f>
        <v>64.5</v>
      </c>
      <c r="E636" s="87">
        <v>8.0402010050251202E-2</v>
      </c>
      <c r="F636">
        <v>61.05</v>
      </c>
    </row>
    <row r="637" spans="1:6">
      <c r="A637">
        <v>2332</v>
      </c>
      <c r="B637" t="s">
        <v>762</v>
      </c>
      <c r="C637">
        <v>9.6</v>
      </c>
      <c r="D637">
        <f>VLOOKUP(A637,收盤價!A:C,3,0)</f>
        <v>10.35</v>
      </c>
      <c r="E637" s="87">
        <v>7.8125E-2</v>
      </c>
      <c r="F637">
        <v>60.99</v>
      </c>
    </row>
    <row r="638" spans="1:6">
      <c r="A638">
        <v>1414</v>
      </c>
      <c r="B638" t="s">
        <v>554</v>
      </c>
      <c r="C638">
        <v>5.66</v>
      </c>
      <c r="D638">
        <f>VLOOKUP(A638,收盤價!A:C,3,0)</f>
        <v>6.1</v>
      </c>
      <c r="E638" s="87">
        <v>7.7738515901059985E-2</v>
      </c>
      <c r="F638">
        <v>60.93</v>
      </c>
    </row>
    <row r="639" spans="1:6">
      <c r="A639">
        <v>1570</v>
      </c>
      <c r="B639" t="s">
        <v>1313</v>
      </c>
      <c r="C639">
        <v>13.55</v>
      </c>
      <c r="D639">
        <f>VLOOKUP(A639,收盤價!A:C,3,0)</f>
        <v>14.6</v>
      </c>
      <c r="E639" s="87">
        <v>7.7490774907748999E-2</v>
      </c>
      <c r="F639">
        <v>60.87</v>
      </c>
    </row>
    <row r="640" spans="1:6">
      <c r="A640">
        <v>2548</v>
      </c>
      <c r="B640" t="s">
        <v>910</v>
      </c>
      <c r="C640">
        <v>51.8</v>
      </c>
      <c r="D640">
        <f>VLOOKUP(A640,收盤價!A:C,3,0)</f>
        <v>55.8</v>
      </c>
      <c r="E640" s="87">
        <v>7.7220077220077218E-2</v>
      </c>
      <c r="F640">
        <v>60.81</v>
      </c>
    </row>
    <row r="641" spans="1:6">
      <c r="A641">
        <v>4303</v>
      </c>
      <c r="B641" t="s">
        <v>1459</v>
      </c>
      <c r="C641">
        <v>13.05</v>
      </c>
      <c r="D641">
        <f>VLOOKUP(A641,收盤價!A:C,3,0)</f>
        <v>14.05</v>
      </c>
      <c r="E641" s="87">
        <v>7.662835249042145E-2</v>
      </c>
      <c r="F641">
        <v>60.75</v>
      </c>
    </row>
    <row r="642" spans="1:6">
      <c r="A642">
        <v>6024</v>
      </c>
      <c r="B642" t="s">
        <v>413</v>
      </c>
      <c r="C642">
        <v>34.25</v>
      </c>
      <c r="D642">
        <f>VLOOKUP(A642,收盤價!A:C,3,0)</f>
        <v>36.85</v>
      </c>
      <c r="E642" s="87">
        <v>7.5912408759124125E-2</v>
      </c>
      <c r="F642">
        <v>60.69</v>
      </c>
    </row>
    <row r="643" spans="1:6">
      <c r="A643">
        <v>2059</v>
      </c>
      <c r="B643" t="s">
        <v>723</v>
      </c>
      <c r="C643">
        <v>350</v>
      </c>
      <c r="D643">
        <f>VLOOKUP(A643,收盤價!A:C,3,0)</f>
        <v>376.5</v>
      </c>
      <c r="E643" s="87">
        <v>7.571428571428572E-2</v>
      </c>
      <c r="F643">
        <v>60.62</v>
      </c>
    </row>
    <row r="644" spans="1:6">
      <c r="A644">
        <v>1617</v>
      </c>
      <c r="B644" t="s">
        <v>646</v>
      </c>
      <c r="C644">
        <v>6.51</v>
      </c>
      <c r="D644">
        <f>VLOOKUP(A644,收盤價!A:C,3,0)</f>
        <v>7</v>
      </c>
      <c r="E644" s="87">
        <v>7.5268817204301106E-2</v>
      </c>
      <c r="F644">
        <v>60.56</v>
      </c>
    </row>
    <row r="645" spans="1:6">
      <c r="A645">
        <v>6257</v>
      </c>
      <c r="B645" t="s">
        <v>1219</v>
      </c>
      <c r="C645">
        <v>22.05</v>
      </c>
      <c r="D645">
        <f>VLOOKUP(A645,收盤價!A:C,3,0)</f>
        <v>23.7</v>
      </c>
      <c r="E645" s="87">
        <v>7.4829931972789046E-2</v>
      </c>
      <c r="F645">
        <v>60.5</v>
      </c>
    </row>
    <row r="646" spans="1:6">
      <c r="A646">
        <v>1441</v>
      </c>
      <c r="B646" t="s">
        <v>568</v>
      </c>
      <c r="C646">
        <v>6.7</v>
      </c>
      <c r="D646">
        <f>VLOOKUP(A646,收盤價!A:C,3,0)</f>
        <v>7.2</v>
      </c>
      <c r="E646" s="87">
        <v>7.4626865671641784E-2</v>
      </c>
      <c r="F646">
        <v>60.44</v>
      </c>
    </row>
    <row r="647" spans="1:6">
      <c r="A647">
        <v>6409</v>
      </c>
      <c r="B647" t="s">
        <v>1230</v>
      </c>
      <c r="C647">
        <v>449.5</v>
      </c>
      <c r="D647">
        <f>VLOOKUP(A647,收盤價!A:C,3,0)</f>
        <v>483</v>
      </c>
      <c r="E647" s="87">
        <v>7.4527252502780861E-2</v>
      </c>
      <c r="F647">
        <v>60.38</v>
      </c>
    </row>
    <row r="648" spans="1:6">
      <c r="A648">
        <v>3094</v>
      </c>
      <c r="B648" t="s">
        <v>1037</v>
      </c>
      <c r="C648">
        <v>20.149999999999999</v>
      </c>
      <c r="D648">
        <f>VLOOKUP(A648,收盤價!A:C,3,0)</f>
        <v>21.65</v>
      </c>
      <c r="E648" s="87">
        <v>7.444168734491316E-2</v>
      </c>
      <c r="F648">
        <v>60.32</v>
      </c>
    </row>
    <row r="649" spans="1:6">
      <c r="A649">
        <v>3372</v>
      </c>
      <c r="B649" t="s">
        <v>284</v>
      </c>
      <c r="C649">
        <v>7</v>
      </c>
      <c r="D649">
        <f>VLOOKUP(A649,收盤價!A:C,3,0)</f>
        <v>7.52</v>
      </c>
      <c r="E649" s="87">
        <v>7.4285714285714219E-2</v>
      </c>
      <c r="F649">
        <v>60.26</v>
      </c>
    </row>
    <row r="650" spans="1:6">
      <c r="A650">
        <v>2905</v>
      </c>
      <c r="B650" t="s">
        <v>975</v>
      </c>
      <c r="C650">
        <v>18.350000000000001</v>
      </c>
      <c r="D650">
        <f>VLOOKUP(A650,收盤價!A:C,3,0)</f>
        <v>19.7</v>
      </c>
      <c r="E650" s="87">
        <v>7.3569482288828217E-2</v>
      </c>
      <c r="F650">
        <v>60.2</v>
      </c>
    </row>
    <row r="651" spans="1:6">
      <c r="A651">
        <v>5227</v>
      </c>
      <c r="B651" t="s">
        <v>1517</v>
      </c>
      <c r="C651">
        <v>32.700000000000003</v>
      </c>
      <c r="D651">
        <f>VLOOKUP(A651,收盤價!A:C,3,0)</f>
        <v>35.1</v>
      </c>
      <c r="E651" s="87">
        <v>7.3394495412843985E-2</v>
      </c>
      <c r="F651">
        <v>60.13</v>
      </c>
    </row>
    <row r="652" spans="1:6">
      <c r="A652">
        <v>9945</v>
      </c>
      <c r="B652" t="s">
        <v>1307</v>
      </c>
      <c r="C652">
        <v>34.1</v>
      </c>
      <c r="D652">
        <f>VLOOKUP(A652,收盤價!A:C,3,0)</f>
        <v>36.6</v>
      </c>
      <c r="E652" s="87">
        <v>7.3313782991202336E-2</v>
      </c>
      <c r="F652">
        <v>60.07</v>
      </c>
    </row>
    <row r="653" spans="1:6">
      <c r="A653">
        <v>2642</v>
      </c>
      <c r="B653" t="s">
        <v>929</v>
      </c>
      <c r="C653">
        <v>23.45</v>
      </c>
      <c r="D653">
        <f>VLOOKUP(A653,收盤價!A:C,3,0)</f>
        <v>25.15</v>
      </c>
      <c r="E653" s="87">
        <v>7.249466950959485E-2</v>
      </c>
      <c r="F653">
        <v>60.01</v>
      </c>
    </row>
    <row r="654" spans="1:6">
      <c r="A654">
        <v>2009</v>
      </c>
      <c r="B654" t="s">
        <v>701</v>
      </c>
      <c r="C654">
        <v>6.5</v>
      </c>
      <c r="D654">
        <f>VLOOKUP(A654,收盤價!A:C,3,0)</f>
        <v>6.97</v>
      </c>
      <c r="E654" s="87">
        <v>7.2307692307692267E-2</v>
      </c>
      <c r="F654">
        <v>59.95</v>
      </c>
    </row>
    <row r="655" spans="1:6">
      <c r="A655">
        <v>6431</v>
      </c>
      <c r="B655" t="s">
        <v>2075</v>
      </c>
      <c r="C655">
        <v>8.4600000000000009</v>
      </c>
      <c r="D655">
        <f>VLOOKUP(A655,收盤價!A:C,3,0)</f>
        <v>9.07</v>
      </c>
      <c r="E655" s="87">
        <v>7.2104018912529474E-2</v>
      </c>
      <c r="F655">
        <v>59.89</v>
      </c>
    </row>
    <row r="656" spans="1:6">
      <c r="A656">
        <v>3257</v>
      </c>
      <c r="B656" t="s">
        <v>1046</v>
      </c>
      <c r="C656">
        <v>34.75</v>
      </c>
      <c r="D656">
        <f>VLOOKUP(A656,收盤價!A:C,3,0)</f>
        <v>37.25</v>
      </c>
      <c r="E656" s="87">
        <v>7.1942446043165464E-2</v>
      </c>
      <c r="F656">
        <v>59.83</v>
      </c>
    </row>
    <row r="657" spans="1:6">
      <c r="A657">
        <v>2505</v>
      </c>
      <c r="B657" t="s">
        <v>886</v>
      </c>
      <c r="C657">
        <v>11.85</v>
      </c>
      <c r="D657">
        <f>VLOOKUP(A657,收盤價!A:C,3,0)</f>
        <v>12.7</v>
      </c>
      <c r="E657" s="87">
        <v>7.1729957805907144E-2</v>
      </c>
      <c r="F657">
        <v>59.77</v>
      </c>
    </row>
    <row r="658" spans="1:6">
      <c r="A658" t="s">
        <v>1888</v>
      </c>
      <c r="B658" t="s">
        <v>1844</v>
      </c>
      <c r="C658">
        <v>19.78</v>
      </c>
      <c r="D658">
        <f>VLOOKUP(A658,收盤價!A:C,3,0)</f>
        <v>21.18</v>
      </c>
      <c r="E658" s="87">
        <v>7.0778564206268879E-2</v>
      </c>
      <c r="F658">
        <v>59.71</v>
      </c>
    </row>
    <row r="659" spans="1:6">
      <c r="A659">
        <v>2527</v>
      </c>
      <c r="B659" t="s">
        <v>895</v>
      </c>
      <c r="C659">
        <v>16.25</v>
      </c>
      <c r="D659">
        <f>VLOOKUP(A659,收盤價!A:C,3,0)</f>
        <v>17.399999999999999</v>
      </c>
      <c r="E659" s="87">
        <v>7.0769230769230682E-2</v>
      </c>
      <c r="F659">
        <v>59.64</v>
      </c>
    </row>
    <row r="660" spans="1:6">
      <c r="A660">
        <v>1514</v>
      </c>
      <c r="B660" t="s">
        <v>606</v>
      </c>
      <c r="C660">
        <v>9.48</v>
      </c>
      <c r="D660">
        <f>VLOOKUP(A660,收盤價!A:C,3,0)</f>
        <v>10.15</v>
      </c>
      <c r="E660" s="87">
        <v>7.0675105485232051E-2</v>
      </c>
      <c r="F660">
        <v>59.58</v>
      </c>
    </row>
    <row r="661" spans="1:6">
      <c r="A661" t="s">
        <v>3146</v>
      </c>
      <c r="B661" t="s">
        <v>2278</v>
      </c>
      <c r="C661">
        <v>20.85</v>
      </c>
      <c r="D661">
        <f>VLOOKUP(A661,收盤價!A:C,3,0)</f>
        <v>22.32</v>
      </c>
      <c r="E661" s="87">
        <v>7.05035971223021E-2</v>
      </c>
      <c r="F661">
        <v>59.52</v>
      </c>
    </row>
    <row r="662" spans="1:6">
      <c r="A662">
        <v>1806</v>
      </c>
      <c r="B662" t="s">
        <v>686</v>
      </c>
      <c r="C662">
        <v>6.54</v>
      </c>
      <c r="D662">
        <f>VLOOKUP(A662,收盤價!A:C,3,0)</f>
        <v>7</v>
      </c>
      <c r="E662" s="87">
        <v>7.0336391437308868E-2</v>
      </c>
      <c r="F662">
        <v>59.46</v>
      </c>
    </row>
    <row r="663" spans="1:6">
      <c r="A663">
        <v>4160</v>
      </c>
      <c r="B663" t="s">
        <v>1450</v>
      </c>
      <c r="C663">
        <v>27.1</v>
      </c>
      <c r="D663">
        <f>VLOOKUP(A663,收盤價!A:C,3,0)</f>
        <v>29</v>
      </c>
      <c r="E663" s="87">
        <v>7.0110701107011009E-2</v>
      </c>
      <c r="F663">
        <v>59.4</v>
      </c>
    </row>
    <row r="664" spans="1:6">
      <c r="A664">
        <v>8287</v>
      </c>
      <c r="B664" t="s">
        <v>1686</v>
      </c>
      <c r="C664">
        <v>15.7</v>
      </c>
      <c r="D664">
        <f>VLOOKUP(A664,收盤價!A:C,3,0)</f>
        <v>16.8</v>
      </c>
      <c r="E664" s="87">
        <v>7.0063694267516019E-2</v>
      </c>
      <c r="F664">
        <v>59.34</v>
      </c>
    </row>
    <row r="665" spans="1:6">
      <c r="A665">
        <v>5905</v>
      </c>
      <c r="B665" t="s">
        <v>1572</v>
      </c>
      <c r="C665">
        <v>7.14</v>
      </c>
      <c r="D665">
        <f>VLOOKUP(A665,收盤價!A:C,3,0)</f>
        <v>7.64</v>
      </c>
      <c r="E665" s="87">
        <v>7.0028011204481794E-2</v>
      </c>
      <c r="F665">
        <v>59.28</v>
      </c>
    </row>
    <row r="666" spans="1:6">
      <c r="A666">
        <v>4707</v>
      </c>
      <c r="B666" t="s">
        <v>348</v>
      </c>
      <c r="C666">
        <v>8.1999999999999993</v>
      </c>
      <c r="D666">
        <f>VLOOKUP(A666,收盤價!A:C,3,0)</f>
        <v>8.77</v>
      </c>
      <c r="E666" s="87">
        <v>6.9512195121951253E-2</v>
      </c>
      <c r="F666">
        <v>59.22</v>
      </c>
    </row>
    <row r="667" spans="1:6">
      <c r="A667">
        <v>4942</v>
      </c>
      <c r="B667" t="s">
        <v>1141</v>
      </c>
      <c r="C667">
        <v>23.2</v>
      </c>
      <c r="D667">
        <f>VLOOKUP(A667,收盤價!A:C,3,0)</f>
        <v>24.8</v>
      </c>
      <c r="E667" s="87">
        <v>6.8965517241379379E-2</v>
      </c>
      <c r="F667">
        <v>59.15</v>
      </c>
    </row>
    <row r="668" spans="1:6">
      <c r="A668">
        <v>3090</v>
      </c>
      <c r="B668" t="s">
        <v>1036</v>
      </c>
      <c r="C668">
        <v>23.15</v>
      </c>
      <c r="D668">
        <f>VLOOKUP(A668,收盤價!A:C,3,0)</f>
        <v>24.7</v>
      </c>
      <c r="E668" s="87">
        <v>6.6954643628509752E-2</v>
      </c>
      <c r="F668">
        <v>59.09</v>
      </c>
    </row>
    <row r="669" spans="1:6">
      <c r="A669">
        <v>6176</v>
      </c>
      <c r="B669" t="s">
        <v>1193</v>
      </c>
      <c r="C669">
        <v>45.6</v>
      </c>
      <c r="D669">
        <f>VLOOKUP(A669,收盤價!A:C,3,0)</f>
        <v>48.65</v>
      </c>
      <c r="E669" s="87">
        <v>6.6885964912280632E-2</v>
      </c>
      <c r="F669">
        <v>59.03</v>
      </c>
    </row>
    <row r="670" spans="1:6">
      <c r="A670">
        <v>6415</v>
      </c>
      <c r="B670" t="s">
        <v>2073</v>
      </c>
      <c r="C670">
        <v>421</v>
      </c>
      <c r="D670">
        <f>VLOOKUP(A670,收盤價!A:C,3,0)</f>
        <v>449</v>
      </c>
      <c r="E670" s="87">
        <v>6.6508313539192399E-2</v>
      </c>
      <c r="F670">
        <v>58.97</v>
      </c>
    </row>
    <row r="671" spans="1:6">
      <c r="A671">
        <v>6123</v>
      </c>
      <c r="B671" t="s">
        <v>1588</v>
      </c>
      <c r="C671">
        <v>30.2</v>
      </c>
      <c r="D671">
        <f>VLOOKUP(A671,收盤價!A:C,3,0)</f>
        <v>32.200000000000003</v>
      </c>
      <c r="E671" s="87">
        <v>6.6225165562914023E-2</v>
      </c>
      <c r="F671">
        <v>58.91</v>
      </c>
    </row>
    <row r="672" spans="1:6">
      <c r="A672">
        <v>6442</v>
      </c>
      <c r="B672" t="s">
        <v>1233</v>
      </c>
      <c r="C672">
        <v>44.9</v>
      </c>
      <c r="D672">
        <f>VLOOKUP(A672,收盤價!A:C,3,0)</f>
        <v>47.85</v>
      </c>
      <c r="E672" s="87">
        <v>6.5701559020044611E-2</v>
      </c>
      <c r="F672">
        <v>58.85</v>
      </c>
    </row>
    <row r="673" spans="1:6">
      <c r="A673">
        <v>3093</v>
      </c>
      <c r="B673" t="s">
        <v>251</v>
      </c>
      <c r="C673">
        <v>30.5</v>
      </c>
      <c r="D673">
        <f>VLOOKUP(A673,收盤價!A:C,3,0)</f>
        <v>32.5</v>
      </c>
      <c r="E673" s="87">
        <v>6.5573770491803282E-2</v>
      </c>
      <c r="F673">
        <v>58.79</v>
      </c>
    </row>
    <row r="674" spans="1:6">
      <c r="A674">
        <v>3015</v>
      </c>
      <c r="B674" t="s">
        <v>1723</v>
      </c>
      <c r="C674">
        <v>22.9</v>
      </c>
      <c r="D674">
        <f>VLOOKUP(A674,收盤價!A:C,3,0)</f>
        <v>24.4</v>
      </c>
      <c r="E674" s="87">
        <v>6.5502183406113537E-2</v>
      </c>
      <c r="F674">
        <v>58.73</v>
      </c>
    </row>
    <row r="675" spans="1:6">
      <c r="A675">
        <v>6282</v>
      </c>
      <c r="B675" t="s">
        <v>1225</v>
      </c>
      <c r="C675">
        <v>22.15</v>
      </c>
      <c r="D675">
        <f>VLOOKUP(A675,收盤價!A:C,3,0)</f>
        <v>23.6</v>
      </c>
      <c r="E675" s="87">
        <v>6.5462753950338737E-2</v>
      </c>
      <c r="F675">
        <v>58.67</v>
      </c>
    </row>
    <row r="676" spans="1:6">
      <c r="A676">
        <v>2477</v>
      </c>
      <c r="B676" t="s">
        <v>865</v>
      </c>
      <c r="C676">
        <v>13</v>
      </c>
      <c r="D676">
        <f>VLOOKUP(A676,收盤價!A:C,3,0)</f>
        <v>13.85</v>
      </c>
      <c r="E676" s="87">
        <v>6.538461538461536E-2</v>
      </c>
      <c r="F676">
        <v>58.6</v>
      </c>
    </row>
    <row r="677" spans="1:6">
      <c r="A677">
        <v>5536</v>
      </c>
      <c r="B677" t="s">
        <v>405</v>
      </c>
      <c r="C677">
        <v>79.8</v>
      </c>
      <c r="D677">
        <f>VLOOKUP(A677,收盤價!A:C,3,0)</f>
        <v>85</v>
      </c>
      <c r="E677" s="87">
        <v>6.5162907268170464E-2</v>
      </c>
      <c r="F677">
        <v>58.54</v>
      </c>
    </row>
    <row r="678" spans="1:6">
      <c r="A678">
        <v>3167</v>
      </c>
      <c r="B678" t="s">
        <v>1041</v>
      </c>
      <c r="C678">
        <v>22.4</v>
      </c>
      <c r="D678">
        <f>VLOOKUP(A678,收盤價!A:C,3,0)</f>
        <v>23.85</v>
      </c>
      <c r="E678" s="87">
        <v>6.4732142857142988E-2</v>
      </c>
      <c r="F678">
        <v>58.48</v>
      </c>
    </row>
    <row r="679" spans="1:6">
      <c r="A679">
        <v>6237</v>
      </c>
      <c r="B679" t="s">
        <v>441</v>
      </c>
      <c r="C679">
        <v>26.5</v>
      </c>
      <c r="D679">
        <f>VLOOKUP(A679,收盤價!A:C,3,0)</f>
        <v>28.2</v>
      </c>
      <c r="E679" s="87">
        <v>6.4150943396226387E-2</v>
      </c>
      <c r="F679">
        <v>58.42</v>
      </c>
    </row>
    <row r="680" spans="1:6">
      <c r="A680">
        <v>4144</v>
      </c>
      <c r="B680" t="s">
        <v>2055</v>
      </c>
      <c r="C680">
        <v>44</v>
      </c>
      <c r="D680">
        <f>VLOOKUP(A680,收盤價!A:C,3,0)</f>
        <v>46.8</v>
      </c>
      <c r="E680" s="87">
        <v>6.3636363636363574E-2</v>
      </c>
      <c r="F680">
        <v>58.36</v>
      </c>
    </row>
    <row r="681" spans="1:6">
      <c r="A681">
        <v>2499</v>
      </c>
      <c r="B681" t="s">
        <v>883</v>
      </c>
      <c r="C681">
        <v>14.2</v>
      </c>
      <c r="D681">
        <f>VLOOKUP(A681,收盤價!A:C,3,0)</f>
        <v>15.1</v>
      </c>
      <c r="E681" s="87">
        <v>6.3380281690140872E-2</v>
      </c>
      <c r="F681">
        <v>58.3</v>
      </c>
    </row>
    <row r="682" spans="1:6">
      <c r="A682">
        <v>2453</v>
      </c>
      <c r="B682" t="s">
        <v>846</v>
      </c>
      <c r="C682">
        <v>10.3</v>
      </c>
      <c r="D682">
        <f>VLOOKUP(A682,收盤價!A:C,3,0)</f>
        <v>10.95</v>
      </c>
      <c r="E682" s="87">
        <v>6.3106796116504715E-2</v>
      </c>
      <c r="F682">
        <v>58.24</v>
      </c>
    </row>
    <row r="683" spans="1:6">
      <c r="A683">
        <v>2367</v>
      </c>
      <c r="B683" t="s">
        <v>786</v>
      </c>
      <c r="C683">
        <v>9.4</v>
      </c>
      <c r="D683">
        <f>VLOOKUP(A683,收盤價!A:C,3,0)</f>
        <v>9.99</v>
      </c>
      <c r="E683" s="87">
        <v>6.276595744680849E-2</v>
      </c>
      <c r="F683">
        <v>58.18</v>
      </c>
    </row>
    <row r="684" spans="1:6">
      <c r="A684">
        <v>3642</v>
      </c>
      <c r="B684" t="s">
        <v>1422</v>
      </c>
      <c r="C684">
        <v>26.6</v>
      </c>
      <c r="D684">
        <f>VLOOKUP(A684,收盤價!A:C,3,0)</f>
        <v>28.25</v>
      </c>
      <c r="E684" s="87">
        <v>6.2030075187969866E-2</v>
      </c>
      <c r="F684">
        <v>58.11</v>
      </c>
    </row>
    <row r="685" spans="1:6">
      <c r="A685">
        <v>2013</v>
      </c>
      <c r="B685" t="s">
        <v>704</v>
      </c>
      <c r="C685">
        <v>20.3</v>
      </c>
      <c r="D685">
        <f>VLOOKUP(A685,收盤價!A:C,3,0)</f>
        <v>21.55</v>
      </c>
      <c r="E685" s="87">
        <v>6.1576354679802957E-2</v>
      </c>
      <c r="F685">
        <v>58.05</v>
      </c>
    </row>
    <row r="686" spans="1:6">
      <c r="A686">
        <v>1618</v>
      </c>
      <c r="B686" t="s">
        <v>647</v>
      </c>
      <c r="C686">
        <v>7.33</v>
      </c>
      <c r="D686">
        <f>VLOOKUP(A686,收盤價!A:C,3,0)</f>
        <v>7.78</v>
      </c>
      <c r="E686" s="87">
        <v>6.1391541609822672E-2</v>
      </c>
      <c r="F686">
        <v>57.99</v>
      </c>
    </row>
    <row r="687" spans="1:6">
      <c r="A687">
        <v>2426</v>
      </c>
      <c r="B687" t="s">
        <v>826</v>
      </c>
      <c r="C687">
        <v>11.45</v>
      </c>
      <c r="D687">
        <f>VLOOKUP(A687,收盤價!A:C,3,0)</f>
        <v>12.15</v>
      </c>
      <c r="E687" s="87">
        <v>6.1135371179039395E-2</v>
      </c>
      <c r="F687">
        <v>57.93</v>
      </c>
    </row>
    <row r="688" spans="1:6">
      <c r="A688">
        <v>3029</v>
      </c>
      <c r="B688" t="s">
        <v>1005</v>
      </c>
      <c r="C688">
        <v>15.6</v>
      </c>
      <c r="D688">
        <f>VLOOKUP(A688,收盤價!A:C,3,0)</f>
        <v>16.55</v>
      </c>
      <c r="E688" s="87">
        <v>6.0897435897435966E-2</v>
      </c>
      <c r="F688">
        <v>57.87</v>
      </c>
    </row>
    <row r="689" spans="1:6">
      <c r="A689">
        <v>5471</v>
      </c>
      <c r="B689" t="s">
        <v>1157</v>
      </c>
      <c r="C689">
        <v>30.4</v>
      </c>
      <c r="D689">
        <f>VLOOKUP(A689,收盤價!A:C,3,0)</f>
        <v>32.25</v>
      </c>
      <c r="E689" s="87">
        <v>6.0855263157894787E-2</v>
      </c>
      <c r="F689">
        <v>57.81</v>
      </c>
    </row>
    <row r="690" spans="1:6">
      <c r="A690">
        <v>5288</v>
      </c>
      <c r="B690" t="s">
        <v>2069</v>
      </c>
      <c r="C690">
        <v>87.4</v>
      </c>
      <c r="D690">
        <f>VLOOKUP(A690,收盤價!A:C,3,0)</f>
        <v>92.7</v>
      </c>
      <c r="E690" s="87">
        <v>6.0640732265446189E-2</v>
      </c>
      <c r="F690">
        <v>57.75</v>
      </c>
    </row>
    <row r="691" spans="1:6">
      <c r="A691">
        <v>2495</v>
      </c>
      <c r="B691" t="s">
        <v>879</v>
      </c>
      <c r="C691">
        <v>14.95</v>
      </c>
      <c r="D691">
        <f>VLOOKUP(A691,收盤價!A:C,3,0)</f>
        <v>15.85</v>
      </c>
      <c r="E691" s="87">
        <v>6.02006688963211E-2</v>
      </c>
      <c r="F691">
        <v>57.69</v>
      </c>
    </row>
    <row r="692" spans="1:6">
      <c r="A692">
        <v>1817</v>
      </c>
      <c r="B692" t="s">
        <v>690</v>
      </c>
      <c r="C692">
        <v>36.1</v>
      </c>
      <c r="D692">
        <f>VLOOKUP(A692,收盤價!A:C,3,0)</f>
        <v>38.25</v>
      </c>
      <c r="E692" s="87">
        <v>5.9556786703601067E-2</v>
      </c>
      <c r="F692">
        <v>57.62</v>
      </c>
    </row>
    <row r="693" spans="1:6">
      <c r="A693">
        <v>2069</v>
      </c>
      <c r="B693" t="s">
        <v>1841</v>
      </c>
      <c r="C693">
        <v>17.7</v>
      </c>
      <c r="D693">
        <f>VLOOKUP(A693,收盤價!A:C,3,0)</f>
        <v>18.75</v>
      </c>
      <c r="E693" s="87">
        <v>5.9322033898305128E-2</v>
      </c>
      <c r="F693">
        <v>57.56</v>
      </c>
    </row>
    <row r="694" spans="1:6">
      <c r="A694">
        <v>9939</v>
      </c>
      <c r="B694" t="s">
        <v>1301</v>
      </c>
      <c r="C694">
        <v>48.9</v>
      </c>
      <c r="D694">
        <f>VLOOKUP(A694,收盤價!A:C,3,0)</f>
        <v>51.8</v>
      </c>
      <c r="E694" s="87">
        <v>5.930470347648259E-2</v>
      </c>
      <c r="F694">
        <v>57.5</v>
      </c>
    </row>
    <row r="695" spans="1:6">
      <c r="A695">
        <v>8105</v>
      </c>
      <c r="B695" t="s">
        <v>1251</v>
      </c>
      <c r="C695">
        <v>16.149999999999999</v>
      </c>
      <c r="D695">
        <f>VLOOKUP(A695,收盤價!A:C,3,0)</f>
        <v>17.100000000000001</v>
      </c>
      <c r="E695" s="87">
        <v>5.8823529411764885E-2</v>
      </c>
      <c r="F695">
        <v>57.44</v>
      </c>
    </row>
    <row r="696" spans="1:6">
      <c r="A696">
        <v>3556</v>
      </c>
      <c r="B696" t="s">
        <v>306</v>
      </c>
      <c r="C696">
        <v>48.3</v>
      </c>
      <c r="D696">
        <f>VLOOKUP(A696,收盤價!A:C,3,0)</f>
        <v>51.1</v>
      </c>
      <c r="E696" s="87">
        <v>5.7971014492753714E-2</v>
      </c>
      <c r="F696">
        <v>57.38</v>
      </c>
    </row>
    <row r="697" spans="1:6">
      <c r="A697">
        <v>1455</v>
      </c>
      <c r="B697" t="s">
        <v>580</v>
      </c>
      <c r="C697">
        <v>7.82</v>
      </c>
      <c r="D697">
        <f>VLOOKUP(A697,收盤價!A:C,3,0)</f>
        <v>8.27</v>
      </c>
      <c r="E697" s="87">
        <v>5.754475703324799E-2</v>
      </c>
      <c r="F697">
        <v>57.32</v>
      </c>
    </row>
    <row r="698" spans="1:6">
      <c r="A698">
        <v>1723</v>
      </c>
      <c r="B698" t="s">
        <v>665</v>
      </c>
      <c r="C698">
        <v>106</v>
      </c>
      <c r="D698">
        <f>VLOOKUP(A698,收盤價!A:C,3,0)</f>
        <v>112</v>
      </c>
      <c r="E698" s="87">
        <v>5.6603773584905662E-2</v>
      </c>
      <c r="F698">
        <v>57.26</v>
      </c>
    </row>
    <row r="699" spans="1:6">
      <c r="A699">
        <v>4968</v>
      </c>
      <c r="B699" t="s">
        <v>1752</v>
      </c>
      <c r="C699">
        <v>58.5</v>
      </c>
      <c r="D699">
        <f>VLOOKUP(A699,收盤價!A:C,3,0)</f>
        <v>61.8</v>
      </c>
      <c r="E699" s="87">
        <v>5.6410256410256363E-2</v>
      </c>
      <c r="F699">
        <v>57.2</v>
      </c>
    </row>
    <row r="700" spans="1:6">
      <c r="A700">
        <v>3581</v>
      </c>
      <c r="B700" t="s">
        <v>1416</v>
      </c>
      <c r="C700">
        <v>16</v>
      </c>
      <c r="D700">
        <f>VLOOKUP(A700,收盤價!A:C,3,0)</f>
        <v>16.899999999999999</v>
      </c>
      <c r="E700" s="87">
        <v>5.6249999999999911E-2</v>
      </c>
      <c r="F700">
        <v>57.13</v>
      </c>
    </row>
    <row r="701" spans="1:6">
      <c r="A701">
        <v>1521</v>
      </c>
      <c r="B701" t="s">
        <v>611</v>
      </c>
      <c r="C701">
        <v>75</v>
      </c>
      <c r="D701">
        <f>VLOOKUP(A701,收盤價!A:C,3,0)</f>
        <v>79.2</v>
      </c>
      <c r="E701" s="87">
        <v>5.6000000000000036E-2</v>
      </c>
      <c r="F701">
        <v>57.07</v>
      </c>
    </row>
    <row r="702" spans="1:6">
      <c r="A702">
        <v>2884</v>
      </c>
      <c r="B702" t="s">
        <v>963</v>
      </c>
      <c r="C702">
        <v>17</v>
      </c>
      <c r="D702">
        <f>VLOOKUP(A702,收盤價!A:C,3,0)</f>
        <v>17.95</v>
      </c>
      <c r="E702" s="87">
        <v>5.5882352941176432E-2</v>
      </c>
      <c r="F702">
        <v>57.01</v>
      </c>
    </row>
    <row r="703" spans="1:6">
      <c r="A703">
        <v>3413</v>
      </c>
      <c r="B703" t="s">
        <v>1060</v>
      </c>
      <c r="C703">
        <v>77.099999999999994</v>
      </c>
      <c r="D703">
        <f>VLOOKUP(A703,收盤價!A:C,3,0)</f>
        <v>81.400000000000006</v>
      </c>
      <c r="E703" s="87">
        <v>5.577172503242557E-2</v>
      </c>
      <c r="F703">
        <v>56.95</v>
      </c>
    </row>
    <row r="704" spans="1:6">
      <c r="A704">
        <v>1558</v>
      </c>
      <c r="B704" t="s">
        <v>630</v>
      </c>
      <c r="C704">
        <v>143.5</v>
      </c>
      <c r="D704">
        <f>VLOOKUP(A704,收盤價!A:C,3,0)</f>
        <v>151.5</v>
      </c>
      <c r="E704" s="87">
        <v>5.5749128919860627E-2</v>
      </c>
      <c r="F704">
        <v>56.89</v>
      </c>
    </row>
    <row r="705" spans="1:6">
      <c r="A705">
        <v>1777</v>
      </c>
      <c r="B705" t="s">
        <v>232</v>
      </c>
      <c r="C705">
        <v>91.8</v>
      </c>
      <c r="D705">
        <f>VLOOKUP(A705,收盤價!A:C,3,0)</f>
        <v>96.9</v>
      </c>
      <c r="E705" s="87">
        <v>5.555555555555565E-2</v>
      </c>
      <c r="F705">
        <v>56.83</v>
      </c>
    </row>
    <row r="706" spans="1:6">
      <c r="A706">
        <v>6284</v>
      </c>
      <c r="B706" t="s">
        <v>1633</v>
      </c>
      <c r="C706">
        <v>19.8</v>
      </c>
      <c r="D706">
        <f>VLOOKUP(A706,收盤價!A:C,3,0)</f>
        <v>20.9</v>
      </c>
      <c r="E706" s="87">
        <v>5.5555555555555448E-2</v>
      </c>
      <c r="F706">
        <v>56.77</v>
      </c>
    </row>
    <row r="707" spans="1:6">
      <c r="A707">
        <v>2363</v>
      </c>
      <c r="B707" t="s">
        <v>783</v>
      </c>
      <c r="C707">
        <v>6.14</v>
      </c>
      <c r="D707">
        <f>VLOOKUP(A707,收盤價!A:C,3,0)</f>
        <v>6.48</v>
      </c>
      <c r="E707" s="87">
        <v>5.5374592833876343E-2</v>
      </c>
      <c r="F707">
        <v>56.71</v>
      </c>
    </row>
    <row r="708" spans="1:6">
      <c r="A708">
        <v>2201</v>
      </c>
      <c r="B708" t="s">
        <v>735</v>
      </c>
      <c r="C708">
        <v>26.35</v>
      </c>
      <c r="D708">
        <f>VLOOKUP(A708,收盤價!A:C,3,0)</f>
        <v>27.8</v>
      </c>
      <c r="E708" s="87">
        <v>5.5028462998102434E-2</v>
      </c>
      <c r="F708">
        <v>56.64</v>
      </c>
    </row>
    <row r="709" spans="1:6">
      <c r="A709">
        <v>6203</v>
      </c>
      <c r="B709" t="s">
        <v>430</v>
      </c>
      <c r="C709">
        <v>29.3</v>
      </c>
      <c r="D709">
        <f>VLOOKUP(A709,收盤價!A:C,3,0)</f>
        <v>30.9</v>
      </c>
      <c r="E709" s="87">
        <v>5.4607508532423132E-2</v>
      </c>
      <c r="F709">
        <v>56.58</v>
      </c>
    </row>
    <row r="710" spans="1:6">
      <c r="A710">
        <v>2883</v>
      </c>
      <c r="B710" t="s">
        <v>962</v>
      </c>
      <c r="C710">
        <v>7.58</v>
      </c>
      <c r="D710">
        <f>VLOOKUP(A710,收盤價!A:C,3,0)</f>
        <v>7.99</v>
      </c>
      <c r="E710" s="87">
        <v>5.4089709762533002E-2</v>
      </c>
      <c r="F710">
        <v>56.52</v>
      </c>
    </row>
    <row r="711" spans="1:6">
      <c r="A711">
        <v>1103</v>
      </c>
      <c r="B711" t="s">
        <v>506</v>
      </c>
      <c r="C711">
        <v>8.5500000000000007</v>
      </c>
      <c r="D711">
        <f>VLOOKUP(A711,收盤價!A:C,3,0)</f>
        <v>9.01</v>
      </c>
      <c r="E711" s="87">
        <v>5.3801169590643162E-2</v>
      </c>
      <c r="F711">
        <v>56.46</v>
      </c>
    </row>
    <row r="712" spans="1:6">
      <c r="A712">
        <v>2393</v>
      </c>
      <c r="B712" t="s">
        <v>804</v>
      </c>
      <c r="C712">
        <v>45.65</v>
      </c>
      <c r="D712">
        <f>VLOOKUP(A712,收盤價!A:C,3,0)</f>
        <v>48.1</v>
      </c>
      <c r="E712" s="87">
        <v>5.36692223439212E-2</v>
      </c>
      <c r="F712">
        <v>56.4</v>
      </c>
    </row>
    <row r="713" spans="1:6">
      <c r="A713">
        <v>2702</v>
      </c>
      <c r="B713" t="s">
        <v>931</v>
      </c>
      <c r="C713">
        <v>15.85</v>
      </c>
      <c r="D713">
        <f>VLOOKUP(A713,收盤價!A:C,3,0)</f>
        <v>16.7</v>
      </c>
      <c r="E713" s="87">
        <v>5.3627760252365909E-2</v>
      </c>
      <c r="F713">
        <v>56.34</v>
      </c>
    </row>
    <row r="714" spans="1:6">
      <c r="A714">
        <v>3504</v>
      </c>
      <c r="B714" t="s">
        <v>1072</v>
      </c>
      <c r="C714">
        <v>26.15</v>
      </c>
      <c r="D714">
        <f>VLOOKUP(A714,收盤價!A:C,3,0)</f>
        <v>27.55</v>
      </c>
      <c r="E714" s="87">
        <v>5.3537284894837563E-2</v>
      </c>
      <c r="F714">
        <v>56.28</v>
      </c>
    </row>
    <row r="715" spans="1:6">
      <c r="A715">
        <v>1582</v>
      </c>
      <c r="B715" t="s">
        <v>633</v>
      </c>
      <c r="C715">
        <v>50.6</v>
      </c>
      <c r="D715">
        <f>VLOOKUP(A715,收盤價!A:C,3,0)</f>
        <v>53.3</v>
      </c>
      <c r="E715" s="87">
        <v>5.3359683794466317E-2</v>
      </c>
      <c r="F715">
        <v>56.22</v>
      </c>
    </row>
    <row r="716" spans="1:6">
      <c r="A716">
        <v>2365</v>
      </c>
      <c r="B716" t="s">
        <v>785</v>
      </c>
      <c r="C716">
        <v>8.5</v>
      </c>
      <c r="D716">
        <f>VLOOKUP(A716,收盤價!A:C,3,0)</f>
        <v>8.9499999999999993</v>
      </c>
      <c r="E716" s="87">
        <v>5.2941176470588151E-2</v>
      </c>
      <c r="F716">
        <v>56.15</v>
      </c>
    </row>
    <row r="717" spans="1:6">
      <c r="A717">
        <v>5014</v>
      </c>
      <c r="B717" t="s">
        <v>1509</v>
      </c>
      <c r="C717">
        <v>6.81</v>
      </c>
      <c r="D717">
        <f>VLOOKUP(A717,收盤價!A:C,3,0)</f>
        <v>7.17</v>
      </c>
      <c r="E717" s="87">
        <v>5.2863436123348068E-2</v>
      </c>
      <c r="F717">
        <v>56.09</v>
      </c>
    </row>
    <row r="718" spans="1:6">
      <c r="A718">
        <v>5534</v>
      </c>
      <c r="B718" t="s">
        <v>1166</v>
      </c>
      <c r="C718">
        <v>49.2</v>
      </c>
      <c r="D718">
        <f>VLOOKUP(A718,收盤價!A:C,3,0)</f>
        <v>51.8</v>
      </c>
      <c r="E718" s="87">
        <v>5.2845528455284431E-2</v>
      </c>
      <c r="F718">
        <v>56.03</v>
      </c>
    </row>
    <row r="719" spans="1:6">
      <c r="A719">
        <v>8249</v>
      </c>
      <c r="B719" t="s">
        <v>1263</v>
      </c>
      <c r="C719">
        <v>19</v>
      </c>
      <c r="D719">
        <f>VLOOKUP(A719,收盤價!A:C,3,0)</f>
        <v>20</v>
      </c>
      <c r="E719" s="87">
        <v>5.2631578947368418E-2</v>
      </c>
      <c r="F719">
        <v>55.97</v>
      </c>
    </row>
    <row r="720" spans="1:6">
      <c r="A720">
        <v>1468</v>
      </c>
      <c r="B720" t="s">
        <v>590</v>
      </c>
      <c r="C720">
        <v>9.69</v>
      </c>
      <c r="D720">
        <f>VLOOKUP(A720,收盤價!A:C,3,0)</f>
        <v>10.199999999999999</v>
      </c>
      <c r="E720" s="87">
        <v>5.2631578947368404E-2</v>
      </c>
      <c r="F720">
        <v>55.91</v>
      </c>
    </row>
    <row r="721" spans="1:6">
      <c r="A721">
        <v>2891</v>
      </c>
      <c r="B721" t="s">
        <v>970</v>
      </c>
      <c r="C721">
        <v>16.3</v>
      </c>
      <c r="D721">
        <f>VLOOKUP(A721,收盤價!A:C,3,0)</f>
        <v>17.149999999999999</v>
      </c>
      <c r="E721" s="87">
        <v>5.2147239263803546E-2</v>
      </c>
      <c r="F721">
        <v>55.85</v>
      </c>
    </row>
    <row r="722" spans="1:6">
      <c r="A722">
        <v>1471</v>
      </c>
      <c r="B722" t="s">
        <v>593</v>
      </c>
      <c r="C722">
        <v>5</v>
      </c>
      <c r="D722">
        <f>VLOOKUP(A722,收盤價!A:C,3,0)</f>
        <v>5.26</v>
      </c>
      <c r="E722" s="87">
        <v>5.1999999999999956E-2</v>
      </c>
      <c r="F722">
        <v>55.79</v>
      </c>
    </row>
    <row r="723" spans="1:6">
      <c r="A723">
        <v>6422</v>
      </c>
      <c r="B723" t="s">
        <v>2074</v>
      </c>
      <c r="C723">
        <v>59.8</v>
      </c>
      <c r="D723">
        <f>VLOOKUP(A723,收盤價!A:C,3,0)</f>
        <v>62.9</v>
      </c>
      <c r="E723" s="87">
        <v>5.1839464882943172E-2</v>
      </c>
      <c r="F723">
        <v>55.73</v>
      </c>
    </row>
    <row r="724" spans="1:6">
      <c r="A724" t="s">
        <v>3145</v>
      </c>
      <c r="B724" t="s">
        <v>2277</v>
      </c>
      <c r="C724">
        <v>20.100000000000001</v>
      </c>
      <c r="D724">
        <f>VLOOKUP(A724,收盤價!A:C,3,0)</f>
        <v>21.14</v>
      </c>
      <c r="E724" s="87">
        <v>5.1741293532338264E-2</v>
      </c>
      <c r="F724">
        <v>55.66</v>
      </c>
    </row>
    <row r="725" spans="1:6">
      <c r="A725">
        <v>2437</v>
      </c>
      <c r="B725" t="s">
        <v>835</v>
      </c>
      <c r="C725">
        <v>45.5</v>
      </c>
      <c r="D725">
        <f>VLOOKUP(A725,收盤價!A:C,3,0)</f>
        <v>47.85</v>
      </c>
      <c r="E725" s="87">
        <v>5.164835164835168E-2</v>
      </c>
      <c r="F725">
        <v>55.6</v>
      </c>
    </row>
    <row r="726" spans="1:6">
      <c r="A726">
        <v>3452</v>
      </c>
      <c r="B726" t="s">
        <v>1393</v>
      </c>
      <c r="C726">
        <v>9.43</v>
      </c>
      <c r="D726">
        <f>VLOOKUP(A726,收盤價!A:C,3,0)</f>
        <v>9.91</v>
      </c>
      <c r="E726" s="87">
        <v>5.0901378579003231E-2</v>
      </c>
      <c r="F726">
        <v>55.54</v>
      </c>
    </row>
    <row r="727" spans="1:6">
      <c r="A727">
        <v>1409</v>
      </c>
      <c r="B727" t="s">
        <v>551</v>
      </c>
      <c r="C727">
        <v>8.2799999999999994</v>
      </c>
      <c r="D727">
        <f>VLOOKUP(A727,收盤價!A:C,3,0)</f>
        <v>8.6999999999999993</v>
      </c>
      <c r="E727" s="87">
        <v>5.0724637681159417E-2</v>
      </c>
      <c r="F727">
        <v>55.48</v>
      </c>
    </row>
    <row r="728" spans="1:6">
      <c r="A728">
        <v>2520</v>
      </c>
      <c r="B728" t="s">
        <v>893</v>
      </c>
      <c r="C728">
        <v>14.85</v>
      </c>
      <c r="D728">
        <f>VLOOKUP(A728,收盤價!A:C,3,0)</f>
        <v>15.6</v>
      </c>
      <c r="E728" s="87">
        <v>5.0505050505050504E-2</v>
      </c>
      <c r="F728">
        <v>55.42</v>
      </c>
    </row>
    <row r="729" spans="1:6">
      <c r="A729">
        <v>6263</v>
      </c>
      <c r="B729" t="s">
        <v>1628</v>
      </c>
      <c r="C729">
        <v>44</v>
      </c>
      <c r="D729">
        <f>VLOOKUP(A729,收盤價!A:C,3,0)</f>
        <v>46.2</v>
      </c>
      <c r="E729" s="87">
        <v>5.0000000000000065E-2</v>
      </c>
      <c r="F729">
        <v>55.36</v>
      </c>
    </row>
    <row r="730" spans="1:6">
      <c r="A730">
        <v>3694</v>
      </c>
      <c r="B730" t="s">
        <v>1104</v>
      </c>
      <c r="C730">
        <v>14.1</v>
      </c>
      <c r="D730">
        <f>VLOOKUP(A730,收盤價!A:C,3,0)</f>
        <v>14.8</v>
      </c>
      <c r="E730" s="87">
        <v>4.9645390070922064E-2</v>
      </c>
      <c r="F730">
        <v>55.3</v>
      </c>
    </row>
    <row r="731" spans="1:6">
      <c r="A731">
        <v>9904</v>
      </c>
      <c r="B731" t="s">
        <v>1276</v>
      </c>
      <c r="C731">
        <v>41.6</v>
      </c>
      <c r="D731">
        <f>VLOOKUP(A731,收盤價!A:C,3,0)</f>
        <v>43.65</v>
      </c>
      <c r="E731" s="87">
        <v>4.9278846153846083E-2</v>
      </c>
      <c r="F731">
        <v>55.24</v>
      </c>
    </row>
    <row r="732" spans="1:6">
      <c r="A732">
        <v>6163</v>
      </c>
      <c r="B732" t="s">
        <v>421</v>
      </c>
      <c r="C732">
        <v>9.6300000000000008</v>
      </c>
      <c r="D732">
        <f>VLOOKUP(A732,收盤價!A:C,3,0)</f>
        <v>10.1</v>
      </c>
      <c r="E732" s="87">
        <v>4.8805815160955224E-2</v>
      </c>
      <c r="F732">
        <v>55.17</v>
      </c>
    </row>
    <row r="733" spans="1:6">
      <c r="A733">
        <v>6217</v>
      </c>
      <c r="B733" t="s">
        <v>1617</v>
      </c>
      <c r="C733">
        <v>38</v>
      </c>
      <c r="D733">
        <f>VLOOKUP(A733,收盤價!A:C,3,0)</f>
        <v>39.85</v>
      </c>
      <c r="E733" s="87">
        <v>4.868421052631583E-2</v>
      </c>
      <c r="F733">
        <v>55.11</v>
      </c>
    </row>
    <row r="734" spans="1:6">
      <c r="A734">
        <v>2010</v>
      </c>
      <c r="B734" t="s">
        <v>702</v>
      </c>
      <c r="C734">
        <v>10.3</v>
      </c>
      <c r="D734">
        <f>VLOOKUP(A734,收盤價!A:C,3,0)</f>
        <v>10.8</v>
      </c>
      <c r="E734" s="87">
        <v>4.8543689320388349E-2</v>
      </c>
      <c r="F734">
        <v>55.05</v>
      </c>
    </row>
    <row r="735" spans="1:6">
      <c r="A735">
        <v>5483</v>
      </c>
      <c r="B735" t="s">
        <v>1552</v>
      </c>
      <c r="C735">
        <v>32.25</v>
      </c>
      <c r="D735">
        <f>VLOOKUP(A735,收盤價!A:C,3,0)</f>
        <v>33.799999999999997</v>
      </c>
      <c r="E735" s="87">
        <v>4.8062015503875878E-2</v>
      </c>
      <c r="F735">
        <v>54.99</v>
      </c>
    </row>
    <row r="736" spans="1:6">
      <c r="A736">
        <v>1438</v>
      </c>
      <c r="B736" t="s">
        <v>565</v>
      </c>
      <c r="C736">
        <v>4</v>
      </c>
      <c r="D736">
        <f>VLOOKUP(A736,收盤價!A:C,3,0)</f>
        <v>4.1900000000000004</v>
      </c>
      <c r="E736" s="87">
        <v>4.7500000000000098E-2</v>
      </c>
      <c r="F736">
        <v>54.93</v>
      </c>
    </row>
    <row r="737" spans="1:6">
      <c r="A737">
        <v>6155</v>
      </c>
      <c r="B737" t="s">
        <v>1187</v>
      </c>
      <c r="C737">
        <v>17</v>
      </c>
      <c r="D737">
        <f>VLOOKUP(A737,收盤價!A:C,3,0)</f>
        <v>17.8</v>
      </c>
      <c r="E737" s="87">
        <v>4.7058823529411806E-2</v>
      </c>
      <c r="F737">
        <v>54.87</v>
      </c>
    </row>
    <row r="738" spans="1:6">
      <c r="A738">
        <v>2889</v>
      </c>
      <c r="B738" t="s">
        <v>968</v>
      </c>
      <c r="C738">
        <v>7.65</v>
      </c>
      <c r="D738">
        <f>VLOOKUP(A738,收盤價!A:C,3,0)</f>
        <v>8.01</v>
      </c>
      <c r="E738" s="87">
        <v>4.7058823529411688E-2</v>
      </c>
      <c r="F738">
        <v>54.81</v>
      </c>
    </row>
    <row r="739" spans="1:6">
      <c r="A739">
        <v>3438</v>
      </c>
      <c r="B739" t="s">
        <v>1390</v>
      </c>
      <c r="C739">
        <v>17.05</v>
      </c>
      <c r="D739">
        <f>VLOOKUP(A739,收盤價!A:C,3,0)</f>
        <v>17.850000000000001</v>
      </c>
      <c r="E739" s="87">
        <v>4.6920821114369543E-2</v>
      </c>
      <c r="F739">
        <v>54.75</v>
      </c>
    </row>
    <row r="740" spans="1:6">
      <c r="A740">
        <v>3003</v>
      </c>
      <c r="B740" t="s">
        <v>984</v>
      </c>
      <c r="C740">
        <v>34.200000000000003</v>
      </c>
      <c r="D740">
        <f>VLOOKUP(A740,收盤價!A:C,3,0)</f>
        <v>35.799999999999997</v>
      </c>
      <c r="E740" s="87">
        <v>4.6783625730993983E-2</v>
      </c>
      <c r="F740">
        <v>54.68</v>
      </c>
    </row>
    <row r="741" spans="1:6">
      <c r="A741">
        <v>3672</v>
      </c>
      <c r="B741" t="s">
        <v>321</v>
      </c>
      <c r="C741">
        <v>30.05</v>
      </c>
      <c r="D741">
        <f>VLOOKUP(A741,收盤價!A:C,3,0)</f>
        <v>31.45</v>
      </c>
      <c r="E741" s="87">
        <v>4.6589018302828571E-2</v>
      </c>
      <c r="F741">
        <v>54.62</v>
      </c>
    </row>
    <row r="742" spans="1:6">
      <c r="A742">
        <v>2836</v>
      </c>
      <c r="B742" t="s">
        <v>948</v>
      </c>
      <c r="C742">
        <v>8.59</v>
      </c>
      <c r="D742">
        <f>VLOOKUP(A742,收盤價!A:C,3,0)</f>
        <v>8.99</v>
      </c>
      <c r="E742" s="87">
        <v>4.6565774155995387E-2</v>
      </c>
      <c r="F742">
        <v>54.56</v>
      </c>
    </row>
    <row r="743" spans="1:6">
      <c r="A743">
        <v>9103</v>
      </c>
      <c r="B743" t="s">
        <v>2085</v>
      </c>
      <c r="C743">
        <v>1.72</v>
      </c>
      <c r="D743">
        <f>VLOOKUP(A743,收盤價!A:C,3,0)</f>
        <v>1.8</v>
      </c>
      <c r="E743" s="87">
        <v>4.6511627906976785E-2</v>
      </c>
      <c r="F743">
        <v>54.5</v>
      </c>
    </row>
    <row r="744" spans="1:6">
      <c r="A744">
        <v>2413</v>
      </c>
      <c r="B744" t="s">
        <v>816</v>
      </c>
      <c r="C744">
        <v>10.8</v>
      </c>
      <c r="D744">
        <f>VLOOKUP(A744,收盤價!A:C,3,0)</f>
        <v>11.3</v>
      </c>
      <c r="E744" s="87">
        <v>4.6296296296296294E-2</v>
      </c>
      <c r="F744">
        <v>54.44</v>
      </c>
    </row>
    <row r="745" spans="1:6">
      <c r="A745">
        <v>8420</v>
      </c>
      <c r="B745" t="s">
        <v>476</v>
      </c>
      <c r="C745">
        <v>20.55</v>
      </c>
      <c r="D745">
        <f>VLOOKUP(A745,收盤價!A:C,3,0)</f>
        <v>21.5</v>
      </c>
      <c r="E745" s="87">
        <v>4.6228710462287069E-2</v>
      </c>
      <c r="F745">
        <v>54.38</v>
      </c>
    </row>
    <row r="746" spans="1:6">
      <c r="A746">
        <v>2536</v>
      </c>
      <c r="B746" t="s">
        <v>900</v>
      </c>
      <c r="C746">
        <v>25.1</v>
      </c>
      <c r="D746">
        <f>VLOOKUP(A746,收盤價!A:C,3,0)</f>
        <v>26.25</v>
      </c>
      <c r="E746" s="87">
        <v>4.5816733067729022E-2</v>
      </c>
      <c r="F746">
        <v>54.32</v>
      </c>
    </row>
    <row r="747" spans="1:6">
      <c r="A747">
        <v>3615</v>
      </c>
      <c r="B747" t="s">
        <v>1418</v>
      </c>
      <c r="C747">
        <v>17.5</v>
      </c>
      <c r="D747">
        <f>VLOOKUP(A747,收盤價!A:C,3,0)</f>
        <v>18.3</v>
      </c>
      <c r="E747" s="87">
        <v>4.5714285714285756E-2</v>
      </c>
      <c r="F747">
        <v>54.26</v>
      </c>
    </row>
    <row r="748" spans="1:6">
      <c r="A748">
        <v>1802</v>
      </c>
      <c r="B748" t="s">
        <v>684</v>
      </c>
      <c r="C748">
        <v>13.2</v>
      </c>
      <c r="D748">
        <f>VLOOKUP(A748,收盤價!A:C,3,0)</f>
        <v>13.8</v>
      </c>
      <c r="E748" s="87">
        <v>4.5454545454545567E-2</v>
      </c>
      <c r="F748">
        <v>54.19</v>
      </c>
    </row>
    <row r="749" spans="1:6">
      <c r="A749">
        <v>2221</v>
      </c>
      <c r="B749" t="s">
        <v>1328</v>
      </c>
      <c r="C749">
        <v>16.5</v>
      </c>
      <c r="D749">
        <f>VLOOKUP(A749,收盤價!A:C,3,0)</f>
        <v>17.25</v>
      </c>
      <c r="E749" s="87">
        <v>4.5454545454545456E-2</v>
      </c>
      <c r="F749">
        <v>54.13</v>
      </c>
    </row>
    <row r="750" spans="1:6">
      <c r="A750">
        <v>1717</v>
      </c>
      <c r="B750" t="s">
        <v>660</v>
      </c>
      <c r="C750">
        <v>32</v>
      </c>
      <c r="D750">
        <f>VLOOKUP(A750,收盤價!A:C,3,0)</f>
        <v>33.450000000000003</v>
      </c>
      <c r="E750" s="87">
        <v>4.5312500000000089E-2</v>
      </c>
      <c r="F750">
        <v>54.07</v>
      </c>
    </row>
    <row r="751" spans="1:6">
      <c r="A751">
        <v>2727</v>
      </c>
      <c r="B751" t="s">
        <v>938</v>
      </c>
      <c r="C751">
        <v>111</v>
      </c>
      <c r="D751">
        <f>VLOOKUP(A751,收盤價!A:C,3,0)</f>
        <v>116</v>
      </c>
      <c r="E751" s="87">
        <v>4.5045045045045043E-2</v>
      </c>
      <c r="F751">
        <v>54.01</v>
      </c>
    </row>
    <row r="752" spans="1:6">
      <c r="A752">
        <v>1110</v>
      </c>
      <c r="B752" t="s">
        <v>509</v>
      </c>
      <c r="C752">
        <v>14.45</v>
      </c>
      <c r="D752">
        <f>VLOOKUP(A752,收盤價!A:C,3,0)</f>
        <v>15.1</v>
      </c>
      <c r="E752" s="87">
        <v>4.4982698961937746E-2</v>
      </c>
      <c r="F752">
        <v>53.95</v>
      </c>
    </row>
    <row r="753" spans="1:6">
      <c r="A753">
        <v>1612</v>
      </c>
      <c r="B753" t="s">
        <v>641</v>
      </c>
      <c r="C753">
        <v>8.24</v>
      </c>
      <c r="D753">
        <f>VLOOKUP(A753,收盤價!A:C,3,0)</f>
        <v>8.61</v>
      </c>
      <c r="E753" s="87">
        <v>4.4902912621359127E-2</v>
      </c>
      <c r="F753">
        <v>53.89</v>
      </c>
    </row>
    <row r="754" spans="1:6">
      <c r="A754">
        <v>8092</v>
      </c>
      <c r="B754" t="s">
        <v>1668</v>
      </c>
      <c r="C754">
        <v>7.48</v>
      </c>
      <c r="D754">
        <f>VLOOKUP(A754,收盤價!A:C,3,0)</f>
        <v>7.81</v>
      </c>
      <c r="E754" s="87">
        <v>4.4117647058823414E-2</v>
      </c>
      <c r="F754">
        <v>53.83</v>
      </c>
    </row>
    <row r="755" spans="1:6">
      <c r="A755">
        <v>1711</v>
      </c>
      <c r="B755" t="s">
        <v>655</v>
      </c>
      <c r="C755">
        <v>19.350000000000001</v>
      </c>
      <c r="D755">
        <f>VLOOKUP(A755,收盤價!A:C,3,0)</f>
        <v>20.2</v>
      </c>
      <c r="E755" s="87">
        <v>4.3927648578811256E-2</v>
      </c>
      <c r="F755">
        <v>53.77</v>
      </c>
    </row>
    <row r="756" spans="1:6">
      <c r="A756">
        <v>3527</v>
      </c>
      <c r="B756" t="s">
        <v>300</v>
      </c>
      <c r="C756">
        <v>68.400000000000006</v>
      </c>
      <c r="D756">
        <f>VLOOKUP(A756,收盤價!A:C,3,0)</f>
        <v>71.400000000000006</v>
      </c>
      <c r="E756" s="87">
        <v>4.3859649122807015E-2</v>
      </c>
      <c r="F756">
        <v>53.7</v>
      </c>
    </row>
    <row r="757" spans="1:6">
      <c r="A757">
        <v>5211</v>
      </c>
      <c r="B757" t="s">
        <v>369</v>
      </c>
      <c r="C757">
        <v>19.5</v>
      </c>
      <c r="D757">
        <f>VLOOKUP(A757,收盤價!A:C,3,0)</f>
        <v>20.350000000000001</v>
      </c>
      <c r="E757" s="87">
        <v>4.3589743589743664E-2</v>
      </c>
      <c r="F757">
        <v>53.64</v>
      </c>
    </row>
    <row r="758" spans="1:6">
      <c r="A758">
        <v>6143</v>
      </c>
      <c r="B758" t="s">
        <v>1596</v>
      </c>
      <c r="C758">
        <v>59.8</v>
      </c>
      <c r="D758">
        <f>VLOOKUP(A758,收盤價!A:C,3,0)</f>
        <v>62.4</v>
      </c>
      <c r="E758" s="87">
        <v>4.3478260869565244E-2</v>
      </c>
      <c r="F758">
        <v>53.58</v>
      </c>
    </row>
    <row r="759" spans="1:6">
      <c r="A759">
        <v>8210</v>
      </c>
      <c r="B759" t="s">
        <v>1259</v>
      </c>
      <c r="C759">
        <v>50.8</v>
      </c>
      <c r="D759">
        <f>VLOOKUP(A759,收盤價!A:C,3,0)</f>
        <v>53</v>
      </c>
      <c r="E759" s="87">
        <v>4.3307086614173283E-2</v>
      </c>
      <c r="F759">
        <v>53.52</v>
      </c>
    </row>
    <row r="760" spans="1:6">
      <c r="A760">
        <v>4746</v>
      </c>
      <c r="B760" t="s">
        <v>1131</v>
      </c>
      <c r="C760">
        <v>85.6</v>
      </c>
      <c r="D760">
        <f>VLOOKUP(A760,收盤價!A:C,3,0)</f>
        <v>89.3</v>
      </c>
      <c r="E760" s="87">
        <v>4.32242990654206E-2</v>
      </c>
      <c r="F760">
        <v>53.46</v>
      </c>
    </row>
    <row r="761" spans="1:6">
      <c r="A761">
        <v>3682</v>
      </c>
      <c r="B761" t="s">
        <v>1102</v>
      </c>
      <c r="C761">
        <v>9.7799999999999994</v>
      </c>
      <c r="D761">
        <f>VLOOKUP(A761,收盤價!A:C,3,0)</f>
        <v>10.199999999999999</v>
      </c>
      <c r="E761" s="87">
        <v>4.2944785276073615E-2</v>
      </c>
      <c r="F761">
        <v>53.4</v>
      </c>
    </row>
    <row r="762" spans="1:6">
      <c r="A762">
        <v>1466</v>
      </c>
      <c r="B762" t="s">
        <v>588</v>
      </c>
      <c r="C762">
        <v>12.85</v>
      </c>
      <c r="D762">
        <f>VLOOKUP(A762,收盤價!A:C,3,0)</f>
        <v>13.4</v>
      </c>
      <c r="E762" s="87">
        <v>4.2801556420233519E-2</v>
      </c>
      <c r="F762">
        <v>53.34</v>
      </c>
    </row>
    <row r="763" spans="1:6">
      <c r="A763">
        <v>9933</v>
      </c>
      <c r="B763" t="s">
        <v>1296</v>
      </c>
      <c r="C763">
        <v>45.6</v>
      </c>
      <c r="D763">
        <f>VLOOKUP(A763,收盤價!A:C,3,0)</f>
        <v>47.55</v>
      </c>
      <c r="E763" s="87">
        <v>4.2763157894736746E-2</v>
      </c>
      <c r="F763">
        <v>53.28</v>
      </c>
    </row>
    <row r="764" spans="1:6">
      <c r="A764">
        <v>8107</v>
      </c>
      <c r="B764" t="s">
        <v>471</v>
      </c>
      <c r="C764">
        <v>22.4</v>
      </c>
      <c r="D764">
        <f>VLOOKUP(A764,收盤價!A:C,3,0)</f>
        <v>23.35</v>
      </c>
      <c r="E764" s="87">
        <v>4.2410714285714413E-2</v>
      </c>
      <c r="F764">
        <v>53.21</v>
      </c>
    </row>
    <row r="765" spans="1:6">
      <c r="A765">
        <v>1808</v>
      </c>
      <c r="B765" t="s">
        <v>687</v>
      </c>
      <c r="C765">
        <v>31.85</v>
      </c>
      <c r="D765">
        <f>VLOOKUP(A765,收盤價!A:C,3,0)</f>
        <v>33.200000000000003</v>
      </c>
      <c r="E765" s="87">
        <v>4.2386185243328142E-2</v>
      </c>
      <c r="F765">
        <v>53.15</v>
      </c>
    </row>
    <row r="766" spans="1:6">
      <c r="A766">
        <v>2035</v>
      </c>
      <c r="B766" t="s">
        <v>1326</v>
      </c>
      <c r="C766">
        <v>44.95</v>
      </c>
      <c r="D766">
        <f>VLOOKUP(A766,收盤價!A:C,3,0)</f>
        <v>46.85</v>
      </c>
      <c r="E766" s="87">
        <v>4.2269187986651802E-2</v>
      </c>
      <c r="F766">
        <v>53.09</v>
      </c>
    </row>
    <row r="767" spans="1:6">
      <c r="A767">
        <v>5356</v>
      </c>
      <c r="B767" t="s">
        <v>1536</v>
      </c>
      <c r="C767">
        <v>38.4</v>
      </c>
      <c r="D767">
        <f>VLOOKUP(A767,收盤價!A:C,3,0)</f>
        <v>40</v>
      </c>
      <c r="E767" s="87">
        <v>4.1666666666666706E-2</v>
      </c>
      <c r="F767">
        <v>53.03</v>
      </c>
    </row>
    <row r="768" spans="1:6">
      <c r="A768">
        <v>3686</v>
      </c>
      <c r="B768" t="s">
        <v>1103</v>
      </c>
      <c r="C768">
        <v>7.2</v>
      </c>
      <c r="D768">
        <f>VLOOKUP(A768,收盤價!A:C,3,0)</f>
        <v>7.5</v>
      </c>
      <c r="E768" s="87">
        <v>4.1666666666666644E-2</v>
      </c>
      <c r="F768">
        <v>52.97</v>
      </c>
    </row>
    <row r="769" spans="1:6">
      <c r="A769">
        <v>8354</v>
      </c>
      <c r="B769" t="s">
        <v>1691</v>
      </c>
      <c r="C769">
        <v>17</v>
      </c>
      <c r="D769">
        <f>VLOOKUP(A769,收盤價!A:C,3,0)</f>
        <v>17.7</v>
      </c>
      <c r="E769" s="87">
        <v>4.1176470588235252E-2</v>
      </c>
      <c r="F769">
        <v>52.91</v>
      </c>
    </row>
    <row r="770" spans="1:6">
      <c r="A770">
        <v>4142</v>
      </c>
      <c r="B770" t="s">
        <v>1117</v>
      </c>
      <c r="C770">
        <v>22.1</v>
      </c>
      <c r="D770">
        <f>VLOOKUP(A770,收盤價!A:C,3,0)</f>
        <v>23</v>
      </c>
      <c r="E770" s="87">
        <v>4.072398190045242E-2</v>
      </c>
      <c r="F770">
        <v>52.85</v>
      </c>
    </row>
    <row r="771" spans="1:6">
      <c r="A771">
        <v>6298</v>
      </c>
      <c r="B771" t="s">
        <v>1638</v>
      </c>
      <c r="C771">
        <v>14.8</v>
      </c>
      <c r="D771">
        <f>VLOOKUP(A771,收盤價!A:C,3,0)</f>
        <v>15.4</v>
      </c>
      <c r="E771" s="87">
        <v>4.0540540540540515E-2</v>
      </c>
      <c r="F771">
        <v>52.79</v>
      </c>
    </row>
    <row r="772" spans="1:6">
      <c r="A772">
        <v>3535</v>
      </c>
      <c r="B772" t="s">
        <v>1079</v>
      </c>
      <c r="C772">
        <v>13.65</v>
      </c>
      <c r="D772">
        <f>VLOOKUP(A772,收盤價!A:C,3,0)</f>
        <v>14.2</v>
      </c>
      <c r="E772" s="87">
        <v>4.0293040293040212E-2</v>
      </c>
      <c r="F772">
        <v>52.73</v>
      </c>
    </row>
    <row r="773" spans="1:6">
      <c r="A773">
        <v>2038</v>
      </c>
      <c r="B773" t="s">
        <v>721</v>
      </c>
      <c r="C773">
        <v>6.04</v>
      </c>
      <c r="D773">
        <f>VLOOKUP(A773,收盤價!A:C,3,0)</f>
        <v>6.28</v>
      </c>
      <c r="E773" s="87">
        <v>3.9735099337748381E-2</v>
      </c>
      <c r="F773">
        <v>52.66</v>
      </c>
    </row>
    <row r="774" spans="1:6">
      <c r="A774">
        <v>5410</v>
      </c>
      <c r="B774" t="s">
        <v>1542</v>
      </c>
      <c r="C774">
        <v>12.75</v>
      </c>
      <c r="D774">
        <f>VLOOKUP(A774,收盤價!A:C,3,0)</f>
        <v>13.25</v>
      </c>
      <c r="E774" s="87">
        <v>3.9215686274509803E-2</v>
      </c>
      <c r="F774">
        <v>52.6</v>
      </c>
    </row>
    <row r="775" spans="1:6">
      <c r="A775">
        <v>2419</v>
      </c>
      <c r="B775" t="s">
        <v>820</v>
      </c>
      <c r="C775">
        <v>19.3</v>
      </c>
      <c r="D775">
        <f>VLOOKUP(A775,收盤價!A:C,3,0)</f>
        <v>20.05</v>
      </c>
      <c r="E775" s="87">
        <v>3.8860103626943004E-2</v>
      </c>
      <c r="F775">
        <v>52.54</v>
      </c>
    </row>
    <row r="776" spans="1:6">
      <c r="A776">
        <v>8390</v>
      </c>
      <c r="B776" t="s">
        <v>1693</v>
      </c>
      <c r="C776">
        <v>13.1</v>
      </c>
      <c r="D776">
        <f>VLOOKUP(A776,收盤價!A:C,3,0)</f>
        <v>13.6</v>
      </c>
      <c r="E776" s="87">
        <v>3.8167938931297711E-2</v>
      </c>
      <c r="F776">
        <v>52.48</v>
      </c>
    </row>
    <row r="777" spans="1:6">
      <c r="A777">
        <v>3564</v>
      </c>
      <c r="B777" t="s">
        <v>1411</v>
      </c>
      <c r="C777">
        <v>49.9</v>
      </c>
      <c r="D777">
        <f>VLOOKUP(A777,收盤價!A:C,3,0)</f>
        <v>51.8</v>
      </c>
      <c r="E777" s="87">
        <v>3.8076152304609194E-2</v>
      </c>
      <c r="F777">
        <v>52.42</v>
      </c>
    </row>
    <row r="778" spans="1:6">
      <c r="A778">
        <v>1321</v>
      </c>
      <c r="B778" t="s">
        <v>544</v>
      </c>
      <c r="C778">
        <v>25.25</v>
      </c>
      <c r="D778">
        <f>VLOOKUP(A778,收盤價!A:C,3,0)</f>
        <v>26.2</v>
      </c>
      <c r="E778" s="87">
        <v>3.7623762376237595E-2</v>
      </c>
      <c r="F778">
        <v>52.36</v>
      </c>
    </row>
    <row r="779" spans="1:6">
      <c r="A779">
        <v>4535</v>
      </c>
      <c r="B779" t="s">
        <v>1480</v>
      </c>
      <c r="C779">
        <v>41.2</v>
      </c>
      <c r="D779">
        <f>VLOOKUP(A779,收盤價!A:C,3,0)</f>
        <v>42.75</v>
      </c>
      <c r="E779" s="87">
        <v>3.7621359223300899E-2</v>
      </c>
      <c r="F779">
        <v>52.3</v>
      </c>
    </row>
    <row r="780" spans="1:6">
      <c r="A780">
        <v>4426</v>
      </c>
      <c r="B780" t="s">
        <v>1121</v>
      </c>
      <c r="C780">
        <v>120</v>
      </c>
      <c r="D780">
        <f>VLOOKUP(A780,收盤價!A:C,3,0)</f>
        <v>124.5</v>
      </c>
      <c r="E780" s="87">
        <v>3.7499999999999999E-2</v>
      </c>
      <c r="F780">
        <v>52.24</v>
      </c>
    </row>
    <row r="781" spans="1:6">
      <c r="A781">
        <v>6223</v>
      </c>
      <c r="B781" t="s">
        <v>435</v>
      </c>
      <c r="C781">
        <v>75.5</v>
      </c>
      <c r="D781">
        <f>VLOOKUP(A781,收盤價!A:C,3,0)</f>
        <v>78.3</v>
      </c>
      <c r="E781" s="87">
        <v>3.708609271523175E-2</v>
      </c>
      <c r="F781">
        <v>52.17</v>
      </c>
    </row>
    <row r="782" spans="1:6">
      <c r="A782">
        <v>2543</v>
      </c>
      <c r="B782" t="s">
        <v>906</v>
      </c>
      <c r="C782">
        <v>9.44</v>
      </c>
      <c r="D782">
        <f>VLOOKUP(A782,收盤價!A:C,3,0)</f>
        <v>9.7899999999999991</v>
      </c>
      <c r="E782" s="87">
        <v>3.7076271186440642E-2</v>
      </c>
      <c r="F782">
        <v>52.11</v>
      </c>
    </row>
    <row r="783" spans="1:6">
      <c r="A783">
        <v>2236</v>
      </c>
      <c r="B783" t="s">
        <v>2042</v>
      </c>
      <c r="C783">
        <v>54</v>
      </c>
      <c r="D783">
        <f>VLOOKUP(A783,收盤價!A:C,3,0)</f>
        <v>56</v>
      </c>
      <c r="E783" s="87">
        <v>3.7037037037037035E-2</v>
      </c>
      <c r="F783">
        <v>52.05</v>
      </c>
    </row>
    <row r="784" spans="1:6">
      <c r="A784">
        <v>2903</v>
      </c>
      <c r="B784" t="s">
        <v>973</v>
      </c>
      <c r="C784">
        <v>16.3</v>
      </c>
      <c r="D784">
        <f>VLOOKUP(A784,收盤價!A:C,3,0)</f>
        <v>16.899999999999999</v>
      </c>
      <c r="E784" s="87">
        <v>3.6809815950920116E-2</v>
      </c>
      <c r="F784">
        <v>51.99</v>
      </c>
    </row>
    <row r="785" spans="1:6">
      <c r="A785">
        <v>1565</v>
      </c>
      <c r="B785" t="s">
        <v>1312</v>
      </c>
      <c r="C785">
        <v>680</v>
      </c>
      <c r="D785">
        <f>VLOOKUP(A785,收盤價!A:C,3,0)</f>
        <v>705</v>
      </c>
      <c r="E785" s="87">
        <v>3.6764705882352942E-2</v>
      </c>
      <c r="F785">
        <v>51.93</v>
      </c>
    </row>
    <row r="786" spans="1:6">
      <c r="A786">
        <v>2820</v>
      </c>
      <c r="B786" t="s">
        <v>944</v>
      </c>
      <c r="C786">
        <v>12.25</v>
      </c>
      <c r="D786">
        <f>VLOOKUP(A786,收盤價!A:C,3,0)</f>
        <v>12.7</v>
      </c>
      <c r="E786" s="87">
        <v>3.6734693877550961E-2</v>
      </c>
      <c r="F786">
        <v>51.87</v>
      </c>
    </row>
    <row r="787" spans="1:6">
      <c r="A787">
        <v>1337</v>
      </c>
      <c r="B787" t="s">
        <v>2032</v>
      </c>
      <c r="C787">
        <v>17.7</v>
      </c>
      <c r="D787">
        <f>VLOOKUP(A787,收盤價!A:C,3,0)</f>
        <v>18.350000000000001</v>
      </c>
      <c r="E787" s="87">
        <v>3.6723163841808029E-2</v>
      </c>
      <c r="F787">
        <v>51.81</v>
      </c>
    </row>
    <row r="788" spans="1:6">
      <c r="A788" t="s">
        <v>221</v>
      </c>
      <c r="B788" t="s">
        <v>538</v>
      </c>
      <c r="C788">
        <v>23.15</v>
      </c>
      <c r="D788">
        <f>VLOOKUP(A788,收盤價!A:C,3,0)</f>
        <v>24</v>
      </c>
      <c r="E788" s="87">
        <v>3.6717062634989264E-2</v>
      </c>
      <c r="F788">
        <v>51.75</v>
      </c>
    </row>
    <row r="789" spans="1:6">
      <c r="A789">
        <v>6015</v>
      </c>
      <c r="B789" t="s">
        <v>1573</v>
      </c>
      <c r="C789">
        <v>5.47</v>
      </c>
      <c r="D789">
        <f>VLOOKUP(A789,收盤價!A:C,3,0)</f>
        <v>5.67</v>
      </c>
      <c r="E789" s="87">
        <v>3.6563071297989067E-2</v>
      </c>
      <c r="F789">
        <v>51.68</v>
      </c>
    </row>
    <row r="790" spans="1:6">
      <c r="A790">
        <v>9910</v>
      </c>
      <c r="B790" t="s">
        <v>1281</v>
      </c>
      <c r="C790">
        <v>126</v>
      </c>
      <c r="D790">
        <f>VLOOKUP(A790,收盤價!A:C,3,0)</f>
        <v>130.5</v>
      </c>
      <c r="E790" s="87">
        <v>3.5714285714285712E-2</v>
      </c>
      <c r="F790">
        <v>51.62</v>
      </c>
    </row>
    <row r="791" spans="1:6">
      <c r="A791">
        <v>3419</v>
      </c>
      <c r="B791" t="s">
        <v>1062</v>
      </c>
      <c r="C791">
        <v>15.4</v>
      </c>
      <c r="D791">
        <f>VLOOKUP(A791,收盤價!A:C,3,0)</f>
        <v>15.95</v>
      </c>
      <c r="E791" s="87">
        <v>3.5714285714285643E-2</v>
      </c>
      <c r="F791">
        <v>51.56</v>
      </c>
    </row>
    <row r="792" spans="1:6">
      <c r="A792">
        <v>5284</v>
      </c>
      <c r="B792" t="s">
        <v>1521</v>
      </c>
      <c r="C792">
        <v>61.7</v>
      </c>
      <c r="D792">
        <f>VLOOKUP(A792,收盤價!A:C,3,0)</f>
        <v>63.9</v>
      </c>
      <c r="E792" s="87">
        <v>3.5656401944894583E-2</v>
      </c>
      <c r="F792">
        <v>51.5</v>
      </c>
    </row>
    <row r="793" spans="1:6">
      <c r="A793">
        <v>2880</v>
      </c>
      <c r="B793" t="s">
        <v>959</v>
      </c>
      <c r="C793">
        <v>15.55</v>
      </c>
      <c r="D793">
        <f>VLOOKUP(A793,收盤價!A:C,3,0)</f>
        <v>16.100000000000001</v>
      </c>
      <c r="E793" s="87">
        <v>3.536977491961419E-2</v>
      </c>
      <c r="F793">
        <v>51.44</v>
      </c>
    </row>
    <row r="794" spans="1:6">
      <c r="A794">
        <v>3010</v>
      </c>
      <c r="B794" t="s">
        <v>989</v>
      </c>
      <c r="C794">
        <v>44</v>
      </c>
      <c r="D794">
        <f>VLOOKUP(A794,收盤價!A:C,3,0)</f>
        <v>45.55</v>
      </c>
      <c r="E794" s="87">
        <v>3.5227272727272663E-2</v>
      </c>
      <c r="F794">
        <v>51.38</v>
      </c>
    </row>
    <row r="795" spans="1:6">
      <c r="A795">
        <v>2618</v>
      </c>
      <c r="B795" t="s">
        <v>927</v>
      </c>
      <c r="C795">
        <v>14.2</v>
      </c>
      <c r="D795">
        <f>VLOOKUP(A795,收盤價!A:C,3,0)</f>
        <v>14.7</v>
      </c>
      <c r="E795" s="87">
        <v>3.5211267605633804E-2</v>
      </c>
      <c r="F795">
        <v>51.32</v>
      </c>
    </row>
    <row r="796" spans="1:6">
      <c r="A796">
        <v>3042</v>
      </c>
      <c r="B796" t="s">
        <v>1017</v>
      </c>
      <c r="C796">
        <v>42.9</v>
      </c>
      <c r="D796">
        <f>VLOOKUP(A796,收盤價!A:C,3,0)</f>
        <v>44.4</v>
      </c>
      <c r="E796" s="87">
        <v>3.4965034965034968E-2</v>
      </c>
      <c r="F796">
        <v>51.26</v>
      </c>
    </row>
    <row r="797" spans="1:6">
      <c r="A797">
        <v>1732</v>
      </c>
      <c r="B797" t="s">
        <v>673</v>
      </c>
      <c r="C797">
        <v>12.95</v>
      </c>
      <c r="D797">
        <f>VLOOKUP(A797,收盤價!A:C,3,0)</f>
        <v>13.4</v>
      </c>
      <c r="E797" s="87">
        <v>3.4749034749034832E-2</v>
      </c>
      <c r="F797">
        <v>51.19</v>
      </c>
    </row>
    <row r="798" spans="1:6">
      <c r="A798">
        <v>1457</v>
      </c>
      <c r="B798" t="s">
        <v>582</v>
      </c>
      <c r="C798">
        <v>9.81</v>
      </c>
      <c r="D798">
        <f>VLOOKUP(A798,收盤價!A:C,3,0)</f>
        <v>10.15</v>
      </c>
      <c r="E798" s="87">
        <v>3.4658511722731891E-2</v>
      </c>
      <c r="F798">
        <v>51.13</v>
      </c>
    </row>
    <row r="799" spans="1:6">
      <c r="A799">
        <v>2542</v>
      </c>
      <c r="B799" t="s">
        <v>905</v>
      </c>
      <c r="C799">
        <v>46.25</v>
      </c>
      <c r="D799">
        <f>VLOOKUP(A799,收盤價!A:C,3,0)</f>
        <v>47.85</v>
      </c>
      <c r="E799" s="87">
        <v>3.4594594594594623E-2</v>
      </c>
      <c r="F799">
        <v>51.07</v>
      </c>
    </row>
    <row r="800" spans="1:6">
      <c r="A800">
        <v>6154</v>
      </c>
      <c r="B800" t="s">
        <v>418</v>
      </c>
      <c r="C800">
        <v>15.9</v>
      </c>
      <c r="D800">
        <f>VLOOKUP(A800,收盤價!A:C,3,0)</f>
        <v>16.45</v>
      </c>
      <c r="E800" s="87">
        <v>3.4591194968553389E-2</v>
      </c>
      <c r="F800">
        <v>51.01</v>
      </c>
    </row>
    <row r="801" spans="1:6">
      <c r="A801">
        <v>2892</v>
      </c>
      <c r="B801" t="s">
        <v>971</v>
      </c>
      <c r="C801">
        <v>15.95</v>
      </c>
      <c r="D801">
        <f>VLOOKUP(A801,收盤價!A:C,3,0)</f>
        <v>16.5</v>
      </c>
      <c r="E801" s="87">
        <v>3.4482758620689703E-2</v>
      </c>
      <c r="F801">
        <v>50.95</v>
      </c>
    </row>
    <row r="802" spans="1:6">
      <c r="A802">
        <v>6603</v>
      </c>
      <c r="B802" t="s">
        <v>457</v>
      </c>
      <c r="C802">
        <v>10.199999999999999</v>
      </c>
      <c r="D802">
        <f>VLOOKUP(A802,收盤價!A:C,3,0)</f>
        <v>10.55</v>
      </c>
      <c r="E802" s="87">
        <v>3.431372549019622E-2</v>
      </c>
      <c r="F802">
        <v>50.89</v>
      </c>
    </row>
    <row r="803" spans="1:6">
      <c r="A803">
        <v>9927</v>
      </c>
      <c r="B803" t="s">
        <v>1292</v>
      </c>
      <c r="C803">
        <v>29.7</v>
      </c>
      <c r="D803">
        <f>VLOOKUP(A803,收盤價!A:C,3,0)</f>
        <v>30.7</v>
      </c>
      <c r="E803" s="87">
        <v>3.3670033670033669E-2</v>
      </c>
      <c r="F803">
        <v>50.83</v>
      </c>
    </row>
    <row r="804" spans="1:6">
      <c r="A804">
        <v>9958</v>
      </c>
      <c r="B804" t="s">
        <v>1309</v>
      </c>
      <c r="C804">
        <v>9.67</v>
      </c>
      <c r="D804">
        <f>VLOOKUP(A804,收盤價!A:C,3,0)</f>
        <v>9.99</v>
      </c>
      <c r="E804" s="87">
        <v>3.3092037228541912E-2</v>
      </c>
      <c r="F804">
        <v>50.77</v>
      </c>
    </row>
    <row r="805" spans="1:6">
      <c r="A805">
        <v>5202</v>
      </c>
      <c r="B805" t="s">
        <v>1512</v>
      </c>
      <c r="C805">
        <v>15.2</v>
      </c>
      <c r="D805">
        <f>VLOOKUP(A805,收盤價!A:C,3,0)</f>
        <v>15.7</v>
      </c>
      <c r="E805" s="87">
        <v>3.2894736842105261E-2</v>
      </c>
      <c r="F805">
        <v>50.7</v>
      </c>
    </row>
    <row r="806" spans="1:6">
      <c r="A806">
        <v>6145</v>
      </c>
      <c r="B806" t="s">
        <v>1184</v>
      </c>
      <c r="C806">
        <v>9.36</v>
      </c>
      <c r="D806">
        <f>VLOOKUP(A806,收盤價!A:C,3,0)</f>
        <v>9.66</v>
      </c>
      <c r="E806" s="87">
        <v>3.2051282051282132E-2</v>
      </c>
      <c r="F806">
        <v>50.64</v>
      </c>
    </row>
    <row r="807" spans="1:6">
      <c r="A807">
        <v>2020</v>
      </c>
      <c r="B807" t="s">
        <v>708</v>
      </c>
      <c r="C807">
        <v>12.5</v>
      </c>
      <c r="D807">
        <f>VLOOKUP(A807,收盤價!A:C,3,0)</f>
        <v>12.9</v>
      </c>
      <c r="E807" s="87">
        <v>3.2000000000000028E-2</v>
      </c>
      <c r="F807">
        <v>50.58</v>
      </c>
    </row>
    <row r="808" spans="1:6">
      <c r="A808">
        <v>9944</v>
      </c>
      <c r="B808" t="s">
        <v>1306</v>
      </c>
      <c r="C808">
        <v>22.25</v>
      </c>
      <c r="D808">
        <f>VLOOKUP(A808,收盤價!A:C,3,0)</f>
        <v>22.95</v>
      </c>
      <c r="E808" s="87">
        <v>3.1460674157303338E-2</v>
      </c>
      <c r="F808">
        <v>50.52</v>
      </c>
    </row>
    <row r="809" spans="1:6">
      <c r="A809">
        <v>9110</v>
      </c>
      <c r="B809" t="s">
        <v>2093</v>
      </c>
      <c r="C809">
        <v>3.53</v>
      </c>
      <c r="D809">
        <f>VLOOKUP(A809,收盤價!A:C,3,0)</f>
        <v>3.64</v>
      </c>
      <c r="E809" s="87">
        <v>3.1161473087818789E-2</v>
      </c>
      <c r="F809">
        <v>50.46</v>
      </c>
    </row>
    <row r="810" spans="1:6">
      <c r="A810">
        <v>8040</v>
      </c>
      <c r="B810" t="s">
        <v>1649</v>
      </c>
      <c r="C810">
        <v>7.12</v>
      </c>
      <c r="D810">
        <f>VLOOKUP(A810,收盤價!A:C,3,0)</f>
        <v>7.34</v>
      </c>
      <c r="E810" s="87">
        <v>3.0898876404494346E-2</v>
      </c>
      <c r="F810">
        <v>50.4</v>
      </c>
    </row>
    <row r="811" spans="1:6">
      <c r="A811">
        <v>1503</v>
      </c>
      <c r="B811" t="s">
        <v>600</v>
      </c>
      <c r="C811">
        <v>39.4</v>
      </c>
      <c r="D811">
        <f>VLOOKUP(A811,收盤價!A:C,3,0)</f>
        <v>40.6</v>
      </c>
      <c r="E811" s="87">
        <v>3.0456852791878247E-2</v>
      </c>
      <c r="F811">
        <v>50.34</v>
      </c>
    </row>
    <row r="812" spans="1:6">
      <c r="A812">
        <v>2867</v>
      </c>
      <c r="B812" t="s">
        <v>958</v>
      </c>
      <c r="C812">
        <v>14.8</v>
      </c>
      <c r="D812">
        <f>VLOOKUP(A812,收盤價!A:C,3,0)</f>
        <v>15.25</v>
      </c>
      <c r="E812" s="87">
        <v>3.0405405405405355E-2</v>
      </c>
      <c r="F812">
        <v>50.28</v>
      </c>
    </row>
    <row r="813" spans="1:6">
      <c r="A813">
        <v>3131</v>
      </c>
      <c r="B813" t="s">
        <v>1353</v>
      </c>
      <c r="C813">
        <v>197.5</v>
      </c>
      <c r="D813">
        <f>VLOOKUP(A813,收盤價!A:C,3,0)</f>
        <v>203.5</v>
      </c>
      <c r="E813" s="87">
        <v>3.0379746835443037E-2</v>
      </c>
      <c r="F813">
        <v>50.21</v>
      </c>
    </row>
    <row r="814" spans="1:6">
      <c r="A814">
        <v>1722</v>
      </c>
      <c r="B814" t="s">
        <v>664</v>
      </c>
      <c r="C814">
        <v>41.4</v>
      </c>
      <c r="D814">
        <f>VLOOKUP(A814,收盤價!A:C,3,0)</f>
        <v>42.65</v>
      </c>
      <c r="E814" s="87">
        <v>3.0193236714975848E-2</v>
      </c>
      <c r="F814">
        <v>50.15</v>
      </c>
    </row>
    <row r="815" spans="1:6">
      <c r="A815">
        <v>3017</v>
      </c>
      <c r="B815" t="s">
        <v>994</v>
      </c>
      <c r="C815">
        <v>23.3</v>
      </c>
      <c r="D815">
        <f>VLOOKUP(A815,收盤價!A:C,3,0)</f>
        <v>24</v>
      </c>
      <c r="E815" s="87">
        <v>3.0042918454935591E-2</v>
      </c>
      <c r="F815">
        <v>50.09</v>
      </c>
    </row>
    <row r="816" spans="1:6">
      <c r="A816">
        <v>3444</v>
      </c>
      <c r="B816" t="s">
        <v>1392</v>
      </c>
      <c r="C816">
        <v>16.8</v>
      </c>
      <c r="D816">
        <f>VLOOKUP(A816,收盤價!A:C,3,0)</f>
        <v>17.3</v>
      </c>
      <c r="E816" s="87">
        <v>2.976190476190476E-2</v>
      </c>
      <c r="F816">
        <v>50.03</v>
      </c>
    </row>
    <row r="817" spans="1:6">
      <c r="A817">
        <v>1336</v>
      </c>
      <c r="B817" t="s">
        <v>226</v>
      </c>
      <c r="C817">
        <v>7.75</v>
      </c>
      <c r="D817">
        <f>VLOOKUP(A817,收盤價!A:C,3,0)</f>
        <v>7.98</v>
      </c>
      <c r="E817" s="87">
        <v>2.9677419354838766E-2</v>
      </c>
      <c r="F817">
        <v>49.97</v>
      </c>
    </row>
    <row r="818" spans="1:6">
      <c r="A818">
        <v>2374</v>
      </c>
      <c r="B818" t="s">
        <v>791</v>
      </c>
      <c r="C818">
        <v>15.35</v>
      </c>
      <c r="D818">
        <f>VLOOKUP(A818,收盤價!A:C,3,0)</f>
        <v>15.8</v>
      </c>
      <c r="E818" s="87">
        <v>2.9315960912052186E-2</v>
      </c>
      <c r="F818">
        <v>49.91</v>
      </c>
    </row>
    <row r="819" spans="1:6">
      <c r="A819">
        <v>5704</v>
      </c>
      <c r="B819" t="s">
        <v>1569</v>
      </c>
      <c r="C819">
        <v>25.6</v>
      </c>
      <c r="D819">
        <f>VLOOKUP(A819,收盤價!A:C,3,0)</f>
        <v>26.35</v>
      </c>
      <c r="E819" s="87">
        <v>2.9296875E-2</v>
      </c>
      <c r="F819">
        <v>49.85</v>
      </c>
    </row>
    <row r="820" spans="1:6">
      <c r="A820">
        <v>2466</v>
      </c>
      <c r="B820" t="s">
        <v>858</v>
      </c>
      <c r="C820">
        <v>32.9</v>
      </c>
      <c r="D820">
        <f>VLOOKUP(A820,收盤價!A:C,3,0)</f>
        <v>33.85</v>
      </c>
      <c r="E820" s="87">
        <v>2.8875379939209814E-2</v>
      </c>
      <c r="F820">
        <v>49.79</v>
      </c>
    </row>
    <row r="821" spans="1:6">
      <c r="A821">
        <v>6168</v>
      </c>
      <c r="B821" t="s">
        <v>1191</v>
      </c>
      <c r="C821">
        <v>9.06</v>
      </c>
      <c r="D821">
        <f>VLOOKUP(A821,收盤價!A:C,3,0)</f>
        <v>9.32</v>
      </c>
      <c r="E821" s="87">
        <v>2.8697571743929336E-2</v>
      </c>
      <c r="F821">
        <v>49.72</v>
      </c>
    </row>
    <row r="822" spans="1:6">
      <c r="A822">
        <v>1513</v>
      </c>
      <c r="B822" t="s">
        <v>605</v>
      </c>
      <c r="C822">
        <v>17.55</v>
      </c>
      <c r="D822">
        <f>VLOOKUP(A822,收盤價!A:C,3,0)</f>
        <v>18.05</v>
      </c>
      <c r="E822" s="87">
        <v>2.8490028490028491E-2</v>
      </c>
      <c r="F822">
        <v>49.66</v>
      </c>
    </row>
    <row r="823" spans="1:6">
      <c r="A823">
        <v>1234</v>
      </c>
      <c r="B823" t="s">
        <v>526</v>
      </c>
      <c r="C823">
        <v>31.6</v>
      </c>
      <c r="D823">
        <f>VLOOKUP(A823,收盤價!A:C,3,0)</f>
        <v>32.5</v>
      </c>
      <c r="E823" s="87">
        <v>2.8481012658227802E-2</v>
      </c>
      <c r="F823">
        <v>49.6</v>
      </c>
    </row>
    <row r="824" spans="1:6">
      <c r="A824">
        <v>5514</v>
      </c>
      <c r="B824" t="s">
        <v>1560</v>
      </c>
      <c r="C824">
        <v>9</v>
      </c>
      <c r="D824">
        <f>VLOOKUP(A824,收盤價!A:C,3,0)</f>
        <v>9.25</v>
      </c>
      <c r="E824" s="87">
        <v>2.7777777777777776E-2</v>
      </c>
      <c r="F824">
        <v>49.54</v>
      </c>
    </row>
    <row r="825" spans="1:6">
      <c r="A825">
        <v>9926</v>
      </c>
      <c r="B825" t="s">
        <v>1291</v>
      </c>
      <c r="C825">
        <v>40.299999999999997</v>
      </c>
      <c r="D825">
        <f>VLOOKUP(A825,收盤價!A:C,3,0)</f>
        <v>41.4</v>
      </c>
      <c r="E825" s="87">
        <v>2.7295285359801524E-2</v>
      </c>
      <c r="F825">
        <v>49.48</v>
      </c>
    </row>
    <row r="826" spans="1:6">
      <c r="A826">
        <v>4111</v>
      </c>
      <c r="B826" t="s">
        <v>1438</v>
      </c>
      <c r="C826">
        <v>22.1</v>
      </c>
      <c r="D826">
        <f>VLOOKUP(A826,收盤價!A:C,3,0)</f>
        <v>22.7</v>
      </c>
      <c r="E826" s="87">
        <v>2.7149321266968226E-2</v>
      </c>
      <c r="F826">
        <v>49.42</v>
      </c>
    </row>
    <row r="827" spans="1:6">
      <c r="A827">
        <v>2838</v>
      </c>
      <c r="B827" t="s">
        <v>949</v>
      </c>
      <c r="C827">
        <v>8.5399999999999991</v>
      </c>
      <c r="D827">
        <f>VLOOKUP(A827,收盤價!A:C,3,0)</f>
        <v>8.77</v>
      </c>
      <c r="E827" s="87">
        <v>2.6932084309133544E-2</v>
      </c>
      <c r="F827">
        <v>49.36</v>
      </c>
    </row>
    <row r="828" spans="1:6">
      <c r="A828">
        <v>2451</v>
      </c>
      <c r="B828" t="s">
        <v>845</v>
      </c>
      <c r="C828">
        <v>85.8</v>
      </c>
      <c r="D828">
        <f>VLOOKUP(A828,收盤價!A:C,3,0)</f>
        <v>88.1</v>
      </c>
      <c r="E828" s="87">
        <v>2.6806526806526773E-2</v>
      </c>
      <c r="F828">
        <v>49.3</v>
      </c>
    </row>
    <row r="829" spans="1:6">
      <c r="A829">
        <v>1264</v>
      </c>
      <c r="B829" t="s">
        <v>224</v>
      </c>
      <c r="C829">
        <v>187</v>
      </c>
      <c r="D829">
        <f>VLOOKUP(A829,收盤價!A:C,3,0)</f>
        <v>192</v>
      </c>
      <c r="E829" s="87">
        <v>2.6737967914438502E-2</v>
      </c>
      <c r="F829">
        <v>49.23</v>
      </c>
    </row>
    <row r="830" spans="1:6">
      <c r="A830">
        <v>5880</v>
      </c>
      <c r="B830" t="s">
        <v>1170</v>
      </c>
      <c r="C830">
        <v>13.55</v>
      </c>
      <c r="D830">
        <f>VLOOKUP(A830,收盤價!A:C,3,0)</f>
        <v>13.9</v>
      </c>
      <c r="E830" s="87">
        <v>2.5830258302582999E-2</v>
      </c>
      <c r="F830">
        <v>49.17</v>
      </c>
    </row>
    <row r="831" spans="1:6">
      <c r="A831">
        <v>1227</v>
      </c>
      <c r="B831" t="s">
        <v>521</v>
      </c>
      <c r="C831">
        <v>76.8</v>
      </c>
      <c r="D831">
        <f>VLOOKUP(A831,收盤價!A:C,3,0)</f>
        <v>78.7</v>
      </c>
      <c r="E831" s="87">
        <v>2.4739583333333409E-2</v>
      </c>
      <c r="F831">
        <v>49.11</v>
      </c>
    </row>
    <row r="832" spans="1:6">
      <c r="A832">
        <v>8163</v>
      </c>
      <c r="B832" t="s">
        <v>1257</v>
      </c>
      <c r="C832">
        <v>18.2</v>
      </c>
      <c r="D832">
        <f>VLOOKUP(A832,收盤價!A:C,3,0)</f>
        <v>18.649999999999999</v>
      </c>
      <c r="E832" s="87">
        <v>2.4725274725274686E-2</v>
      </c>
      <c r="F832">
        <v>49.05</v>
      </c>
    </row>
    <row r="833" spans="1:6">
      <c r="A833">
        <v>2359</v>
      </c>
      <c r="B833" t="s">
        <v>780</v>
      </c>
      <c r="C833">
        <v>14.2</v>
      </c>
      <c r="D833">
        <f>VLOOKUP(A833,收盤價!A:C,3,0)</f>
        <v>14.55</v>
      </c>
      <c r="E833" s="87">
        <v>2.4647887323943764E-2</v>
      </c>
      <c r="F833">
        <v>48.99</v>
      </c>
    </row>
    <row r="834" spans="1:6">
      <c r="A834">
        <v>9908</v>
      </c>
      <c r="B834" t="s">
        <v>1280</v>
      </c>
      <c r="C834">
        <v>23.15</v>
      </c>
      <c r="D834">
        <f>VLOOKUP(A834,收盤價!A:C,3,0)</f>
        <v>23.7</v>
      </c>
      <c r="E834" s="87">
        <v>2.3758099352051868E-2</v>
      </c>
      <c r="F834">
        <v>48.93</v>
      </c>
    </row>
    <row r="835" spans="1:6">
      <c r="A835">
        <v>2408</v>
      </c>
      <c r="B835" t="s">
        <v>813</v>
      </c>
      <c r="C835">
        <v>40</v>
      </c>
      <c r="D835">
        <f>VLOOKUP(A835,收盤價!A:C,3,0)</f>
        <v>40.950000000000003</v>
      </c>
      <c r="E835" s="87">
        <v>2.375000000000007E-2</v>
      </c>
      <c r="F835">
        <v>48.87</v>
      </c>
    </row>
    <row r="836" spans="1:6">
      <c r="A836">
        <v>6281</v>
      </c>
      <c r="B836" t="s">
        <v>1224</v>
      </c>
      <c r="C836">
        <v>59.1</v>
      </c>
      <c r="D836">
        <f>VLOOKUP(A836,收盤價!A:C,3,0)</f>
        <v>60.5</v>
      </c>
      <c r="E836" s="87">
        <v>2.3688663282571888E-2</v>
      </c>
      <c r="F836">
        <v>48.81</v>
      </c>
    </row>
    <row r="837" spans="1:6">
      <c r="A837">
        <v>1316</v>
      </c>
      <c r="B837" t="s">
        <v>542</v>
      </c>
      <c r="C837">
        <v>10.6</v>
      </c>
      <c r="D837">
        <f>VLOOKUP(A837,收盤價!A:C,3,0)</f>
        <v>10.85</v>
      </c>
      <c r="E837" s="87">
        <v>2.358490566037736E-2</v>
      </c>
      <c r="F837">
        <v>48.74</v>
      </c>
    </row>
    <row r="838" spans="1:6">
      <c r="A838">
        <v>3259</v>
      </c>
      <c r="B838" t="s">
        <v>1368</v>
      </c>
      <c r="C838">
        <v>27.6</v>
      </c>
      <c r="D838">
        <f>VLOOKUP(A838,收盤價!A:C,3,0)</f>
        <v>28.25</v>
      </c>
      <c r="E838" s="87">
        <v>2.3550724637681108E-2</v>
      </c>
      <c r="F838">
        <v>48.68</v>
      </c>
    </row>
    <row r="839" spans="1:6">
      <c r="A839">
        <v>6419</v>
      </c>
      <c r="B839" t="s">
        <v>1640</v>
      </c>
      <c r="C839">
        <v>14.9</v>
      </c>
      <c r="D839">
        <f>VLOOKUP(A839,收盤價!A:C,3,0)</f>
        <v>15.25</v>
      </c>
      <c r="E839" s="87">
        <v>2.3489932885906017E-2</v>
      </c>
      <c r="F839">
        <v>48.62</v>
      </c>
    </row>
    <row r="840" spans="1:6">
      <c r="A840">
        <v>1614</v>
      </c>
      <c r="B840" t="s">
        <v>643</v>
      </c>
      <c r="C840">
        <v>23.55</v>
      </c>
      <c r="D840">
        <f>VLOOKUP(A840,收盤價!A:C,3,0)</f>
        <v>24.1</v>
      </c>
      <c r="E840" s="87">
        <v>2.3354564755838671E-2</v>
      </c>
      <c r="F840">
        <v>48.56</v>
      </c>
    </row>
    <row r="841" spans="1:6">
      <c r="A841">
        <v>2516</v>
      </c>
      <c r="B841" t="s">
        <v>892</v>
      </c>
      <c r="C841">
        <v>6.13</v>
      </c>
      <c r="D841">
        <f>VLOOKUP(A841,收盤價!A:C,3,0)</f>
        <v>6.27</v>
      </c>
      <c r="E841" s="87">
        <v>2.2838499184339264E-2</v>
      </c>
      <c r="F841">
        <v>48.5</v>
      </c>
    </row>
    <row r="842" spans="1:6">
      <c r="A842">
        <v>6292</v>
      </c>
      <c r="B842" t="s">
        <v>1636</v>
      </c>
      <c r="C842">
        <v>26.5</v>
      </c>
      <c r="D842">
        <f>VLOOKUP(A842,收盤價!A:C,3,0)</f>
        <v>27.1</v>
      </c>
      <c r="E842" s="87">
        <v>2.2641509433962318E-2</v>
      </c>
      <c r="F842">
        <v>48.44</v>
      </c>
    </row>
    <row r="843" spans="1:6">
      <c r="A843">
        <v>2515</v>
      </c>
      <c r="B843" t="s">
        <v>891</v>
      </c>
      <c r="C843">
        <v>5.36</v>
      </c>
      <c r="D843">
        <f>VLOOKUP(A843,收盤價!A:C,3,0)</f>
        <v>5.48</v>
      </c>
      <c r="E843" s="87">
        <v>2.2388059701492557E-2</v>
      </c>
      <c r="F843">
        <v>48.38</v>
      </c>
    </row>
    <row r="844" spans="1:6">
      <c r="A844">
        <v>1447</v>
      </c>
      <c r="B844" t="s">
        <v>574</v>
      </c>
      <c r="C844">
        <v>7.22</v>
      </c>
      <c r="D844">
        <f>VLOOKUP(A844,收盤價!A:C,3,0)</f>
        <v>7.38</v>
      </c>
      <c r="E844" s="87">
        <v>2.2160664819944619E-2</v>
      </c>
      <c r="F844">
        <v>48.32</v>
      </c>
    </row>
    <row r="845" spans="1:6">
      <c r="A845">
        <v>9935</v>
      </c>
      <c r="B845" t="s">
        <v>1298</v>
      </c>
      <c r="C845">
        <v>9.93</v>
      </c>
      <c r="D845">
        <f>VLOOKUP(A845,收盤價!A:C,3,0)</f>
        <v>10.15</v>
      </c>
      <c r="E845" s="87">
        <v>2.2155085599194425E-2</v>
      </c>
      <c r="F845">
        <v>48.25</v>
      </c>
    </row>
    <row r="846" spans="1:6">
      <c r="A846">
        <v>1233</v>
      </c>
      <c r="B846" t="s">
        <v>525</v>
      </c>
      <c r="C846">
        <v>36.299999999999997</v>
      </c>
      <c r="D846">
        <f>VLOOKUP(A846,收盤價!A:C,3,0)</f>
        <v>37.1</v>
      </c>
      <c r="E846" s="87">
        <v>2.2038567493113066E-2</v>
      </c>
      <c r="F846">
        <v>48.19</v>
      </c>
    </row>
    <row r="847" spans="1:6">
      <c r="A847">
        <v>4908</v>
      </c>
      <c r="B847" t="s">
        <v>1495</v>
      </c>
      <c r="C847">
        <v>16.05</v>
      </c>
      <c r="D847">
        <f>VLOOKUP(A847,收盤價!A:C,3,0)</f>
        <v>16.399999999999999</v>
      </c>
      <c r="E847" s="87">
        <v>2.1806853582554384E-2</v>
      </c>
      <c r="F847">
        <v>48.13</v>
      </c>
    </row>
    <row r="848" spans="1:6">
      <c r="A848">
        <v>1708</v>
      </c>
      <c r="B848" t="s">
        <v>652</v>
      </c>
      <c r="C848">
        <v>25.5</v>
      </c>
      <c r="D848">
        <f>VLOOKUP(A848,收盤價!A:C,3,0)</f>
        <v>26.05</v>
      </c>
      <c r="E848" s="87">
        <v>2.156862745098042E-2</v>
      </c>
      <c r="F848">
        <v>48.07</v>
      </c>
    </row>
    <row r="849" spans="1:6">
      <c r="A849">
        <v>3296</v>
      </c>
      <c r="B849" t="s">
        <v>1048</v>
      </c>
      <c r="C849">
        <v>11.6</v>
      </c>
      <c r="D849">
        <f>VLOOKUP(A849,收盤價!A:C,3,0)</f>
        <v>11.85</v>
      </c>
      <c r="E849" s="87">
        <v>2.1551724137931036E-2</v>
      </c>
      <c r="F849">
        <v>48.01</v>
      </c>
    </row>
    <row r="850" spans="1:6">
      <c r="A850">
        <v>5522</v>
      </c>
      <c r="B850" t="s">
        <v>1162</v>
      </c>
      <c r="C850">
        <v>35.6</v>
      </c>
      <c r="D850">
        <f>VLOOKUP(A850,收盤價!A:C,3,0)</f>
        <v>36.35</v>
      </c>
      <c r="E850" s="87">
        <v>2.1067415730337078E-2</v>
      </c>
      <c r="F850">
        <v>47.95</v>
      </c>
    </row>
    <row r="851" spans="1:6">
      <c r="A851">
        <v>8131</v>
      </c>
      <c r="B851" t="s">
        <v>1255</v>
      </c>
      <c r="C851">
        <v>21.6</v>
      </c>
      <c r="D851">
        <f>VLOOKUP(A851,收盤價!A:C,3,0)</f>
        <v>22.05</v>
      </c>
      <c r="E851" s="87">
        <v>2.0833333333333297E-2</v>
      </c>
      <c r="F851">
        <v>47.89</v>
      </c>
    </row>
    <row r="852" spans="1:6">
      <c r="A852">
        <v>4141</v>
      </c>
      <c r="B852" t="s">
        <v>2054</v>
      </c>
      <c r="C852">
        <v>36.4</v>
      </c>
      <c r="D852">
        <f>VLOOKUP(A852,收盤價!A:C,3,0)</f>
        <v>37.15</v>
      </c>
      <c r="E852" s="87">
        <v>2.0604395604395604E-2</v>
      </c>
      <c r="F852">
        <v>47.83</v>
      </c>
    </row>
    <row r="853" spans="1:6">
      <c r="A853">
        <v>8021</v>
      </c>
      <c r="B853" t="s">
        <v>1242</v>
      </c>
      <c r="C853">
        <v>19.5</v>
      </c>
      <c r="D853">
        <f>VLOOKUP(A853,收盤價!A:C,3,0)</f>
        <v>19.899999999999999</v>
      </c>
      <c r="E853" s="87">
        <v>2.051282051282044E-2</v>
      </c>
      <c r="F853">
        <v>47.76</v>
      </c>
    </row>
    <row r="854" spans="1:6">
      <c r="A854">
        <v>2449</v>
      </c>
      <c r="B854" t="s">
        <v>2044</v>
      </c>
      <c r="C854">
        <v>27.8</v>
      </c>
      <c r="D854">
        <f>VLOOKUP(A854,收盤價!A:C,3,0)</f>
        <v>28.35</v>
      </c>
      <c r="E854" s="87">
        <v>1.978417266187053E-2</v>
      </c>
      <c r="F854">
        <v>47.7</v>
      </c>
    </row>
    <row r="855" spans="1:6">
      <c r="A855">
        <v>1419</v>
      </c>
      <c r="B855" t="s">
        <v>558</v>
      </c>
      <c r="C855">
        <v>38</v>
      </c>
      <c r="D855">
        <f>VLOOKUP(A855,收盤價!A:C,3,0)</f>
        <v>38.75</v>
      </c>
      <c r="E855" s="87">
        <v>1.9736842105263157E-2</v>
      </c>
      <c r="F855">
        <v>47.64</v>
      </c>
    </row>
    <row r="856" spans="1:6">
      <c r="A856">
        <v>2480</v>
      </c>
      <c r="B856" t="s">
        <v>867</v>
      </c>
      <c r="C856">
        <v>25.35</v>
      </c>
      <c r="D856">
        <f>VLOOKUP(A856,收盤價!A:C,3,0)</f>
        <v>25.85</v>
      </c>
      <c r="E856" s="87">
        <v>1.9723865877712032E-2</v>
      </c>
      <c r="F856">
        <v>47.58</v>
      </c>
    </row>
    <row r="857" spans="1:6">
      <c r="A857">
        <v>2607</v>
      </c>
      <c r="B857" t="s">
        <v>916</v>
      </c>
      <c r="C857">
        <v>12.7</v>
      </c>
      <c r="D857">
        <f>VLOOKUP(A857,收盤價!A:C,3,0)</f>
        <v>12.95</v>
      </c>
      <c r="E857" s="87">
        <v>1.968503937007874E-2</v>
      </c>
      <c r="F857">
        <v>47.52</v>
      </c>
    </row>
    <row r="858" spans="1:6">
      <c r="A858">
        <v>4502</v>
      </c>
      <c r="B858" t="s">
        <v>1757</v>
      </c>
      <c r="C858">
        <v>44</v>
      </c>
      <c r="D858">
        <f>VLOOKUP(A858,收盤價!A:C,3,0)</f>
        <v>44.85</v>
      </c>
      <c r="E858" s="87">
        <v>1.9318181818181849E-2</v>
      </c>
      <c r="F858">
        <v>47.46</v>
      </c>
    </row>
    <row r="859" spans="1:6">
      <c r="A859">
        <v>6214</v>
      </c>
      <c r="B859" t="s">
        <v>1208</v>
      </c>
      <c r="C859">
        <v>52</v>
      </c>
      <c r="D859">
        <f>VLOOKUP(A859,收盤價!A:C,3,0)</f>
        <v>53</v>
      </c>
      <c r="E859" s="87">
        <v>1.9230769230769232E-2</v>
      </c>
      <c r="F859">
        <v>47.4</v>
      </c>
    </row>
    <row r="860" spans="1:6">
      <c r="A860">
        <v>9919</v>
      </c>
      <c r="B860" t="s">
        <v>1287</v>
      </c>
      <c r="C860">
        <v>10.4</v>
      </c>
      <c r="D860">
        <f>VLOOKUP(A860,收盤價!A:C,3,0)</f>
        <v>10.6</v>
      </c>
      <c r="E860" s="87">
        <v>1.9230769230769162E-2</v>
      </c>
      <c r="F860">
        <v>47.34</v>
      </c>
    </row>
    <row r="861" spans="1:6">
      <c r="A861">
        <v>6196</v>
      </c>
      <c r="B861" t="s">
        <v>1200</v>
      </c>
      <c r="C861">
        <v>26.4</v>
      </c>
      <c r="D861">
        <f>VLOOKUP(A861,收盤價!A:C,3,0)</f>
        <v>26.9</v>
      </c>
      <c r="E861" s="87">
        <v>1.893939393939394E-2</v>
      </c>
      <c r="F861">
        <v>47.27</v>
      </c>
    </row>
    <row r="862" spans="1:6">
      <c r="A862">
        <v>2801</v>
      </c>
      <c r="B862" t="s">
        <v>940</v>
      </c>
      <c r="C862">
        <v>15.85</v>
      </c>
      <c r="D862">
        <f>VLOOKUP(A862,收盤價!A:C,3,0)</f>
        <v>16.149999999999999</v>
      </c>
      <c r="E862" s="87">
        <v>1.8927444794952616E-2</v>
      </c>
      <c r="F862">
        <v>47.21</v>
      </c>
    </row>
    <row r="863" spans="1:6">
      <c r="A863">
        <v>1423</v>
      </c>
      <c r="B863" t="s">
        <v>559</v>
      </c>
      <c r="C863">
        <v>6.43</v>
      </c>
      <c r="D863">
        <f>VLOOKUP(A863,收盤價!A:C,3,0)</f>
        <v>6.55</v>
      </c>
      <c r="E863" s="87">
        <v>1.8662519440124436E-2</v>
      </c>
      <c r="F863">
        <v>47.15</v>
      </c>
    </row>
    <row r="864" spans="1:6">
      <c r="A864">
        <v>4119</v>
      </c>
      <c r="B864" t="s">
        <v>1115</v>
      </c>
      <c r="C864">
        <v>80.7</v>
      </c>
      <c r="D864">
        <f>VLOOKUP(A864,收盤價!A:C,3,0)</f>
        <v>82.2</v>
      </c>
      <c r="E864" s="87">
        <v>1.858736059479554E-2</v>
      </c>
      <c r="F864">
        <v>47.09</v>
      </c>
    </row>
    <row r="865" spans="1:6">
      <c r="A865">
        <v>6187</v>
      </c>
      <c r="B865" t="s">
        <v>1609</v>
      </c>
      <c r="C865">
        <v>48.45</v>
      </c>
      <c r="D865">
        <f>VLOOKUP(A865,收盤價!A:C,3,0)</f>
        <v>49.35</v>
      </c>
      <c r="E865" s="87">
        <v>1.8575851393188823E-2</v>
      </c>
      <c r="F865">
        <v>47.03</v>
      </c>
    </row>
    <row r="866" spans="1:6">
      <c r="A866">
        <v>5607</v>
      </c>
      <c r="B866" t="s">
        <v>1167</v>
      </c>
      <c r="C866">
        <v>13.6</v>
      </c>
      <c r="D866">
        <f>VLOOKUP(A866,收盤價!A:C,3,0)</f>
        <v>13.85</v>
      </c>
      <c r="E866" s="87">
        <v>1.8382352941176471E-2</v>
      </c>
      <c r="F866">
        <v>46.97</v>
      </c>
    </row>
    <row r="867" spans="1:6">
      <c r="A867">
        <v>2412</v>
      </c>
      <c r="B867" t="s">
        <v>815</v>
      </c>
      <c r="C867">
        <v>110.5</v>
      </c>
      <c r="D867">
        <f>VLOOKUP(A867,收盤價!A:C,3,0)</f>
        <v>112.5</v>
      </c>
      <c r="E867" s="87">
        <v>1.8099547511312219E-2</v>
      </c>
      <c r="F867">
        <v>46.91</v>
      </c>
    </row>
    <row r="868" spans="1:6">
      <c r="A868">
        <v>1436</v>
      </c>
      <c r="B868" t="s">
        <v>563</v>
      </c>
      <c r="C868">
        <v>39.700000000000003</v>
      </c>
      <c r="D868">
        <f>VLOOKUP(A868,收盤價!A:C,3,0)</f>
        <v>40.4</v>
      </c>
      <c r="E868" s="87">
        <v>1.7632241813601908E-2</v>
      </c>
      <c r="F868">
        <v>46.85</v>
      </c>
    </row>
    <row r="869" spans="1:6">
      <c r="A869">
        <v>2303</v>
      </c>
      <c r="B869" t="s">
        <v>744</v>
      </c>
      <c r="C869">
        <v>11.45</v>
      </c>
      <c r="D869">
        <f>VLOOKUP(A869,收盤價!A:C,3,0)</f>
        <v>11.65</v>
      </c>
      <c r="E869" s="87">
        <v>1.7467248908297036E-2</v>
      </c>
      <c r="F869">
        <v>46.79</v>
      </c>
    </row>
    <row r="870" spans="1:6">
      <c r="A870">
        <v>1445</v>
      </c>
      <c r="B870" t="s">
        <v>572</v>
      </c>
      <c r="C870">
        <v>9.19</v>
      </c>
      <c r="D870">
        <f>VLOOKUP(A870,收盤價!A:C,3,0)</f>
        <v>9.35</v>
      </c>
      <c r="E870" s="87">
        <v>1.7410228509249202E-2</v>
      </c>
      <c r="F870">
        <v>46.72</v>
      </c>
    </row>
    <row r="871" spans="1:6">
      <c r="A871">
        <v>6508</v>
      </c>
      <c r="B871" t="s">
        <v>455</v>
      </c>
      <c r="C871">
        <v>25.85</v>
      </c>
      <c r="D871">
        <f>VLOOKUP(A871,收盤價!A:C,3,0)</f>
        <v>26.3</v>
      </c>
      <c r="E871" s="87">
        <v>1.7408123791102487E-2</v>
      </c>
      <c r="F871">
        <v>46.66</v>
      </c>
    </row>
    <row r="872" spans="1:6">
      <c r="A872">
        <v>6125</v>
      </c>
      <c r="B872" t="s">
        <v>415</v>
      </c>
      <c r="C872">
        <v>11.5</v>
      </c>
      <c r="D872">
        <f>VLOOKUP(A872,收盤價!A:C,3,0)</f>
        <v>11.7</v>
      </c>
      <c r="E872" s="87">
        <v>1.7391304347826025E-2</v>
      </c>
      <c r="F872">
        <v>46.6</v>
      </c>
    </row>
    <row r="873" spans="1:6">
      <c r="A873">
        <v>1720</v>
      </c>
      <c r="B873" t="s">
        <v>662</v>
      </c>
      <c r="C873">
        <v>31.8</v>
      </c>
      <c r="D873">
        <f>VLOOKUP(A873,收盤價!A:C,3,0)</f>
        <v>32.35</v>
      </c>
      <c r="E873" s="87">
        <v>1.729559748427675E-2</v>
      </c>
      <c r="F873">
        <v>46.54</v>
      </c>
    </row>
    <row r="874" spans="1:6">
      <c r="A874" t="s">
        <v>222</v>
      </c>
      <c r="B874" t="s">
        <v>698</v>
      </c>
      <c r="C874">
        <v>40.5</v>
      </c>
      <c r="D874">
        <f>VLOOKUP(A874,收盤價!A:C,3,0)</f>
        <v>41.2</v>
      </c>
      <c r="E874" s="87">
        <v>1.7283950617284022E-2</v>
      </c>
      <c r="F874">
        <v>46.48</v>
      </c>
    </row>
    <row r="875" spans="1:6">
      <c r="A875">
        <v>6182</v>
      </c>
      <c r="B875" t="s">
        <v>426</v>
      </c>
      <c r="C875">
        <v>8.68</v>
      </c>
      <c r="D875">
        <f>VLOOKUP(A875,收盤價!A:C,3,0)</f>
        <v>8.83</v>
      </c>
      <c r="E875" s="87">
        <v>1.7281105990783453E-2</v>
      </c>
      <c r="F875">
        <v>46.42</v>
      </c>
    </row>
    <row r="876" spans="1:6">
      <c r="A876">
        <v>6243</v>
      </c>
      <c r="B876" t="s">
        <v>1217</v>
      </c>
      <c r="C876">
        <v>15.05</v>
      </c>
      <c r="D876">
        <f>VLOOKUP(A876,收盤價!A:C,3,0)</f>
        <v>15.3</v>
      </c>
      <c r="E876" s="87">
        <v>1.6611295681063121E-2</v>
      </c>
      <c r="F876">
        <v>46.36</v>
      </c>
    </row>
    <row r="877" spans="1:6">
      <c r="A877">
        <v>2834</v>
      </c>
      <c r="B877" t="s">
        <v>947</v>
      </c>
      <c r="C877">
        <v>7.87</v>
      </c>
      <c r="D877">
        <f>VLOOKUP(A877,收盤價!A:C,3,0)</f>
        <v>8</v>
      </c>
      <c r="E877" s="87">
        <v>1.6518424396442171E-2</v>
      </c>
      <c r="F877">
        <v>46.3</v>
      </c>
    </row>
    <row r="878" spans="1:6">
      <c r="A878" t="s">
        <v>1804</v>
      </c>
      <c r="B878" t="s">
        <v>2289</v>
      </c>
      <c r="C878">
        <v>13.48</v>
      </c>
      <c r="D878">
        <f>VLOOKUP(A878,收盤價!A:C,3,0)</f>
        <v>13.7</v>
      </c>
      <c r="E878" s="87">
        <v>1.6320474777447986E-2</v>
      </c>
      <c r="F878">
        <v>46.23</v>
      </c>
    </row>
    <row r="879" spans="1:6">
      <c r="A879">
        <v>2616</v>
      </c>
      <c r="B879" t="s">
        <v>925</v>
      </c>
      <c r="C879">
        <v>24.9</v>
      </c>
      <c r="D879">
        <f>VLOOKUP(A879,收盤價!A:C,3,0)</f>
        <v>25.3</v>
      </c>
      <c r="E879" s="87">
        <v>1.6064257028112535E-2</v>
      </c>
      <c r="F879">
        <v>46.17</v>
      </c>
    </row>
    <row r="880" spans="1:6">
      <c r="A880">
        <v>1454</v>
      </c>
      <c r="B880" t="s">
        <v>579</v>
      </c>
      <c r="C880">
        <v>8.19</v>
      </c>
      <c r="D880">
        <f>VLOOKUP(A880,收盤價!A:C,3,0)</f>
        <v>8.32</v>
      </c>
      <c r="E880" s="87">
        <v>1.5873015873015969E-2</v>
      </c>
      <c r="F880">
        <v>46.11</v>
      </c>
    </row>
    <row r="881" spans="1:6">
      <c r="A881">
        <v>3388</v>
      </c>
      <c r="B881" t="s">
        <v>287</v>
      </c>
      <c r="C881">
        <v>57.7</v>
      </c>
      <c r="D881">
        <f>VLOOKUP(A881,收盤價!A:C,3,0)</f>
        <v>58.6</v>
      </c>
      <c r="E881" s="87">
        <v>1.5597920277296335E-2</v>
      </c>
      <c r="F881">
        <v>46.05</v>
      </c>
    </row>
    <row r="882" spans="1:6">
      <c r="A882">
        <v>1434</v>
      </c>
      <c r="B882" t="s">
        <v>561</v>
      </c>
      <c r="C882">
        <v>28.95</v>
      </c>
      <c r="D882">
        <f>VLOOKUP(A882,收盤價!A:C,3,0)</f>
        <v>29.4</v>
      </c>
      <c r="E882" s="87">
        <v>1.5544041450777177E-2</v>
      </c>
      <c r="F882">
        <v>45.99</v>
      </c>
    </row>
    <row r="883" spans="1:6">
      <c r="A883">
        <v>2613</v>
      </c>
      <c r="B883" t="s">
        <v>922</v>
      </c>
      <c r="C883">
        <v>13.2</v>
      </c>
      <c r="D883">
        <f>VLOOKUP(A883,收盤價!A:C,3,0)</f>
        <v>13.4</v>
      </c>
      <c r="E883" s="87">
        <v>1.5151515151515233E-2</v>
      </c>
      <c r="F883">
        <v>45.93</v>
      </c>
    </row>
    <row r="884" spans="1:6">
      <c r="A884">
        <v>4737</v>
      </c>
      <c r="B884" t="s">
        <v>1130</v>
      </c>
      <c r="C884">
        <v>46.3</v>
      </c>
      <c r="D884">
        <f>VLOOKUP(A884,收盤價!A:C,3,0)</f>
        <v>47</v>
      </c>
      <c r="E884" s="87">
        <v>1.5118790496760322E-2</v>
      </c>
      <c r="F884">
        <v>45.87</v>
      </c>
    </row>
    <row r="885" spans="1:6">
      <c r="A885">
        <v>6244</v>
      </c>
      <c r="B885" t="s">
        <v>443</v>
      </c>
      <c r="C885">
        <v>30.55</v>
      </c>
      <c r="D885">
        <f>VLOOKUP(A885,收盤價!A:C,3,0)</f>
        <v>31</v>
      </c>
      <c r="E885" s="87">
        <v>1.4729950900163642E-2</v>
      </c>
      <c r="F885">
        <v>45.81</v>
      </c>
    </row>
    <row r="886" spans="1:6">
      <c r="A886">
        <v>8059</v>
      </c>
      <c r="B886" t="s">
        <v>1657</v>
      </c>
      <c r="C886">
        <v>10.199999999999999</v>
      </c>
      <c r="D886">
        <f>VLOOKUP(A886,收盤價!A:C,3,0)</f>
        <v>10.35</v>
      </c>
      <c r="E886" s="87">
        <v>1.4705882352941213E-2</v>
      </c>
      <c r="F886">
        <v>45.74</v>
      </c>
    </row>
    <row r="887" spans="1:6">
      <c r="A887">
        <v>6117</v>
      </c>
      <c r="B887" t="s">
        <v>1176</v>
      </c>
      <c r="C887">
        <v>13.75</v>
      </c>
      <c r="D887">
        <f>VLOOKUP(A887,收盤價!A:C,3,0)</f>
        <v>13.95</v>
      </c>
      <c r="E887" s="87">
        <v>1.4545454545454493E-2</v>
      </c>
      <c r="F887">
        <v>45.68</v>
      </c>
    </row>
    <row r="888" spans="1:6">
      <c r="A888">
        <v>2015</v>
      </c>
      <c r="B888" t="s">
        <v>706</v>
      </c>
      <c r="C888">
        <v>41.5</v>
      </c>
      <c r="D888">
        <f>VLOOKUP(A888,收盤價!A:C,3,0)</f>
        <v>42.1</v>
      </c>
      <c r="E888" s="87">
        <v>1.445783132530124E-2</v>
      </c>
      <c r="F888">
        <v>45.62</v>
      </c>
    </row>
    <row r="889" spans="1:6">
      <c r="A889">
        <v>910801</v>
      </c>
      <c r="B889" t="s">
        <v>2091</v>
      </c>
      <c r="C889">
        <v>4.16</v>
      </c>
      <c r="D889">
        <f>VLOOKUP(A889,收盤價!A:C,3,0)</f>
        <v>4.22</v>
      </c>
      <c r="E889" s="87">
        <v>1.4423076923076828E-2</v>
      </c>
      <c r="F889">
        <v>45.56</v>
      </c>
    </row>
    <row r="890" spans="1:6">
      <c r="A890">
        <v>3705</v>
      </c>
      <c r="B890" t="s">
        <v>1110</v>
      </c>
      <c r="C890">
        <v>46.3</v>
      </c>
      <c r="D890">
        <f>VLOOKUP(A890,收盤價!A:C,3,0)</f>
        <v>46.95</v>
      </c>
      <c r="E890" s="87">
        <v>1.4038876889848936E-2</v>
      </c>
      <c r="F890">
        <v>45.5</v>
      </c>
    </row>
    <row r="891" spans="1:6">
      <c r="A891">
        <v>4123</v>
      </c>
      <c r="B891" t="s">
        <v>1441</v>
      </c>
      <c r="C891">
        <v>65.3</v>
      </c>
      <c r="D891">
        <f>VLOOKUP(A891,收盤價!A:C,3,0)</f>
        <v>66.2</v>
      </c>
      <c r="E891" s="87">
        <v>1.3782542113323212E-2</v>
      </c>
      <c r="F891">
        <v>45.44</v>
      </c>
    </row>
    <row r="892" spans="1:6">
      <c r="A892">
        <v>3043</v>
      </c>
      <c r="B892" t="s">
        <v>1018</v>
      </c>
      <c r="C892">
        <v>2.1800000000000002</v>
      </c>
      <c r="D892">
        <f>VLOOKUP(A892,收盤價!A:C,3,0)</f>
        <v>2.21</v>
      </c>
      <c r="E892" s="87">
        <v>1.3761467889908166E-2</v>
      </c>
      <c r="F892">
        <v>45.38</v>
      </c>
    </row>
    <row r="893" spans="1:6">
      <c r="A893" t="s">
        <v>1851</v>
      </c>
      <c r="B893" t="s">
        <v>2288</v>
      </c>
      <c r="C893">
        <v>13.83</v>
      </c>
      <c r="D893">
        <f>VLOOKUP(A893,收盤價!A:C,3,0)</f>
        <v>14.02</v>
      </c>
      <c r="E893" s="87">
        <v>1.3738250180766414E-2</v>
      </c>
      <c r="F893">
        <v>45.32</v>
      </c>
    </row>
    <row r="894" spans="1:6">
      <c r="A894">
        <v>2812</v>
      </c>
      <c r="B894" t="s">
        <v>942</v>
      </c>
      <c r="C894">
        <v>8.9499999999999993</v>
      </c>
      <c r="D894">
        <f>VLOOKUP(A894,收盤價!A:C,3,0)</f>
        <v>9.07</v>
      </c>
      <c r="E894" s="87">
        <v>1.3407821229050392E-2</v>
      </c>
      <c r="F894">
        <v>45.25</v>
      </c>
    </row>
    <row r="895" spans="1:6">
      <c r="A895">
        <v>1470</v>
      </c>
      <c r="B895" t="s">
        <v>592</v>
      </c>
      <c r="C895">
        <v>18.649999999999999</v>
      </c>
      <c r="D895">
        <f>VLOOKUP(A895,收盤價!A:C,3,0)</f>
        <v>18.899999999999999</v>
      </c>
      <c r="E895" s="87">
        <v>1.3404825737265416E-2</v>
      </c>
      <c r="F895">
        <v>45.19</v>
      </c>
    </row>
    <row r="896" spans="1:6">
      <c r="A896">
        <v>1904</v>
      </c>
      <c r="B896" t="s">
        <v>693</v>
      </c>
      <c r="C896">
        <v>11.4</v>
      </c>
      <c r="D896">
        <f>VLOOKUP(A896,收盤價!A:C,3,0)</f>
        <v>11.55</v>
      </c>
      <c r="E896" s="87">
        <v>1.3157894736842136E-2</v>
      </c>
      <c r="F896">
        <v>45.13</v>
      </c>
    </row>
    <row r="897" spans="1:6">
      <c r="A897">
        <v>4916</v>
      </c>
      <c r="B897" t="s">
        <v>1136</v>
      </c>
      <c r="C897">
        <v>38.299999999999997</v>
      </c>
      <c r="D897">
        <f>VLOOKUP(A897,收盤價!A:C,3,0)</f>
        <v>38.799999999999997</v>
      </c>
      <c r="E897" s="87">
        <v>1.3054830287206267E-2</v>
      </c>
      <c r="F897">
        <v>45.07</v>
      </c>
    </row>
    <row r="898" spans="1:6">
      <c r="A898">
        <v>1451</v>
      </c>
      <c r="B898" t="s">
        <v>576</v>
      </c>
      <c r="C898">
        <v>23.6</v>
      </c>
      <c r="D898">
        <f>VLOOKUP(A898,收盤價!A:C,3,0)</f>
        <v>23.9</v>
      </c>
      <c r="E898" s="87">
        <v>1.271186440677954E-2</v>
      </c>
      <c r="F898">
        <v>45.01</v>
      </c>
    </row>
    <row r="899" spans="1:6">
      <c r="A899">
        <v>3576</v>
      </c>
      <c r="B899" t="s">
        <v>1086</v>
      </c>
      <c r="C899">
        <v>15.95</v>
      </c>
      <c r="D899">
        <f>VLOOKUP(A899,收盤價!A:C,3,0)</f>
        <v>16.149999999999999</v>
      </c>
      <c r="E899" s="87">
        <v>1.2539184952978013E-2</v>
      </c>
      <c r="F899">
        <v>44.95</v>
      </c>
    </row>
    <row r="900" spans="1:6">
      <c r="A900">
        <v>3529</v>
      </c>
      <c r="B900" t="s">
        <v>301</v>
      </c>
      <c r="C900">
        <v>327</v>
      </c>
      <c r="D900">
        <f>VLOOKUP(A900,收盤價!A:C,3,0)</f>
        <v>331</v>
      </c>
      <c r="E900" s="87">
        <v>1.2232415902140673E-2</v>
      </c>
      <c r="F900">
        <v>44.89</v>
      </c>
    </row>
    <row r="901" spans="1:6">
      <c r="A901">
        <v>5538</v>
      </c>
      <c r="B901" t="s">
        <v>2070</v>
      </c>
      <c r="C901">
        <v>25.1</v>
      </c>
      <c r="D901">
        <f>VLOOKUP(A901,收盤價!A:C,3,0)</f>
        <v>25.4</v>
      </c>
      <c r="E901" s="87">
        <v>1.1952191235059646E-2</v>
      </c>
      <c r="F901">
        <v>44.83</v>
      </c>
    </row>
    <row r="902" spans="1:6">
      <c r="A902">
        <v>1727</v>
      </c>
      <c r="B902" t="s">
        <v>669</v>
      </c>
      <c r="C902">
        <v>12.65</v>
      </c>
      <c r="D902">
        <f>VLOOKUP(A902,收盤價!A:C,3,0)</f>
        <v>12.8</v>
      </c>
      <c r="E902" s="87">
        <v>1.185770750988145E-2</v>
      </c>
      <c r="F902">
        <v>44.76</v>
      </c>
    </row>
    <row r="903" spans="1:6">
      <c r="A903">
        <v>2890</v>
      </c>
      <c r="B903" t="s">
        <v>969</v>
      </c>
      <c r="C903">
        <v>9.08</v>
      </c>
      <c r="D903">
        <f>VLOOKUP(A903,收盤價!A:C,3,0)</f>
        <v>9.18</v>
      </c>
      <c r="E903" s="87">
        <v>1.1013215859030798E-2</v>
      </c>
      <c r="F903">
        <v>44.7</v>
      </c>
    </row>
    <row r="904" spans="1:6">
      <c r="A904">
        <v>3617</v>
      </c>
      <c r="B904" t="s">
        <v>1096</v>
      </c>
      <c r="C904">
        <v>91.7</v>
      </c>
      <c r="D904">
        <f>VLOOKUP(A904,收盤價!A:C,3,0)</f>
        <v>92.7</v>
      </c>
      <c r="E904" s="87">
        <v>1.0905125408942203E-2</v>
      </c>
      <c r="F904">
        <v>44.64</v>
      </c>
    </row>
    <row r="905" spans="1:6">
      <c r="A905">
        <v>1530</v>
      </c>
      <c r="B905" t="s">
        <v>619</v>
      </c>
      <c r="C905">
        <v>28.2</v>
      </c>
      <c r="D905">
        <f>VLOOKUP(A905,收盤價!A:C,3,0)</f>
        <v>28.5</v>
      </c>
      <c r="E905" s="87">
        <v>1.0638297872340451E-2</v>
      </c>
      <c r="F905">
        <v>44.58</v>
      </c>
    </row>
    <row r="906" spans="1:6">
      <c r="A906">
        <v>2850</v>
      </c>
      <c r="B906" t="s">
        <v>953</v>
      </c>
      <c r="C906">
        <v>23.7</v>
      </c>
      <c r="D906">
        <f>VLOOKUP(A906,收盤價!A:C,3,0)</f>
        <v>23.95</v>
      </c>
      <c r="E906" s="87">
        <v>1.0548523206751054E-2</v>
      </c>
      <c r="F906">
        <v>44.52</v>
      </c>
    </row>
    <row r="907" spans="1:6">
      <c r="A907">
        <v>1325</v>
      </c>
      <c r="B907" t="s">
        <v>547</v>
      </c>
      <c r="C907">
        <v>19.2</v>
      </c>
      <c r="D907">
        <f>VLOOKUP(A907,收盤價!A:C,3,0)</f>
        <v>19.399999999999999</v>
      </c>
      <c r="E907" s="87">
        <v>1.041666666666663E-2</v>
      </c>
      <c r="F907">
        <v>44.46</v>
      </c>
    </row>
    <row r="908" spans="1:6">
      <c r="A908">
        <v>4722</v>
      </c>
      <c r="B908" t="s">
        <v>1127</v>
      </c>
      <c r="C908">
        <v>33.85</v>
      </c>
      <c r="D908">
        <f>VLOOKUP(A908,收盤價!A:C,3,0)</f>
        <v>34.200000000000003</v>
      </c>
      <c r="E908" s="87">
        <v>1.0339734121122641E-2</v>
      </c>
      <c r="F908">
        <v>44.4</v>
      </c>
    </row>
    <row r="909" spans="1:6">
      <c r="A909">
        <v>2114</v>
      </c>
      <c r="B909" t="s">
        <v>734</v>
      </c>
      <c r="C909">
        <v>77.900000000000006</v>
      </c>
      <c r="D909">
        <f>VLOOKUP(A909,收盤價!A:C,3,0)</f>
        <v>78.7</v>
      </c>
      <c r="E909" s="87">
        <v>1.0269576379974289E-2</v>
      </c>
      <c r="F909">
        <v>44.34</v>
      </c>
    </row>
    <row r="910" spans="1:6">
      <c r="A910">
        <v>1109</v>
      </c>
      <c r="B910" t="s">
        <v>1720</v>
      </c>
      <c r="C910">
        <v>9.9499999999999993</v>
      </c>
      <c r="D910">
        <f>VLOOKUP(A910,收盤價!A:C,3,0)</f>
        <v>10.050000000000001</v>
      </c>
      <c r="E910" s="87">
        <v>1.0050251256281551E-2</v>
      </c>
      <c r="F910">
        <v>44.27</v>
      </c>
    </row>
    <row r="911" spans="1:6">
      <c r="A911">
        <v>1216</v>
      </c>
      <c r="B911" t="s">
        <v>515</v>
      </c>
      <c r="C911">
        <v>60.4</v>
      </c>
      <c r="D911">
        <f>VLOOKUP(A911,收盤價!A:C,3,0)</f>
        <v>61</v>
      </c>
      <c r="E911" s="87">
        <v>9.9337748344371091E-3</v>
      </c>
      <c r="F911">
        <v>44.21</v>
      </c>
    </row>
    <row r="912" spans="1:6">
      <c r="A912">
        <v>6261</v>
      </c>
      <c r="B912" t="s">
        <v>447</v>
      </c>
      <c r="C912">
        <v>45.45</v>
      </c>
      <c r="D912">
        <f>VLOOKUP(A912,收盤價!A:C,3,0)</f>
        <v>45.9</v>
      </c>
      <c r="E912" s="87">
        <v>9.9009900990098074E-3</v>
      </c>
      <c r="F912">
        <v>44.15</v>
      </c>
    </row>
    <row r="913" spans="1:6">
      <c r="A913">
        <v>2404</v>
      </c>
      <c r="B913" t="s">
        <v>810</v>
      </c>
      <c r="C913">
        <v>46.85</v>
      </c>
      <c r="D913">
        <f>VLOOKUP(A913,收盤價!A:C,3,0)</f>
        <v>47.3</v>
      </c>
      <c r="E913" s="87">
        <v>9.6051227321237078E-3</v>
      </c>
      <c r="F913">
        <v>44.09</v>
      </c>
    </row>
    <row r="914" spans="1:6">
      <c r="A914">
        <v>5464</v>
      </c>
      <c r="B914" t="s">
        <v>1547</v>
      </c>
      <c r="C914">
        <v>16.25</v>
      </c>
      <c r="D914">
        <f>VLOOKUP(A914,收盤價!A:C,3,0)</f>
        <v>16.399999999999999</v>
      </c>
      <c r="E914" s="87">
        <v>9.2307692307691432E-3</v>
      </c>
      <c r="F914">
        <v>44.03</v>
      </c>
    </row>
    <row r="915" spans="1:6">
      <c r="A915">
        <v>6506</v>
      </c>
      <c r="B915" t="s">
        <v>1644</v>
      </c>
      <c r="C915">
        <v>21.7</v>
      </c>
      <c r="D915">
        <f>VLOOKUP(A915,收盤價!A:C,3,0)</f>
        <v>21.9</v>
      </c>
      <c r="E915" s="87">
        <v>9.2165898617511191E-3</v>
      </c>
      <c r="F915">
        <v>43.97</v>
      </c>
    </row>
    <row r="916" spans="1:6">
      <c r="A916">
        <v>2401</v>
      </c>
      <c r="B916" t="s">
        <v>808</v>
      </c>
      <c r="C916">
        <v>10.9</v>
      </c>
      <c r="D916">
        <f>VLOOKUP(A916,收盤價!A:C,3,0)</f>
        <v>11</v>
      </c>
      <c r="E916" s="87">
        <v>9.1743119266054721E-3</v>
      </c>
      <c r="F916">
        <v>43.91</v>
      </c>
    </row>
    <row r="917" spans="1:6">
      <c r="A917">
        <v>8289</v>
      </c>
      <c r="B917" t="s">
        <v>1687</v>
      </c>
      <c r="C917">
        <v>11</v>
      </c>
      <c r="D917">
        <f>VLOOKUP(A917,收盤價!A:C,3,0)</f>
        <v>11.1</v>
      </c>
      <c r="E917" s="87">
        <v>9.0909090909090592E-3</v>
      </c>
      <c r="F917">
        <v>43.85</v>
      </c>
    </row>
    <row r="918" spans="1:6">
      <c r="A918">
        <v>3045</v>
      </c>
      <c r="B918" t="s">
        <v>1020</v>
      </c>
      <c r="C918">
        <v>110.5</v>
      </c>
      <c r="D918">
        <f>VLOOKUP(A918,收盤價!A:C,3,0)</f>
        <v>111.5</v>
      </c>
      <c r="E918" s="87">
        <v>9.0497737556561094E-3</v>
      </c>
      <c r="F918">
        <v>43.78</v>
      </c>
    </row>
    <row r="919" spans="1:6">
      <c r="A919">
        <v>2034</v>
      </c>
      <c r="B919" t="s">
        <v>720</v>
      </c>
      <c r="C919">
        <v>22.1</v>
      </c>
      <c r="D919">
        <f>VLOOKUP(A919,收盤價!A:C,3,0)</f>
        <v>22.3</v>
      </c>
      <c r="E919" s="87">
        <v>9.0497737556560764E-3</v>
      </c>
      <c r="F919">
        <v>43.72</v>
      </c>
    </row>
    <row r="920" spans="1:6">
      <c r="A920">
        <v>2912</v>
      </c>
      <c r="B920" t="s">
        <v>980</v>
      </c>
      <c r="C920">
        <v>240.5</v>
      </c>
      <c r="D920">
        <f>VLOOKUP(A920,收盤價!A:C,3,0)</f>
        <v>242.5</v>
      </c>
      <c r="E920" s="87">
        <v>8.3160083160083165E-3</v>
      </c>
      <c r="F920">
        <v>43.66</v>
      </c>
    </row>
    <row r="921" spans="1:6">
      <c r="A921">
        <v>1781</v>
      </c>
      <c r="B921" t="s">
        <v>1320</v>
      </c>
      <c r="C921">
        <v>18.8</v>
      </c>
      <c r="D921">
        <f>VLOOKUP(A921,收盤價!A:C,3,0)</f>
        <v>18.95</v>
      </c>
      <c r="E921" s="87">
        <v>7.9787234042552439E-3</v>
      </c>
      <c r="F921">
        <v>43.6</v>
      </c>
    </row>
    <row r="922" spans="1:6">
      <c r="A922">
        <v>2901</v>
      </c>
      <c r="B922" t="s">
        <v>972</v>
      </c>
      <c r="C922">
        <v>25.5</v>
      </c>
      <c r="D922">
        <f>VLOOKUP(A922,收盤價!A:C,3,0)</f>
        <v>25.7</v>
      </c>
      <c r="E922" s="87">
        <v>7.8431372549019329E-3</v>
      </c>
      <c r="F922">
        <v>43.54</v>
      </c>
    </row>
    <row r="923" spans="1:6">
      <c r="A923">
        <v>3594</v>
      </c>
      <c r="B923" t="s">
        <v>310</v>
      </c>
      <c r="C923">
        <v>25.8</v>
      </c>
      <c r="D923">
        <f>VLOOKUP(A923,收盤價!A:C,3,0)</f>
        <v>26</v>
      </c>
      <c r="E923" s="87">
        <v>7.7519379844960962E-3</v>
      </c>
      <c r="F923">
        <v>43.48</v>
      </c>
    </row>
    <row r="924" spans="1:6">
      <c r="A924">
        <v>4556</v>
      </c>
      <c r="B924" t="s">
        <v>1791</v>
      </c>
      <c r="C924">
        <v>33</v>
      </c>
      <c r="D924">
        <f>VLOOKUP(A924,收盤價!A:C,3,0)</f>
        <v>33.25</v>
      </c>
      <c r="E924" s="87">
        <v>7.575757575757576E-3</v>
      </c>
      <c r="F924">
        <v>43.42</v>
      </c>
    </row>
    <row r="925" spans="1:6">
      <c r="A925">
        <v>6184</v>
      </c>
      <c r="B925" t="s">
        <v>1196</v>
      </c>
      <c r="C925">
        <v>33.15</v>
      </c>
      <c r="D925">
        <f>VLOOKUP(A925,收盤價!A:C,3,0)</f>
        <v>33.4</v>
      </c>
      <c r="E925" s="87">
        <v>7.5414781297134239E-3</v>
      </c>
      <c r="F925">
        <v>43.36</v>
      </c>
    </row>
    <row r="926" spans="1:6">
      <c r="A926">
        <v>3130</v>
      </c>
      <c r="B926" t="s">
        <v>1038</v>
      </c>
      <c r="C926">
        <v>136.5</v>
      </c>
      <c r="D926">
        <f>VLOOKUP(A926,收盤價!A:C,3,0)</f>
        <v>137.5</v>
      </c>
      <c r="E926" s="87">
        <v>7.326007326007326E-3</v>
      </c>
      <c r="F926">
        <v>43.29</v>
      </c>
    </row>
    <row r="927" spans="1:6">
      <c r="A927">
        <v>3661</v>
      </c>
      <c r="B927" t="s">
        <v>2050</v>
      </c>
      <c r="C927">
        <v>27.5</v>
      </c>
      <c r="D927">
        <f>VLOOKUP(A927,收盤價!A:C,3,0)</f>
        <v>27.7</v>
      </c>
      <c r="E927" s="87">
        <v>7.2727272727272467E-3</v>
      </c>
      <c r="F927">
        <v>43.23</v>
      </c>
    </row>
    <row r="928" spans="1:6">
      <c r="A928">
        <v>6469</v>
      </c>
      <c r="B928" t="s">
        <v>1846</v>
      </c>
      <c r="C928">
        <v>72.2</v>
      </c>
      <c r="D928">
        <f>VLOOKUP(A928,收盤價!A:C,3,0)</f>
        <v>72.7</v>
      </c>
      <c r="E928" s="87">
        <v>6.9252077562326868E-3</v>
      </c>
      <c r="F928">
        <v>43.17</v>
      </c>
    </row>
    <row r="929" spans="1:6">
      <c r="A929">
        <v>1203</v>
      </c>
      <c r="B929" t="s">
        <v>511</v>
      </c>
      <c r="C929">
        <v>21.7</v>
      </c>
      <c r="D929">
        <f>VLOOKUP(A929,收盤價!A:C,3,0)</f>
        <v>21.85</v>
      </c>
      <c r="E929" s="87">
        <v>6.9124423963134625E-3</v>
      </c>
      <c r="F929">
        <v>43.11</v>
      </c>
    </row>
    <row r="930" spans="1:6">
      <c r="A930">
        <v>1219</v>
      </c>
      <c r="B930" t="s">
        <v>518</v>
      </c>
      <c r="C930">
        <v>15.2</v>
      </c>
      <c r="D930">
        <f>VLOOKUP(A930,收盤價!A:C,3,0)</f>
        <v>15.3</v>
      </c>
      <c r="E930" s="87">
        <v>6.5789473684211468E-3</v>
      </c>
      <c r="F930">
        <v>43.05</v>
      </c>
    </row>
    <row r="931" spans="1:6">
      <c r="A931">
        <v>3169</v>
      </c>
      <c r="B931" t="s">
        <v>1356</v>
      </c>
      <c r="C931">
        <v>23.55</v>
      </c>
      <c r="D931">
        <f>VLOOKUP(A931,收盤價!A:C,3,0)</f>
        <v>23.7</v>
      </c>
      <c r="E931" s="87">
        <v>6.3694267515922963E-3</v>
      </c>
      <c r="F931">
        <v>42.99</v>
      </c>
    </row>
    <row r="932" spans="1:6">
      <c r="A932">
        <v>1531</v>
      </c>
      <c r="B932" t="s">
        <v>620</v>
      </c>
      <c r="C932">
        <v>16.100000000000001</v>
      </c>
      <c r="D932">
        <f>VLOOKUP(A932,收盤價!A:C,3,0)</f>
        <v>16.2</v>
      </c>
      <c r="E932" s="87">
        <v>6.2111801242234694E-3</v>
      </c>
      <c r="F932">
        <v>42.93</v>
      </c>
    </row>
    <row r="933" spans="1:6">
      <c r="A933">
        <v>2105</v>
      </c>
      <c r="B933" t="s">
        <v>729</v>
      </c>
      <c r="C933">
        <v>65.5</v>
      </c>
      <c r="D933">
        <f>VLOOKUP(A933,收盤價!A:C,3,0)</f>
        <v>65.900000000000006</v>
      </c>
      <c r="E933" s="87">
        <v>6.1068702290077203E-3</v>
      </c>
      <c r="F933">
        <v>42.87</v>
      </c>
    </row>
    <row r="934" spans="1:6">
      <c r="A934">
        <v>6183</v>
      </c>
      <c r="B934" t="s">
        <v>1195</v>
      </c>
      <c r="C934">
        <v>25.85</v>
      </c>
      <c r="D934">
        <f>VLOOKUP(A934,收盤價!A:C,3,0)</f>
        <v>26</v>
      </c>
      <c r="E934" s="87">
        <v>5.8027079303674496E-3</v>
      </c>
      <c r="F934">
        <v>42.8</v>
      </c>
    </row>
    <row r="935" spans="1:6">
      <c r="A935">
        <v>6197</v>
      </c>
      <c r="B935" t="s">
        <v>1201</v>
      </c>
      <c r="C935">
        <v>25.95</v>
      </c>
      <c r="D935">
        <f>VLOOKUP(A935,收盤價!A:C,3,0)</f>
        <v>26.1</v>
      </c>
      <c r="E935" s="87">
        <v>5.7803468208093307E-3</v>
      </c>
      <c r="F935">
        <v>42.74</v>
      </c>
    </row>
    <row r="936" spans="1:6">
      <c r="A936">
        <v>6803</v>
      </c>
      <c r="B936" t="s">
        <v>1645</v>
      </c>
      <c r="C936">
        <v>173</v>
      </c>
      <c r="D936">
        <f>VLOOKUP(A936,收盤價!A:C,3,0)</f>
        <v>174</v>
      </c>
      <c r="E936" s="87">
        <v>5.7803468208092483E-3</v>
      </c>
      <c r="F936">
        <v>42.68</v>
      </c>
    </row>
    <row r="937" spans="1:6">
      <c r="A937">
        <v>2926</v>
      </c>
      <c r="B937" t="s">
        <v>1339</v>
      </c>
      <c r="C937">
        <v>180</v>
      </c>
      <c r="D937">
        <f>VLOOKUP(A937,收盤價!A:C,3,0)</f>
        <v>181</v>
      </c>
      <c r="E937" s="87">
        <v>5.5555555555555558E-3</v>
      </c>
      <c r="F937">
        <v>42.62</v>
      </c>
    </row>
    <row r="938" spans="1:6">
      <c r="A938">
        <v>8404</v>
      </c>
      <c r="B938" t="s">
        <v>2080</v>
      </c>
      <c r="C938">
        <v>39</v>
      </c>
      <c r="D938">
        <f>VLOOKUP(A938,收盤價!A:C,3,0)</f>
        <v>39.200000000000003</v>
      </c>
      <c r="E938" s="87">
        <v>5.1282051282052011E-3</v>
      </c>
      <c r="F938">
        <v>42.56</v>
      </c>
    </row>
    <row r="939" spans="1:6">
      <c r="A939">
        <v>2206</v>
      </c>
      <c r="B939" t="s">
        <v>2041</v>
      </c>
      <c r="C939">
        <v>20.149999999999999</v>
      </c>
      <c r="D939">
        <f>VLOOKUP(A939,收盤價!A:C,3,0)</f>
        <v>20.25</v>
      </c>
      <c r="E939" s="87">
        <v>4.9627791563276145E-3</v>
      </c>
      <c r="F939">
        <v>42.5</v>
      </c>
    </row>
    <row r="940" spans="1:6">
      <c r="A940">
        <v>2066</v>
      </c>
      <c r="B940" t="s">
        <v>239</v>
      </c>
      <c r="C940">
        <v>114</v>
      </c>
      <c r="D940">
        <f>VLOOKUP(A940,收盤價!A:C,3,0)</f>
        <v>114.5</v>
      </c>
      <c r="E940" s="87">
        <v>4.3859649122807015E-3</v>
      </c>
      <c r="F940">
        <v>42.44</v>
      </c>
    </row>
    <row r="941" spans="1:6">
      <c r="A941">
        <v>3067</v>
      </c>
      <c r="B941" t="s">
        <v>245</v>
      </c>
      <c r="C941">
        <v>12.35</v>
      </c>
      <c r="D941">
        <f>VLOOKUP(A941,收盤價!A:C,3,0)</f>
        <v>12.4</v>
      </c>
      <c r="E941" s="87">
        <v>4.0485829959514743E-3</v>
      </c>
      <c r="F941">
        <v>42.38</v>
      </c>
    </row>
    <row r="942" spans="1:6">
      <c r="A942">
        <v>6139</v>
      </c>
      <c r="B942" t="s">
        <v>1181</v>
      </c>
      <c r="C942">
        <v>24.7</v>
      </c>
      <c r="D942">
        <f>VLOOKUP(A942,收盤價!A:C,3,0)</f>
        <v>24.8</v>
      </c>
      <c r="E942" s="87">
        <v>4.0485829959514743E-3</v>
      </c>
      <c r="F942">
        <v>42.31</v>
      </c>
    </row>
    <row r="943" spans="1:6">
      <c r="A943">
        <v>1467</v>
      </c>
      <c r="B943" t="s">
        <v>589</v>
      </c>
      <c r="C943">
        <v>12.8</v>
      </c>
      <c r="D943">
        <f>VLOOKUP(A943,收盤價!A:C,3,0)</f>
        <v>12.85</v>
      </c>
      <c r="E943" s="87">
        <v>3.9062499999999167E-3</v>
      </c>
      <c r="F943">
        <v>42.25</v>
      </c>
    </row>
    <row r="944" spans="1:6">
      <c r="A944">
        <v>6464</v>
      </c>
      <c r="B944" t="s">
        <v>1786</v>
      </c>
      <c r="C944">
        <v>129</v>
      </c>
      <c r="D944">
        <f>VLOOKUP(A944,收盤價!A:C,3,0)</f>
        <v>129.5</v>
      </c>
      <c r="E944" s="87">
        <v>3.875968992248062E-3</v>
      </c>
      <c r="F944">
        <v>42.19</v>
      </c>
    </row>
    <row r="945" spans="1:6">
      <c r="A945">
        <v>2230</v>
      </c>
      <c r="B945" t="s">
        <v>240</v>
      </c>
      <c r="C945">
        <v>13.95</v>
      </c>
      <c r="D945">
        <f>VLOOKUP(A945,收盤價!A:C,3,0)</f>
        <v>14</v>
      </c>
      <c r="E945" s="87">
        <v>3.5842293906810548E-3</v>
      </c>
      <c r="F945">
        <v>42.13</v>
      </c>
    </row>
    <row r="946" spans="1:6">
      <c r="A946">
        <v>6216</v>
      </c>
      <c r="B946" t="s">
        <v>1210</v>
      </c>
      <c r="C946">
        <v>28.8</v>
      </c>
      <c r="D946">
        <f>VLOOKUP(A946,收盤價!A:C,3,0)</f>
        <v>28.9</v>
      </c>
      <c r="E946" s="87">
        <v>3.4722222222221483E-3</v>
      </c>
      <c r="F946">
        <v>42.07</v>
      </c>
    </row>
    <row r="947" spans="1:6">
      <c r="A947">
        <v>8076</v>
      </c>
      <c r="B947" t="s">
        <v>1662</v>
      </c>
      <c r="C947">
        <v>65.8</v>
      </c>
      <c r="D947">
        <f>VLOOKUP(A947,收盤價!A:C,3,0)</f>
        <v>66</v>
      </c>
      <c r="E947" s="87">
        <v>3.0395136778115935E-3</v>
      </c>
      <c r="F947">
        <v>42.01</v>
      </c>
    </row>
    <row r="948" spans="1:6">
      <c r="A948">
        <v>8422</v>
      </c>
      <c r="B948" t="s">
        <v>1268</v>
      </c>
      <c r="C948">
        <v>173.5</v>
      </c>
      <c r="D948">
        <f>VLOOKUP(A948,收盤價!A:C,3,0)</f>
        <v>174</v>
      </c>
      <c r="E948" s="87">
        <v>2.881844380403458E-3</v>
      </c>
      <c r="F948">
        <v>41.95</v>
      </c>
    </row>
    <row r="949" spans="1:6">
      <c r="A949">
        <v>2228</v>
      </c>
      <c r="B949" t="s">
        <v>740</v>
      </c>
      <c r="C949">
        <v>191.5</v>
      </c>
      <c r="D949">
        <f>VLOOKUP(A949,收盤價!A:C,3,0)</f>
        <v>192</v>
      </c>
      <c r="E949" s="87">
        <v>2.6109660574412533E-3</v>
      </c>
      <c r="F949">
        <v>41.89</v>
      </c>
    </row>
    <row r="950" spans="1:6">
      <c r="A950">
        <v>2908</v>
      </c>
      <c r="B950" t="s">
        <v>977</v>
      </c>
      <c r="C950">
        <v>19.399999999999999</v>
      </c>
      <c r="D950">
        <f>VLOOKUP(A950,收盤價!A:C,3,0)</f>
        <v>19.45</v>
      </c>
      <c r="E950" s="87">
        <v>2.5773195876289028E-3</v>
      </c>
      <c r="F950">
        <v>41.82</v>
      </c>
    </row>
    <row r="951" spans="1:6">
      <c r="A951">
        <v>3533</v>
      </c>
      <c r="B951" t="s">
        <v>1078</v>
      </c>
      <c r="C951">
        <v>80.3</v>
      </c>
      <c r="D951">
        <f>VLOOKUP(A951,收盤價!A:C,3,0)</f>
        <v>80.5</v>
      </c>
      <c r="E951" s="87">
        <v>2.4906600249066358E-3</v>
      </c>
      <c r="F951">
        <v>41.76</v>
      </c>
    </row>
    <row r="952" spans="1:6">
      <c r="A952">
        <v>6278</v>
      </c>
      <c r="B952" t="s">
        <v>1223</v>
      </c>
      <c r="C952">
        <v>26.65</v>
      </c>
      <c r="D952">
        <f>VLOOKUP(A952,收盤價!A:C,3,0)</f>
        <v>26.7</v>
      </c>
      <c r="E952" s="87">
        <v>1.8761726078799516E-3</v>
      </c>
      <c r="F952">
        <v>41.7</v>
      </c>
    </row>
    <row r="953" spans="1:6">
      <c r="A953">
        <v>3474</v>
      </c>
      <c r="B953" t="s">
        <v>1068</v>
      </c>
      <c r="C953">
        <v>29.45</v>
      </c>
      <c r="D953">
        <f>VLOOKUP(A953,收盤價!A:C,3,0)</f>
        <v>29.5</v>
      </c>
      <c r="E953" s="87">
        <v>1.6977928692699733E-3</v>
      </c>
      <c r="F953">
        <v>41.64</v>
      </c>
    </row>
    <row r="954" spans="1:6">
      <c r="A954">
        <v>2497</v>
      </c>
      <c r="B954" t="s">
        <v>881</v>
      </c>
      <c r="C954">
        <v>29.85</v>
      </c>
      <c r="D954">
        <f>VLOOKUP(A954,收盤價!A:C,3,0)</f>
        <v>29.9</v>
      </c>
      <c r="E954" s="87">
        <v>1.6750418760468058E-3</v>
      </c>
      <c r="F954">
        <v>41.58</v>
      </c>
    </row>
    <row r="955" spans="1:6">
      <c r="A955">
        <v>6167</v>
      </c>
      <c r="B955" t="s">
        <v>1603</v>
      </c>
      <c r="C955">
        <v>6.07</v>
      </c>
      <c r="D955">
        <f>VLOOKUP(A955,收盤價!A:C,3,0)</f>
        <v>6.08</v>
      </c>
      <c r="E955" s="87">
        <v>1.6474464579900802E-3</v>
      </c>
      <c r="F955">
        <v>41.52</v>
      </c>
    </row>
    <row r="956" spans="1:6">
      <c r="A956">
        <v>3002</v>
      </c>
      <c r="B956" t="s">
        <v>983</v>
      </c>
      <c r="C956">
        <v>9.99</v>
      </c>
      <c r="D956">
        <f>VLOOKUP(A956,收盤價!A:C,3,0)</f>
        <v>10</v>
      </c>
      <c r="E956" s="87">
        <v>1.0010010010009797E-3</v>
      </c>
      <c r="F956">
        <v>41.46</v>
      </c>
    </row>
    <row r="957" spans="1:6">
      <c r="A957">
        <v>1410</v>
      </c>
      <c r="B957" t="s">
        <v>552</v>
      </c>
      <c r="C957">
        <v>24.1</v>
      </c>
      <c r="D957">
        <f>VLOOKUP(A957,收盤價!A:C,3,0)</f>
        <v>24.1</v>
      </c>
      <c r="E957" s="87">
        <v>0</v>
      </c>
      <c r="F957">
        <v>41.4</v>
      </c>
    </row>
    <row r="958" spans="1:6">
      <c r="A958">
        <v>1724</v>
      </c>
      <c r="B958" t="s">
        <v>666</v>
      </c>
      <c r="C958">
        <v>16</v>
      </c>
      <c r="D958">
        <f>VLOOKUP(A958,收盤價!A:C,3,0)</f>
        <v>16</v>
      </c>
      <c r="E958" s="87">
        <v>0</v>
      </c>
      <c r="F958">
        <v>41.33</v>
      </c>
    </row>
    <row r="959" spans="1:6">
      <c r="A959">
        <v>9925</v>
      </c>
      <c r="B959" t="s">
        <v>1290</v>
      </c>
      <c r="C959">
        <v>40</v>
      </c>
      <c r="D959">
        <f>VLOOKUP(A959,收盤價!A:C,3,0)</f>
        <v>40</v>
      </c>
      <c r="E959" s="87">
        <v>0</v>
      </c>
      <c r="F959">
        <v>41.27</v>
      </c>
    </row>
    <row r="960" spans="1:6">
      <c r="A960">
        <v>5432</v>
      </c>
      <c r="B960" t="s">
        <v>1543</v>
      </c>
      <c r="C960">
        <v>15.1</v>
      </c>
      <c r="D960">
        <f>VLOOKUP(A960,收盤價!A:C,3,0)</f>
        <v>15.1</v>
      </c>
      <c r="E960" s="87">
        <v>0</v>
      </c>
      <c r="F960">
        <v>41.21</v>
      </c>
    </row>
    <row r="961" spans="1:6">
      <c r="A961">
        <v>2102</v>
      </c>
      <c r="B961" t="s">
        <v>726</v>
      </c>
      <c r="C961">
        <v>13.6</v>
      </c>
      <c r="D961">
        <f>VLOOKUP(A961,收盤價!A:C,3,0)</f>
        <v>13.6</v>
      </c>
      <c r="E961" s="87">
        <v>0</v>
      </c>
      <c r="F961">
        <v>41.15</v>
      </c>
    </row>
    <row r="962" spans="1:6">
      <c r="A962">
        <v>2338</v>
      </c>
      <c r="B962" t="s">
        <v>764</v>
      </c>
      <c r="C962">
        <v>8.18</v>
      </c>
      <c r="D962">
        <f>VLOOKUP(A962,收盤價!A:C,3,0)</f>
        <v>8.18</v>
      </c>
      <c r="E962" s="87">
        <v>0</v>
      </c>
      <c r="F962">
        <v>41.09</v>
      </c>
    </row>
    <row r="963" spans="1:6">
      <c r="A963">
        <v>1506</v>
      </c>
      <c r="B963" t="s">
        <v>602</v>
      </c>
      <c r="C963">
        <v>14.4</v>
      </c>
      <c r="D963">
        <f>VLOOKUP(A963,收盤價!A:C,3,0)</f>
        <v>14.4</v>
      </c>
      <c r="E963" s="87">
        <v>0</v>
      </c>
      <c r="F963">
        <v>41.03</v>
      </c>
    </row>
    <row r="964" spans="1:6">
      <c r="A964">
        <v>9937</v>
      </c>
      <c r="B964" t="s">
        <v>1299</v>
      </c>
      <c r="C964">
        <v>36.6</v>
      </c>
      <c r="D964">
        <f>VLOOKUP(A964,收盤價!A:C,3,0)</f>
        <v>36.6</v>
      </c>
      <c r="E964" s="87">
        <v>0</v>
      </c>
      <c r="F964">
        <v>40.97</v>
      </c>
    </row>
    <row r="965" spans="1:6">
      <c r="A965">
        <v>3703</v>
      </c>
      <c r="B965" t="s">
        <v>1108</v>
      </c>
      <c r="C965">
        <v>10.1</v>
      </c>
      <c r="D965">
        <f>VLOOKUP(A965,收盤價!A:C,3,0)</f>
        <v>10.1</v>
      </c>
      <c r="E965" s="87">
        <v>0</v>
      </c>
      <c r="F965">
        <v>40.909999999999997</v>
      </c>
    </row>
    <row r="966" spans="1:6">
      <c r="A966">
        <v>2845</v>
      </c>
      <c r="B966" t="s">
        <v>951</v>
      </c>
      <c r="C966">
        <v>9.0399999999999991</v>
      </c>
      <c r="D966">
        <f>VLOOKUP(A966,收盤價!A:C,3,0)</f>
        <v>9.0299999999999994</v>
      </c>
      <c r="E966" s="87">
        <v>-1.1061946902654633E-3</v>
      </c>
      <c r="F966">
        <v>40.85</v>
      </c>
    </row>
    <row r="967" spans="1:6">
      <c r="A967">
        <v>4747</v>
      </c>
      <c r="B967" t="s">
        <v>1491</v>
      </c>
      <c r="C967">
        <v>38.15</v>
      </c>
      <c r="D967">
        <f>VLOOKUP(A967,收盤價!A:C,3,0)</f>
        <v>38.1</v>
      </c>
      <c r="E967" s="87">
        <v>-1.3106159895149977E-3</v>
      </c>
      <c r="F967">
        <v>40.78</v>
      </c>
    </row>
    <row r="968" spans="1:6">
      <c r="A968">
        <v>3218</v>
      </c>
      <c r="B968" t="s">
        <v>261</v>
      </c>
      <c r="C968">
        <v>23</v>
      </c>
      <c r="D968">
        <f>VLOOKUP(A968,收盤價!A:C,3,0)</f>
        <v>22.95</v>
      </c>
      <c r="E968" s="87">
        <v>-2.1739130434782917E-3</v>
      </c>
      <c r="F968">
        <v>40.72</v>
      </c>
    </row>
    <row r="969" spans="1:6">
      <c r="A969">
        <v>2705</v>
      </c>
      <c r="B969" t="s">
        <v>933</v>
      </c>
      <c r="C969">
        <v>8.65</v>
      </c>
      <c r="D969">
        <f>VLOOKUP(A969,收盤價!A:C,3,0)</f>
        <v>8.6300000000000008</v>
      </c>
      <c r="E969" s="87">
        <v>-2.3121387283236501E-3</v>
      </c>
      <c r="F969">
        <v>40.659999999999997</v>
      </c>
    </row>
    <row r="970" spans="1:6">
      <c r="A970">
        <v>3628</v>
      </c>
      <c r="B970" t="s">
        <v>1419</v>
      </c>
      <c r="C970">
        <v>42.85</v>
      </c>
      <c r="D970">
        <f>VLOOKUP(A970,收盤價!A:C,3,0)</f>
        <v>42.75</v>
      </c>
      <c r="E970" s="87">
        <v>-2.3337222870478745E-3</v>
      </c>
      <c r="F970">
        <v>40.6</v>
      </c>
    </row>
    <row r="971" spans="1:6">
      <c r="A971">
        <v>1201</v>
      </c>
      <c r="B971" t="s">
        <v>510</v>
      </c>
      <c r="C971">
        <v>18.149999999999999</v>
      </c>
      <c r="D971">
        <f>VLOOKUP(A971,收盤價!A:C,3,0)</f>
        <v>18.100000000000001</v>
      </c>
      <c r="E971" s="87">
        <v>-2.754820936638962E-3</v>
      </c>
      <c r="F971">
        <v>40.54</v>
      </c>
    </row>
    <row r="972" spans="1:6">
      <c r="A972">
        <v>2414</v>
      </c>
      <c r="B972" t="s">
        <v>817</v>
      </c>
      <c r="C972">
        <v>16.5</v>
      </c>
      <c r="D972">
        <f>VLOOKUP(A972,收盤價!A:C,3,0)</f>
        <v>16.45</v>
      </c>
      <c r="E972" s="87">
        <v>-3.0303030303030732E-3</v>
      </c>
      <c r="F972">
        <v>40.479999999999997</v>
      </c>
    </row>
    <row r="973" spans="1:6">
      <c r="A973">
        <v>6174</v>
      </c>
      <c r="B973" t="s">
        <v>1606</v>
      </c>
      <c r="C973">
        <v>15.05</v>
      </c>
      <c r="D973">
        <f>VLOOKUP(A973,收盤價!A:C,3,0)</f>
        <v>15</v>
      </c>
      <c r="E973" s="87">
        <v>-3.3222591362126715E-3</v>
      </c>
      <c r="F973">
        <v>40.42</v>
      </c>
    </row>
    <row r="974" spans="1:6">
      <c r="A974">
        <v>6016</v>
      </c>
      <c r="B974" t="s">
        <v>1574</v>
      </c>
      <c r="C974">
        <v>5.95</v>
      </c>
      <c r="D974">
        <f>VLOOKUP(A974,收盤價!A:C,3,0)</f>
        <v>5.93</v>
      </c>
      <c r="E974" s="87">
        <v>-3.3613445378152034E-3</v>
      </c>
      <c r="F974">
        <v>40.36</v>
      </c>
    </row>
    <row r="975" spans="1:6">
      <c r="A975">
        <v>2924</v>
      </c>
      <c r="B975" t="s">
        <v>1338</v>
      </c>
      <c r="C975">
        <v>53.7</v>
      </c>
      <c r="D975">
        <f>VLOOKUP(A975,收盤價!A:C,3,0)</f>
        <v>53.5</v>
      </c>
      <c r="E975" s="87">
        <v>-3.7243947858473527E-3</v>
      </c>
      <c r="F975">
        <v>40.29</v>
      </c>
    </row>
    <row r="976" spans="1:6">
      <c r="A976">
        <v>3290</v>
      </c>
      <c r="B976" t="s">
        <v>1375</v>
      </c>
      <c r="C976">
        <v>13.1</v>
      </c>
      <c r="D976">
        <f>VLOOKUP(A976,收盤價!A:C,3,0)</f>
        <v>13.05</v>
      </c>
      <c r="E976" s="87">
        <v>-3.8167938931296897E-3</v>
      </c>
      <c r="F976">
        <v>40.229999999999997</v>
      </c>
    </row>
    <row r="977" spans="1:6">
      <c r="A977">
        <v>3605</v>
      </c>
      <c r="B977" t="s">
        <v>1094</v>
      </c>
      <c r="C977">
        <v>25.45</v>
      </c>
      <c r="D977">
        <f>VLOOKUP(A977,收盤價!A:C,3,0)</f>
        <v>25.35</v>
      </c>
      <c r="E977" s="87">
        <v>-3.9292730844792878E-3</v>
      </c>
      <c r="F977">
        <v>40.17</v>
      </c>
    </row>
    <row r="978" spans="1:6">
      <c r="A978">
        <v>1440</v>
      </c>
      <c r="B978" t="s">
        <v>567</v>
      </c>
      <c r="C978">
        <v>12.5</v>
      </c>
      <c r="D978">
        <f>VLOOKUP(A978,收盤價!A:C,3,0)</f>
        <v>12.45</v>
      </c>
      <c r="E978" s="87">
        <v>-4.0000000000000565E-3</v>
      </c>
      <c r="F978">
        <v>40.11</v>
      </c>
    </row>
    <row r="979" spans="1:6">
      <c r="A979">
        <v>3431</v>
      </c>
      <c r="B979" t="s">
        <v>1389</v>
      </c>
      <c r="C979">
        <v>9.67</v>
      </c>
      <c r="D979">
        <f>VLOOKUP(A979,收盤價!A:C,3,0)</f>
        <v>9.6300000000000008</v>
      </c>
      <c r="E979" s="87">
        <v>-4.1365046535676471E-3</v>
      </c>
      <c r="F979">
        <v>40.049999999999997</v>
      </c>
    </row>
    <row r="980" spans="1:6">
      <c r="A980">
        <v>5384</v>
      </c>
      <c r="B980" t="s">
        <v>389</v>
      </c>
      <c r="C980">
        <v>11.9</v>
      </c>
      <c r="D980">
        <f>VLOOKUP(A980,收盤價!A:C,3,0)</f>
        <v>11.85</v>
      </c>
      <c r="E980" s="87">
        <v>-4.2016806722689672E-3</v>
      </c>
      <c r="F980">
        <v>39.99</v>
      </c>
    </row>
    <row r="981" spans="1:6">
      <c r="A981">
        <v>8071</v>
      </c>
      <c r="B981" t="s">
        <v>464</v>
      </c>
      <c r="C981">
        <v>11.7</v>
      </c>
      <c r="D981">
        <f>VLOOKUP(A981,收盤價!A:C,3,0)</f>
        <v>11.65</v>
      </c>
      <c r="E981" s="87">
        <v>-4.2735042735041829E-3</v>
      </c>
      <c r="F981">
        <v>39.93</v>
      </c>
    </row>
    <row r="982" spans="1:6">
      <c r="A982">
        <v>3114</v>
      </c>
      <c r="B982" t="s">
        <v>1348</v>
      </c>
      <c r="C982">
        <v>11.1</v>
      </c>
      <c r="D982">
        <f>VLOOKUP(A982,收盤價!A:C,3,0)</f>
        <v>11.05</v>
      </c>
      <c r="E982" s="87">
        <v>-4.5045045045044091E-3</v>
      </c>
      <c r="F982">
        <v>39.869999999999997</v>
      </c>
    </row>
    <row r="983" spans="1:6">
      <c r="A983">
        <v>1459</v>
      </c>
      <c r="B983" t="s">
        <v>583</v>
      </c>
      <c r="C983">
        <v>8.2899999999999991</v>
      </c>
      <c r="D983">
        <f>VLOOKUP(A983,收盤價!A:C,3,0)</f>
        <v>8.25</v>
      </c>
      <c r="E983" s="87">
        <v>-4.8250904704462182E-3</v>
      </c>
      <c r="F983">
        <v>39.799999999999997</v>
      </c>
    </row>
    <row r="984" spans="1:6">
      <c r="A984">
        <v>2546</v>
      </c>
      <c r="B984" t="s">
        <v>908</v>
      </c>
      <c r="C984">
        <v>15.25</v>
      </c>
      <c r="D984">
        <f>VLOOKUP(A984,收盤價!A:C,3,0)</f>
        <v>15.15</v>
      </c>
      <c r="E984" s="87">
        <v>-6.5573770491803044E-3</v>
      </c>
      <c r="F984">
        <v>39.74</v>
      </c>
    </row>
    <row r="985" spans="1:6">
      <c r="A985">
        <v>8940</v>
      </c>
      <c r="B985" t="s">
        <v>1273</v>
      </c>
      <c r="C985">
        <v>15.2</v>
      </c>
      <c r="D985">
        <f>VLOOKUP(A985,收盤價!A:C,3,0)</f>
        <v>15.1</v>
      </c>
      <c r="E985" s="87">
        <v>-6.5789473684210297E-3</v>
      </c>
      <c r="F985">
        <v>39.68</v>
      </c>
    </row>
    <row r="986" spans="1:6">
      <c r="A986">
        <v>4526</v>
      </c>
      <c r="B986" t="s">
        <v>1122</v>
      </c>
      <c r="C986">
        <v>22.7</v>
      </c>
      <c r="D986">
        <f>VLOOKUP(A986,收盤價!A:C,3,0)</f>
        <v>22.55</v>
      </c>
      <c r="E986" s="87">
        <v>-6.6079295154184399E-3</v>
      </c>
      <c r="F986">
        <v>39.619999999999997</v>
      </c>
    </row>
    <row r="987" spans="1:6">
      <c r="A987">
        <v>4904</v>
      </c>
      <c r="B987" t="s">
        <v>1133</v>
      </c>
      <c r="C987">
        <v>75.099999999999994</v>
      </c>
      <c r="D987">
        <f>VLOOKUP(A987,收盤價!A:C,3,0)</f>
        <v>74.599999999999994</v>
      </c>
      <c r="E987" s="87">
        <v>-6.6577896138482031E-3</v>
      </c>
      <c r="F987">
        <v>39.56</v>
      </c>
    </row>
    <row r="988" spans="1:6">
      <c r="A988">
        <v>9105</v>
      </c>
      <c r="B988" t="s">
        <v>2088</v>
      </c>
      <c r="C988">
        <v>2.99</v>
      </c>
      <c r="D988">
        <f>VLOOKUP(A988,收盤價!A:C,3,0)</f>
        <v>2.97</v>
      </c>
      <c r="E988" s="87">
        <v>-6.6889632107023462E-3</v>
      </c>
      <c r="F988">
        <v>39.5</v>
      </c>
    </row>
    <row r="989" spans="1:6">
      <c r="A989">
        <v>5263</v>
      </c>
      <c r="B989" t="s">
        <v>1518</v>
      </c>
      <c r="C989">
        <v>218</v>
      </c>
      <c r="D989">
        <f>VLOOKUP(A989,收盤價!A:C,3,0)</f>
        <v>216.5</v>
      </c>
      <c r="E989" s="87">
        <v>-6.8807339449541288E-3</v>
      </c>
      <c r="F989">
        <v>39.44</v>
      </c>
    </row>
    <row r="990" spans="1:6">
      <c r="A990">
        <v>8411</v>
      </c>
      <c r="B990" t="s">
        <v>2081</v>
      </c>
      <c r="C990">
        <v>26.4</v>
      </c>
      <c r="D990">
        <f>VLOOKUP(A990,收盤價!A:C,3,0)</f>
        <v>26.2</v>
      </c>
      <c r="E990" s="87">
        <v>-7.5757575757575491E-3</v>
      </c>
      <c r="F990">
        <v>39.380000000000003</v>
      </c>
    </row>
    <row r="991" spans="1:6">
      <c r="A991">
        <v>3479</v>
      </c>
      <c r="B991" t="s">
        <v>1395</v>
      </c>
      <c r="C991">
        <v>65.099999999999994</v>
      </c>
      <c r="D991">
        <f>VLOOKUP(A991,收盤價!A:C,3,0)</f>
        <v>64.599999999999994</v>
      </c>
      <c r="E991" s="87">
        <v>-7.6804915514592943E-3</v>
      </c>
      <c r="F991">
        <v>39.31</v>
      </c>
    </row>
    <row r="992" spans="1:6">
      <c r="A992">
        <v>4152</v>
      </c>
      <c r="B992" t="s">
        <v>329</v>
      </c>
      <c r="C992">
        <v>130</v>
      </c>
      <c r="D992">
        <f>VLOOKUP(A992,收盤價!A:C,3,0)</f>
        <v>129</v>
      </c>
      <c r="E992" s="87">
        <v>-7.6923076923076927E-3</v>
      </c>
      <c r="F992">
        <v>39.25</v>
      </c>
    </row>
    <row r="993" spans="1:6">
      <c r="A993">
        <v>2911</v>
      </c>
      <c r="B993" t="s">
        <v>979</v>
      </c>
      <c r="C993">
        <v>12.8</v>
      </c>
      <c r="D993">
        <f>VLOOKUP(A993,收盤價!A:C,3,0)</f>
        <v>12.7</v>
      </c>
      <c r="E993" s="87">
        <v>-7.812500000000111E-3</v>
      </c>
      <c r="F993">
        <v>39.19</v>
      </c>
    </row>
    <row r="994" spans="1:6">
      <c r="A994">
        <v>9941</v>
      </c>
      <c r="B994" t="s">
        <v>1303</v>
      </c>
      <c r="C994">
        <v>73</v>
      </c>
      <c r="D994">
        <f>VLOOKUP(A994,收盤價!A:C,3,0)</f>
        <v>72.400000000000006</v>
      </c>
      <c r="E994" s="87">
        <v>-8.2191780821917037E-3</v>
      </c>
      <c r="F994">
        <v>39.130000000000003</v>
      </c>
    </row>
    <row r="995" spans="1:6">
      <c r="A995">
        <v>1701</v>
      </c>
      <c r="B995" t="s">
        <v>648</v>
      </c>
      <c r="C995">
        <v>18</v>
      </c>
      <c r="D995">
        <f>VLOOKUP(A995,收盤價!A:C,3,0)</f>
        <v>17.850000000000001</v>
      </c>
      <c r="E995" s="87">
        <v>-8.3333333333332552E-3</v>
      </c>
      <c r="F995">
        <v>39.07</v>
      </c>
    </row>
    <row r="996" spans="1:6">
      <c r="A996">
        <v>6152</v>
      </c>
      <c r="B996" t="s">
        <v>1185</v>
      </c>
      <c r="C996">
        <v>9.6999999999999993</v>
      </c>
      <c r="D996">
        <f>VLOOKUP(A996,收盤價!A:C,3,0)</f>
        <v>9.61</v>
      </c>
      <c r="E996" s="87">
        <v>-9.2783505154639036E-3</v>
      </c>
      <c r="F996">
        <v>39.01</v>
      </c>
    </row>
    <row r="997" spans="1:6">
      <c r="A997">
        <v>6166</v>
      </c>
      <c r="B997" t="s">
        <v>1190</v>
      </c>
      <c r="C997">
        <v>64.599999999999994</v>
      </c>
      <c r="D997">
        <f>VLOOKUP(A997,收盤價!A:C,3,0)</f>
        <v>64</v>
      </c>
      <c r="E997" s="87">
        <v>-9.2879256965943402E-3</v>
      </c>
      <c r="F997">
        <v>38.950000000000003</v>
      </c>
    </row>
    <row r="998" spans="1:6">
      <c r="A998">
        <v>3308</v>
      </c>
      <c r="B998" t="s">
        <v>1050</v>
      </c>
      <c r="C998">
        <v>7.3</v>
      </c>
      <c r="D998">
        <f>VLOOKUP(A998,收盤價!A:C,3,0)</f>
        <v>7.23</v>
      </c>
      <c r="E998" s="87">
        <v>-9.5890410958903282E-3</v>
      </c>
      <c r="F998">
        <v>38.89</v>
      </c>
    </row>
    <row r="999" spans="1:6">
      <c r="A999">
        <v>6221</v>
      </c>
      <c r="B999" t="s">
        <v>434</v>
      </c>
      <c r="C999">
        <v>25.15</v>
      </c>
      <c r="D999">
        <f>VLOOKUP(A999,收盤價!A:C,3,0)</f>
        <v>24.9</v>
      </c>
      <c r="E999" s="87">
        <v>-9.9403578528827041E-3</v>
      </c>
      <c r="F999">
        <v>38.82</v>
      </c>
    </row>
    <row r="1000" spans="1:6">
      <c r="A1000">
        <v>6470</v>
      </c>
      <c r="B1000" t="s">
        <v>1749</v>
      </c>
      <c r="C1000">
        <v>48.7</v>
      </c>
      <c r="D1000">
        <f>VLOOKUP(A1000,收盤價!A:C,3,0)</f>
        <v>48.2</v>
      </c>
      <c r="E1000" s="87">
        <v>-1.0266940451745379E-2</v>
      </c>
      <c r="F1000">
        <v>38.76</v>
      </c>
    </row>
    <row r="1001" spans="1:6">
      <c r="A1001">
        <v>2608</v>
      </c>
      <c r="B1001" t="s">
        <v>917</v>
      </c>
      <c r="C1001">
        <v>41.45</v>
      </c>
      <c r="D1001">
        <f>VLOOKUP(A1001,收盤價!A:C,3,0)</f>
        <v>41</v>
      </c>
      <c r="E1001" s="87">
        <v>-1.085645355850429E-2</v>
      </c>
      <c r="F1001">
        <v>38.700000000000003</v>
      </c>
    </row>
    <row r="1002" spans="1:6">
      <c r="A1002">
        <v>3026</v>
      </c>
      <c r="B1002" t="s">
        <v>1002</v>
      </c>
      <c r="C1002">
        <v>32.15</v>
      </c>
      <c r="D1002">
        <f>VLOOKUP(A1002,收盤價!A:C,3,0)</f>
        <v>31.8</v>
      </c>
      <c r="E1002" s="87">
        <v>-1.0886469673405844E-2</v>
      </c>
      <c r="F1002">
        <v>38.64</v>
      </c>
    </row>
    <row r="1003" spans="1:6">
      <c r="A1003">
        <v>9917</v>
      </c>
      <c r="B1003" t="s">
        <v>1285</v>
      </c>
      <c r="C1003">
        <v>91.4</v>
      </c>
      <c r="D1003">
        <f>VLOOKUP(A1003,收盤價!A:C,3,0)</f>
        <v>90.4</v>
      </c>
      <c r="E1003" s="87">
        <v>-1.0940919037199124E-2</v>
      </c>
      <c r="F1003">
        <v>38.58</v>
      </c>
    </row>
    <row r="1004" spans="1:6">
      <c r="A1004">
        <v>1786</v>
      </c>
      <c r="B1004" t="s">
        <v>682</v>
      </c>
      <c r="C1004">
        <v>53.1</v>
      </c>
      <c r="D1004">
        <f>VLOOKUP(A1004,收盤價!A:C,3,0)</f>
        <v>52.5</v>
      </c>
      <c r="E1004" s="87">
        <v>-1.1299435028248614E-2</v>
      </c>
      <c r="F1004">
        <v>38.520000000000003</v>
      </c>
    </row>
    <row r="1005" spans="1:6">
      <c r="A1005">
        <v>2380</v>
      </c>
      <c r="B1005" t="s">
        <v>796</v>
      </c>
      <c r="C1005">
        <v>6.88</v>
      </c>
      <c r="D1005">
        <f>VLOOKUP(A1005,收盤價!A:C,3,0)</f>
        <v>6.8</v>
      </c>
      <c r="E1005" s="87">
        <v>-1.1627906976744196E-2</v>
      </c>
      <c r="F1005">
        <v>38.46</v>
      </c>
    </row>
    <row r="1006" spans="1:6">
      <c r="A1006">
        <v>4161</v>
      </c>
      <c r="B1006" t="s">
        <v>1451</v>
      </c>
      <c r="C1006">
        <v>60.2</v>
      </c>
      <c r="D1006">
        <f>VLOOKUP(A1006,收盤價!A:C,3,0)</f>
        <v>59.5</v>
      </c>
      <c r="E1006" s="87">
        <v>-1.1627906976744233E-2</v>
      </c>
      <c r="F1006">
        <v>38.4</v>
      </c>
    </row>
    <row r="1007" spans="1:6">
      <c r="A1007">
        <v>1258</v>
      </c>
      <c r="B1007" t="s">
        <v>1311</v>
      </c>
      <c r="C1007">
        <v>37.75</v>
      </c>
      <c r="D1007">
        <f>VLOOKUP(A1007,收盤價!A:C,3,0)</f>
        <v>37.299999999999997</v>
      </c>
      <c r="E1007" s="87">
        <v>-1.1920529801324579E-2</v>
      </c>
      <c r="F1007">
        <v>38.33</v>
      </c>
    </row>
    <row r="1008" spans="1:6">
      <c r="A1008">
        <v>2227</v>
      </c>
      <c r="B1008" t="s">
        <v>739</v>
      </c>
      <c r="C1008">
        <v>201</v>
      </c>
      <c r="D1008">
        <f>VLOOKUP(A1008,收盤價!A:C,3,0)</f>
        <v>198.5</v>
      </c>
      <c r="E1008" s="87">
        <v>-1.2437810945273632E-2</v>
      </c>
      <c r="F1008">
        <v>38.270000000000003</v>
      </c>
    </row>
    <row r="1009" spans="1:6">
      <c r="A1009">
        <v>4542</v>
      </c>
      <c r="B1009" t="s">
        <v>344</v>
      </c>
      <c r="C1009">
        <v>16</v>
      </c>
      <c r="D1009">
        <f>VLOOKUP(A1009,收盤價!A:C,3,0)</f>
        <v>15.8</v>
      </c>
      <c r="E1009" s="87">
        <v>-1.2499999999999956E-2</v>
      </c>
      <c r="F1009">
        <v>38.21</v>
      </c>
    </row>
    <row r="1010" spans="1:6">
      <c r="A1010">
        <v>5530</v>
      </c>
      <c r="B1010" t="s">
        <v>1564</v>
      </c>
      <c r="C1010">
        <v>54.2</v>
      </c>
      <c r="D1010">
        <f>VLOOKUP(A1010,收盤價!A:C,3,0)</f>
        <v>53.5</v>
      </c>
      <c r="E1010" s="87">
        <v>-1.2915129151291565E-2</v>
      </c>
      <c r="F1010">
        <v>38.15</v>
      </c>
    </row>
    <row r="1011" spans="1:6">
      <c r="A1011">
        <v>2887</v>
      </c>
      <c r="B1011" t="s">
        <v>966</v>
      </c>
      <c r="C1011">
        <v>11.55</v>
      </c>
      <c r="D1011">
        <f>VLOOKUP(A1011,收盤價!A:C,3,0)</f>
        <v>11.4</v>
      </c>
      <c r="E1011" s="87">
        <v>-1.2987012987013017E-2</v>
      </c>
      <c r="F1011">
        <v>38.090000000000003</v>
      </c>
    </row>
    <row r="1012" spans="1:6">
      <c r="A1012">
        <v>2455</v>
      </c>
      <c r="B1012" t="s">
        <v>848</v>
      </c>
      <c r="C1012">
        <v>46</v>
      </c>
      <c r="D1012">
        <f>VLOOKUP(A1012,收盤價!A:C,3,0)</f>
        <v>45.4</v>
      </c>
      <c r="E1012" s="87">
        <v>-1.3043478260869596E-2</v>
      </c>
      <c r="F1012">
        <v>38.03</v>
      </c>
    </row>
    <row r="1013" spans="1:6">
      <c r="A1013">
        <v>2852</v>
      </c>
      <c r="B1013" t="s">
        <v>955</v>
      </c>
      <c r="C1013">
        <v>11.45</v>
      </c>
      <c r="D1013">
        <f>VLOOKUP(A1013,收盤價!A:C,3,0)</f>
        <v>11.3</v>
      </c>
      <c r="E1013" s="87">
        <v>-1.3100436681222584E-2</v>
      </c>
      <c r="F1013">
        <v>37.97</v>
      </c>
    </row>
    <row r="1014" spans="1:6">
      <c r="A1014">
        <v>5306</v>
      </c>
      <c r="B1014" t="s">
        <v>1523</v>
      </c>
      <c r="C1014">
        <v>114.5</v>
      </c>
      <c r="D1014">
        <f>VLOOKUP(A1014,收盤價!A:C,3,0)</f>
        <v>113</v>
      </c>
      <c r="E1014" s="87">
        <v>-1.3100436681222707E-2</v>
      </c>
      <c r="F1014">
        <v>37.909999999999997</v>
      </c>
    </row>
    <row r="1015" spans="1:6">
      <c r="A1015">
        <v>5276</v>
      </c>
      <c r="B1015" t="s">
        <v>1520</v>
      </c>
      <c r="C1015">
        <v>22.5</v>
      </c>
      <c r="D1015">
        <f>VLOOKUP(A1015,收盤價!A:C,3,0)</f>
        <v>22.2</v>
      </c>
      <c r="E1015" s="87">
        <v>-1.3333333333333365E-2</v>
      </c>
      <c r="F1015">
        <v>37.840000000000003</v>
      </c>
    </row>
    <row r="1016" spans="1:6">
      <c r="A1016">
        <v>6005</v>
      </c>
      <c r="B1016" t="s">
        <v>1171</v>
      </c>
      <c r="C1016">
        <v>8.0299999999999994</v>
      </c>
      <c r="D1016">
        <f>VLOOKUP(A1016,收盤價!A:C,3,0)</f>
        <v>7.92</v>
      </c>
      <c r="E1016" s="87">
        <v>-1.3698630136986231E-2</v>
      </c>
      <c r="F1016">
        <v>37.78</v>
      </c>
    </row>
    <row r="1017" spans="1:6">
      <c r="A1017">
        <v>8109</v>
      </c>
      <c r="B1017" t="s">
        <v>1673</v>
      </c>
      <c r="C1017">
        <v>65.400000000000006</v>
      </c>
      <c r="D1017">
        <f>VLOOKUP(A1017,收盤價!A:C,3,0)</f>
        <v>64.5</v>
      </c>
      <c r="E1017" s="87">
        <v>-1.3761467889908343E-2</v>
      </c>
      <c r="F1017">
        <v>37.72</v>
      </c>
    </row>
    <row r="1018" spans="1:6">
      <c r="A1018">
        <v>5245</v>
      </c>
      <c r="B1018" t="s">
        <v>371</v>
      </c>
      <c r="C1018">
        <v>143</v>
      </c>
      <c r="D1018">
        <f>VLOOKUP(A1018,收盤價!A:C,3,0)</f>
        <v>141</v>
      </c>
      <c r="E1018" s="87">
        <v>-1.3986013986013986E-2</v>
      </c>
      <c r="F1018">
        <v>37.659999999999997</v>
      </c>
    </row>
    <row r="1019" spans="1:6">
      <c r="A1019">
        <v>5102</v>
      </c>
      <c r="B1019" t="s">
        <v>366</v>
      </c>
      <c r="C1019">
        <v>14.2</v>
      </c>
      <c r="D1019">
        <f>VLOOKUP(A1019,收盤價!A:C,3,0)</f>
        <v>14</v>
      </c>
      <c r="E1019" s="87">
        <v>-1.4084507042253471E-2</v>
      </c>
      <c r="F1019">
        <v>37.6</v>
      </c>
    </row>
    <row r="1020" spans="1:6">
      <c r="A1020">
        <v>3512</v>
      </c>
      <c r="B1020" t="s">
        <v>1400</v>
      </c>
      <c r="C1020">
        <v>28.1</v>
      </c>
      <c r="D1020">
        <f>VLOOKUP(A1020,收盤價!A:C,3,0)</f>
        <v>27.7</v>
      </c>
      <c r="E1020" s="87">
        <v>-1.4234875444839933E-2</v>
      </c>
      <c r="F1020">
        <v>37.54</v>
      </c>
    </row>
    <row r="1021" spans="1:6">
      <c r="A1021">
        <v>1220</v>
      </c>
      <c r="B1021" t="s">
        <v>519</v>
      </c>
      <c r="C1021">
        <v>10.45</v>
      </c>
      <c r="D1021">
        <f>VLOOKUP(A1021,收盤價!A:C,3,0)</f>
        <v>10.3</v>
      </c>
      <c r="E1021" s="87">
        <v>-1.4354066985645798E-2</v>
      </c>
      <c r="F1021">
        <v>37.479999999999997</v>
      </c>
    </row>
    <row r="1022" spans="1:6">
      <c r="A1022">
        <v>5457</v>
      </c>
      <c r="B1022" t="s">
        <v>397</v>
      </c>
      <c r="C1022">
        <v>24.35</v>
      </c>
      <c r="D1022">
        <f>VLOOKUP(A1022,收盤價!A:C,3,0)</f>
        <v>24</v>
      </c>
      <c r="E1022" s="87">
        <v>-1.4373716632443589E-2</v>
      </c>
      <c r="F1022">
        <v>37.42</v>
      </c>
    </row>
    <row r="1023" spans="1:6">
      <c r="A1023">
        <v>5520</v>
      </c>
      <c r="B1023" t="s">
        <v>1562</v>
      </c>
      <c r="C1023">
        <v>27.5</v>
      </c>
      <c r="D1023">
        <f>VLOOKUP(A1023,收盤價!A:C,3,0)</f>
        <v>27.1</v>
      </c>
      <c r="E1023" s="87">
        <v>-1.4545454545454493E-2</v>
      </c>
      <c r="F1023">
        <v>37.35</v>
      </c>
    </row>
    <row r="1024" spans="1:6">
      <c r="A1024">
        <v>6185</v>
      </c>
      <c r="B1024" t="s">
        <v>1608</v>
      </c>
      <c r="C1024">
        <v>20.3</v>
      </c>
      <c r="D1024">
        <f>VLOOKUP(A1024,收盤價!A:C,3,0)</f>
        <v>20</v>
      </c>
      <c r="E1024" s="87">
        <v>-1.4778325123152743E-2</v>
      </c>
      <c r="F1024">
        <v>37.29</v>
      </c>
    </row>
    <row r="1025" spans="1:6">
      <c r="A1025">
        <v>2392</v>
      </c>
      <c r="B1025" t="s">
        <v>803</v>
      </c>
      <c r="C1025">
        <v>40.4</v>
      </c>
      <c r="D1025">
        <f>VLOOKUP(A1025,收盤價!A:C,3,0)</f>
        <v>39.799999999999997</v>
      </c>
      <c r="E1025" s="87">
        <v>-1.4851485148514887E-2</v>
      </c>
      <c r="F1025">
        <v>37.229999999999997</v>
      </c>
    </row>
    <row r="1026" spans="1:6">
      <c r="A1026">
        <v>3037</v>
      </c>
      <c r="B1026" t="s">
        <v>1013</v>
      </c>
      <c r="C1026">
        <v>13.25</v>
      </c>
      <c r="D1026">
        <f>VLOOKUP(A1026,收盤價!A:C,3,0)</f>
        <v>13.05</v>
      </c>
      <c r="E1026" s="87">
        <v>-1.5094339622641456E-2</v>
      </c>
      <c r="F1026">
        <v>37.17</v>
      </c>
    </row>
    <row r="1027" spans="1:6">
      <c r="A1027">
        <v>6512</v>
      </c>
      <c r="B1027" t="s">
        <v>1843</v>
      </c>
      <c r="C1027">
        <v>41.8</v>
      </c>
      <c r="D1027">
        <f>VLOOKUP(A1027,收盤價!A:C,3,0)</f>
        <v>41.15</v>
      </c>
      <c r="E1027" s="87">
        <v>-1.5550239234449727E-2</v>
      </c>
      <c r="F1027">
        <v>37.11</v>
      </c>
    </row>
    <row r="1028" spans="1:6">
      <c r="A1028">
        <v>2030</v>
      </c>
      <c r="B1028" t="s">
        <v>716</v>
      </c>
      <c r="C1028">
        <v>9.61</v>
      </c>
      <c r="D1028">
        <f>VLOOKUP(A1028,收盤價!A:C,3,0)</f>
        <v>9.4600000000000009</v>
      </c>
      <c r="E1028" s="87">
        <v>-1.5608740894900998E-2</v>
      </c>
      <c r="F1028">
        <v>37.049999999999997</v>
      </c>
    </row>
    <row r="1029" spans="1:6">
      <c r="A1029">
        <v>2816</v>
      </c>
      <c r="B1029" t="s">
        <v>943</v>
      </c>
      <c r="C1029">
        <v>12.15</v>
      </c>
      <c r="D1029">
        <f>VLOOKUP(A1029,收盤價!A:C,3,0)</f>
        <v>11.95</v>
      </c>
      <c r="E1029" s="87">
        <v>-1.6460905349794327E-2</v>
      </c>
      <c r="F1029">
        <v>36.99</v>
      </c>
    </row>
    <row r="1030" spans="1:6">
      <c r="A1030">
        <v>6020</v>
      </c>
      <c r="B1030" t="s">
        <v>411</v>
      </c>
      <c r="C1030">
        <v>12</v>
      </c>
      <c r="D1030">
        <f>VLOOKUP(A1030,收盤價!A:C,3,0)</f>
        <v>11.8</v>
      </c>
      <c r="E1030" s="87">
        <v>-1.6666666666666607E-2</v>
      </c>
      <c r="F1030">
        <v>36.93</v>
      </c>
    </row>
    <row r="1031" spans="1:6">
      <c r="A1031">
        <v>2329</v>
      </c>
      <c r="B1031" t="s">
        <v>759</v>
      </c>
      <c r="C1031">
        <v>11.6</v>
      </c>
      <c r="D1031">
        <f>VLOOKUP(A1031,收盤價!A:C,3,0)</f>
        <v>11.4</v>
      </c>
      <c r="E1031" s="87">
        <v>-1.7241379310344768E-2</v>
      </c>
      <c r="F1031">
        <v>36.86</v>
      </c>
    </row>
    <row r="1032" spans="1:6">
      <c r="A1032">
        <v>3141</v>
      </c>
      <c r="B1032" t="s">
        <v>254</v>
      </c>
      <c r="C1032">
        <v>40</v>
      </c>
      <c r="D1032">
        <f>VLOOKUP(A1032,收盤價!A:C,3,0)</f>
        <v>39.299999999999997</v>
      </c>
      <c r="E1032" s="87">
        <v>-1.7500000000000071E-2</v>
      </c>
      <c r="F1032">
        <v>36.799999999999997</v>
      </c>
    </row>
    <row r="1033" spans="1:6">
      <c r="A1033">
        <v>5701</v>
      </c>
      <c r="B1033" t="s">
        <v>1567</v>
      </c>
      <c r="C1033">
        <v>2.76</v>
      </c>
      <c r="D1033">
        <f>VLOOKUP(A1033,收盤價!A:C,3,0)</f>
        <v>2.71</v>
      </c>
      <c r="E1033" s="87">
        <v>-1.8115942028985445E-2</v>
      </c>
      <c r="F1033">
        <v>36.74</v>
      </c>
    </row>
    <row r="1034" spans="1:6">
      <c r="A1034">
        <v>1217</v>
      </c>
      <c r="B1034" t="s">
        <v>516</v>
      </c>
      <c r="C1034">
        <v>7.71</v>
      </c>
      <c r="D1034">
        <f>VLOOKUP(A1034,收盤價!A:C,3,0)</f>
        <v>7.57</v>
      </c>
      <c r="E1034" s="87">
        <v>-1.8158236057068702E-2</v>
      </c>
      <c r="F1034">
        <v>36.68</v>
      </c>
    </row>
    <row r="1035" spans="1:6">
      <c r="A1035">
        <v>6605</v>
      </c>
      <c r="B1035" t="s">
        <v>1238</v>
      </c>
      <c r="C1035">
        <v>98.9</v>
      </c>
      <c r="D1035">
        <f>VLOOKUP(A1035,收盤價!A:C,3,0)</f>
        <v>97.1</v>
      </c>
      <c r="E1035" s="87">
        <v>-1.8200202224469275E-2</v>
      </c>
      <c r="F1035">
        <v>36.619999999999997</v>
      </c>
    </row>
    <row r="1036" spans="1:6">
      <c r="A1036">
        <v>1231</v>
      </c>
      <c r="B1036" t="s">
        <v>523</v>
      </c>
      <c r="C1036">
        <v>30.1</v>
      </c>
      <c r="D1036">
        <f>VLOOKUP(A1036,收盤價!A:C,3,0)</f>
        <v>29.55</v>
      </c>
      <c r="E1036" s="87">
        <v>-1.8272425249169458E-2</v>
      </c>
      <c r="F1036">
        <v>36.56</v>
      </c>
    </row>
    <row r="1037" spans="1:6">
      <c r="A1037">
        <v>4523</v>
      </c>
      <c r="B1037" t="s">
        <v>1473</v>
      </c>
      <c r="C1037">
        <v>19</v>
      </c>
      <c r="D1037">
        <f>VLOOKUP(A1037,收盤價!A:C,3,0)</f>
        <v>18.649999999999999</v>
      </c>
      <c r="E1037" s="87">
        <v>-1.8421052631579022E-2</v>
      </c>
      <c r="F1037">
        <v>36.5</v>
      </c>
    </row>
    <row r="1038" spans="1:6">
      <c r="A1038">
        <v>5452</v>
      </c>
      <c r="B1038" t="s">
        <v>395</v>
      </c>
      <c r="C1038">
        <v>9.7200000000000006</v>
      </c>
      <c r="D1038">
        <f>VLOOKUP(A1038,收盤價!A:C,3,0)</f>
        <v>9.5399999999999991</v>
      </c>
      <c r="E1038" s="87">
        <v>-1.851851851851867E-2</v>
      </c>
      <c r="F1038">
        <v>36.44</v>
      </c>
    </row>
    <row r="1039" spans="1:6">
      <c r="A1039">
        <v>2063</v>
      </c>
      <c r="B1039" t="s">
        <v>237</v>
      </c>
      <c r="C1039">
        <v>29.2</v>
      </c>
      <c r="D1039">
        <f>VLOOKUP(A1039,收盤價!A:C,3,0)</f>
        <v>28.65</v>
      </c>
      <c r="E1039" s="87">
        <v>-1.8835616438356188E-2</v>
      </c>
      <c r="F1039">
        <v>36.369999999999997</v>
      </c>
    </row>
    <row r="1040" spans="1:6">
      <c r="A1040">
        <v>911616</v>
      </c>
      <c r="B1040" t="s">
        <v>2096</v>
      </c>
      <c r="C1040">
        <v>2.06</v>
      </c>
      <c r="D1040">
        <f>VLOOKUP(A1040,收盤價!A:C,3,0)</f>
        <v>2.02</v>
      </c>
      <c r="E1040" s="87">
        <v>-1.9417475728155355E-2</v>
      </c>
      <c r="F1040">
        <v>36.31</v>
      </c>
    </row>
    <row r="1041" spans="1:6">
      <c r="A1041">
        <v>3323</v>
      </c>
      <c r="B1041" t="s">
        <v>280</v>
      </c>
      <c r="C1041">
        <v>18</v>
      </c>
      <c r="D1041">
        <f>VLOOKUP(A1041,收盤價!A:C,3,0)</f>
        <v>17.649999999999999</v>
      </c>
      <c r="E1041" s="87">
        <v>-1.9444444444444525E-2</v>
      </c>
      <c r="F1041">
        <v>36.25</v>
      </c>
    </row>
    <row r="1042" spans="1:6">
      <c r="A1042">
        <v>5511</v>
      </c>
      <c r="B1042" t="s">
        <v>1559</v>
      </c>
      <c r="C1042">
        <v>22.75</v>
      </c>
      <c r="D1042">
        <f>VLOOKUP(A1042,收盤價!A:C,3,0)</f>
        <v>22.3</v>
      </c>
      <c r="E1042" s="87">
        <v>-1.9780219780219748E-2</v>
      </c>
      <c r="F1042">
        <v>36.19</v>
      </c>
    </row>
    <row r="1043" spans="1:6">
      <c r="A1043">
        <v>2483</v>
      </c>
      <c r="B1043" t="s">
        <v>870</v>
      </c>
      <c r="C1043">
        <v>17.5</v>
      </c>
      <c r="D1043">
        <f>VLOOKUP(A1043,收盤價!A:C,3,0)</f>
        <v>17.149999999999999</v>
      </c>
      <c r="E1043" s="87">
        <v>-2.000000000000008E-2</v>
      </c>
      <c r="F1043">
        <v>36.130000000000003</v>
      </c>
    </row>
    <row r="1044" spans="1:6">
      <c r="A1044">
        <v>5251</v>
      </c>
      <c r="B1044" t="s">
        <v>372</v>
      </c>
      <c r="C1044">
        <v>29.7</v>
      </c>
      <c r="D1044">
        <f>VLOOKUP(A1044,收盤價!A:C,3,0)</f>
        <v>29.1</v>
      </c>
      <c r="E1044" s="87">
        <v>-2.0202020202020131E-2</v>
      </c>
      <c r="F1044">
        <v>36.07</v>
      </c>
    </row>
    <row r="1045" spans="1:6">
      <c r="A1045">
        <v>1730</v>
      </c>
      <c r="B1045" t="s">
        <v>671</v>
      </c>
      <c r="C1045">
        <v>36.799999999999997</v>
      </c>
      <c r="D1045">
        <f>VLOOKUP(A1045,收盤價!A:C,3,0)</f>
        <v>36.049999999999997</v>
      </c>
      <c r="E1045" s="87">
        <v>-2.0380434782608696E-2</v>
      </c>
      <c r="F1045">
        <v>36.01</v>
      </c>
    </row>
    <row r="1046" spans="1:6">
      <c r="A1046">
        <v>1593</v>
      </c>
      <c r="B1046" t="s">
        <v>229</v>
      </c>
      <c r="C1046">
        <v>39.049999999999997</v>
      </c>
      <c r="D1046">
        <f>VLOOKUP(A1046,收盤價!A:C,3,0)</f>
        <v>38.25</v>
      </c>
      <c r="E1046" s="87">
        <v>-2.0486555697823233E-2</v>
      </c>
      <c r="F1046">
        <v>35.950000000000003</v>
      </c>
    </row>
    <row r="1047" spans="1:6">
      <c r="A1047">
        <v>2617</v>
      </c>
      <c r="B1047" t="s">
        <v>926</v>
      </c>
      <c r="C1047">
        <v>12.2</v>
      </c>
      <c r="D1047">
        <f>VLOOKUP(A1047,收盤價!A:C,3,0)</f>
        <v>11.95</v>
      </c>
      <c r="E1047" s="87">
        <v>-2.0491803278688527E-2</v>
      </c>
      <c r="F1047">
        <v>35.880000000000003</v>
      </c>
    </row>
    <row r="1048" spans="1:6">
      <c r="A1048">
        <v>4414</v>
      </c>
      <c r="B1048" t="s">
        <v>1120</v>
      </c>
      <c r="C1048">
        <v>21.8</v>
      </c>
      <c r="D1048">
        <f>VLOOKUP(A1048,收盤價!A:C,3,0)</f>
        <v>21.35</v>
      </c>
      <c r="E1048" s="87">
        <v>-2.0642201834862352E-2</v>
      </c>
      <c r="F1048">
        <v>35.82</v>
      </c>
    </row>
    <row r="1049" spans="1:6">
      <c r="A1049">
        <v>6504</v>
      </c>
      <c r="B1049" t="s">
        <v>1236</v>
      </c>
      <c r="C1049">
        <v>145</v>
      </c>
      <c r="D1049">
        <f>VLOOKUP(A1049,收盤價!A:C,3,0)</f>
        <v>142</v>
      </c>
      <c r="E1049" s="87">
        <v>-2.0689655172413793E-2</v>
      </c>
      <c r="F1049">
        <v>35.76</v>
      </c>
    </row>
    <row r="1050" spans="1:6">
      <c r="A1050">
        <v>3287</v>
      </c>
      <c r="B1050" t="s">
        <v>1372</v>
      </c>
      <c r="C1050">
        <v>6.59</v>
      </c>
      <c r="D1050">
        <f>VLOOKUP(A1050,收盤價!A:C,3,0)</f>
        <v>6.45</v>
      </c>
      <c r="E1050" s="87">
        <v>-2.1244309559939254E-2</v>
      </c>
      <c r="F1050">
        <v>35.700000000000003</v>
      </c>
    </row>
    <row r="1051" spans="1:6">
      <c r="A1051">
        <v>8349</v>
      </c>
      <c r="B1051" t="s">
        <v>1690</v>
      </c>
      <c r="C1051">
        <v>75.3</v>
      </c>
      <c r="D1051">
        <f>VLOOKUP(A1051,收盤價!A:C,3,0)</f>
        <v>73.7</v>
      </c>
      <c r="E1051" s="87">
        <v>-2.1248339973439501E-2</v>
      </c>
      <c r="F1051">
        <v>35.64</v>
      </c>
    </row>
    <row r="1052" spans="1:6">
      <c r="A1052">
        <v>6026</v>
      </c>
      <c r="B1052" t="s">
        <v>1813</v>
      </c>
      <c r="C1052">
        <v>7.65</v>
      </c>
      <c r="D1052">
        <f>VLOOKUP(A1052,收盤價!A:C,3,0)</f>
        <v>7.48</v>
      </c>
      <c r="E1052" s="87">
        <v>-2.2222222222222213E-2</v>
      </c>
      <c r="F1052">
        <v>35.58</v>
      </c>
    </row>
    <row r="1053" spans="1:6">
      <c r="A1053">
        <v>5512</v>
      </c>
      <c r="B1053" t="s">
        <v>403</v>
      </c>
      <c r="C1053">
        <v>8.93</v>
      </c>
      <c r="D1053">
        <f>VLOOKUP(A1053,收盤價!A:C,3,0)</f>
        <v>8.73</v>
      </c>
      <c r="E1053" s="87">
        <v>-2.2396416573348184E-2</v>
      </c>
      <c r="F1053">
        <v>35.520000000000003</v>
      </c>
    </row>
    <row r="1054" spans="1:6">
      <c r="A1054">
        <v>2028</v>
      </c>
      <c r="B1054" t="s">
        <v>714</v>
      </c>
      <c r="C1054">
        <v>1.78</v>
      </c>
      <c r="D1054">
        <f>VLOOKUP(A1054,收盤價!A:C,3,0)</f>
        <v>1.74</v>
      </c>
      <c r="E1054" s="87">
        <v>-2.2471910112359571E-2</v>
      </c>
      <c r="F1054">
        <v>35.46</v>
      </c>
    </row>
    <row r="1055" spans="1:6">
      <c r="A1055">
        <v>3051</v>
      </c>
      <c r="B1055" t="s">
        <v>1026</v>
      </c>
      <c r="C1055">
        <v>4</v>
      </c>
      <c r="D1055">
        <f>VLOOKUP(A1055,收盤價!A:C,3,0)</f>
        <v>3.91</v>
      </c>
      <c r="E1055" s="87">
        <v>-2.2499999999999964E-2</v>
      </c>
      <c r="F1055">
        <v>35.39</v>
      </c>
    </row>
    <row r="1056" spans="1:6">
      <c r="A1056">
        <v>2325</v>
      </c>
      <c r="B1056" t="s">
        <v>756</v>
      </c>
      <c r="C1056">
        <v>48.6</v>
      </c>
      <c r="D1056">
        <f>VLOOKUP(A1056,收盤價!A:C,3,0)</f>
        <v>47.5</v>
      </c>
      <c r="E1056" s="87">
        <v>-2.2633744855967107E-2</v>
      </c>
      <c r="F1056">
        <v>35.33</v>
      </c>
    </row>
    <row r="1057" spans="1:6">
      <c r="A1057">
        <v>8926</v>
      </c>
      <c r="B1057" t="s">
        <v>1272</v>
      </c>
      <c r="C1057">
        <v>23.85</v>
      </c>
      <c r="D1057">
        <f>VLOOKUP(A1057,收盤價!A:C,3,0)</f>
        <v>23.3</v>
      </c>
      <c r="E1057" s="87">
        <v>-2.3060796645702333E-2</v>
      </c>
      <c r="F1057">
        <v>35.270000000000003</v>
      </c>
    </row>
    <row r="1058" spans="1:6">
      <c r="A1058">
        <v>6180</v>
      </c>
      <c r="B1058" t="s">
        <v>1607</v>
      </c>
      <c r="C1058">
        <v>30.05</v>
      </c>
      <c r="D1058">
        <f>VLOOKUP(A1058,收盤價!A:C,3,0)</f>
        <v>29.35</v>
      </c>
      <c r="E1058" s="87">
        <v>-2.3294509151414285E-2</v>
      </c>
      <c r="F1058">
        <v>35.21</v>
      </c>
    </row>
    <row r="1059" spans="1:6">
      <c r="A1059">
        <v>2406</v>
      </c>
      <c r="B1059" t="s">
        <v>812</v>
      </c>
      <c r="C1059">
        <v>23.2</v>
      </c>
      <c r="D1059">
        <f>VLOOKUP(A1059,收盤價!A:C,3,0)</f>
        <v>22.65</v>
      </c>
      <c r="E1059" s="87">
        <v>-2.3706896551724168E-2</v>
      </c>
      <c r="F1059">
        <v>35.15</v>
      </c>
    </row>
    <row r="1060" spans="1:6">
      <c r="A1060">
        <v>5515</v>
      </c>
      <c r="B1060" t="s">
        <v>1159</v>
      </c>
      <c r="C1060">
        <v>8.66</v>
      </c>
      <c r="D1060">
        <f>VLOOKUP(A1060,收盤價!A:C,3,0)</f>
        <v>8.4499999999999993</v>
      </c>
      <c r="E1060" s="87">
        <v>-2.4249422632794556E-2</v>
      </c>
      <c r="F1060">
        <v>35.090000000000003</v>
      </c>
    </row>
    <row r="1061" spans="1:6">
      <c r="A1061">
        <v>9902</v>
      </c>
      <c r="B1061" t="s">
        <v>1275</v>
      </c>
      <c r="C1061">
        <v>9.25</v>
      </c>
      <c r="D1061">
        <f>VLOOKUP(A1061,收盤價!A:C,3,0)</f>
        <v>9.02</v>
      </c>
      <c r="E1061" s="87">
        <v>-2.4864864864864909E-2</v>
      </c>
      <c r="F1061">
        <v>35.03</v>
      </c>
    </row>
    <row r="1062" spans="1:6">
      <c r="A1062">
        <v>5460</v>
      </c>
      <c r="B1062" t="s">
        <v>1546</v>
      </c>
      <c r="C1062">
        <v>12.05</v>
      </c>
      <c r="D1062">
        <f>VLOOKUP(A1062,收盤價!A:C,3,0)</f>
        <v>11.75</v>
      </c>
      <c r="E1062" s="87">
        <v>-2.4896265560166032E-2</v>
      </c>
      <c r="F1062">
        <v>34.97</v>
      </c>
    </row>
    <row r="1063" spans="1:6">
      <c r="A1063">
        <v>6023</v>
      </c>
      <c r="B1063" t="s">
        <v>1576</v>
      </c>
      <c r="C1063">
        <v>37.65</v>
      </c>
      <c r="D1063">
        <f>VLOOKUP(A1063,收盤價!A:C,3,0)</f>
        <v>36.700000000000003</v>
      </c>
      <c r="E1063" s="87">
        <v>-2.5232403718459383E-2</v>
      </c>
      <c r="F1063">
        <v>34.909999999999997</v>
      </c>
    </row>
    <row r="1064" spans="1:6">
      <c r="A1064">
        <v>8032</v>
      </c>
      <c r="B1064" t="s">
        <v>1647</v>
      </c>
      <c r="C1064">
        <v>25.6</v>
      </c>
      <c r="D1064">
        <f>VLOOKUP(A1064,收盤價!A:C,3,0)</f>
        <v>24.95</v>
      </c>
      <c r="E1064" s="87">
        <v>-2.5390625000000083E-2</v>
      </c>
      <c r="F1064">
        <v>34.840000000000003</v>
      </c>
    </row>
    <row r="1065" spans="1:6">
      <c r="A1065">
        <v>3297</v>
      </c>
      <c r="B1065" t="s">
        <v>276</v>
      </c>
      <c r="C1065">
        <v>17.600000000000001</v>
      </c>
      <c r="D1065">
        <f>VLOOKUP(A1065,收盤價!A:C,3,0)</f>
        <v>17.149999999999999</v>
      </c>
      <c r="E1065" s="87">
        <v>-2.5568181818181976E-2</v>
      </c>
      <c r="F1065">
        <v>34.78</v>
      </c>
    </row>
    <row r="1066" spans="1:6">
      <c r="A1066">
        <v>8099</v>
      </c>
      <c r="B1066" t="s">
        <v>1672</v>
      </c>
      <c r="C1066">
        <v>17.5</v>
      </c>
      <c r="D1066">
        <f>VLOOKUP(A1066,收盤價!A:C,3,0)</f>
        <v>17.05</v>
      </c>
      <c r="E1066" s="87">
        <v>-2.5714285714285672E-2</v>
      </c>
      <c r="F1066">
        <v>34.72</v>
      </c>
    </row>
    <row r="1067" spans="1:6">
      <c r="A1067">
        <v>6186</v>
      </c>
      <c r="B1067" t="s">
        <v>427</v>
      </c>
      <c r="C1067">
        <v>23.3</v>
      </c>
      <c r="D1067">
        <f>VLOOKUP(A1067,收盤價!A:C,3,0)</f>
        <v>22.7</v>
      </c>
      <c r="E1067" s="87">
        <v>-2.5751072961373449E-2</v>
      </c>
      <c r="F1067">
        <v>34.659999999999997</v>
      </c>
    </row>
    <row r="1068" spans="1:6">
      <c r="A1068">
        <v>4909</v>
      </c>
      <c r="B1068" t="s">
        <v>355</v>
      </c>
      <c r="C1068">
        <v>22.8</v>
      </c>
      <c r="D1068">
        <f>VLOOKUP(A1068,收盤價!A:C,3,0)</f>
        <v>22.2</v>
      </c>
      <c r="E1068" s="87">
        <v>-2.6315789473684272E-2</v>
      </c>
      <c r="F1068">
        <v>34.6</v>
      </c>
    </row>
    <row r="1069" spans="1:6">
      <c r="A1069">
        <v>8401</v>
      </c>
      <c r="B1069" t="s">
        <v>1694</v>
      </c>
      <c r="C1069">
        <v>11.3</v>
      </c>
      <c r="D1069">
        <f>VLOOKUP(A1069,收盤價!A:C,3,0)</f>
        <v>11</v>
      </c>
      <c r="E1069" s="87">
        <v>-2.6548672566371743E-2</v>
      </c>
      <c r="F1069">
        <v>34.54</v>
      </c>
    </row>
    <row r="1070" spans="1:6">
      <c r="A1070">
        <v>6219</v>
      </c>
      <c r="B1070" t="s">
        <v>1619</v>
      </c>
      <c r="C1070">
        <v>11.25</v>
      </c>
      <c r="D1070">
        <f>VLOOKUP(A1070,收盤價!A:C,3,0)</f>
        <v>10.95</v>
      </c>
      <c r="E1070" s="87">
        <v>-2.6666666666666731E-2</v>
      </c>
      <c r="F1070">
        <v>34.479999999999997</v>
      </c>
    </row>
    <row r="1071" spans="1:6">
      <c r="A1071">
        <v>2493</v>
      </c>
      <c r="B1071" t="s">
        <v>878</v>
      </c>
      <c r="C1071">
        <v>26.05</v>
      </c>
      <c r="D1071">
        <f>VLOOKUP(A1071,收盤價!A:C,3,0)</f>
        <v>25.35</v>
      </c>
      <c r="E1071" s="87">
        <v>-2.687140115163145E-2</v>
      </c>
      <c r="F1071">
        <v>34.42</v>
      </c>
    </row>
    <row r="1072" spans="1:6">
      <c r="A1072">
        <v>6021</v>
      </c>
      <c r="B1072" t="s">
        <v>412</v>
      </c>
      <c r="C1072">
        <v>8.11</v>
      </c>
      <c r="D1072">
        <f>VLOOKUP(A1072,收盤價!A:C,3,0)</f>
        <v>7.89</v>
      </c>
      <c r="E1072" s="87">
        <v>-2.7127003699136839E-2</v>
      </c>
      <c r="F1072">
        <v>34.35</v>
      </c>
    </row>
    <row r="1073" spans="1:6">
      <c r="A1073">
        <v>8266</v>
      </c>
      <c r="B1073" t="s">
        <v>1684</v>
      </c>
      <c r="C1073">
        <v>21.8</v>
      </c>
      <c r="D1073">
        <f>VLOOKUP(A1073,收盤價!A:C,3,0)</f>
        <v>21.2</v>
      </c>
      <c r="E1073" s="87">
        <v>-2.7522935779816578E-2</v>
      </c>
      <c r="F1073">
        <v>34.29</v>
      </c>
    </row>
    <row r="1074" spans="1:6">
      <c r="A1074">
        <v>8044</v>
      </c>
      <c r="B1074" t="s">
        <v>1652</v>
      </c>
      <c r="C1074">
        <v>362</v>
      </c>
      <c r="D1074">
        <f>VLOOKUP(A1074,收盤價!A:C,3,0)</f>
        <v>352</v>
      </c>
      <c r="E1074" s="87">
        <v>-2.7624309392265192E-2</v>
      </c>
      <c r="F1074">
        <v>34.229999999999997</v>
      </c>
    </row>
    <row r="1075" spans="1:6">
      <c r="A1075">
        <v>3035</v>
      </c>
      <c r="B1075" t="s">
        <v>1011</v>
      </c>
      <c r="C1075">
        <v>32.450000000000003</v>
      </c>
      <c r="D1075">
        <f>VLOOKUP(A1075,收盤價!A:C,3,0)</f>
        <v>31.55</v>
      </c>
      <c r="E1075" s="87">
        <v>-2.7734976887519323E-2</v>
      </c>
      <c r="F1075">
        <v>34.17</v>
      </c>
    </row>
    <row r="1076" spans="1:6">
      <c r="A1076">
        <v>6206</v>
      </c>
      <c r="B1076" t="s">
        <v>1205</v>
      </c>
      <c r="C1076">
        <v>108</v>
      </c>
      <c r="D1076">
        <f>VLOOKUP(A1076,收盤價!A:C,3,0)</f>
        <v>105</v>
      </c>
      <c r="E1076" s="87">
        <v>-2.7777777777777776E-2</v>
      </c>
      <c r="F1076">
        <v>34.11</v>
      </c>
    </row>
    <row r="1077" spans="1:6">
      <c r="A1077">
        <v>2910</v>
      </c>
      <c r="B1077" t="s">
        <v>978</v>
      </c>
      <c r="C1077">
        <v>23.25</v>
      </c>
      <c r="D1077">
        <f>VLOOKUP(A1077,收盤價!A:C,3,0)</f>
        <v>22.6</v>
      </c>
      <c r="E1077" s="87">
        <v>-2.7956989247311766E-2</v>
      </c>
      <c r="F1077">
        <v>34.049999999999997</v>
      </c>
    </row>
    <row r="1078" spans="1:6">
      <c r="A1078">
        <v>2701</v>
      </c>
      <c r="B1078" t="s">
        <v>930</v>
      </c>
      <c r="C1078">
        <v>14.3</v>
      </c>
      <c r="D1078">
        <f>VLOOKUP(A1078,收盤價!A:C,3,0)</f>
        <v>13.9</v>
      </c>
      <c r="E1078" s="87">
        <v>-2.7972027972027996E-2</v>
      </c>
      <c r="F1078">
        <v>33.99</v>
      </c>
    </row>
    <row r="1079" spans="1:6">
      <c r="A1079">
        <v>2851</v>
      </c>
      <c r="B1079" t="s">
        <v>954</v>
      </c>
      <c r="C1079">
        <v>14.25</v>
      </c>
      <c r="D1079">
        <f>VLOOKUP(A1079,收盤價!A:C,3,0)</f>
        <v>13.85</v>
      </c>
      <c r="E1079" s="87">
        <v>-2.8070175438596516E-2</v>
      </c>
      <c r="F1079">
        <v>33.93</v>
      </c>
    </row>
    <row r="1080" spans="1:6">
      <c r="A1080">
        <v>5820</v>
      </c>
      <c r="B1080" t="s">
        <v>1570</v>
      </c>
      <c r="C1080">
        <v>6.76</v>
      </c>
      <c r="D1080">
        <f>VLOOKUP(A1080,收盤價!A:C,3,0)</f>
        <v>6.57</v>
      </c>
      <c r="E1080" s="87">
        <v>-2.8106508875739573E-2</v>
      </c>
      <c r="F1080">
        <v>33.86</v>
      </c>
    </row>
    <row r="1081" spans="1:6">
      <c r="A1081">
        <v>2540</v>
      </c>
      <c r="B1081" t="s">
        <v>904</v>
      </c>
      <c r="C1081">
        <v>26.45</v>
      </c>
      <c r="D1081">
        <f>VLOOKUP(A1081,收盤價!A:C,3,0)</f>
        <v>25.7</v>
      </c>
      <c r="E1081" s="87">
        <v>-2.835538752362949E-2</v>
      </c>
      <c r="F1081">
        <v>33.799999999999997</v>
      </c>
    </row>
    <row r="1082" spans="1:6">
      <c r="A1082">
        <v>911619</v>
      </c>
      <c r="B1082" t="s">
        <v>2097</v>
      </c>
      <c r="C1082">
        <v>1.04</v>
      </c>
      <c r="D1082">
        <f>VLOOKUP(A1082,收盤價!A:C,3,0)</f>
        <v>1.01</v>
      </c>
      <c r="E1082" s="87">
        <v>-2.8846153846153872E-2</v>
      </c>
      <c r="F1082">
        <v>33.74</v>
      </c>
    </row>
    <row r="1083" spans="1:6">
      <c r="A1083">
        <v>1787</v>
      </c>
      <c r="B1083" t="s">
        <v>233</v>
      </c>
      <c r="C1083">
        <v>22.35</v>
      </c>
      <c r="D1083">
        <f>VLOOKUP(A1083,收盤價!A:C,3,0)</f>
        <v>21.7</v>
      </c>
      <c r="E1083" s="87">
        <v>-2.9082774049217094E-2</v>
      </c>
      <c r="F1083">
        <v>33.68</v>
      </c>
    </row>
    <row r="1084" spans="1:6">
      <c r="A1084">
        <v>1713</v>
      </c>
      <c r="B1084" t="s">
        <v>657</v>
      </c>
      <c r="C1084">
        <v>15.45</v>
      </c>
      <c r="D1084">
        <f>VLOOKUP(A1084,收盤價!A:C,3,0)</f>
        <v>15</v>
      </c>
      <c r="E1084" s="87">
        <v>-2.9126213592232966E-2</v>
      </c>
      <c r="F1084">
        <v>33.619999999999997</v>
      </c>
    </row>
    <row r="1085" spans="1:6">
      <c r="A1085">
        <v>3266</v>
      </c>
      <c r="B1085" t="s">
        <v>1047</v>
      </c>
      <c r="C1085">
        <v>11.95</v>
      </c>
      <c r="D1085">
        <f>VLOOKUP(A1085,收盤價!A:C,3,0)</f>
        <v>11.6</v>
      </c>
      <c r="E1085" s="87">
        <v>-2.9288702928870265E-2</v>
      </c>
      <c r="F1085">
        <v>33.56</v>
      </c>
    </row>
    <row r="1086" spans="1:6">
      <c r="A1086">
        <v>6136</v>
      </c>
      <c r="B1086" t="s">
        <v>1180</v>
      </c>
      <c r="C1086">
        <v>23.6</v>
      </c>
      <c r="D1086">
        <f>VLOOKUP(A1086,收盤價!A:C,3,0)</f>
        <v>22.9</v>
      </c>
      <c r="E1086" s="87">
        <v>-2.9661016949152661E-2</v>
      </c>
      <c r="F1086">
        <v>33.5</v>
      </c>
    </row>
    <row r="1087" spans="1:6">
      <c r="A1087">
        <v>2012</v>
      </c>
      <c r="B1087" t="s">
        <v>703</v>
      </c>
      <c r="C1087">
        <v>13.45</v>
      </c>
      <c r="D1087">
        <f>VLOOKUP(A1087,收盤價!A:C,3,0)</f>
        <v>13.05</v>
      </c>
      <c r="E1087" s="87">
        <v>-2.9739776951672757E-2</v>
      </c>
      <c r="F1087">
        <v>33.44</v>
      </c>
    </row>
    <row r="1088" spans="1:6">
      <c r="A1088">
        <v>4116</v>
      </c>
      <c r="B1088" t="s">
        <v>1787</v>
      </c>
      <c r="C1088">
        <v>45.1</v>
      </c>
      <c r="D1088">
        <f>VLOOKUP(A1088,收盤價!A:C,3,0)</f>
        <v>43.75</v>
      </c>
      <c r="E1088" s="87">
        <v>-2.993348115299338E-2</v>
      </c>
      <c r="F1088">
        <v>33.369999999999997</v>
      </c>
    </row>
    <row r="1089" spans="1:6">
      <c r="A1089">
        <v>1734</v>
      </c>
      <c r="B1089" t="s">
        <v>675</v>
      </c>
      <c r="C1089">
        <v>26.7</v>
      </c>
      <c r="D1089">
        <f>VLOOKUP(A1089,收盤價!A:C,3,0)</f>
        <v>25.9</v>
      </c>
      <c r="E1089" s="87">
        <v>-2.9962546816479429E-2</v>
      </c>
      <c r="F1089">
        <v>33.31</v>
      </c>
    </row>
    <row r="1090" spans="1:6">
      <c r="A1090">
        <v>6022</v>
      </c>
      <c r="B1090" t="s">
        <v>1575</v>
      </c>
      <c r="C1090">
        <v>8</v>
      </c>
      <c r="D1090">
        <f>VLOOKUP(A1090,收盤價!A:C,3,0)</f>
        <v>7.76</v>
      </c>
      <c r="E1090" s="87">
        <v>-3.0000000000000027E-2</v>
      </c>
      <c r="F1090">
        <v>33.25</v>
      </c>
    </row>
    <row r="1091" spans="1:6">
      <c r="A1091">
        <v>3066</v>
      </c>
      <c r="B1091" t="s">
        <v>1341</v>
      </c>
      <c r="C1091">
        <v>7.3</v>
      </c>
      <c r="D1091">
        <f>VLOOKUP(A1091,收盤價!A:C,3,0)</f>
        <v>7.08</v>
      </c>
      <c r="E1091" s="87">
        <v>-3.0136986301369829E-2</v>
      </c>
      <c r="F1091">
        <v>33.19</v>
      </c>
    </row>
    <row r="1092" spans="1:6">
      <c r="A1092">
        <v>5206</v>
      </c>
      <c r="B1092" t="s">
        <v>367</v>
      </c>
      <c r="C1092">
        <v>9.9</v>
      </c>
      <c r="D1092">
        <f>VLOOKUP(A1092,收盤價!A:C,3,0)</f>
        <v>9.6</v>
      </c>
      <c r="E1092" s="87">
        <v>-3.0303030303030373E-2</v>
      </c>
      <c r="F1092">
        <v>33.130000000000003</v>
      </c>
    </row>
    <row r="1093" spans="1:6">
      <c r="A1093">
        <v>5312</v>
      </c>
      <c r="B1093" t="s">
        <v>381</v>
      </c>
      <c r="C1093">
        <v>75.400000000000006</v>
      </c>
      <c r="D1093">
        <f>VLOOKUP(A1093,收盤價!A:C,3,0)</f>
        <v>73.099999999999994</v>
      </c>
      <c r="E1093" s="87">
        <v>-3.0503978779840998E-2</v>
      </c>
      <c r="F1093">
        <v>33.07</v>
      </c>
    </row>
    <row r="1094" spans="1:6">
      <c r="A1094">
        <v>911608</v>
      </c>
      <c r="B1094" t="s">
        <v>2094</v>
      </c>
      <c r="C1094">
        <v>3.2</v>
      </c>
      <c r="D1094">
        <f>VLOOKUP(A1094,收盤價!A:C,3,0)</f>
        <v>3.1</v>
      </c>
      <c r="E1094" s="87">
        <v>-3.1250000000000028E-2</v>
      </c>
      <c r="F1094">
        <v>33.01</v>
      </c>
    </row>
    <row r="1095" spans="1:6">
      <c r="A1095">
        <v>2729</v>
      </c>
      <c r="B1095" t="s">
        <v>1335</v>
      </c>
      <c r="C1095">
        <v>222.5</v>
      </c>
      <c r="D1095">
        <f>VLOOKUP(A1095,收盤價!A:C,3,0)</f>
        <v>215.5</v>
      </c>
      <c r="E1095" s="87">
        <v>-3.1460674157303373E-2</v>
      </c>
      <c r="F1095">
        <v>32.950000000000003</v>
      </c>
    </row>
    <row r="1096" spans="1:6">
      <c r="A1096">
        <v>3593</v>
      </c>
      <c r="B1096" t="s">
        <v>1091</v>
      </c>
      <c r="C1096">
        <v>7.49</v>
      </c>
      <c r="D1096">
        <f>VLOOKUP(A1096,收盤價!A:C,3,0)</f>
        <v>7.25</v>
      </c>
      <c r="E1096" s="87">
        <v>-3.2042723631508709E-2</v>
      </c>
      <c r="F1096">
        <v>32.880000000000003</v>
      </c>
    </row>
    <row r="1097" spans="1:6">
      <c r="A1097">
        <v>1907</v>
      </c>
      <c r="B1097" t="s">
        <v>695</v>
      </c>
      <c r="C1097">
        <v>9.84</v>
      </c>
      <c r="D1097">
        <f>VLOOKUP(A1097,收盤價!A:C,3,0)</f>
        <v>9.52</v>
      </c>
      <c r="E1097" s="87">
        <v>-3.2520325203252064E-2</v>
      </c>
      <c r="F1097">
        <v>32.82</v>
      </c>
    </row>
    <row r="1098" spans="1:6">
      <c r="A1098">
        <v>1902</v>
      </c>
      <c r="B1098" t="s">
        <v>691</v>
      </c>
      <c r="C1098">
        <v>10.65</v>
      </c>
      <c r="D1098">
        <f>VLOOKUP(A1098,收盤價!A:C,3,0)</f>
        <v>10.3</v>
      </c>
      <c r="E1098" s="87">
        <v>-3.2863849765258184E-2</v>
      </c>
      <c r="F1098">
        <v>32.76</v>
      </c>
    </row>
    <row r="1099" spans="1:6">
      <c r="A1099">
        <v>6270</v>
      </c>
      <c r="B1099" t="s">
        <v>1630</v>
      </c>
      <c r="C1099">
        <v>10.65</v>
      </c>
      <c r="D1099">
        <f>VLOOKUP(A1099,收盤價!A:C,3,0)</f>
        <v>10.3</v>
      </c>
      <c r="E1099" s="87">
        <v>-3.2863849765258184E-2</v>
      </c>
      <c r="F1099">
        <v>32.700000000000003</v>
      </c>
    </row>
    <row r="1100" spans="1:6">
      <c r="A1100">
        <v>1905</v>
      </c>
      <c r="B1100" t="s">
        <v>1721</v>
      </c>
      <c r="C1100">
        <v>9.42</v>
      </c>
      <c r="D1100">
        <f>VLOOKUP(A1100,收盤價!A:C,3,0)</f>
        <v>9.11</v>
      </c>
      <c r="E1100" s="87">
        <v>-3.2908704883227231E-2</v>
      </c>
      <c r="F1100">
        <v>32.64</v>
      </c>
    </row>
    <row r="1101" spans="1:6">
      <c r="A1101">
        <v>2841</v>
      </c>
      <c r="B1101" t="s">
        <v>950</v>
      </c>
      <c r="C1101">
        <v>10.25</v>
      </c>
      <c r="D1101">
        <f>VLOOKUP(A1101,收盤價!A:C,3,0)</f>
        <v>9.91</v>
      </c>
      <c r="E1101" s="87">
        <v>-3.3170731707317061E-2</v>
      </c>
      <c r="F1101">
        <v>32.58</v>
      </c>
    </row>
    <row r="1102" spans="1:6">
      <c r="A1102">
        <v>6112</v>
      </c>
      <c r="B1102" t="s">
        <v>1173</v>
      </c>
      <c r="C1102">
        <v>27.1</v>
      </c>
      <c r="D1102">
        <f>VLOOKUP(A1102,收盤價!A:C,3,0)</f>
        <v>26.2</v>
      </c>
      <c r="E1102" s="87">
        <v>-3.3210332103321111E-2</v>
      </c>
      <c r="F1102">
        <v>32.520000000000003</v>
      </c>
    </row>
    <row r="1103" spans="1:6">
      <c r="A1103">
        <v>8027</v>
      </c>
      <c r="B1103" t="s">
        <v>1646</v>
      </c>
      <c r="C1103">
        <v>16.25</v>
      </c>
      <c r="D1103">
        <f>VLOOKUP(A1103,收盤價!A:C,3,0)</f>
        <v>15.7</v>
      </c>
      <c r="E1103" s="87">
        <v>-3.3846153846153887E-2</v>
      </c>
      <c r="F1103">
        <v>32.46</v>
      </c>
    </row>
    <row r="1104" spans="1:6">
      <c r="A1104">
        <v>6160</v>
      </c>
      <c r="B1104" t="s">
        <v>1602</v>
      </c>
      <c r="C1104">
        <v>25.1</v>
      </c>
      <c r="D1104">
        <f>VLOOKUP(A1104,收盤價!A:C,3,0)</f>
        <v>24.25</v>
      </c>
      <c r="E1104" s="87">
        <v>-3.3864541832669376E-2</v>
      </c>
      <c r="F1104">
        <v>32.39</v>
      </c>
    </row>
    <row r="1105" spans="1:6">
      <c r="A1105">
        <v>1752</v>
      </c>
      <c r="B1105" t="s">
        <v>231</v>
      </c>
      <c r="C1105">
        <v>43.25</v>
      </c>
      <c r="D1105">
        <f>VLOOKUP(A1105,收盤價!A:C,3,0)</f>
        <v>41.75</v>
      </c>
      <c r="E1105" s="87">
        <v>-3.4682080924855488E-2</v>
      </c>
      <c r="F1105">
        <v>32.33</v>
      </c>
    </row>
    <row r="1106" spans="1:6">
      <c r="A1106">
        <v>6189</v>
      </c>
      <c r="B1106" t="s">
        <v>1197</v>
      </c>
      <c r="C1106">
        <v>33</v>
      </c>
      <c r="D1106">
        <f>VLOOKUP(A1106,收盤價!A:C,3,0)</f>
        <v>31.85</v>
      </c>
      <c r="E1106" s="87">
        <v>-3.4848484848484802E-2</v>
      </c>
      <c r="F1106">
        <v>32.270000000000003</v>
      </c>
    </row>
    <row r="1107" spans="1:6">
      <c r="A1107">
        <v>3164</v>
      </c>
      <c r="B1107" t="s">
        <v>1040</v>
      </c>
      <c r="C1107">
        <v>21.25</v>
      </c>
      <c r="D1107">
        <f>VLOOKUP(A1107,收盤價!A:C,3,0)</f>
        <v>20.5</v>
      </c>
      <c r="E1107" s="87">
        <v>-3.5294117647058823E-2</v>
      </c>
      <c r="F1107">
        <v>32.21</v>
      </c>
    </row>
    <row r="1108" spans="1:6">
      <c r="A1108">
        <v>2723</v>
      </c>
      <c r="B1108" t="s">
        <v>2046</v>
      </c>
      <c r="C1108">
        <v>295.5</v>
      </c>
      <c r="D1108">
        <f>VLOOKUP(A1108,收盤價!A:C,3,0)</f>
        <v>285</v>
      </c>
      <c r="E1108" s="87">
        <v>-3.553299492385787E-2</v>
      </c>
      <c r="F1108">
        <v>32.15</v>
      </c>
    </row>
    <row r="1109" spans="1:6">
      <c r="A1109">
        <v>1525</v>
      </c>
      <c r="B1109" t="s">
        <v>614</v>
      </c>
      <c r="C1109">
        <v>125</v>
      </c>
      <c r="D1109">
        <f>VLOOKUP(A1109,收盤價!A:C,3,0)</f>
        <v>120.5</v>
      </c>
      <c r="E1109" s="87">
        <v>-3.5999999999999997E-2</v>
      </c>
      <c r="F1109">
        <v>32.090000000000003</v>
      </c>
    </row>
    <row r="1110" spans="1:6">
      <c r="A1110">
        <v>5315</v>
      </c>
      <c r="B1110" t="s">
        <v>1527</v>
      </c>
      <c r="C1110">
        <v>29.1</v>
      </c>
      <c r="D1110">
        <f>VLOOKUP(A1110,收盤價!A:C,3,0)</f>
        <v>28.05</v>
      </c>
      <c r="E1110" s="87">
        <v>-3.6082474226804148E-2</v>
      </c>
      <c r="F1110">
        <v>32.03</v>
      </c>
    </row>
    <row r="1111" spans="1:6">
      <c r="A1111">
        <v>4927</v>
      </c>
      <c r="B1111" t="s">
        <v>2059</v>
      </c>
      <c r="C1111">
        <v>35.799999999999997</v>
      </c>
      <c r="D1111">
        <f>VLOOKUP(A1111,收盤價!A:C,3,0)</f>
        <v>34.5</v>
      </c>
      <c r="E1111" s="87">
        <v>-3.6312849162011093E-2</v>
      </c>
      <c r="F1111">
        <v>31.97</v>
      </c>
    </row>
    <row r="1112" spans="1:6">
      <c r="A1112">
        <v>5493</v>
      </c>
      <c r="B1112" t="s">
        <v>1556</v>
      </c>
      <c r="C1112">
        <v>31.55</v>
      </c>
      <c r="D1112">
        <f>VLOOKUP(A1112,收盤價!A:C,3,0)</f>
        <v>30.4</v>
      </c>
      <c r="E1112" s="87">
        <v>-3.6450079239302761E-2</v>
      </c>
      <c r="F1112">
        <v>31.9</v>
      </c>
    </row>
    <row r="1113" spans="1:6">
      <c r="A1113">
        <v>2355</v>
      </c>
      <c r="B1113" t="s">
        <v>776</v>
      </c>
      <c r="C1113">
        <v>65.8</v>
      </c>
      <c r="D1113">
        <f>VLOOKUP(A1113,收盤價!A:C,3,0)</f>
        <v>63.4</v>
      </c>
      <c r="E1113" s="87">
        <v>-3.6474164133738579E-2</v>
      </c>
      <c r="F1113">
        <v>31.84</v>
      </c>
    </row>
    <row r="1114" spans="1:6">
      <c r="A1114">
        <v>1731</v>
      </c>
      <c r="B1114" t="s">
        <v>672</v>
      </c>
      <c r="C1114">
        <v>13.65</v>
      </c>
      <c r="D1114">
        <f>VLOOKUP(A1114,收盤價!A:C,3,0)</f>
        <v>13.15</v>
      </c>
      <c r="E1114" s="87">
        <v>-3.6630036630036632E-2</v>
      </c>
      <c r="F1114">
        <v>31.78</v>
      </c>
    </row>
    <row r="1115" spans="1:6">
      <c r="A1115">
        <v>1789</v>
      </c>
      <c r="B1115" t="s">
        <v>683</v>
      </c>
      <c r="C1115">
        <v>42.3</v>
      </c>
      <c r="D1115">
        <f>VLOOKUP(A1115,收盤價!A:C,3,0)</f>
        <v>40.75</v>
      </c>
      <c r="E1115" s="87">
        <v>-3.6643026004728067E-2</v>
      </c>
      <c r="F1115">
        <v>31.72</v>
      </c>
    </row>
    <row r="1116" spans="1:6">
      <c r="A1116">
        <v>3016</v>
      </c>
      <c r="B1116" t="s">
        <v>993</v>
      </c>
      <c r="C1116">
        <v>19</v>
      </c>
      <c r="D1116">
        <f>VLOOKUP(A1116,收盤價!A:C,3,0)</f>
        <v>18.3</v>
      </c>
      <c r="E1116" s="87">
        <v>-3.6842105263157857E-2</v>
      </c>
      <c r="F1116">
        <v>31.66</v>
      </c>
    </row>
    <row r="1117" spans="1:6">
      <c r="A1117">
        <v>5425</v>
      </c>
      <c r="B1117" t="s">
        <v>391</v>
      </c>
      <c r="C1117">
        <v>37.9</v>
      </c>
      <c r="D1117">
        <f>VLOOKUP(A1117,收盤價!A:C,3,0)</f>
        <v>36.5</v>
      </c>
      <c r="E1117" s="87">
        <v>-3.6939313984168831E-2</v>
      </c>
      <c r="F1117">
        <v>31.6</v>
      </c>
    </row>
    <row r="1118" spans="1:6">
      <c r="A1118">
        <v>2726</v>
      </c>
      <c r="B1118" t="s">
        <v>1334</v>
      </c>
      <c r="C1118">
        <v>69.5</v>
      </c>
      <c r="D1118">
        <f>VLOOKUP(A1118,收盤價!A:C,3,0)</f>
        <v>66.900000000000006</v>
      </c>
      <c r="E1118" s="87">
        <v>-3.7410071942445965E-2</v>
      </c>
      <c r="F1118">
        <v>31.54</v>
      </c>
    </row>
    <row r="1119" spans="1:6">
      <c r="A1119">
        <v>5388</v>
      </c>
      <c r="B1119" t="s">
        <v>1154</v>
      </c>
      <c r="C1119">
        <v>74.8</v>
      </c>
      <c r="D1119">
        <f>VLOOKUP(A1119,收盤價!A:C,3,0)</f>
        <v>72</v>
      </c>
      <c r="E1119" s="87">
        <v>-3.7433155080213866E-2</v>
      </c>
      <c r="F1119">
        <v>31.48</v>
      </c>
    </row>
    <row r="1120" spans="1:6">
      <c r="A1120">
        <v>9929</v>
      </c>
      <c r="B1120" t="s">
        <v>1294</v>
      </c>
      <c r="C1120">
        <v>11.95</v>
      </c>
      <c r="D1120">
        <f>VLOOKUP(A1120,收盤價!A:C,3,0)</f>
        <v>11.5</v>
      </c>
      <c r="E1120" s="87">
        <v>-3.7656903765690322E-2</v>
      </c>
      <c r="F1120">
        <v>31.41</v>
      </c>
    </row>
    <row r="1121" spans="1:6">
      <c r="A1121">
        <v>2913</v>
      </c>
      <c r="B1121" t="s">
        <v>981</v>
      </c>
      <c r="C1121">
        <v>14.6</v>
      </c>
      <c r="D1121">
        <f>VLOOKUP(A1121,收盤價!A:C,3,0)</f>
        <v>14.05</v>
      </c>
      <c r="E1121" s="87">
        <v>-3.7671232876712257E-2</v>
      </c>
      <c r="F1121">
        <v>31.35</v>
      </c>
    </row>
    <row r="1122" spans="1:6">
      <c r="A1122">
        <v>1236</v>
      </c>
      <c r="B1122" t="s">
        <v>528</v>
      </c>
      <c r="C1122">
        <v>19.75</v>
      </c>
      <c r="D1122">
        <f>VLOOKUP(A1122,收盤價!A:C,3,0)</f>
        <v>19</v>
      </c>
      <c r="E1122" s="87">
        <v>-3.7974683544303799E-2</v>
      </c>
      <c r="F1122">
        <v>31.29</v>
      </c>
    </row>
    <row r="1123" spans="1:6">
      <c r="A1123">
        <v>4429</v>
      </c>
      <c r="B1123" t="s">
        <v>341</v>
      </c>
      <c r="C1123">
        <v>23.6</v>
      </c>
      <c r="D1123">
        <f>VLOOKUP(A1123,收盤價!A:C,3,0)</f>
        <v>22.7</v>
      </c>
      <c r="E1123" s="87">
        <v>-3.8135593220339069E-2</v>
      </c>
      <c r="F1123">
        <v>31.23</v>
      </c>
    </row>
    <row r="1124" spans="1:6">
      <c r="A1124">
        <v>6202</v>
      </c>
      <c r="B1124" t="s">
        <v>1203</v>
      </c>
      <c r="C1124">
        <v>52.2</v>
      </c>
      <c r="D1124">
        <f>VLOOKUP(A1124,收盤價!A:C,3,0)</f>
        <v>50.2</v>
      </c>
      <c r="E1124" s="87">
        <v>-3.8314176245210725E-2</v>
      </c>
      <c r="F1124">
        <v>31.17</v>
      </c>
    </row>
    <row r="1125" spans="1:6">
      <c r="A1125">
        <v>3040</v>
      </c>
      <c r="B1125" t="s">
        <v>1015</v>
      </c>
      <c r="C1125">
        <v>29.95</v>
      </c>
      <c r="D1125">
        <f>VLOOKUP(A1125,收盤價!A:C,3,0)</f>
        <v>28.8</v>
      </c>
      <c r="E1125" s="87">
        <v>-3.8397328881469066E-2</v>
      </c>
      <c r="F1125">
        <v>31.11</v>
      </c>
    </row>
    <row r="1126" spans="1:6">
      <c r="A1126">
        <v>4762</v>
      </c>
      <c r="B1126" t="s">
        <v>1796</v>
      </c>
      <c r="C1126">
        <v>70</v>
      </c>
      <c r="D1126">
        <f>VLOOKUP(A1126,收盤價!A:C,3,0)</f>
        <v>67.3</v>
      </c>
      <c r="E1126" s="87">
        <v>-3.8571428571428611E-2</v>
      </c>
      <c r="F1126">
        <v>31.05</v>
      </c>
    </row>
    <row r="1127" spans="1:6">
      <c r="A1127">
        <v>4739</v>
      </c>
      <c r="B1127" t="s">
        <v>1488</v>
      </c>
      <c r="C1127">
        <v>43.8</v>
      </c>
      <c r="D1127">
        <f>VLOOKUP(A1127,收盤價!A:C,3,0)</f>
        <v>42.1</v>
      </c>
      <c r="E1127" s="87">
        <v>-3.8812785388127762E-2</v>
      </c>
      <c r="F1127">
        <v>30.99</v>
      </c>
    </row>
    <row r="1128" spans="1:6">
      <c r="A1128">
        <v>5264</v>
      </c>
      <c r="B1128" t="s">
        <v>2068</v>
      </c>
      <c r="C1128">
        <v>110</v>
      </c>
      <c r="D1128">
        <f>VLOOKUP(A1128,收盤價!A:C,3,0)</f>
        <v>105.5</v>
      </c>
      <c r="E1128" s="87">
        <v>-4.0909090909090909E-2</v>
      </c>
      <c r="F1128">
        <v>30.92</v>
      </c>
    </row>
    <row r="1129" spans="1:6">
      <c r="A1129">
        <v>4934</v>
      </c>
      <c r="B1129" t="s">
        <v>1139</v>
      </c>
      <c r="C1129">
        <v>15.85</v>
      </c>
      <c r="D1129">
        <f>VLOOKUP(A1129,收盤價!A:C,3,0)</f>
        <v>15.2</v>
      </c>
      <c r="E1129" s="87">
        <v>-4.1009463722397499E-2</v>
      </c>
      <c r="F1129">
        <v>30.86</v>
      </c>
    </row>
    <row r="1130" spans="1:6">
      <c r="A1130">
        <v>2547</v>
      </c>
      <c r="B1130" t="s">
        <v>909</v>
      </c>
      <c r="C1130">
        <v>9.75</v>
      </c>
      <c r="D1130">
        <f>VLOOKUP(A1130,收盤價!A:C,3,0)</f>
        <v>9.35</v>
      </c>
      <c r="E1130" s="87">
        <v>-4.102564102564106E-2</v>
      </c>
      <c r="F1130">
        <v>30.8</v>
      </c>
    </row>
    <row r="1131" spans="1:6">
      <c r="A1131">
        <v>4109</v>
      </c>
      <c r="B1131" t="s">
        <v>1437</v>
      </c>
      <c r="C1131">
        <v>21.65</v>
      </c>
      <c r="D1131">
        <f>VLOOKUP(A1131,收盤價!A:C,3,0)</f>
        <v>20.75</v>
      </c>
      <c r="E1131" s="87">
        <v>-4.1570438799076147E-2</v>
      </c>
      <c r="F1131">
        <v>30.74</v>
      </c>
    </row>
    <row r="1132" spans="1:6">
      <c r="A1132">
        <v>6133</v>
      </c>
      <c r="B1132" t="s">
        <v>1179</v>
      </c>
      <c r="C1132">
        <v>9.5500000000000007</v>
      </c>
      <c r="D1132">
        <f>VLOOKUP(A1132,收盤價!A:C,3,0)</f>
        <v>9.15</v>
      </c>
      <c r="E1132" s="87">
        <v>-4.1884816753926739E-2</v>
      </c>
      <c r="F1132">
        <v>30.68</v>
      </c>
    </row>
    <row r="1133" spans="1:6">
      <c r="A1133">
        <v>5508</v>
      </c>
      <c r="B1133" t="s">
        <v>1558</v>
      </c>
      <c r="C1133">
        <v>26.05</v>
      </c>
      <c r="D1133">
        <f>VLOOKUP(A1133,收盤價!A:C,3,0)</f>
        <v>24.95</v>
      </c>
      <c r="E1133" s="87">
        <v>-4.2226487523992377E-2</v>
      </c>
      <c r="F1133">
        <v>30.62</v>
      </c>
    </row>
    <row r="1134" spans="1:6">
      <c r="A1134">
        <v>1903</v>
      </c>
      <c r="B1134" t="s">
        <v>692</v>
      </c>
      <c r="C1134">
        <v>31.85</v>
      </c>
      <c r="D1134">
        <f>VLOOKUP(A1134,收盤價!A:C,3,0)</f>
        <v>30.5</v>
      </c>
      <c r="E1134" s="87">
        <v>-4.2386185243328142E-2</v>
      </c>
      <c r="F1134">
        <v>30.56</v>
      </c>
    </row>
    <row r="1135" spans="1:6">
      <c r="A1135">
        <v>4162</v>
      </c>
      <c r="B1135" t="s">
        <v>331</v>
      </c>
      <c r="C1135">
        <v>235</v>
      </c>
      <c r="D1135">
        <f>VLOOKUP(A1135,收盤價!A:C,3,0)</f>
        <v>225</v>
      </c>
      <c r="E1135" s="87">
        <v>-4.2553191489361701E-2</v>
      </c>
      <c r="F1135">
        <v>30.5</v>
      </c>
    </row>
    <row r="1136" spans="1:6">
      <c r="A1136">
        <v>2601</v>
      </c>
      <c r="B1136" t="s">
        <v>912</v>
      </c>
      <c r="C1136">
        <v>7.51</v>
      </c>
      <c r="D1136">
        <f>VLOOKUP(A1136,收盤價!A:C,3,0)</f>
        <v>7.19</v>
      </c>
      <c r="E1136" s="87">
        <v>-4.2609853528628415E-2</v>
      </c>
      <c r="F1136">
        <v>30.43</v>
      </c>
    </row>
    <row r="1137" spans="1:6">
      <c r="A1137">
        <v>4128</v>
      </c>
      <c r="B1137" t="s">
        <v>1443</v>
      </c>
      <c r="C1137">
        <v>24.6</v>
      </c>
      <c r="D1137">
        <f>VLOOKUP(A1137,收盤價!A:C,3,0)</f>
        <v>23.55</v>
      </c>
      <c r="E1137" s="87">
        <v>-4.2682926829268317E-2</v>
      </c>
      <c r="F1137">
        <v>30.37</v>
      </c>
    </row>
    <row r="1138" spans="1:6">
      <c r="A1138">
        <v>3707</v>
      </c>
      <c r="B1138" t="s">
        <v>324</v>
      </c>
      <c r="C1138">
        <v>10.5</v>
      </c>
      <c r="D1138">
        <f>VLOOKUP(A1138,收盤價!A:C,3,0)</f>
        <v>10.050000000000001</v>
      </c>
      <c r="E1138" s="87">
        <v>-4.2857142857142788E-2</v>
      </c>
      <c r="F1138">
        <v>30.31</v>
      </c>
    </row>
    <row r="1139" spans="1:6">
      <c r="A1139">
        <v>9943</v>
      </c>
      <c r="B1139" t="s">
        <v>1305</v>
      </c>
      <c r="C1139">
        <v>51.2</v>
      </c>
      <c r="D1139">
        <f>VLOOKUP(A1139,收盤價!A:C,3,0)</f>
        <v>49</v>
      </c>
      <c r="E1139" s="87">
        <v>-4.2968750000000056E-2</v>
      </c>
      <c r="F1139">
        <v>30.25</v>
      </c>
    </row>
    <row r="1140" spans="1:6">
      <c r="A1140">
        <v>5521</v>
      </c>
      <c r="B1140" t="s">
        <v>1161</v>
      </c>
      <c r="C1140">
        <v>10.45</v>
      </c>
      <c r="D1140">
        <f>VLOOKUP(A1140,收盤價!A:C,3,0)</f>
        <v>10</v>
      </c>
      <c r="E1140" s="87">
        <v>-4.3062200956937732E-2</v>
      </c>
      <c r="F1140">
        <v>30.19</v>
      </c>
    </row>
    <row r="1141" spans="1:6">
      <c r="A1141">
        <v>1592</v>
      </c>
      <c r="B1141" t="s">
        <v>2037</v>
      </c>
      <c r="C1141">
        <v>48.5</v>
      </c>
      <c r="D1141">
        <f>VLOOKUP(A1141,收盤價!A:C,3,0)</f>
        <v>46.4</v>
      </c>
      <c r="E1141" s="87">
        <v>-4.3298969072164975E-2</v>
      </c>
      <c r="F1141">
        <v>30.13</v>
      </c>
    </row>
    <row r="1142" spans="1:6">
      <c r="A1142">
        <v>3023</v>
      </c>
      <c r="B1142" t="s">
        <v>999</v>
      </c>
      <c r="C1142">
        <v>74.3</v>
      </c>
      <c r="D1142">
        <f>VLOOKUP(A1142,收盤價!A:C,3,0)</f>
        <v>71</v>
      </c>
      <c r="E1142" s="87">
        <v>-4.4414535666217995E-2</v>
      </c>
      <c r="F1142">
        <v>30.07</v>
      </c>
    </row>
    <row r="1143" spans="1:6">
      <c r="A1143">
        <v>910322</v>
      </c>
      <c r="B1143" t="s">
        <v>2086</v>
      </c>
      <c r="C1143">
        <v>18</v>
      </c>
      <c r="D1143">
        <f>VLOOKUP(A1143,收盤價!A:C,3,0)</f>
        <v>17.2</v>
      </c>
      <c r="E1143" s="87">
        <v>-4.4444444444444481E-2</v>
      </c>
      <c r="F1143">
        <v>30.01</v>
      </c>
    </row>
    <row r="1144" spans="1:6">
      <c r="A1144">
        <v>1464</v>
      </c>
      <c r="B1144" t="s">
        <v>586</v>
      </c>
      <c r="C1144">
        <v>28.9</v>
      </c>
      <c r="D1144">
        <f>VLOOKUP(A1144,收盤價!A:C,3,0)</f>
        <v>27.6</v>
      </c>
      <c r="E1144" s="87">
        <v>-4.4982698961937621E-2</v>
      </c>
      <c r="F1144">
        <v>29.94</v>
      </c>
    </row>
    <row r="1145" spans="1:6">
      <c r="A1145">
        <v>2856</v>
      </c>
      <c r="B1145" t="s">
        <v>957</v>
      </c>
      <c r="C1145">
        <v>8.42</v>
      </c>
      <c r="D1145">
        <f>VLOOKUP(A1145,收盤價!A:C,3,0)</f>
        <v>8.0399999999999991</v>
      </c>
      <c r="E1145" s="87">
        <v>-4.5130641330166366E-2</v>
      </c>
      <c r="F1145">
        <v>29.88</v>
      </c>
    </row>
    <row r="1146" spans="1:6">
      <c r="A1146">
        <v>1507</v>
      </c>
      <c r="B1146" t="s">
        <v>603</v>
      </c>
      <c r="C1146">
        <v>48.45</v>
      </c>
      <c r="D1146">
        <f>VLOOKUP(A1146,收盤價!A:C,3,0)</f>
        <v>46.25</v>
      </c>
      <c r="E1146" s="87">
        <v>-4.5407636738906146E-2</v>
      </c>
      <c r="F1146">
        <v>29.82</v>
      </c>
    </row>
    <row r="1147" spans="1:6">
      <c r="A1147">
        <v>6609</v>
      </c>
      <c r="B1147" t="s">
        <v>458</v>
      </c>
      <c r="C1147">
        <v>25.05</v>
      </c>
      <c r="D1147">
        <f>VLOOKUP(A1147,收盤價!A:C,3,0)</f>
        <v>23.9</v>
      </c>
      <c r="E1147" s="87">
        <v>-4.5908183632734613E-2</v>
      </c>
      <c r="F1147">
        <v>29.76</v>
      </c>
    </row>
    <row r="1148" spans="1:6">
      <c r="A1148">
        <v>2471</v>
      </c>
      <c r="B1148" t="s">
        <v>861</v>
      </c>
      <c r="C1148">
        <v>14.15</v>
      </c>
      <c r="D1148">
        <f>VLOOKUP(A1148,收盤價!A:C,3,0)</f>
        <v>13.5</v>
      </c>
      <c r="E1148" s="87">
        <v>-4.5936395759717336E-2</v>
      </c>
      <c r="F1148">
        <v>29.7</v>
      </c>
    </row>
    <row r="1149" spans="1:6">
      <c r="A1149">
        <v>3206</v>
      </c>
      <c r="B1149" t="s">
        <v>1360</v>
      </c>
      <c r="C1149">
        <v>22.85</v>
      </c>
      <c r="D1149">
        <f>VLOOKUP(A1149,收盤價!A:C,3,0)</f>
        <v>21.8</v>
      </c>
      <c r="E1149" s="87">
        <v>-4.5951859956236352E-2</v>
      </c>
      <c r="F1149">
        <v>29.64</v>
      </c>
    </row>
    <row r="1150" spans="1:6">
      <c r="A1150">
        <v>3209</v>
      </c>
      <c r="B1150" t="s">
        <v>1043</v>
      </c>
      <c r="C1150">
        <v>27</v>
      </c>
      <c r="D1150">
        <f>VLOOKUP(A1150,收盤價!A:C,3,0)</f>
        <v>25.75</v>
      </c>
      <c r="E1150" s="87">
        <v>-4.6296296296296294E-2</v>
      </c>
      <c r="F1150">
        <v>29.58</v>
      </c>
    </row>
    <row r="1151" spans="1:6">
      <c r="A1151">
        <v>3046</v>
      </c>
      <c r="B1151" t="s">
        <v>1021</v>
      </c>
      <c r="C1151">
        <v>6.44</v>
      </c>
      <c r="D1151">
        <f>VLOOKUP(A1151,收盤價!A:C,3,0)</f>
        <v>6.14</v>
      </c>
      <c r="E1151" s="87">
        <v>-4.6583850931677127E-2</v>
      </c>
      <c r="F1151">
        <v>29.52</v>
      </c>
    </row>
    <row r="1152" spans="1:6">
      <c r="A1152">
        <v>2511</v>
      </c>
      <c r="B1152" t="s">
        <v>889</v>
      </c>
      <c r="C1152">
        <v>10.6</v>
      </c>
      <c r="D1152">
        <f>VLOOKUP(A1152,收盤價!A:C,3,0)</f>
        <v>10.1</v>
      </c>
      <c r="E1152" s="87">
        <v>-4.716981132075472E-2</v>
      </c>
      <c r="F1152">
        <v>29.45</v>
      </c>
    </row>
    <row r="1153" spans="1:6">
      <c r="A1153">
        <v>2636</v>
      </c>
      <c r="B1153" t="s">
        <v>1330</v>
      </c>
      <c r="C1153">
        <v>22.25</v>
      </c>
      <c r="D1153">
        <f>VLOOKUP(A1153,收盤價!A:C,3,0)</f>
        <v>21.2</v>
      </c>
      <c r="E1153" s="87">
        <v>-4.7191011235955087E-2</v>
      </c>
      <c r="F1153">
        <v>29.39</v>
      </c>
    </row>
    <row r="1154" spans="1:6">
      <c r="A1154">
        <v>1540</v>
      </c>
      <c r="B1154" t="s">
        <v>628</v>
      </c>
      <c r="C1154">
        <v>14.65</v>
      </c>
      <c r="D1154">
        <f>VLOOKUP(A1154,收盤價!A:C,3,0)</f>
        <v>13.95</v>
      </c>
      <c r="E1154" s="87">
        <v>-4.778156996587038E-2</v>
      </c>
      <c r="F1154">
        <v>29.33</v>
      </c>
    </row>
    <row r="1155" spans="1:6">
      <c r="A1155">
        <v>9188</v>
      </c>
      <c r="B1155" t="s">
        <v>2104</v>
      </c>
      <c r="C1155">
        <v>4.17</v>
      </c>
      <c r="D1155">
        <f>VLOOKUP(A1155,收盤價!A:C,3,0)</f>
        <v>3.97</v>
      </c>
      <c r="E1155" s="87">
        <v>-4.7961630695443583E-2</v>
      </c>
      <c r="F1155">
        <v>29.27</v>
      </c>
    </row>
    <row r="1156" spans="1:6">
      <c r="A1156">
        <v>3171</v>
      </c>
      <c r="B1156" t="s">
        <v>1357</v>
      </c>
      <c r="C1156">
        <v>19.75</v>
      </c>
      <c r="D1156">
        <f>VLOOKUP(A1156,收盤價!A:C,3,0)</f>
        <v>18.8</v>
      </c>
      <c r="E1156" s="87">
        <v>-4.8101265822784775E-2</v>
      </c>
      <c r="F1156">
        <v>29.21</v>
      </c>
    </row>
    <row r="1157" spans="1:6">
      <c r="A1157" t="s">
        <v>1852</v>
      </c>
      <c r="B1157" t="s">
        <v>2290</v>
      </c>
      <c r="C1157">
        <v>16.5</v>
      </c>
      <c r="D1157">
        <f>VLOOKUP(A1157,收盤價!A:C,3,0)</f>
        <v>15.69</v>
      </c>
      <c r="E1157" s="87">
        <v>-4.9090909090909123E-2</v>
      </c>
      <c r="F1157">
        <v>29.15</v>
      </c>
    </row>
    <row r="1158" spans="1:6">
      <c r="A1158">
        <v>6277</v>
      </c>
      <c r="B1158" t="s">
        <v>1222</v>
      </c>
      <c r="C1158">
        <v>85</v>
      </c>
      <c r="D1158">
        <f>VLOOKUP(A1158,收盤價!A:C,3,0)</f>
        <v>80.8</v>
      </c>
      <c r="E1158" s="87">
        <v>-4.9411764705882384E-2</v>
      </c>
      <c r="F1158">
        <v>29.09</v>
      </c>
    </row>
    <row r="1159" spans="1:6">
      <c r="A1159">
        <v>3528</v>
      </c>
      <c r="B1159" t="s">
        <v>1405</v>
      </c>
      <c r="C1159">
        <v>31.35</v>
      </c>
      <c r="D1159">
        <f>VLOOKUP(A1159,收盤價!A:C,3,0)</f>
        <v>29.8</v>
      </c>
      <c r="E1159" s="87">
        <v>-4.9441786283891564E-2</v>
      </c>
      <c r="F1159">
        <v>29.03</v>
      </c>
    </row>
    <row r="1160" spans="1:6">
      <c r="A1160">
        <v>1435</v>
      </c>
      <c r="B1160" t="s">
        <v>562</v>
      </c>
      <c r="C1160">
        <v>4.43</v>
      </c>
      <c r="D1160">
        <f>VLOOKUP(A1160,收盤價!A:C,3,0)</f>
        <v>4.21</v>
      </c>
      <c r="E1160" s="87">
        <v>-4.966139954853268E-2</v>
      </c>
      <c r="F1160">
        <v>28.97</v>
      </c>
    </row>
    <row r="1161" spans="1:6">
      <c r="A1161">
        <v>3515</v>
      </c>
      <c r="B1161" t="s">
        <v>1074</v>
      </c>
      <c r="C1161">
        <v>40.200000000000003</v>
      </c>
      <c r="D1161">
        <f>VLOOKUP(A1161,收盤價!A:C,3,0)</f>
        <v>38.200000000000003</v>
      </c>
      <c r="E1161" s="87">
        <v>-4.9751243781094523E-2</v>
      </c>
      <c r="F1161">
        <v>28.9</v>
      </c>
    </row>
    <row r="1162" spans="1:6">
      <c r="A1162">
        <v>4905</v>
      </c>
      <c r="B1162" t="s">
        <v>1493</v>
      </c>
      <c r="C1162">
        <v>46.1</v>
      </c>
      <c r="D1162">
        <f>VLOOKUP(A1162,收盤價!A:C,3,0)</f>
        <v>43.8</v>
      </c>
      <c r="E1162" s="87">
        <v>-4.9891540130151936E-2</v>
      </c>
      <c r="F1162">
        <v>28.84</v>
      </c>
    </row>
    <row r="1163" spans="1:6">
      <c r="A1163">
        <v>3494</v>
      </c>
      <c r="B1163" t="s">
        <v>1070</v>
      </c>
      <c r="C1163">
        <v>13.85</v>
      </c>
      <c r="D1163">
        <f>VLOOKUP(A1163,收盤價!A:C,3,0)</f>
        <v>13.15</v>
      </c>
      <c r="E1163" s="87">
        <v>-5.0541516245487313E-2</v>
      </c>
      <c r="F1163">
        <v>28.78</v>
      </c>
    </row>
    <row r="1164" spans="1:6">
      <c r="A1164">
        <v>3416</v>
      </c>
      <c r="B1164" t="s">
        <v>1061</v>
      </c>
      <c r="C1164">
        <v>49</v>
      </c>
      <c r="D1164">
        <f>VLOOKUP(A1164,收盤價!A:C,3,0)</f>
        <v>46.5</v>
      </c>
      <c r="E1164" s="87">
        <v>-5.1020408163265307E-2</v>
      </c>
      <c r="F1164">
        <v>28.72</v>
      </c>
    </row>
    <row r="1165" spans="1:6">
      <c r="A1165">
        <v>2235</v>
      </c>
      <c r="B1165" t="s">
        <v>242</v>
      </c>
      <c r="C1165">
        <v>127</v>
      </c>
      <c r="D1165">
        <f>VLOOKUP(A1165,收盤價!A:C,3,0)</f>
        <v>120.5</v>
      </c>
      <c r="E1165" s="87">
        <v>-5.1181102362204724E-2</v>
      </c>
      <c r="F1165">
        <v>28.66</v>
      </c>
    </row>
    <row r="1166" spans="1:6">
      <c r="A1166">
        <v>1517</v>
      </c>
      <c r="B1166" t="s">
        <v>609</v>
      </c>
      <c r="C1166">
        <v>10.7</v>
      </c>
      <c r="D1166">
        <f>VLOOKUP(A1166,收盤價!A:C,3,0)</f>
        <v>10.15</v>
      </c>
      <c r="E1166" s="87">
        <v>-5.1401869158878406E-2</v>
      </c>
      <c r="F1166">
        <v>28.6</v>
      </c>
    </row>
    <row r="1167" spans="1:6">
      <c r="A1167">
        <v>9912</v>
      </c>
      <c r="B1167" t="s">
        <v>1283</v>
      </c>
      <c r="C1167">
        <v>8.1199999999999992</v>
      </c>
      <c r="D1167">
        <f>VLOOKUP(A1167,收盤價!A:C,3,0)</f>
        <v>7.7</v>
      </c>
      <c r="E1167" s="87">
        <v>-5.1724137931034371E-2</v>
      </c>
      <c r="F1167">
        <v>28.54</v>
      </c>
    </row>
    <row r="1168" spans="1:6">
      <c r="A1168">
        <v>3191</v>
      </c>
      <c r="B1168" t="s">
        <v>1358</v>
      </c>
      <c r="C1168">
        <v>13.5</v>
      </c>
      <c r="D1168">
        <f>VLOOKUP(A1168,收盤價!A:C,3,0)</f>
        <v>12.8</v>
      </c>
      <c r="E1168" s="87">
        <v>-5.1851851851851802E-2</v>
      </c>
      <c r="F1168">
        <v>28.48</v>
      </c>
    </row>
    <row r="1169" spans="1:6">
      <c r="A1169">
        <v>4536</v>
      </c>
      <c r="B1169" t="s">
        <v>1124</v>
      </c>
      <c r="C1169">
        <v>105.5</v>
      </c>
      <c r="D1169">
        <f>VLOOKUP(A1169,收盤價!A:C,3,0)</f>
        <v>100</v>
      </c>
      <c r="E1169" s="87">
        <v>-5.2132701421800945E-2</v>
      </c>
      <c r="F1169">
        <v>28.41</v>
      </c>
    </row>
    <row r="1170" spans="1:6">
      <c r="A1170">
        <v>2886</v>
      </c>
      <c r="B1170" t="s">
        <v>965</v>
      </c>
      <c r="C1170">
        <v>23</v>
      </c>
      <c r="D1170">
        <f>VLOOKUP(A1170,收盤價!A:C,3,0)</f>
        <v>21.8</v>
      </c>
      <c r="E1170" s="87">
        <v>-5.217391304347823E-2</v>
      </c>
      <c r="F1170">
        <v>28.35</v>
      </c>
    </row>
    <row r="1171" spans="1:6">
      <c r="A1171">
        <v>4129</v>
      </c>
      <c r="B1171" t="s">
        <v>1444</v>
      </c>
      <c r="C1171">
        <v>72.5</v>
      </c>
      <c r="D1171">
        <f>VLOOKUP(A1171,收盤價!A:C,3,0)</f>
        <v>68.7</v>
      </c>
      <c r="E1171" s="87">
        <v>-5.2413793103448236E-2</v>
      </c>
      <c r="F1171">
        <v>28.29</v>
      </c>
    </row>
    <row r="1172" spans="1:6">
      <c r="A1172">
        <v>3226</v>
      </c>
      <c r="B1172" t="s">
        <v>262</v>
      </c>
      <c r="C1172">
        <v>70</v>
      </c>
      <c r="D1172">
        <f>VLOOKUP(A1172,收盤價!A:C,3,0)</f>
        <v>66.3</v>
      </c>
      <c r="E1172" s="87">
        <v>-5.2857142857142901E-2</v>
      </c>
      <c r="F1172">
        <v>28.23</v>
      </c>
    </row>
    <row r="1173" spans="1:6">
      <c r="A1173">
        <v>2904</v>
      </c>
      <c r="B1173" t="s">
        <v>974</v>
      </c>
      <c r="C1173">
        <v>26.95</v>
      </c>
      <c r="D1173">
        <f>VLOOKUP(A1173,收盤價!A:C,3,0)</f>
        <v>25.5</v>
      </c>
      <c r="E1173" s="87">
        <v>-5.3803339517625205E-2</v>
      </c>
      <c r="F1173">
        <v>28.17</v>
      </c>
    </row>
    <row r="1174" spans="1:6">
      <c r="A1174">
        <v>2107</v>
      </c>
      <c r="B1174" t="s">
        <v>731</v>
      </c>
      <c r="C1174">
        <v>15.75</v>
      </c>
      <c r="D1174">
        <f>VLOOKUP(A1174,收盤價!A:C,3,0)</f>
        <v>14.9</v>
      </c>
      <c r="E1174" s="87">
        <v>-5.3968253968253943E-2</v>
      </c>
      <c r="F1174">
        <v>28.11</v>
      </c>
    </row>
    <row r="1175" spans="1:6">
      <c r="A1175">
        <v>2390</v>
      </c>
      <c r="B1175" t="s">
        <v>802</v>
      </c>
      <c r="C1175">
        <v>17.45</v>
      </c>
      <c r="D1175">
        <f>VLOOKUP(A1175,收盤價!A:C,3,0)</f>
        <v>16.5</v>
      </c>
      <c r="E1175" s="87">
        <v>-5.4441260744985634E-2</v>
      </c>
      <c r="F1175">
        <v>28.05</v>
      </c>
    </row>
    <row r="1176" spans="1:6">
      <c r="A1176">
        <v>9930</v>
      </c>
      <c r="B1176" t="s">
        <v>2106</v>
      </c>
      <c r="C1176">
        <v>56.9</v>
      </c>
      <c r="D1176">
        <f>VLOOKUP(A1176,收盤價!A:C,3,0)</f>
        <v>53.8</v>
      </c>
      <c r="E1176" s="87">
        <v>-5.4481546572934997E-2</v>
      </c>
      <c r="F1176">
        <v>27.99</v>
      </c>
    </row>
    <row r="1177" spans="1:6">
      <c r="A1177">
        <v>1307</v>
      </c>
      <c r="B1177" t="s">
        <v>533</v>
      </c>
      <c r="C1177">
        <v>37.549999999999997</v>
      </c>
      <c r="D1177">
        <f>VLOOKUP(A1177,收盤價!A:C,3,0)</f>
        <v>35.5</v>
      </c>
      <c r="E1177" s="87">
        <v>-5.4593874833555191E-2</v>
      </c>
      <c r="F1177">
        <v>27.92</v>
      </c>
    </row>
    <row r="1178" spans="1:6">
      <c r="A1178" t="s">
        <v>1850</v>
      </c>
      <c r="B1178" t="s">
        <v>2287</v>
      </c>
      <c r="C1178">
        <v>17.47</v>
      </c>
      <c r="D1178">
        <f>VLOOKUP(A1178,收盤價!A:C,3,0)</f>
        <v>16.5</v>
      </c>
      <c r="E1178" s="87">
        <v>-5.5523755008586084E-2</v>
      </c>
      <c r="F1178">
        <v>27.86</v>
      </c>
    </row>
    <row r="1179" spans="1:6">
      <c r="A1179">
        <v>4912</v>
      </c>
      <c r="B1179" t="s">
        <v>2292</v>
      </c>
      <c r="C1179">
        <v>81</v>
      </c>
      <c r="D1179">
        <f>VLOOKUP(A1179,收盤價!A:C,3,0)</f>
        <v>76.5</v>
      </c>
      <c r="E1179" s="87">
        <v>-5.5555555555555552E-2</v>
      </c>
      <c r="F1179">
        <v>27.8</v>
      </c>
    </row>
    <row r="1180" spans="1:6">
      <c r="A1180">
        <v>3363</v>
      </c>
      <c r="B1180" t="s">
        <v>283</v>
      </c>
      <c r="C1180">
        <v>28.6</v>
      </c>
      <c r="D1180">
        <f>VLOOKUP(A1180,收盤價!A:C,3,0)</f>
        <v>27</v>
      </c>
      <c r="E1180" s="87">
        <v>-5.5944055944055993E-2</v>
      </c>
      <c r="F1180">
        <v>27.74</v>
      </c>
    </row>
    <row r="1181" spans="1:6">
      <c r="A1181">
        <v>1444</v>
      </c>
      <c r="B1181" t="s">
        <v>571</v>
      </c>
      <c r="C1181">
        <v>8.75</v>
      </c>
      <c r="D1181">
        <f>VLOOKUP(A1181,收盤價!A:C,3,0)</f>
        <v>8.26</v>
      </c>
      <c r="E1181" s="87">
        <v>-5.6000000000000022E-2</v>
      </c>
      <c r="F1181">
        <v>27.68</v>
      </c>
    </row>
    <row r="1182" spans="1:6">
      <c r="A1182">
        <v>4529</v>
      </c>
      <c r="B1182" t="s">
        <v>1476</v>
      </c>
      <c r="C1182">
        <v>37.200000000000003</v>
      </c>
      <c r="D1182">
        <f>VLOOKUP(A1182,收盤價!A:C,3,0)</f>
        <v>35.1</v>
      </c>
      <c r="E1182" s="87">
        <v>-5.645161290322584E-2</v>
      </c>
      <c r="F1182">
        <v>27.62</v>
      </c>
    </row>
    <row r="1183" spans="1:6">
      <c r="A1183">
        <v>3693</v>
      </c>
      <c r="B1183" t="s">
        <v>323</v>
      </c>
      <c r="C1183">
        <v>69</v>
      </c>
      <c r="D1183">
        <f>VLOOKUP(A1183,收盤價!A:C,3,0)</f>
        <v>65.099999999999994</v>
      </c>
      <c r="E1183" s="87">
        <v>-5.6521739130434866E-2</v>
      </c>
      <c r="F1183">
        <v>27.56</v>
      </c>
    </row>
    <row r="1184" spans="1:6">
      <c r="A1184">
        <v>2615</v>
      </c>
      <c r="B1184" t="s">
        <v>924</v>
      </c>
      <c r="C1184">
        <v>16.8</v>
      </c>
      <c r="D1184">
        <f>VLOOKUP(A1184,收盤價!A:C,3,0)</f>
        <v>15.85</v>
      </c>
      <c r="E1184" s="87">
        <v>-5.654761904761911E-2</v>
      </c>
      <c r="F1184">
        <v>27.5</v>
      </c>
    </row>
    <row r="1185" spans="1:6">
      <c r="A1185">
        <v>3685</v>
      </c>
      <c r="B1185" t="s">
        <v>1430</v>
      </c>
      <c r="C1185">
        <v>54.6</v>
      </c>
      <c r="D1185">
        <f>VLOOKUP(A1185,收盤價!A:C,3,0)</f>
        <v>51.5</v>
      </c>
      <c r="E1185" s="87">
        <v>-5.6776556776556804E-2</v>
      </c>
      <c r="F1185">
        <v>27.43</v>
      </c>
    </row>
    <row r="1186" spans="1:6">
      <c r="A1186">
        <v>3687</v>
      </c>
      <c r="B1186" t="s">
        <v>322</v>
      </c>
      <c r="C1186">
        <v>51.8</v>
      </c>
      <c r="D1186">
        <f>VLOOKUP(A1186,收盤價!A:C,3,0)</f>
        <v>48.8</v>
      </c>
      <c r="E1186" s="87">
        <v>-5.7915057915057917E-2</v>
      </c>
      <c r="F1186">
        <v>27.37</v>
      </c>
    </row>
    <row r="1187" spans="1:6">
      <c r="A1187">
        <v>3028</v>
      </c>
      <c r="B1187" t="s">
        <v>1004</v>
      </c>
      <c r="C1187">
        <v>17.899999999999999</v>
      </c>
      <c r="D1187">
        <f>VLOOKUP(A1187,收盤價!A:C,3,0)</f>
        <v>16.850000000000001</v>
      </c>
      <c r="E1187" s="87">
        <v>-5.865921787709482E-2</v>
      </c>
      <c r="F1187">
        <v>27.31</v>
      </c>
    </row>
    <row r="1188" spans="1:6">
      <c r="A1188">
        <v>2481</v>
      </c>
      <c r="B1188" t="s">
        <v>868</v>
      </c>
      <c r="C1188">
        <v>16.100000000000001</v>
      </c>
      <c r="D1188">
        <f>VLOOKUP(A1188,收盤價!A:C,3,0)</f>
        <v>15.15</v>
      </c>
      <c r="E1188" s="87">
        <v>-5.9006211180124286E-2</v>
      </c>
      <c r="F1188">
        <v>27.25</v>
      </c>
    </row>
    <row r="1189" spans="1:6">
      <c r="A1189">
        <v>3664</v>
      </c>
      <c r="B1189" t="s">
        <v>1426</v>
      </c>
      <c r="C1189">
        <v>16.100000000000001</v>
      </c>
      <c r="D1189">
        <f>VLOOKUP(A1189,收盤價!A:C,3,0)</f>
        <v>15.15</v>
      </c>
      <c r="E1189" s="87">
        <v>-5.9006211180124286E-2</v>
      </c>
      <c r="F1189">
        <v>27.19</v>
      </c>
    </row>
    <row r="1190" spans="1:6">
      <c r="A1190">
        <v>4557</v>
      </c>
      <c r="B1190" t="s">
        <v>2057</v>
      </c>
      <c r="C1190">
        <v>72.8</v>
      </c>
      <c r="D1190">
        <f>VLOOKUP(A1190,收盤價!A:C,3,0)</f>
        <v>68.5</v>
      </c>
      <c r="E1190" s="87">
        <v>-5.906593406593403E-2</v>
      </c>
      <c r="F1190">
        <v>27.13</v>
      </c>
    </row>
    <row r="1191" spans="1:6">
      <c r="A1191">
        <v>1453</v>
      </c>
      <c r="B1191" t="s">
        <v>578</v>
      </c>
      <c r="C1191">
        <v>8.25</v>
      </c>
      <c r="D1191">
        <f>VLOOKUP(A1191,收盤價!A:C,3,0)</f>
        <v>7.76</v>
      </c>
      <c r="E1191" s="87">
        <v>-5.9393939393939423E-2</v>
      </c>
      <c r="F1191">
        <v>27.07</v>
      </c>
    </row>
    <row r="1192" spans="1:6">
      <c r="A1192">
        <v>8215</v>
      </c>
      <c r="B1192" t="s">
        <v>1261</v>
      </c>
      <c r="C1192">
        <v>15.1</v>
      </c>
      <c r="D1192">
        <f>VLOOKUP(A1192,收盤價!A:C,3,0)</f>
        <v>14.2</v>
      </c>
      <c r="E1192" s="87">
        <v>-5.9602649006622543E-2</v>
      </c>
      <c r="F1192">
        <v>27.01</v>
      </c>
    </row>
    <row r="1193" spans="1:6">
      <c r="A1193">
        <v>4154</v>
      </c>
      <c r="B1193" t="s">
        <v>1448</v>
      </c>
      <c r="C1193">
        <v>20.100000000000001</v>
      </c>
      <c r="D1193">
        <f>VLOOKUP(A1193,收盤價!A:C,3,0)</f>
        <v>18.899999999999999</v>
      </c>
      <c r="E1193" s="87">
        <v>-5.970149253731357E-2</v>
      </c>
      <c r="F1193">
        <v>26.94</v>
      </c>
    </row>
    <row r="1194" spans="1:6">
      <c r="A1194">
        <v>4175</v>
      </c>
      <c r="B1194" t="s">
        <v>336</v>
      </c>
      <c r="C1194">
        <v>87</v>
      </c>
      <c r="D1194">
        <f>VLOOKUP(A1194,收盤價!A:C,3,0)</f>
        <v>81.8</v>
      </c>
      <c r="E1194" s="87">
        <v>-5.9770114942528769E-2</v>
      </c>
      <c r="F1194">
        <v>26.88</v>
      </c>
    </row>
    <row r="1195" spans="1:6">
      <c r="A1195">
        <v>8416</v>
      </c>
      <c r="B1195" t="s">
        <v>475</v>
      </c>
      <c r="C1195">
        <v>98.7</v>
      </c>
      <c r="D1195">
        <f>VLOOKUP(A1195,收盤價!A:C,3,0)</f>
        <v>92.8</v>
      </c>
      <c r="E1195" s="87">
        <v>-5.9777102330293874E-2</v>
      </c>
      <c r="F1195">
        <v>26.82</v>
      </c>
    </row>
    <row r="1196" spans="1:6">
      <c r="A1196">
        <v>2440</v>
      </c>
      <c r="B1196" t="s">
        <v>838</v>
      </c>
      <c r="C1196">
        <v>8.93</v>
      </c>
      <c r="D1196">
        <f>VLOOKUP(A1196,收盤價!A:C,3,0)</f>
        <v>8.39</v>
      </c>
      <c r="E1196" s="87">
        <v>-6.0470324748040219E-2</v>
      </c>
      <c r="F1196">
        <v>26.76</v>
      </c>
    </row>
    <row r="1197" spans="1:6">
      <c r="A1197">
        <v>2832</v>
      </c>
      <c r="B1197" t="s">
        <v>946</v>
      </c>
      <c r="C1197">
        <v>19.8</v>
      </c>
      <c r="D1197">
        <f>VLOOKUP(A1197,收盤價!A:C,3,0)</f>
        <v>18.600000000000001</v>
      </c>
      <c r="E1197" s="87">
        <v>-6.0606060606060566E-2</v>
      </c>
      <c r="F1197">
        <v>26.7</v>
      </c>
    </row>
    <row r="1198" spans="1:6">
      <c r="A1198">
        <v>2732</v>
      </c>
      <c r="B1198" t="s">
        <v>1336</v>
      </c>
      <c r="C1198">
        <v>80.2</v>
      </c>
      <c r="D1198">
        <f>VLOOKUP(A1198,收盤價!A:C,3,0)</f>
        <v>75.3</v>
      </c>
      <c r="E1198" s="87">
        <v>-6.1097256857855428E-2</v>
      </c>
      <c r="F1198">
        <v>26.64</v>
      </c>
    </row>
    <row r="1199" spans="1:6">
      <c r="A1199">
        <v>3213</v>
      </c>
      <c r="B1199" t="s">
        <v>1362</v>
      </c>
      <c r="C1199">
        <v>37.6</v>
      </c>
      <c r="D1199">
        <f>VLOOKUP(A1199,收盤價!A:C,3,0)</f>
        <v>35.299999999999997</v>
      </c>
      <c r="E1199" s="87">
        <v>-6.1170212765957556E-2</v>
      </c>
      <c r="F1199">
        <v>26.58</v>
      </c>
    </row>
    <row r="1200" spans="1:6">
      <c r="A1200">
        <v>2906</v>
      </c>
      <c r="B1200" t="s">
        <v>976</v>
      </c>
      <c r="C1200">
        <v>11.4</v>
      </c>
      <c r="D1200">
        <f>VLOOKUP(A1200,收盤價!A:C,3,0)</f>
        <v>10.7</v>
      </c>
      <c r="E1200" s="87">
        <v>-6.1403508771929918E-2</v>
      </c>
      <c r="F1200">
        <v>26.52</v>
      </c>
    </row>
    <row r="1201" spans="1:6">
      <c r="A1201">
        <v>4416</v>
      </c>
      <c r="B1201" t="s">
        <v>340</v>
      </c>
      <c r="C1201">
        <v>81</v>
      </c>
      <c r="D1201">
        <f>VLOOKUP(A1201,收盤價!A:C,3,0)</f>
        <v>76</v>
      </c>
      <c r="E1201" s="87">
        <v>-6.1728395061728392E-2</v>
      </c>
      <c r="F1201">
        <v>26.45</v>
      </c>
    </row>
    <row r="1202" spans="1:6">
      <c r="A1202">
        <v>2106</v>
      </c>
      <c r="B1202" t="s">
        <v>730</v>
      </c>
      <c r="C1202">
        <v>52</v>
      </c>
      <c r="D1202">
        <f>VLOOKUP(A1202,收盤價!A:C,3,0)</f>
        <v>48.75</v>
      </c>
      <c r="E1202" s="87">
        <v>-6.25E-2</v>
      </c>
      <c r="F1202">
        <v>26.39</v>
      </c>
    </row>
    <row r="1203" spans="1:6">
      <c r="A1203">
        <v>4528</v>
      </c>
      <c r="B1203" t="s">
        <v>1475</v>
      </c>
      <c r="C1203">
        <v>46.1</v>
      </c>
      <c r="D1203">
        <f>VLOOKUP(A1203,收盤價!A:C,3,0)</f>
        <v>43.2</v>
      </c>
      <c r="E1203" s="87">
        <v>-6.2906724511930551E-2</v>
      </c>
      <c r="F1203">
        <v>26.33</v>
      </c>
    </row>
    <row r="1204" spans="1:6">
      <c r="A1204">
        <v>2405</v>
      </c>
      <c r="B1204" t="s">
        <v>811</v>
      </c>
      <c r="C1204">
        <v>8.73</v>
      </c>
      <c r="D1204">
        <f>VLOOKUP(A1204,收盤價!A:C,3,0)</f>
        <v>8.18</v>
      </c>
      <c r="E1204" s="87">
        <v>-6.3001145475372361E-2</v>
      </c>
      <c r="F1204">
        <v>26.27</v>
      </c>
    </row>
    <row r="1205" spans="1:6">
      <c r="A1205">
        <v>6140</v>
      </c>
      <c r="B1205" t="s">
        <v>1595</v>
      </c>
      <c r="C1205">
        <v>11.9</v>
      </c>
      <c r="D1205">
        <f>VLOOKUP(A1205,收盤價!A:C,3,0)</f>
        <v>11.15</v>
      </c>
      <c r="E1205" s="87">
        <v>-6.3025210084033612E-2</v>
      </c>
      <c r="F1205">
        <v>26.21</v>
      </c>
    </row>
    <row r="1206" spans="1:6">
      <c r="A1206">
        <v>4113</v>
      </c>
      <c r="B1206" t="s">
        <v>325</v>
      </c>
      <c r="C1206">
        <v>9.98</v>
      </c>
      <c r="D1206">
        <f>VLOOKUP(A1206,收盤價!A:C,3,0)</f>
        <v>9.35</v>
      </c>
      <c r="E1206" s="87">
        <v>-6.3126252505010097E-2</v>
      </c>
      <c r="F1206">
        <v>26.15</v>
      </c>
    </row>
    <row r="1207" spans="1:6">
      <c r="A1207">
        <v>1795</v>
      </c>
      <c r="B1207" t="s">
        <v>1324</v>
      </c>
      <c r="C1207">
        <v>63</v>
      </c>
      <c r="D1207">
        <f>VLOOKUP(A1207,收盤價!A:C,3,0)</f>
        <v>59</v>
      </c>
      <c r="E1207" s="87">
        <v>-6.3492063492063489E-2</v>
      </c>
      <c r="F1207">
        <v>26.09</v>
      </c>
    </row>
    <row r="1208" spans="1:6">
      <c r="A1208">
        <v>9924</v>
      </c>
      <c r="B1208" t="s">
        <v>1289</v>
      </c>
      <c r="C1208">
        <v>43.9</v>
      </c>
      <c r="D1208">
        <f>VLOOKUP(A1208,收盤價!A:C,3,0)</f>
        <v>41.1</v>
      </c>
      <c r="E1208" s="87">
        <v>-6.3781321184510187E-2</v>
      </c>
      <c r="F1208">
        <v>26.03</v>
      </c>
    </row>
    <row r="1209" spans="1:6">
      <c r="A1209">
        <v>1583</v>
      </c>
      <c r="B1209" t="s">
        <v>634</v>
      </c>
      <c r="C1209">
        <v>60.9</v>
      </c>
      <c r="D1209">
        <f>VLOOKUP(A1209,收盤價!A:C,3,0)</f>
        <v>57</v>
      </c>
      <c r="E1209" s="87">
        <v>-6.4039408866995051E-2</v>
      </c>
      <c r="F1209">
        <v>25.96</v>
      </c>
    </row>
    <row r="1210" spans="1:6">
      <c r="A1210">
        <v>9907</v>
      </c>
      <c r="B1210" t="s">
        <v>1279</v>
      </c>
      <c r="C1210">
        <v>14.8</v>
      </c>
      <c r="D1210">
        <f>VLOOKUP(A1210,收盤價!A:C,3,0)</f>
        <v>13.85</v>
      </c>
      <c r="E1210" s="87">
        <v>-6.4189189189189255E-2</v>
      </c>
      <c r="F1210">
        <v>25.9</v>
      </c>
    </row>
    <row r="1211" spans="1:6">
      <c r="A1211">
        <v>2108</v>
      </c>
      <c r="B1211" t="s">
        <v>732</v>
      </c>
      <c r="C1211">
        <v>25.6</v>
      </c>
      <c r="D1211">
        <f>VLOOKUP(A1211,收盤價!A:C,3,0)</f>
        <v>23.95</v>
      </c>
      <c r="E1211" s="87">
        <v>-6.4453125000000083E-2</v>
      </c>
      <c r="F1211">
        <v>25.84</v>
      </c>
    </row>
    <row r="1212" spans="1:6">
      <c r="A1212">
        <v>3561</v>
      </c>
      <c r="B1212" t="s">
        <v>2049</v>
      </c>
      <c r="C1212">
        <v>17</v>
      </c>
      <c r="D1212">
        <f>VLOOKUP(A1212,收盤價!A:C,3,0)</f>
        <v>15.9</v>
      </c>
      <c r="E1212" s="87">
        <v>-6.4705882352941155E-2</v>
      </c>
      <c r="F1212">
        <v>25.78</v>
      </c>
    </row>
    <row r="1213" spans="1:6">
      <c r="A1213">
        <v>4965</v>
      </c>
      <c r="B1213" t="s">
        <v>360</v>
      </c>
      <c r="C1213">
        <v>102.5</v>
      </c>
      <c r="D1213">
        <f>VLOOKUP(A1213,收盤價!A:C,3,0)</f>
        <v>95.8</v>
      </c>
      <c r="E1213" s="87">
        <v>-6.5365853658536616E-2</v>
      </c>
      <c r="F1213">
        <v>25.72</v>
      </c>
    </row>
    <row r="1214" spans="1:6">
      <c r="A1214">
        <v>6417</v>
      </c>
      <c r="B1214" t="s">
        <v>499</v>
      </c>
      <c r="C1214">
        <v>36</v>
      </c>
      <c r="D1214">
        <f>VLOOKUP(A1214,收盤價!A:C,3,0)</f>
        <v>33.6</v>
      </c>
      <c r="E1214" s="87">
        <v>-6.6666666666666624E-2</v>
      </c>
      <c r="F1214">
        <v>25.66</v>
      </c>
    </row>
    <row r="1215" spans="1:6">
      <c r="A1215">
        <v>8454</v>
      </c>
      <c r="B1215" t="s">
        <v>1270</v>
      </c>
      <c r="C1215">
        <v>225</v>
      </c>
      <c r="D1215">
        <f>VLOOKUP(A1215,收盤價!A:C,3,0)</f>
        <v>210</v>
      </c>
      <c r="E1215" s="87">
        <v>-6.6666666666666666E-2</v>
      </c>
      <c r="F1215">
        <v>25.6</v>
      </c>
    </row>
    <row r="1216" spans="1:6">
      <c r="A1216">
        <v>6207</v>
      </c>
      <c r="B1216" t="s">
        <v>431</v>
      </c>
      <c r="C1216">
        <v>23.2</v>
      </c>
      <c r="D1216">
        <f>VLOOKUP(A1216,收盤價!A:C,3,0)</f>
        <v>21.65</v>
      </c>
      <c r="E1216" s="87">
        <v>-6.6810344827586243E-2</v>
      </c>
      <c r="F1216">
        <v>25.54</v>
      </c>
    </row>
    <row r="1217" spans="1:6">
      <c r="A1217">
        <v>2443</v>
      </c>
      <c r="B1217" t="s">
        <v>841</v>
      </c>
      <c r="C1217">
        <v>7.61</v>
      </c>
      <c r="D1217">
        <f>VLOOKUP(A1217,收盤價!A:C,3,0)</f>
        <v>7.1</v>
      </c>
      <c r="E1217" s="87">
        <v>-6.701708278580823E-2</v>
      </c>
      <c r="F1217">
        <v>25.47</v>
      </c>
    </row>
    <row r="1218" spans="1:6">
      <c r="A1218">
        <v>5438</v>
      </c>
      <c r="B1218" t="s">
        <v>1544</v>
      </c>
      <c r="C1218">
        <v>12.65</v>
      </c>
      <c r="D1218">
        <f>VLOOKUP(A1218,收盤價!A:C,3,0)</f>
        <v>11.8</v>
      </c>
      <c r="E1218" s="87">
        <v>-6.7193675889328036E-2</v>
      </c>
      <c r="F1218">
        <v>25.41</v>
      </c>
    </row>
    <row r="1219" spans="1:6">
      <c r="A1219">
        <v>2610</v>
      </c>
      <c r="B1219" t="s">
        <v>919</v>
      </c>
      <c r="C1219">
        <v>10.1</v>
      </c>
      <c r="D1219">
        <f>VLOOKUP(A1219,收盤價!A:C,3,0)</f>
        <v>9.42</v>
      </c>
      <c r="E1219" s="87">
        <v>-6.7326732673267303E-2</v>
      </c>
      <c r="F1219">
        <v>25.35</v>
      </c>
    </row>
    <row r="1220" spans="1:6">
      <c r="A1220">
        <v>1536</v>
      </c>
      <c r="B1220" t="s">
        <v>624</v>
      </c>
      <c r="C1220">
        <v>140.5</v>
      </c>
      <c r="D1220">
        <f>VLOOKUP(A1220,收盤價!A:C,3,0)</f>
        <v>131</v>
      </c>
      <c r="E1220" s="87">
        <v>-6.7615658362989328E-2</v>
      </c>
      <c r="F1220">
        <v>25.29</v>
      </c>
    </row>
    <row r="1221" spans="1:6">
      <c r="A1221">
        <v>6509</v>
      </c>
      <c r="B1221" t="s">
        <v>456</v>
      </c>
      <c r="C1221">
        <v>19.2</v>
      </c>
      <c r="D1221">
        <f>VLOOKUP(A1221,收盤價!A:C,3,0)</f>
        <v>17.899999999999999</v>
      </c>
      <c r="E1221" s="87">
        <v>-6.770833333333337E-2</v>
      </c>
      <c r="F1221">
        <v>25.23</v>
      </c>
    </row>
    <row r="1222" spans="1:6">
      <c r="A1222">
        <v>4702</v>
      </c>
      <c r="B1222" t="s">
        <v>347</v>
      </c>
      <c r="C1222">
        <v>8.85</v>
      </c>
      <c r="D1222">
        <f>VLOOKUP(A1222,收盤價!A:C,3,0)</f>
        <v>8.25</v>
      </c>
      <c r="E1222" s="87">
        <v>-6.7796610169491484E-2</v>
      </c>
      <c r="F1222">
        <v>25.17</v>
      </c>
    </row>
    <row r="1223" spans="1:6">
      <c r="A1223">
        <v>5203</v>
      </c>
      <c r="B1223" t="s">
        <v>1149</v>
      </c>
      <c r="C1223">
        <v>67.400000000000006</v>
      </c>
      <c r="D1223">
        <f>VLOOKUP(A1223,收盤價!A:C,3,0)</f>
        <v>62.8</v>
      </c>
      <c r="E1223" s="87">
        <v>-6.8249258160237511E-2</v>
      </c>
      <c r="F1223">
        <v>25.11</v>
      </c>
    </row>
    <row r="1224" spans="1:6">
      <c r="A1224">
        <v>3004</v>
      </c>
      <c r="B1224" t="s">
        <v>985</v>
      </c>
      <c r="C1224">
        <v>61.4</v>
      </c>
      <c r="D1224">
        <f>VLOOKUP(A1224,收盤價!A:C,3,0)</f>
        <v>57.2</v>
      </c>
      <c r="E1224" s="87">
        <v>-6.8403908794788207E-2</v>
      </c>
      <c r="F1224">
        <v>25.05</v>
      </c>
    </row>
    <row r="1225" spans="1:6">
      <c r="A1225">
        <v>1725</v>
      </c>
      <c r="B1225" t="s">
        <v>667</v>
      </c>
      <c r="C1225">
        <v>13.85</v>
      </c>
      <c r="D1225">
        <f>VLOOKUP(A1225,收盤價!A:C,3,0)</f>
        <v>12.9</v>
      </c>
      <c r="E1225" s="87">
        <v>-6.85920577617328E-2</v>
      </c>
      <c r="F1225">
        <v>24.98</v>
      </c>
    </row>
    <row r="1226" spans="1:6">
      <c r="A1226">
        <v>3519</v>
      </c>
      <c r="B1226" t="s">
        <v>1076</v>
      </c>
      <c r="C1226">
        <v>18.95</v>
      </c>
      <c r="D1226">
        <f>VLOOKUP(A1226,收盤價!A:C,3,0)</f>
        <v>17.649999999999999</v>
      </c>
      <c r="E1226" s="87">
        <v>-6.8601583113456502E-2</v>
      </c>
      <c r="F1226">
        <v>24.92</v>
      </c>
    </row>
    <row r="1227" spans="1:6">
      <c r="A1227" t="s">
        <v>3147</v>
      </c>
      <c r="B1227" t="s">
        <v>2279</v>
      </c>
      <c r="C1227">
        <v>19.36</v>
      </c>
      <c r="D1227">
        <f>VLOOKUP(A1227,收盤價!A:C,3,0)</f>
        <v>18.010000000000002</v>
      </c>
      <c r="E1227" s="87">
        <v>-6.9731404958677579E-2</v>
      </c>
      <c r="F1227">
        <v>24.86</v>
      </c>
    </row>
    <row r="1228" spans="1:6">
      <c r="A1228">
        <v>3299</v>
      </c>
      <c r="B1228" t="s">
        <v>277</v>
      </c>
      <c r="C1228">
        <v>51.6</v>
      </c>
      <c r="D1228">
        <f>VLOOKUP(A1228,收盤價!A:C,3,0)</f>
        <v>48</v>
      </c>
      <c r="E1228" s="87">
        <v>-6.9767441860465143E-2</v>
      </c>
      <c r="F1228">
        <v>24.8</v>
      </c>
    </row>
    <row r="1229" spans="1:6">
      <c r="A1229">
        <v>1443</v>
      </c>
      <c r="B1229" t="s">
        <v>570</v>
      </c>
      <c r="C1229">
        <v>5</v>
      </c>
      <c r="D1229">
        <f>VLOOKUP(A1229,收盤價!A:C,3,0)</f>
        <v>4.6500000000000004</v>
      </c>
      <c r="E1229" s="87">
        <v>-6.9999999999999923E-2</v>
      </c>
      <c r="F1229">
        <v>24.74</v>
      </c>
    </row>
    <row r="1230" spans="1:6">
      <c r="A1230">
        <v>5259</v>
      </c>
      <c r="B1230" t="s">
        <v>1150</v>
      </c>
      <c r="C1230">
        <v>1.99</v>
      </c>
      <c r="D1230">
        <f>VLOOKUP(A1230,收盤價!A:C,3,0)</f>
        <v>1.85</v>
      </c>
      <c r="E1230" s="87">
        <v>-7.0351758793969807E-2</v>
      </c>
      <c r="F1230">
        <v>24.68</v>
      </c>
    </row>
    <row r="1231" spans="1:6">
      <c r="A1231">
        <v>5603</v>
      </c>
      <c r="B1231" t="s">
        <v>406</v>
      </c>
      <c r="C1231">
        <v>14.15</v>
      </c>
      <c r="D1231">
        <f>VLOOKUP(A1231,收盤價!A:C,3,0)</f>
        <v>13.15</v>
      </c>
      <c r="E1231" s="87">
        <v>-7.0671378091872794E-2</v>
      </c>
      <c r="F1231">
        <v>24.62</v>
      </c>
    </row>
    <row r="1232" spans="1:6">
      <c r="A1232">
        <v>1736</v>
      </c>
      <c r="B1232" t="s">
        <v>677</v>
      </c>
      <c r="C1232">
        <v>49.5</v>
      </c>
      <c r="D1232">
        <f>VLOOKUP(A1232,收盤價!A:C,3,0)</f>
        <v>46</v>
      </c>
      <c r="E1232" s="87">
        <v>-7.0707070707070704E-2</v>
      </c>
      <c r="F1232">
        <v>24.56</v>
      </c>
    </row>
    <row r="1233" spans="1:6">
      <c r="A1233">
        <v>3492</v>
      </c>
      <c r="B1233" t="s">
        <v>1397</v>
      </c>
      <c r="C1233">
        <v>33.799999999999997</v>
      </c>
      <c r="D1233">
        <f>VLOOKUP(A1233,收盤價!A:C,3,0)</f>
        <v>31.4</v>
      </c>
      <c r="E1233" s="87">
        <v>-7.1005917159763274E-2</v>
      </c>
      <c r="F1233">
        <v>24.49</v>
      </c>
    </row>
    <row r="1234" spans="1:6">
      <c r="A1234">
        <v>1442</v>
      </c>
      <c r="B1234" t="s">
        <v>569</v>
      </c>
      <c r="C1234">
        <v>19.7</v>
      </c>
      <c r="D1234">
        <f>VLOOKUP(A1234,收盤價!A:C,3,0)</f>
        <v>18.3</v>
      </c>
      <c r="E1234" s="87">
        <v>-7.1065989847715672E-2</v>
      </c>
      <c r="F1234">
        <v>24.43</v>
      </c>
    </row>
    <row r="1235" spans="1:6">
      <c r="A1235">
        <v>4952</v>
      </c>
      <c r="B1235" t="s">
        <v>1142</v>
      </c>
      <c r="C1235">
        <v>41.3</v>
      </c>
      <c r="D1235">
        <f>VLOOKUP(A1235,收盤價!A:C,3,0)</f>
        <v>38.35</v>
      </c>
      <c r="E1235" s="87">
        <v>-7.1428571428571327E-2</v>
      </c>
      <c r="F1235">
        <v>24.37</v>
      </c>
    </row>
    <row r="1236" spans="1:6">
      <c r="A1236">
        <v>6130</v>
      </c>
      <c r="B1236" t="s">
        <v>416</v>
      </c>
      <c r="C1236">
        <v>24.5</v>
      </c>
      <c r="D1236">
        <f>VLOOKUP(A1236,收盤價!A:C,3,0)</f>
        <v>22.75</v>
      </c>
      <c r="E1236" s="87">
        <v>-7.1428571428571425E-2</v>
      </c>
      <c r="F1236">
        <v>24.31</v>
      </c>
    </row>
    <row r="1237" spans="1:6">
      <c r="A1237">
        <v>2444</v>
      </c>
      <c r="B1237" t="s">
        <v>842</v>
      </c>
      <c r="C1237">
        <v>13.2</v>
      </c>
      <c r="D1237">
        <f>VLOOKUP(A1237,收盤價!A:C,3,0)</f>
        <v>12.25</v>
      </c>
      <c r="E1237" s="87">
        <v>-7.196969696969692E-2</v>
      </c>
      <c r="F1237">
        <v>24.25</v>
      </c>
    </row>
    <row r="1238" spans="1:6">
      <c r="A1238">
        <v>2062</v>
      </c>
      <c r="B1238" t="s">
        <v>724</v>
      </c>
      <c r="C1238">
        <v>44.2</v>
      </c>
      <c r="D1238">
        <f>VLOOKUP(A1238,收盤價!A:C,3,0)</f>
        <v>41</v>
      </c>
      <c r="E1238" s="87">
        <v>-7.2398190045248931E-2</v>
      </c>
      <c r="F1238">
        <v>24.19</v>
      </c>
    </row>
    <row r="1239" spans="1:6">
      <c r="A1239">
        <v>8406</v>
      </c>
      <c r="B1239" t="s">
        <v>1696</v>
      </c>
      <c r="C1239">
        <v>328.5</v>
      </c>
      <c r="D1239">
        <f>VLOOKUP(A1239,收盤價!A:C,3,0)</f>
        <v>304.5</v>
      </c>
      <c r="E1239" s="87">
        <v>-7.3059360730593603E-2</v>
      </c>
      <c r="F1239">
        <v>24.13</v>
      </c>
    </row>
    <row r="1240" spans="1:6">
      <c r="A1240">
        <v>3030</v>
      </c>
      <c r="B1240" t="s">
        <v>1006</v>
      </c>
      <c r="C1240">
        <v>44.7</v>
      </c>
      <c r="D1240">
        <f>VLOOKUP(A1240,收盤價!A:C,3,0)</f>
        <v>41.4</v>
      </c>
      <c r="E1240" s="87">
        <v>-7.3825503355704786E-2</v>
      </c>
      <c r="F1240">
        <v>24.07</v>
      </c>
    </row>
    <row r="1241" spans="1:6">
      <c r="A1241">
        <v>3211</v>
      </c>
      <c r="B1241" t="s">
        <v>1361</v>
      </c>
      <c r="C1241">
        <v>45.35</v>
      </c>
      <c r="D1241">
        <f>VLOOKUP(A1241,收盤價!A:C,3,0)</f>
        <v>42</v>
      </c>
      <c r="E1241" s="87">
        <v>-7.3869900771775118E-2</v>
      </c>
      <c r="F1241">
        <v>24</v>
      </c>
    </row>
    <row r="1242" spans="1:6">
      <c r="A1242">
        <v>4545</v>
      </c>
      <c r="B1242" t="s">
        <v>1801</v>
      </c>
      <c r="C1242">
        <v>55.4</v>
      </c>
      <c r="D1242">
        <f>VLOOKUP(A1242,收盤價!A:C,3,0)</f>
        <v>51.3</v>
      </c>
      <c r="E1242" s="87">
        <v>-7.4007220216606523E-2</v>
      </c>
      <c r="F1242">
        <v>23.94</v>
      </c>
    </row>
    <row r="1243" spans="1:6">
      <c r="A1243">
        <v>1339</v>
      </c>
      <c r="B1243" t="s">
        <v>549</v>
      </c>
      <c r="C1243">
        <v>43.15</v>
      </c>
      <c r="D1243">
        <f>VLOOKUP(A1243,收盤價!A:C,3,0)</f>
        <v>39.950000000000003</v>
      </c>
      <c r="E1243" s="87">
        <v>-7.4159907300115777E-2</v>
      </c>
      <c r="F1243">
        <v>23.88</v>
      </c>
    </row>
    <row r="1244" spans="1:6">
      <c r="A1244">
        <v>1340</v>
      </c>
      <c r="B1244" t="s">
        <v>2034</v>
      </c>
      <c r="C1244">
        <v>63.1</v>
      </c>
      <c r="D1244">
        <f>VLOOKUP(A1244,收盤價!A:C,3,0)</f>
        <v>58.4</v>
      </c>
      <c r="E1244" s="87">
        <v>-7.4484944532488162E-2</v>
      </c>
      <c r="F1244">
        <v>23.82</v>
      </c>
    </row>
    <row r="1245" spans="1:6">
      <c r="A1245">
        <v>2611</v>
      </c>
      <c r="B1245" t="s">
        <v>920</v>
      </c>
      <c r="C1245">
        <v>7.33</v>
      </c>
      <c r="D1245">
        <f>VLOOKUP(A1245,收盤價!A:C,3,0)</f>
        <v>6.78</v>
      </c>
      <c r="E1245" s="87">
        <v>-7.5034106412005433E-2</v>
      </c>
      <c r="F1245">
        <v>23.76</v>
      </c>
    </row>
    <row r="1246" spans="1:6">
      <c r="A1246">
        <v>2606</v>
      </c>
      <c r="B1246" t="s">
        <v>915</v>
      </c>
      <c r="C1246">
        <v>23.8</v>
      </c>
      <c r="D1246">
        <f>VLOOKUP(A1246,收盤價!A:C,3,0)</f>
        <v>22</v>
      </c>
      <c r="E1246" s="87">
        <v>-7.5630252100840359E-2</v>
      </c>
      <c r="F1246">
        <v>23.7</v>
      </c>
    </row>
    <row r="1247" spans="1:6">
      <c r="A1247">
        <v>1413</v>
      </c>
      <c r="B1247" t="s">
        <v>553</v>
      </c>
      <c r="C1247">
        <v>6.34</v>
      </c>
      <c r="D1247">
        <f>VLOOKUP(A1247,收盤價!A:C,3,0)</f>
        <v>5.86</v>
      </c>
      <c r="E1247" s="87">
        <v>-7.5709779179810657E-2</v>
      </c>
      <c r="F1247">
        <v>23.64</v>
      </c>
    </row>
    <row r="1248" spans="1:6">
      <c r="A1248">
        <v>2514</v>
      </c>
      <c r="B1248" t="s">
        <v>890</v>
      </c>
      <c r="C1248">
        <v>18.45</v>
      </c>
      <c r="D1248">
        <f>VLOOKUP(A1248,收盤價!A:C,3,0)</f>
        <v>17.05</v>
      </c>
      <c r="E1248" s="87">
        <v>-7.5880758807588003E-2</v>
      </c>
      <c r="F1248">
        <v>23.58</v>
      </c>
    </row>
    <row r="1249" spans="1:6">
      <c r="A1249">
        <v>2605</v>
      </c>
      <c r="B1249" t="s">
        <v>914</v>
      </c>
      <c r="C1249">
        <v>19.100000000000001</v>
      </c>
      <c r="D1249">
        <f>VLOOKUP(A1249,收盤價!A:C,3,0)</f>
        <v>17.649999999999999</v>
      </c>
      <c r="E1249" s="87">
        <v>-7.5916230366492296E-2</v>
      </c>
      <c r="F1249">
        <v>23.52</v>
      </c>
    </row>
    <row r="1250" spans="1:6">
      <c r="A1250">
        <v>2704</v>
      </c>
      <c r="B1250" t="s">
        <v>932</v>
      </c>
      <c r="C1250">
        <v>25.6</v>
      </c>
      <c r="D1250">
        <f>VLOOKUP(A1250,收盤價!A:C,3,0)</f>
        <v>23.65</v>
      </c>
      <c r="E1250" s="87">
        <v>-7.6171875000000111E-2</v>
      </c>
      <c r="F1250">
        <v>23.45</v>
      </c>
    </row>
    <row r="1251" spans="1:6">
      <c r="A1251">
        <v>5601</v>
      </c>
      <c r="B1251" t="s">
        <v>1565</v>
      </c>
      <c r="C1251">
        <v>26</v>
      </c>
      <c r="D1251">
        <f>VLOOKUP(A1251,收盤價!A:C,3,0)</f>
        <v>24</v>
      </c>
      <c r="E1251" s="87">
        <v>-7.6923076923076927E-2</v>
      </c>
      <c r="F1251">
        <v>23.39</v>
      </c>
    </row>
    <row r="1252" spans="1:6">
      <c r="A1252">
        <v>4163</v>
      </c>
      <c r="B1252" t="s">
        <v>1452</v>
      </c>
      <c r="C1252">
        <v>168.5</v>
      </c>
      <c r="D1252">
        <f>VLOOKUP(A1252,收盤價!A:C,3,0)</f>
        <v>155.5</v>
      </c>
      <c r="E1252" s="87">
        <v>-7.71513353115727E-2</v>
      </c>
      <c r="F1252">
        <v>23.33</v>
      </c>
    </row>
    <row r="1253" spans="1:6">
      <c r="A1253">
        <v>5345</v>
      </c>
      <c r="B1253" t="s">
        <v>384</v>
      </c>
      <c r="C1253">
        <v>9.18</v>
      </c>
      <c r="D1253">
        <f>VLOOKUP(A1253,收盤價!A:C,3,0)</f>
        <v>8.4700000000000006</v>
      </c>
      <c r="E1253" s="87">
        <v>-7.7342047930283125E-2</v>
      </c>
      <c r="F1253">
        <v>23.27</v>
      </c>
    </row>
    <row r="1254" spans="1:6">
      <c r="A1254">
        <v>3052</v>
      </c>
      <c r="B1254" t="s">
        <v>1027</v>
      </c>
      <c r="C1254">
        <v>8.77</v>
      </c>
      <c r="D1254">
        <f>VLOOKUP(A1254,收盤價!A:C,3,0)</f>
        <v>8.09</v>
      </c>
      <c r="E1254" s="87">
        <v>-7.7537058152793589E-2</v>
      </c>
      <c r="F1254">
        <v>23.21</v>
      </c>
    </row>
    <row r="1255" spans="1:6">
      <c r="A1255">
        <v>6105</v>
      </c>
      <c r="B1255" t="s">
        <v>1580</v>
      </c>
      <c r="C1255">
        <v>46.25</v>
      </c>
      <c r="D1255">
        <f>VLOOKUP(A1255,收盤價!A:C,3,0)</f>
        <v>42.65</v>
      </c>
      <c r="E1255" s="87">
        <v>-7.7837837837837875E-2</v>
      </c>
      <c r="F1255">
        <v>23.15</v>
      </c>
    </row>
    <row r="1256" spans="1:6">
      <c r="A1256">
        <v>4107</v>
      </c>
      <c r="B1256" t="s">
        <v>1436</v>
      </c>
      <c r="C1256">
        <v>154</v>
      </c>
      <c r="D1256">
        <f>VLOOKUP(A1256,收盤價!A:C,3,0)</f>
        <v>142</v>
      </c>
      <c r="E1256" s="87">
        <v>-7.792207792207792E-2</v>
      </c>
      <c r="F1256">
        <v>23.09</v>
      </c>
    </row>
    <row r="1257" spans="1:6">
      <c r="A1257">
        <v>5213</v>
      </c>
      <c r="B1257" t="s">
        <v>1516</v>
      </c>
      <c r="C1257">
        <v>14.1</v>
      </c>
      <c r="D1257">
        <f>VLOOKUP(A1257,收盤價!A:C,3,0)</f>
        <v>13</v>
      </c>
      <c r="E1257" s="87">
        <v>-7.8014184397163094E-2</v>
      </c>
      <c r="F1257">
        <v>23.03</v>
      </c>
    </row>
    <row r="1258" spans="1:6">
      <c r="A1258">
        <v>5525</v>
      </c>
      <c r="B1258" t="s">
        <v>1163</v>
      </c>
      <c r="C1258">
        <v>15.95</v>
      </c>
      <c r="D1258">
        <f>VLOOKUP(A1258,收盤價!A:C,3,0)</f>
        <v>14.7</v>
      </c>
      <c r="E1258" s="87">
        <v>-7.8369905956112859E-2</v>
      </c>
      <c r="F1258">
        <v>22.96</v>
      </c>
    </row>
    <row r="1259" spans="1:6">
      <c r="A1259">
        <v>4127</v>
      </c>
      <c r="B1259" t="s">
        <v>1442</v>
      </c>
      <c r="C1259">
        <v>19</v>
      </c>
      <c r="D1259">
        <f>VLOOKUP(A1259,收盤價!A:C,3,0)</f>
        <v>17.5</v>
      </c>
      <c r="E1259" s="87">
        <v>-7.8947368421052627E-2</v>
      </c>
      <c r="F1259">
        <v>22.9</v>
      </c>
    </row>
    <row r="1260" spans="1:6">
      <c r="A1260">
        <v>4720</v>
      </c>
      <c r="B1260" t="s">
        <v>1126</v>
      </c>
      <c r="C1260">
        <v>16.45</v>
      </c>
      <c r="D1260">
        <f>VLOOKUP(A1260,收盤價!A:C,3,0)</f>
        <v>15.15</v>
      </c>
      <c r="E1260" s="87">
        <v>-7.9027355623100246E-2</v>
      </c>
      <c r="F1260">
        <v>22.84</v>
      </c>
    </row>
    <row r="1261" spans="1:6">
      <c r="A1261">
        <v>2855</v>
      </c>
      <c r="B1261" t="s">
        <v>956</v>
      </c>
      <c r="C1261">
        <v>11.85</v>
      </c>
      <c r="D1261">
        <f>VLOOKUP(A1261,收盤價!A:C,3,0)</f>
        <v>10.9</v>
      </c>
      <c r="E1261" s="87">
        <v>-8.0168776371307954E-2</v>
      </c>
      <c r="F1261">
        <v>22.78</v>
      </c>
    </row>
    <row r="1262" spans="1:6">
      <c r="A1262">
        <v>1338</v>
      </c>
      <c r="B1262" t="s">
        <v>2033</v>
      </c>
      <c r="C1262">
        <v>118.5</v>
      </c>
      <c r="D1262">
        <f>VLOOKUP(A1262,收盤價!A:C,3,0)</f>
        <v>109</v>
      </c>
      <c r="E1262" s="87">
        <v>-8.0168776371308023E-2</v>
      </c>
      <c r="F1262">
        <v>22.72</v>
      </c>
    </row>
    <row r="1263" spans="1:6">
      <c r="A1263">
        <v>6247</v>
      </c>
      <c r="B1263" t="s">
        <v>1627</v>
      </c>
      <c r="C1263">
        <v>10.35</v>
      </c>
      <c r="D1263">
        <f>VLOOKUP(A1263,收盤價!A:C,3,0)</f>
        <v>9.52</v>
      </c>
      <c r="E1263" s="87">
        <v>-8.0193236714975857E-2</v>
      </c>
      <c r="F1263">
        <v>22.66</v>
      </c>
    </row>
    <row r="1264" spans="1:6">
      <c r="A1264">
        <v>1533</v>
      </c>
      <c r="B1264" t="s">
        <v>622</v>
      </c>
      <c r="C1264">
        <v>42.85</v>
      </c>
      <c r="D1264">
        <f>VLOOKUP(A1264,收盤價!A:C,3,0)</f>
        <v>39.4</v>
      </c>
      <c r="E1264" s="87">
        <v>-8.0513418903150585E-2</v>
      </c>
      <c r="F1264">
        <v>22.6</v>
      </c>
    </row>
    <row r="1265" spans="1:6">
      <c r="A1265">
        <v>8383</v>
      </c>
      <c r="B1265" t="s">
        <v>473</v>
      </c>
      <c r="C1265">
        <v>54.5</v>
      </c>
      <c r="D1265">
        <f>VLOOKUP(A1265,收盤價!A:C,3,0)</f>
        <v>50.1</v>
      </c>
      <c r="E1265" s="87">
        <v>-8.0733944954128417E-2</v>
      </c>
      <c r="F1265">
        <v>22.54</v>
      </c>
    </row>
    <row r="1266" spans="1:6">
      <c r="A1266">
        <v>2373</v>
      </c>
      <c r="B1266" t="s">
        <v>790</v>
      </c>
      <c r="C1266">
        <v>55.7</v>
      </c>
      <c r="D1266">
        <f>VLOOKUP(A1266,收盤價!A:C,3,0)</f>
        <v>51.2</v>
      </c>
      <c r="E1266" s="87">
        <v>-8.0789946140035901E-2</v>
      </c>
      <c r="F1266">
        <v>22.47</v>
      </c>
    </row>
    <row r="1267" spans="1:6">
      <c r="A1267">
        <v>2734</v>
      </c>
      <c r="B1267" t="s">
        <v>244</v>
      </c>
      <c r="C1267">
        <v>19.8</v>
      </c>
      <c r="D1267">
        <f>VLOOKUP(A1267,收盤價!A:C,3,0)</f>
        <v>18.2</v>
      </c>
      <c r="E1267" s="87">
        <v>-8.080808080808087E-2</v>
      </c>
      <c r="F1267">
        <v>22.41</v>
      </c>
    </row>
    <row r="1268" spans="1:6">
      <c r="A1268">
        <v>6146</v>
      </c>
      <c r="B1268" t="s">
        <v>417</v>
      </c>
      <c r="C1268">
        <v>172</v>
      </c>
      <c r="D1268">
        <f>VLOOKUP(A1268,收盤價!A:C,3,0)</f>
        <v>158</v>
      </c>
      <c r="E1268" s="87">
        <v>-8.1395348837209308E-2</v>
      </c>
      <c r="F1268">
        <v>22.35</v>
      </c>
    </row>
    <row r="1269" spans="1:6">
      <c r="A1269">
        <v>4168</v>
      </c>
      <c r="B1269" t="s">
        <v>333</v>
      </c>
      <c r="C1269">
        <v>37.299999999999997</v>
      </c>
      <c r="D1269">
        <f>VLOOKUP(A1269,收盤價!A:C,3,0)</f>
        <v>34.25</v>
      </c>
      <c r="E1269" s="87">
        <v>-8.1769436997318964E-2</v>
      </c>
      <c r="F1269">
        <v>22.29</v>
      </c>
    </row>
    <row r="1270" spans="1:6">
      <c r="A1270">
        <v>6194</v>
      </c>
      <c r="B1270" t="s">
        <v>1611</v>
      </c>
      <c r="C1270">
        <v>17.7</v>
      </c>
      <c r="D1270">
        <f>VLOOKUP(A1270,收盤價!A:C,3,0)</f>
        <v>16.25</v>
      </c>
      <c r="E1270" s="87">
        <v>-8.1920903954802227E-2</v>
      </c>
      <c r="F1270">
        <v>22.23</v>
      </c>
    </row>
    <row r="1271" spans="1:6">
      <c r="A1271">
        <v>2208</v>
      </c>
      <c r="B1271" t="s">
        <v>738</v>
      </c>
      <c r="C1271">
        <v>14.6</v>
      </c>
      <c r="D1271">
        <f>VLOOKUP(A1271,收盤價!A:C,3,0)</f>
        <v>13.4</v>
      </c>
      <c r="E1271" s="87">
        <v>-8.2191780821917762E-2</v>
      </c>
      <c r="F1271">
        <v>22.17</v>
      </c>
    </row>
    <row r="1272" spans="1:6">
      <c r="A1272">
        <v>4180</v>
      </c>
      <c r="B1272" t="s">
        <v>1454</v>
      </c>
      <c r="C1272">
        <v>115.5</v>
      </c>
      <c r="D1272">
        <f>VLOOKUP(A1272,收盤價!A:C,3,0)</f>
        <v>106</v>
      </c>
      <c r="E1272" s="87">
        <v>-8.2251082251082255E-2</v>
      </c>
      <c r="F1272">
        <v>22.11</v>
      </c>
    </row>
    <row r="1273" spans="1:6">
      <c r="A1273">
        <v>1788</v>
      </c>
      <c r="B1273" t="s">
        <v>1323</v>
      </c>
      <c r="C1273">
        <v>96</v>
      </c>
      <c r="D1273">
        <f>VLOOKUP(A1273,收盤價!A:C,3,0)</f>
        <v>88.1</v>
      </c>
      <c r="E1273" s="87">
        <v>-8.2291666666666721E-2</v>
      </c>
      <c r="F1273">
        <v>22.05</v>
      </c>
    </row>
    <row r="1274" spans="1:6">
      <c r="A1274">
        <v>6156</v>
      </c>
      <c r="B1274" t="s">
        <v>1725</v>
      </c>
      <c r="C1274">
        <v>17</v>
      </c>
      <c r="D1274">
        <f>VLOOKUP(A1274,收盤價!A:C,3,0)</f>
        <v>15.6</v>
      </c>
      <c r="E1274" s="87">
        <v>-8.2352941176470615E-2</v>
      </c>
      <c r="F1274">
        <v>21.98</v>
      </c>
    </row>
    <row r="1275" spans="1:6">
      <c r="A1275">
        <v>3570</v>
      </c>
      <c r="B1275" t="s">
        <v>1413</v>
      </c>
      <c r="C1275">
        <v>52</v>
      </c>
      <c r="D1275">
        <f>VLOOKUP(A1275,收盤價!A:C,3,0)</f>
        <v>47.7</v>
      </c>
      <c r="E1275" s="87">
        <v>-8.2692307692307634E-2</v>
      </c>
      <c r="F1275">
        <v>21.92</v>
      </c>
    </row>
    <row r="1276" spans="1:6">
      <c r="A1276">
        <v>3234</v>
      </c>
      <c r="B1276" t="s">
        <v>266</v>
      </c>
      <c r="C1276">
        <v>63.7</v>
      </c>
      <c r="D1276">
        <f>VLOOKUP(A1276,收盤價!A:C,3,0)</f>
        <v>58.4</v>
      </c>
      <c r="E1276" s="87">
        <v>-8.3202511773940405E-2</v>
      </c>
      <c r="F1276">
        <v>21.86</v>
      </c>
    </row>
    <row r="1277" spans="1:6">
      <c r="A1277">
        <v>6121</v>
      </c>
      <c r="B1277" t="s">
        <v>414</v>
      </c>
      <c r="C1277">
        <v>108</v>
      </c>
      <c r="D1277">
        <f>VLOOKUP(A1277,收盤價!A:C,3,0)</f>
        <v>99</v>
      </c>
      <c r="E1277" s="87">
        <v>-8.3333333333333329E-2</v>
      </c>
      <c r="F1277">
        <v>21.8</v>
      </c>
    </row>
    <row r="1278" spans="1:6">
      <c r="A1278">
        <v>1465</v>
      </c>
      <c r="B1278" t="s">
        <v>587</v>
      </c>
      <c r="C1278">
        <v>13.8</v>
      </c>
      <c r="D1278">
        <f>VLOOKUP(A1278,收盤價!A:C,3,0)</f>
        <v>12.65</v>
      </c>
      <c r="E1278" s="87">
        <v>-8.3333333333333356E-2</v>
      </c>
      <c r="F1278">
        <v>21.74</v>
      </c>
    </row>
    <row r="1279" spans="1:6">
      <c r="A1279">
        <v>8299</v>
      </c>
      <c r="B1279" t="s">
        <v>1689</v>
      </c>
      <c r="C1279">
        <v>245</v>
      </c>
      <c r="D1279">
        <f>VLOOKUP(A1279,收盤價!A:C,3,0)</f>
        <v>224.5</v>
      </c>
      <c r="E1279" s="87">
        <v>-8.3673469387755106E-2</v>
      </c>
      <c r="F1279">
        <v>21.68</v>
      </c>
    </row>
    <row r="1280" spans="1:6">
      <c r="A1280">
        <v>9157</v>
      </c>
      <c r="B1280" t="s">
        <v>2103</v>
      </c>
      <c r="C1280">
        <v>1.19</v>
      </c>
      <c r="D1280">
        <f>VLOOKUP(A1280,收盤價!A:C,3,0)</f>
        <v>1.0900000000000001</v>
      </c>
      <c r="E1280" s="87">
        <v>-8.4033613445378047E-2</v>
      </c>
      <c r="F1280">
        <v>21.62</v>
      </c>
    </row>
    <row r="1281" spans="1:6">
      <c r="A1281">
        <v>8418</v>
      </c>
      <c r="B1281" t="s">
        <v>1698</v>
      </c>
      <c r="C1281">
        <v>13</v>
      </c>
      <c r="D1281">
        <f>VLOOKUP(A1281,收盤價!A:C,3,0)</f>
        <v>11.9</v>
      </c>
      <c r="E1281" s="87">
        <v>-8.4615384615384592E-2</v>
      </c>
      <c r="F1281">
        <v>21.56</v>
      </c>
    </row>
    <row r="1282" spans="1:6">
      <c r="A1282">
        <v>6204</v>
      </c>
      <c r="B1282" t="s">
        <v>1614</v>
      </c>
      <c r="C1282">
        <v>21.85</v>
      </c>
      <c r="D1282">
        <f>VLOOKUP(A1282,收盤價!A:C,3,0)</f>
        <v>20</v>
      </c>
      <c r="E1282" s="87">
        <v>-8.4668192219679694E-2</v>
      </c>
      <c r="F1282">
        <v>21.49</v>
      </c>
    </row>
    <row r="1283" spans="1:6">
      <c r="A1283">
        <v>2916</v>
      </c>
      <c r="B1283" t="s">
        <v>1337</v>
      </c>
      <c r="C1283">
        <v>17.7</v>
      </c>
      <c r="D1283">
        <f>VLOOKUP(A1283,收盤價!A:C,3,0)</f>
        <v>16.2</v>
      </c>
      <c r="E1283" s="87">
        <v>-8.4745762711864417E-2</v>
      </c>
      <c r="F1283">
        <v>21.43</v>
      </c>
    </row>
    <row r="1284" spans="1:6">
      <c r="A1284">
        <v>1108</v>
      </c>
      <c r="B1284" t="s">
        <v>508</v>
      </c>
      <c r="C1284">
        <v>10</v>
      </c>
      <c r="D1284">
        <f>VLOOKUP(A1284,收盤價!A:C,3,0)</f>
        <v>9.15</v>
      </c>
      <c r="E1284" s="87">
        <v>-8.4999999999999964E-2</v>
      </c>
      <c r="F1284">
        <v>21.37</v>
      </c>
    </row>
    <row r="1285" spans="1:6">
      <c r="A1285">
        <v>5533</v>
      </c>
      <c r="B1285" t="s">
        <v>1165</v>
      </c>
      <c r="C1285">
        <v>17</v>
      </c>
      <c r="D1285">
        <f>VLOOKUP(A1285,收盤價!A:C,3,0)</f>
        <v>15.55</v>
      </c>
      <c r="E1285" s="87">
        <v>-8.5294117647058784E-2</v>
      </c>
      <c r="F1285">
        <v>21.31</v>
      </c>
    </row>
    <row r="1286" spans="1:6">
      <c r="A1286">
        <v>1735</v>
      </c>
      <c r="B1286" t="s">
        <v>676</v>
      </c>
      <c r="C1286">
        <v>13.45</v>
      </c>
      <c r="D1286">
        <f>VLOOKUP(A1286,收盤價!A:C,3,0)</f>
        <v>12.3</v>
      </c>
      <c r="E1286" s="87">
        <v>-8.550185873605938E-2</v>
      </c>
      <c r="F1286">
        <v>21.25</v>
      </c>
    </row>
    <row r="1287" spans="1:6">
      <c r="A1287">
        <v>2706</v>
      </c>
      <c r="B1287" t="s">
        <v>934</v>
      </c>
      <c r="C1287">
        <v>18.100000000000001</v>
      </c>
      <c r="D1287">
        <f>VLOOKUP(A1287,收盤價!A:C,3,0)</f>
        <v>16.55</v>
      </c>
      <c r="E1287" s="87">
        <v>-8.5635359116022131E-2</v>
      </c>
      <c r="F1287">
        <v>21.19</v>
      </c>
    </row>
    <row r="1288" spans="1:6">
      <c r="A1288">
        <v>2707</v>
      </c>
      <c r="B1288" t="s">
        <v>935</v>
      </c>
      <c r="C1288">
        <v>192.5</v>
      </c>
      <c r="D1288">
        <f>VLOOKUP(A1288,收盤價!A:C,3,0)</f>
        <v>176</v>
      </c>
      <c r="E1288" s="87">
        <v>-8.5714285714285715E-2</v>
      </c>
      <c r="F1288">
        <v>21.13</v>
      </c>
    </row>
    <row r="1289" spans="1:6">
      <c r="A1289">
        <v>4721</v>
      </c>
      <c r="B1289" t="s">
        <v>351</v>
      </c>
      <c r="C1289">
        <v>32.450000000000003</v>
      </c>
      <c r="D1289">
        <f>VLOOKUP(A1289,收盤價!A:C,3,0)</f>
        <v>29.65</v>
      </c>
      <c r="E1289" s="87">
        <v>-8.6286594761171162E-2</v>
      </c>
      <c r="F1289">
        <v>21.07</v>
      </c>
    </row>
    <row r="1290" spans="1:6">
      <c r="A1290">
        <v>3038</v>
      </c>
      <c r="B1290" t="s">
        <v>1014</v>
      </c>
      <c r="C1290">
        <v>11</v>
      </c>
      <c r="D1290">
        <f>VLOOKUP(A1290,收盤價!A:C,3,0)</f>
        <v>10.050000000000001</v>
      </c>
      <c r="E1290" s="87">
        <v>-8.6363636363636295E-2</v>
      </c>
      <c r="F1290">
        <v>21</v>
      </c>
    </row>
    <row r="1291" spans="1:6">
      <c r="A1291">
        <v>5007</v>
      </c>
      <c r="B1291" t="s">
        <v>1148</v>
      </c>
      <c r="C1291">
        <v>60.2</v>
      </c>
      <c r="D1291">
        <f>VLOOKUP(A1291,收盤價!A:C,3,0)</f>
        <v>55</v>
      </c>
      <c r="E1291" s="87">
        <v>-8.6378737541528278E-2</v>
      </c>
      <c r="F1291">
        <v>20.94</v>
      </c>
    </row>
    <row r="1292" spans="1:6">
      <c r="A1292">
        <v>8424</v>
      </c>
      <c r="B1292" t="s">
        <v>478</v>
      </c>
      <c r="C1292">
        <v>37</v>
      </c>
      <c r="D1292">
        <f>VLOOKUP(A1292,收盤價!A:C,3,0)</f>
        <v>33.799999999999997</v>
      </c>
      <c r="E1292" s="87">
        <v>-8.6486486486486561E-2</v>
      </c>
      <c r="F1292">
        <v>20.88</v>
      </c>
    </row>
    <row r="1293" spans="1:6">
      <c r="A1293">
        <v>3379</v>
      </c>
      <c r="B1293" t="s">
        <v>1386</v>
      </c>
      <c r="C1293">
        <v>11.5</v>
      </c>
      <c r="D1293">
        <f>VLOOKUP(A1293,收盤價!A:C,3,0)</f>
        <v>10.5</v>
      </c>
      <c r="E1293" s="87">
        <v>-8.6956521739130432E-2</v>
      </c>
      <c r="F1293">
        <v>20.82</v>
      </c>
    </row>
    <row r="1294" spans="1:6">
      <c r="A1294">
        <v>4126</v>
      </c>
      <c r="B1294" t="s">
        <v>327</v>
      </c>
      <c r="C1294">
        <v>103.5</v>
      </c>
      <c r="D1294">
        <f>VLOOKUP(A1294,收盤價!A:C,3,0)</f>
        <v>94.5</v>
      </c>
      <c r="E1294" s="87">
        <v>-8.6956521739130432E-2</v>
      </c>
      <c r="F1294">
        <v>20.76</v>
      </c>
    </row>
    <row r="1295" spans="1:6">
      <c r="A1295">
        <v>6177</v>
      </c>
      <c r="B1295" t="s">
        <v>1194</v>
      </c>
      <c r="C1295">
        <v>21.85</v>
      </c>
      <c r="D1295">
        <f>VLOOKUP(A1295,收盤價!A:C,3,0)</f>
        <v>19.95</v>
      </c>
      <c r="E1295" s="87">
        <v>-8.695652173913053E-2</v>
      </c>
      <c r="F1295">
        <v>20.7</v>
      </c>
    </row>
    <row r="1296" spans="1:6">
      <c r="A1296">
        <v>5529</v>
      </c>
      <c r="B1296" t="s">
        <v>1563</v>
      </c>
      <c r="C1296">
        <v>9.6199999999999992</v>
      </c>
      <c r="D1296">
        <f>VLOOKUP(A1296,收盤價!A:C,3,0)</f>
        <v>8.7799999999999994</v>
      </c>
      <c r="E1296" s="87">
        <v>-8.7318087318087309E-2</v>
      </c>
      <c r="F1296">
        <v>20.64</v>
      </c>
    </row>
    <row r="1297" spans="1:6">
      <c r="A1297">
        <v>6457</v>
      </c>
      <c r="B1297" t="s">
        <v>1642</v>
      </c>
      <c r="C1297">
        <v>35.5</v>
      </c>
      <c r="D1297">
        <f>VLOOKUP(A1297,收盤價!A:C,3,0)</f>
        <v>32.4</v>
      </c>
      <c r="E1297" s="87">
        <v>-8.7323943661971867E-2</v>
      </c>
      <c r="F1297">
        <v>20.58</v>
      </c>
    </row>
    <row r="1298" spans="1:6">
      <c r="A1298">
        <v>5310</v>
      </c>
      <c r="B1298" t="s">
        <v>1525</v>
      </c>
      <c r="C1298">
        <v>25.65</v>
      </c>
      <c r="D1298">
        <f>VLOOKUP(A1298,收盤價!A:C,3,0)</f>
        <v>23.4</v>
      </c>
      <c r="E1298" s="87">
        <v>-8.7719298245614044E-2</v>
      </c>
      <c r="F1298">
        <v>20.51</v>
      </c>
    </row>
    <row r="1299" spans="1:6">
      <c r="A1299">
        <v>3033</v>
      </c>
      <c r="B1299" t="s">
        <v>1009</v>
      </c>
      <c r="C1299">
        <v>19.350000000000001</v>
      </c>
      <c r="D1299">
        <f>VLOOKUP(A1299,收盤價!A:C,3,0)</f>
        <v>17.649999999999999</v>
      </c>
      <c r="E1299" s="87">
        <v>-8.7855297157622886E-2</v>
      </c>
      <c r="F1299">
        <v>20.45</v>
      </c>
    </row>
    <row r="1300" spans="1:6">
      <c r="A1300">
        <v>3060</v>
      </c>
      <c r="B1300" t="s">
        <v>1034</v>
      </c>
      <c r="C1300">
        <v>42.45</v>
      </c>
      <c r="D1300">
        <f>VLOOKUP(A1300,收盤價!A:C,3,0)</f>
        <v>38.700000000000003</v>
      </c>
      <c r="E1300" s="87">
        <v>-8.8339222614840979E-2</v>
      </c>
      <c r="F1300">
        <v>20.39</v>
      </c>
    </row>
    <row r="1301" spans="1:6">
      <c r="A1301">
        <v>3064</v>
      </c>
      <c r="B1301" t="s">
        <v>1340</v>
      </c>
      <c r="C1301">
        <v>31.6</v>
      </c>
      <c r="D1301">
        <f>VLOOKUP(A1301,收盤價!A:C,3,0)</f>
        <v>28.8</v>
      </c>
      <c r="E1301" s="87">
        <v>-8.8607594936708875E-2</v>
      </c>
      <c r="F1301">
        <v>20.329999999999998</v>
      </c>
    </row>
    <row r="1302" spans="1:6">
      <c r="A1302">
        <v>4960</v>
      </c>
      <c r="B1302" t="s">
        <v>1144</v>
      </c>
      <c r="C1302">
        <v>14.05</v>
      </c>
      <c r="D1302">
        <f>VLOOKUP(A1302,收盤價!A:C,3,0)</f>
        <v>12.8</v>
      </c>
      <c r="E1302" s="87">
        <v>-8.8967971530249101E-2</v>
      </c>
      <c r="F1302">
        <v>20.27</v>
      </c>
    </row>
    <row r="1303" spans="1:6">
      <c r="A1303">
        <v>3501</v>
      </c>
      <c r="B1303" t="s">
        <v>1071</v>
      </c>
      <c r="C1303">
        <v>51.7</v>
      </c>
      <c r="D1303">
        <f>VLOOKUP(A1303,收盤價!A:C,3,0)</f>
        <v>47.05</v>
      </c>
      <c r="E1303" s="87">
        <v>-8.9941972920696431E-2</v>
      </c>
      <c r="F1303">
        <v>20.21</v>
      </c>
    </row>
    <row r="1304" spans="1:6">
      <c r="A1304">
        <v>6170</v>
      </c>
      <c r="B1304" t="s">
        <v>422</v>
      </c>
      <c r="C1304">
        <v>10.4</v>
      </c>
      <c r="D1304">
        <f>VLOOKUP(A1304,收盤價!A:C,3,0)</f>
        <v>9.4600000000000009</v>
      </c>
      <c r="E1304" s="87">
        <v>-9.0384615384615327E-2</v>
      </c>
      <c r="F1304">
        <v>20.149999999999999</v>
      </c>
    </row>
    <row r="1305" spans="1:6">
      <c r="A1305">
        <v>5531</v>
      </c>
      <c r="B1305" t="s">
        <v>1164</v>
      </c>
      <c r="C1305">
        <v>11.05</v>
      </c>
      <c r="D1305">
        <f>VLOOKUP(A1305,收盤價!A:C,3,0)</f>
        <v>10.050000000000001</v>
      </c>
      <c r="E1305" s="87">
        <v>-9.0497737556561084E-2</v>
      </c>
      <c r="F1305">
        <v>20.09</v>
      </c>
    </row>
    <row r="1306" spans="1:6">
      <c r="A1306">
        <v>3498</v>
      </c>
      <c r="B1306" t="s">
        <v>1398</v>
      </c>
      <c r="C1306">
        <v>49.5</v>
      </c>
      <c r="D1306">
        <f>VLOOKUP(A1306,收盤價!A:C,3,0)</f>
        <v>45</v>
      </c>
      <c r="E1306" s="87">
        <v>-9.0909090909090912E-2</v>
      </c>
      <c r="F1306">
        <v>20.02</v>
      </c>
    </row>
    <row r="1307" spans="1:6">
      <c r="A1307">
        <v>4433</v>
      </c>
      <c r="B1307" t="s">
        <v>1470</v>
      </c>
      <c r="C1307">
        <v>32.299999999999997</v>
      </c>
      <c r="D1307">
        <f>VLOOKUP(A1307,收盤價!A:C,3,0)</f>
        <v>29.35</v>
      </c>
      <c r="E1307" s="87">
        <v>-9.1331269349845076E-2</v>
      </c>
      <c r="F1307">
        <v>19.96</v>
      </c>
    </row>
    <row r="1308" spans="1:6">
      <c r="A1308">
        <v>5383</v>
      </c>
      <c r="B1308" t="s">
        <v>1538</v>
      </c>
      <c r="C1308">
        <v>9.3800000000000008</v>
      </c>
      <c r="D1308">
        <f>VLOOKUP(A1308,收盤價!A:C,3,0)</f>
        <v>8.52</v>
      </c>
      <c r="E1308" s="87">
        <v>-9.1684434968017176E-2</v>
      </c>
      <c r="F1308">
        <v>19.899999999999999</v>
      </c>
    </row>
    <row r="1309" spans="1:6">
      <c r="A1309">
        <v>1599</v>
      </c>
      <c r="B1309" t="s">
        <v>1319</v>
      </c>
      <c r="C1309">
        <v>55.3</v>
      </c>
      <c r="D1309">
        <f>VLOOKUP(A1309,收盤價!A:C,3,0)</f>
        <v>50.2</v>
      </c>
      <c r="E1309" s="87">
        <v>-9.2224231464737697E-2</v>
      </c>
      <c r="F1309">
        <v>19.84</v>
      </c>
    </row>
    <row r="1310" spans="1:6">
      <c r="A1310">
        <v>8171</v>
      </c>
      <c r="B1310" t="s">
        <v>1678</v>
      </c>
      <c r="C1310">
        <v>10.3</v>
      </c>
      <c r="D1310">
        <f>VLOOKUP(A1310,收盤價!A:C,3,0)</f>
        <v>9.35</v>
      </c>
      <c r="E1310" s="87">
        <v>-9.2233009708737962E-2</v>
      </c>
      <c r="F1310">
        <v>19.78</v>
      </c>
    </row>
    <row r="1311" spans="1:6">
      <c r="A1311">
        <v>4406</v>
      </c>
      <c r="B1311" t="s">
        <v>1462</v>
      </c>
      <c r="C1311">
        <v>11.3</v>
      </c>
      <c r="D1311">
        <f>VLOOKUP(A1311,收盤價!A:C,3,0)</f>
        <v>10.25</v>
      </c>
      <c r="E1311" s="87">
        <v>-9.2920353982300946E-2</v>
      </c>
      <c r="F1311">
        <v>19.72</v>
      </c>
    </row>
    <row r="1312" spans="1:6">
      <c r="A1312">
        <v>2485</v>
      </c>
      <c r="B1312" t="s">
        <v>872</v>
      </c>
      <c r="C1312">
        <v>39.25</v>
      </c>
      <c r="D1312">
        <f>VLOOKUP(A1312,收盤價!A:C,3,0)</f>
        <v>35.6</v>
      </c>
      <c r="E1312" s="87">
        <v>-9.2993630573248373E-2</v>
      </c>
      <c r="F1312">
        <v>19.66</v>
      </c>
    </row>
    <row r="1313" spans="1:6">
      <c r="A1313">
        <v>2109</v>
      </c>
      <c r="B1313" t="s">
        <v>733</v>
      </c>
      <c r="C1313">
        <v>11.25</v>
      </c>
      <c r="D1313">
        <f>VLOOKUP(A1313,收盤價!A:C,3,0)</f>
        <v>10.199999999999999</v>
      </c>
      <c r="E1313" s="87">
        <v>-9.3333333333333393E-2</v>
      </c>
      <c r="F1313">
        <v>19.600000000000001</v>
      </c>
    </row>
    <row r="1314" spans="1:6">
      <c r="A1314">
        <v>8150</v>
      </c>
      <c r="B1314" t="s">
        <v>1256</v>
      </c>
      <c r="C1314">
        <v>30.9</v>
      </c>
      <c r="D1314">
        <f>VLOOKUP(A1314,收盤價!A:C,3,0)</f>
        <v>28</v>
      </c>
      <c r="E1314" s="87">
        <v>-9.3851132686084096E-2</v>
      </c>
      <c r="F1314">
        <v>19.53</v>
      </c>
    </row>
    <row r="1315" spans="1:6">
      <c r="A1315">
        <v>5291</v>
      </c>
      <c r="B1315" t="s">
        <v>377</v>
      </c>
      <c r="C1315">
        <v>15.4</v>
      </c>
      <c r="D1315">
        <f>VLOOKUP(A1315,收盤價!A:C,3,0)</f>
        <v>13.95</v>
      </c>
      <c r="E1315" s="87">
        <v>-9.4155844155844229E-2</v>
      </c>
      <c r="F1315">
        <v>19.47</v>
      </c>
    </row>
    <row r="1316" spans="1:6">
      <c r="A1316">
        <v>6233</v>
      </c>
      <c r="B1316" t="s">
        <v>1622</v>
      </c>
      <c r="C1316">
        <v>10.95</v>
      </c>
      <c r="D1316">
        <f>VLOOKUP(A1316,收盤價!A:C,3,0)</f>
        <v>9.91</v>
      </c>
      <c r="E1316" s="87">
        <v>-9.4977168949771623E-2</v>
      </c>
      <c r="F1316">
        <v>19.41</v>
      </c>
    </row>
    <row r="1317" spans="1:6">
      <c r="A1317">
        <v>3665</v>
      </c>
      <c r="B1317" t="s">
        <v>2051</v>
      </c>
      <c r="C1317">
        <v>173.5</v>
      </c>
      <c r="D1317">
        <f>VLOOKUP(A1317,收盤價!A:C,3,0)</f>
        <v>157</v>
      </c>
      <c r="E1317" s="87">
        <v>-9.5100864553314124E-2</v>
      </c>
      <c r="F1317">
        <v>19.350000000000001</v>
      </c>
    </row>
    <row r="1318" spans="1:6">
      <c r="A1318">
        <v>4306</v>
      </c>
      <c r="B1318" t="s">
        <v>1119</v>
      </c>
      <c r="C1318">
        <v>13.45</v>
      </c>
      <c r="D1318">
        <f>VLOOKUP(A1318,收盤價!A:C,3,0)</f>
        <v>12.15</v>
      </c>
      <c r="E1318" s="87">
        <v>-9.6654275092936726E-2</v>
      </c>
      <c r="F1318">
        <v>19.29</v>
      </c>
    </row>
    <row r="1319" spans="1:6">
      <c r="A1319">
        <v>8443</v>
      </c>
      <c r="B1319" t="s">
        <v>1269</v>
      </c>
      <c r="C1319">
        <v>21.2</v>
      </c>
      <c r="D1319">
        <f>VLOOKUP(A1319,收盤價!A:C,3,0)</f>
        <v>19.149999999999999</v>
      </c>
      <c r="E1319" s="87">
        <v>-9.6698113207547204E-2</v>
      </c>
      <c r="F1319">
        <v>19.23</v>
      </c>
    </row>
    <row r="1320" spans="1:6">
      <c r="A1320">
        <v>4104</v>
      </c>
      <c r="B1320" t="s">
        <v>1112</v>
      </c>
      <c r="C1320">
        <v>50.1</v>
      </c>
      <c r="D1320">
        <f>VLOOKUP(A1320,收盤價!A:C,3,0)</f>
        <v>45.25</v>
      </c>
      <c r="E1320" s="87">
        <v>-9.6806387225548934E-2</v>
      </c>
      <c r="F1320">
        <v>19.170000000000002</v>
      </c>
    </row>
    <row r="1321" spans="1:6">
      <c r="A1321">
        <v>4106</v>
      </c>
      <c r="B1321" t="s">
        <v>1113</v>
      </c>
      <c r="C1321">
        <v>38</v>
      </c>
      <c r="D1321">
        <f>VLOOKUP(A1321,收盤價!A:C,3,0)</f>
        <v>34.299999999999997</v>
      </c>
      <c r="E1321" s="87">
        <v>-9.736842105263166E-2</v>
      </c>
      <c r="F1321">
        <v>19.11</v>
      </c>
    </row>
    <row r="1322" spans="1:6">
      <c r="A1322">
        <v>2438</v>
      </c>
      <c r="B1322" t="s">
        <v>836</v>
      </c>
      <c r="C1322">
        <v>12.3</v>
      </c>
      <c r="D1322">
        <f>VLOOKUP(A1322,收盤價!A:C,3,0)</f>
        <v>11.1</v>
      </c>
      <c r="E1322" s="87">
        <v>-9.7560975609756184E-2</v>
      </c>
      <c r="F1322">
        <v>19.04</v>
      </c>
    </row>
    <row r="1323" spans="1:6">
      <c r="A1323">
        <v>8072</v>
      </c>
      <c r="B1323" t="s">
        <v>1247</v>
      </c>
      <c r="C1323">
        <v>24.6</v>
      </c>
      <c r="D1323">
        <f>VLOOKUP(A1323,收盤價!A:C,3,0)</f>
        <v>22.2</v>
      </c>
      <c r="E1323" s="87">
        <v>-9.7560975609756184E-2</v>
      </c>
      <c r="F1323">
        <v>18.98</v>
      </c>
    </row>
    <row r="1324" spans="1:6">
      <c r="A1324">
        <v>2731</v>
      </c>
      <c r="B1324" t="s">
        <v>939</v>
      </c>
      <c r="C1324">
        <v>88.1</v>
      </c>
      <c r="D1324">
        <f>VLOOKUP(A1324,收盤價!A:C,3,0)</f>
        <v>79.5</v>
      </c>
      <c r="E1324" s="87">
        <v>-9.7616345062429E-2</v>
      </c>
      <c r="F1324">
        <v>18.920000000000002</v>
      </c>
    </row>
    <row r="1325" spans="1:6">
      <c r="A1325">
        <v>4164</v>
      </c>
      <c r="B1325" t="s">
        <v>1118</v>
      </c>
      <c r="C1325">
        <v>48.65</v>
      </c>
      <c r="D1325">
        <f>VLOOKUP(A1325,收盤價!A:C,3,0)</f>
        <v>43.9</v>
      </c>
      <c r="E1325" s="87">
        <v>-9.7636176772867428E-2</v>
      </c>
      <c r="F1325">
        <v>18.86</v>
      </c>
    </row>
    <row r="1326" spans="1:6">
      <c r="A1326" t="s">
        <v>1890</v>
      </c>
      <c r="B1326" t="s">
        <v>2274</v>
      </c>
      <c r="C1326">
        <v>19.760000000000002</v>
      </c>
      <c r="D1326">
        <f>VLOOKUP(A1326,收盤價!A:C,3,0)</f>
        <v>17.82</v>
      </c>
      <c r="E1326" s="87">
        <v>-9.8178137651821915E-2</v>
      </c>
      <c r="F1326">
        <v>18.8</v>
      </c>
    </row>
    <row r="1327" spans="1:6">
      <c r="A1327">
        <v>8047</v>
      </c>
      <c r="B1327" t="s">
        <v>1653</v>
      </c>
      <c r="C1327">
        <v>11.2</v>
      </c>
      <c r="D1327">
        <f>VLOOKUP(A1327,收盤價!A:C,3,0)</f>
        <v>10.1</v>
      </c>
      <c r="E1327" s="87">
        <v>-9.8214285714285685E-2</v>
      </c>
      <c r="F1327">
        <v>18.739999999999998</v>
      </c>
    </row>
    <row r="1328" spans="1:6">
      <c r="A1328">
        <v>2420</v>
      </c>
      <c r="B1328" t="s">
        <v>821</v>
      </c>
      <c r="C1328">
        <v>37.65</v>
      </c>
      <c r="D1328">
        <f>VLOOKUP(A1328,收盤價!A:C,3,0)</f>
        <v>33.950000000000003</v>
      </c>
      <c r="E1328" s="87">
        <v>-9.8273572377157919E-2</v>
      </c>
      <c r="F1328">
        <v>18.68</v>
      </c>
    </row>
    <row r="1329" spans="1:6">
      <c r="A1329">
        <v>3611</v>
      </c>
      <c r="B1329" t="s">
        <v>312</v>
      </c>
      <c r="C1329">
        <v>263.5</v>
      </c>
      <c r="D1329">
        <f>VLOOKUP(A1329,收盤價!A:C,3,0)</f>
        <v>237.5</v>
      </c>
      <c r="E1329" s="87">
        <v>-9.8671726755218223E-2</v>
      </c>
      <c r="F1329">
        <v>18.62</v>
      </c>
    </row>
    <row r="1330" spans="1:6">
      <c r="A1330">
        <v>8097</v>
      </c>
      <c r="B1330" t="s">
        <v>1671</v>
      </c>
      <c r="C1330">
        <v>12</v>
      </c>
      <c r="D1330">
        <f>VLOOKUP(A1330,收盤價!A:C,3,0)</f>
        <v>10.8</v>
      </c>
      <c r="E1330" s="87">
        <v>-9.9999999999999936E-2</v>
      </c>
      <c r="F1330">
        <v>18.55</v>
      </c>
    </row>
    <row r="1331" spans="1:6">
      <c r="A1331">
        <v>912000</v>
      </c>
      <c r="B1331" t="s">
        <v>2100</v>
      </c>
      <c r="C1331">
        <v>2.9</v>
      </c>
      <c r="D1331">
        <f>VLOOKUP(A1331,收盤價!A:C,3,0)</f>
        <v>2.61</v>
      </c>
      <c r="E1331" s="87">
        <v>-0.10000000000000002</v>
      </c>
      <c r="F1331">
        <v>18.489999999999998</v>
      </c>
    </row>
    <row r="1332" spans="1:6">
      <c r="A1332">
        <v>3303</v>
      </c>
      <c r="B1332" t="s">
        <v>278</v>
      </c>
      <c r="C1332">
        <v>21.9</v>
      </c>
      <c r="D1332">
        <f>VLOOKUP(A1332,收盤價!A:C,3,0)</f>
        <v>19.7</v>
      </c>
      <c r="E1332" s="87">
        <v>-0.10045662100456619</v>
      </c>
      <c r="F1332">
        <v>18.43</v>
      </c>
    </row>
    <row r="1333" spans="1:6">
      <c r="A1333">
        <v>5215</v>
      </c>
      <c r="B1333" t="s">
        <v>2064</v>
      </c>
      <c r="C1333">
        <v>30.8</v>
      </c>
      <c r="D1333">
        <f>VLOOKUP(A1333,收盤價!A:C,3,0)</f>
        <v>27.7</v>
      </c>
      <c r="E1333" s="87">
        <v>-0.1006493506493507</v>
      </c>
      <c r="F1333">
        <v>18.37</v>
      </c>
    </row>
    <row r="1334" spans="1:6">
      <c r="A1334">
        <v>4147</v>
      </c>
      <c r="B1334" t="s">
        <v>1756</v>
      </c>
      <c r="C1334">
        <v>228</v>
      </c>
      <c r="D1334">
        <f>VLOOKUP(A1334,收盤價!A:C,3,0)</f>
        <v>205</v>
      </c>
      <c r="E1334" s="87">
        <v>-0.10087719298245613</v>
      </c>
      <c r="F1334">
        <v>18.309999999999999</v>
      </c>
    </row>
    <row r="1335" spans="1:6">
      <c r="A1335">
        <v>2634</v>
      </c>
      <c r="B1335" t="s">
        <v>928</v>
      </c>
      <c r="C1335">
        <v>44.55</v>
      </c>
      <c r="D1335">
        <f>VLOOKUP(A1335,收盤價!A:C,3,0)</f>
        <v>40.049999999999997</v>
      </c>
      <c r="E1335" s="87">
        <v>-0.10101010101010102</v>
      </c>
      <c r="F1335">
        <v>18.25</v>
      </c>
    </row>
    <row r="1336" spans="1:6">
      <c r="A1336">
        <v>2609</v>
      </c>
      <c r="B1336" t="s">
        <v>918</v>
      </c>
      <c r="C1336">
        <v>7.89</v>
      </c>
      <c r="D1336">
        <f>VLOOKUP(A1336,收盤價!A:C,3,0)</f>
        <v>7.09</v>
      </c>
      <c r="E1336" s="87">
        <v>-0.10139416983523446</v>
      </c>
      <c r="F1336">
        <v>18.190000000000001</v>
      </c>
    </row>
    <row r="1337" spans="1:6">
      <c r="A1337">
        <v>3583</v>
      </c>
      <c r="B1337" t="s">
        <v>1088</v>
      </c>
      <c r="C1337">
        <v>68.2</v>
      </c>
      <c r="D1337">
        <f>VLOOKUP(A1337,收盤價!A:C,3,0)</f>
        <v>61.2</v>
      </c>
      <c r="E1337" s="87">
        <v>-0.10263929618768328</v>
      </c>
      <c r="F1337">
        <v>18.13</v>
      </c>
    </row>
    <row r="1338" spans="1:6">
      <c r="A1338">
        <v>9946</v>
      </c>
      <c r="B1338" t="s">
        <v>2107</v>
      </c>
      <c r="C1338">
        <v>13.1</v>
      </c>
      <c r="D1338">
        <f>VLOOKUP(A1338,收盤價!A:C,3,0)</f>
        <v>11.75</v>
      </c>
      <c r="E1338" s="87">
        <v>-0.10305343511450379</v>
      </c>
      <c r="F1338">
        <v>18.059999999999999</v>
      </c>
    </row>
    <row r="1339" spans="1:6">
      <c r="A1339">
        <v>6432</v>
      </c>
      <c r="B1339" t="s">
        <v>1641</v>
      </c>
      <c r="C1339">
        <v>29.5</v>
      </c>
      <c r="D1339">
        <f>VLOOKUP(A1339,收盤價!A:C,3,0)</f>
        <v>26.45</v>
      </c>
      <c r="E1339" s="87">
        <v>-0.1033898305084746</v>
      </c>
      <c r="F1339">
        <v>18</v>
      </c>
    </row>
    <row r="1340" spans="1:6">
      <c r="A1340">
        <v>3491</v>
      </c>
      <c r="B1340" t="s">
        <v>1396</v>
      </c>
      <c r="C1340">
        <v>61.8</v>
      </c>
      <c r="D1340">
        <f>VLOOKUP(A1340,收盤價!A:C,3,0)</f>
        <v>55.4</v>
      </c>
      <c r="E1340" s="87">
        <v>-0.10355987055016179</v>
      </c>
      <c r="F1340">
        <v>17.940000000000001</v>
      </c>
    </row>
    <row r="1341" spans="1:6">
      <c r="A1341">
        <v>6496</v>
      </c>
      <c r="B1341" t="s">
        <v>1802</v>
      </c>
      <c r="C1341">
        <v>70</v>
      </c>
      <c r="D1341">
        <f>VLOOKUP(A1341,收盤價!A:C,3,0)</f>
        <v>62.7</v>
      </c>
      <c r="E1341" s="87">
        <v>-0.10428571428571425</v>
      </c>
      <c r="F1341">
        <v>17.88</v>
      </c>
    </row>
    <row r="1342" spans="1:6">
      <c r="A1342">
        <v>1566</v>
      </c>
      <c r="B1342" t="s">
        <v>227</v>
      </c>
      <c r="C1342">
        <v>20.399999999999999</v>
      </c>
      <c r="D1342">
        <f>VLOOKUP(A1342,收盤價!A:C,3,0)</f>
        <v>18.25</v>
      </c>
      <c r="E1342" s="87">
        <v>-0.10539215686274503</v>
      </c>
      <c r="F1342">
        <v>17.82</v>
      </c>
    </row>
    <row r="1343" spans="1:6">
      <c r="A1343">
        <v>1715</v>
      </c>
      <c r="B1343" t="s">
        <v>659</v>
      </c>
      <c r="C1343">
        <v>12.3</v>
      </c>
      <c r="D1343">
        <f>VLOOKUP(A1343,收盤價!A:C,3,0)</f>
        <v>11</v>
      </c>
      <c r="E1343" s="87">
        <v>-0.10569105691056915</v>
      </c>
      <c r="F1343">
        <v>17.760000000000002</v>
      </c>
    </row>
    <row r="1344" spans="1:6">
      <c r="A1344">
        <v>2388</v>
      </c>
      <c r="B1344" t="s">
        <v>801</v>
      </c>
      <c r="C1344">
        <v>12.25</v>
      </c>
      <c r="D1344">
        <f>VLOOKUP(A1344,收盤價!A:C,3,0)</f>
        <v>10.95</v>
      </c>
      <c r="E1344" s="87">
        <v>-0.10612244897959189</v>
      </c>
      <c r="F1344">
        <v>17.7</v>
      </c>
    </row>
    <row r="1345" spans="1:6">
      <c r="A1345">
        <v>2506</v>
      </c>
      <c r="B1345" t="s">
        <v>887</v>
      </c>
      <c r="C1345">
        <v>12.7</v>
      </c>
      <c r="D1345">
        <f>VLOOKUP(A1345,收盤價!A:C,3,0)</f>
        <v>11.35</v>
      </c>
      <c r="E1345" s="87">
        <v>-0.10629921259842517</v>
      </c>
      <c r="F1345">
        <v>17.64</v>
      </c>
    </row>
    <row r="1346" spans="1:6">
      <c r="A1346">
        <v>3041</v>
      </c>
      <c r="B1346" t="s">
        <v>1016</v>
      </c>
      <c r="C1346">
        <v>16.899999999999999</v>
      </c>
      <c r="D1346">
        <f>VLOOKUP(A1346,收盤價!A:C,3,0)</f>
        <v>15.1</v>
      </c>
      <c r="E1346" s="87">
        <v>-0.10650887573964492</v>
      </c>
      <c r="F1346">
        <v>17.579999999999998</v>
      </c>
    </row>
    <row r="1347" spans="1:6">
      <c r="A1347">
        <v>8255</v>
      </c>
      <c r="B1347" t="s">
        <v>1683</v>
      </c>
      <c r="C1347">
        <v>121</v>
      </c>
      <c r="D1347">
        <f>VLOOKUP(A1347,收盤價!A:C,3,0)</f>
        <v>108</v>
      </c>
      <c r="E1347" s="87">
        <v>-0.10743801652892562</v>
      </c>
      <c r="F1347">
        <v>17.510000000000002</v>
      </c>
    </row>
    <row r="1348" spans="1:6">
      <c r="A1348">
        <v>1532</v>
      </c>
      <c r="B1348" t="s">
        <v>621</v>
      </c>
      <c r="C1348">
        <v>36.1</v>
      </c>
      <c r="D1348">
        <f>VLOOKUP(A1348,收盤價!A:C,3,0)</f>
        <v>32.200000000000003</v>
      </c>
      <c r="E1348" s="87">
        <v>-0.10803324099722987</v>
      </c>
      <c r="F1348">
        <v>17.45</v>
      </c>
    </row>
    <row r="1349" spans="1:6">
      <c r="A1349">
        <v>3698</v>
      </c>
      <c r="B1349" t="s">
        <v>1105</v>
      </c>
      <c r="C1349">
        <v>14.8</v>
      </c>
      <c r="D1349">
        <f>VLOOKUP(A1349,收盤價!A:C,3,0)</f>
        <v>13.2</v>
      </c>
      <c r="E1349" s="87">
        <v>-0.1081081081081082</v>
      </c>
      <c r="F1349">
        <v>17.39</v>
      </c>
    </row>
    <row r="1350" spans="1:6">
      <c r="A1350">
        <v>3579</v>
      </c>
      <c r="B1350" t="s">
        <v>1087</v>
      </c>
      <c r="C1350">
        <v>13.75</v>
      </c>
      <c r="D1350">
        <f>VLOOKUP(A1350,收盤價!A:C,3,0)</f>
        <v>12.25</v>
      </c>
      <c r="E1350" s="87">
        <v>-0.10909090909090909</v>
      </c>
      <c r="F1350">
        <v>17.329999999999998</v>
      </c>
    </row>
    <row r="1351" spans="1:6">
      <c r="A1351">
        <v>4430</v>
      </c>
      <c r="B1351" t="s">
        <v>1468</v>
      </c>
      <c r="C1351">
        <v>26.95</v>
      </c>
      <c r="D1351">
        <f>VLOOKUP(A1351,收盤價!A:C,3,0)</f>
        <v>24</v>
      </c>
      <c r="E1351" s="87">
        <v>-0.10946196660482373</v>
      </c>
      <c r="F1351">
        <v>17.27</v>
      </c>
    </row>
    <row r="1352" spans="1:6">
      <c r="A1352">
        <v>8222</v>
      </c>
      <c r="B1352" t="s">
        <v>1262</v>
      </c>
      <c r="C1352">
        <v>31</v>
      </c>
      <c r="D1352">
        <f>VLOOKUP(A1352,收盤價!A:C,3,0)</f>
        <v>27.6</v>
      </c>
      <c r="E1352" s="87">
        <v>-0.10967741935483867</v>
      </c>
      <c r="F1352">
        <v>17.21</v>
      </c>
    </row>
    <row r="1353" spans="1:6">
      <c r="A1353">
        <v>2849</v>
      </c>
      <c r="B1353" t="s">
        <v>952</v>
      </c>
      <c r="C1353">
        <v>13.65</v>
      </c>
      <c r="D1353">
        <f>VLOOKUP(A1353,收盤價!A:C,3,0)</f>
        <v>12.15</v>
      </c>
      <c r="E1353" s="87">
        <v>-0.10989010989010989</v>
      </c>
      <c r="F1353">
        <v>17.149999999999999</v>
      </c>
    </row>
    <row r="1354" spans="1:6">
      <c r="A1354">
        <v>8147</v>
      </c>
      <c r="B1354" t="s">
        <v>1676</v>
      </c>
      <c r="C1354">
        <v>41.8</v>
      </c>
      <c r="D1354">
        <f>VLOOKUP(A1354,收盤價!A:C,3,0)</f>
        <v>37.200000000000003</v>
      </c>
      <c r="E1354" s="87">
        <v>-0.11004784688995202</v>
      </c>
      <c r="F1354">
        <v>17.09</v>
      </c>
    </row>
    <row r="1355" spans="1:6">
      <c r="A1355">
        <v>6290</v>
      </c>
      <c r="B1355" t="s">
        <v>1635</v>
      </c>
      <c r="C1355">
        <v>32.15</v>
      </c>
      <c r="D1355">
        <f>VLOOKUP(A1355,收盤價!A:C,3,0)</f>
        <v>28.6</v>
      </c>
      <c r="E1355" s="87">
        <v>-0.11041990668740272</v>
      </c>
      <c r="F1355">
        <v>17.02</v>
      </c>
    </row>
    <row r="1356" spans="1:6">
      <c r="A1356">
        <v>6525</v>
      </c>
      <c r="B1356" t="s">
        <v>2079</v>
      </c>
      <c r="C1356">
        <v>59.6</v>
      </c>
      <c r="D1356">
        <f>VLOOKUP(A1356,收盤價!A:C,3,0)</f>
        <v>53</v>
      </c>
      <c r="E1356" s="87">
        <v>-0.11073825503355707</v>
      </c>
      <c r="F1356">
        <v>16.96</v>
      </c>
    </row>
    <row r="1357" spans="1:6">
      <c r="A1357">
        <v>5523</v>
      </c>
      <c r="B1357" t="s">
        <v>404</v>
      </c>
      <c r="C1357">
        <v>7.99</v>
      </c>
      <c r="D1357">
        <f>VLOOKUP(A1357,收盤價!A:C,3,0)</f>
        <v>7.1</v>
      </c>
      <c r="E1357" s="87">
        <v>-0.11138923654568217</v>
      </c>
      <c r="F1357">
        <v>16.899999999999999</v>
      </c>
    </row>
    <row r="1358" spans="1:6">
      <c r="A1358">
        <v>1776</v>
      </c>
      <c r="B1358" t="s">
        <v>1911</v>
      </c>
      <c r="C1358">
        <v>24.2</v>
      </c>
      <c r="D1358">
        <f>VLOOKUP(A1358,收盤價!A:C,3,0)</f>
        <v>21.5</v>
      </c>
      <c r="E1358" s="87">
        <v>-0.11157024793388427</v>
      </c>
      <c r="F1358">
        <v>16.84</v>
      </c>
    </row>
    <row r="1359" spans="1:6">
      <c r="A1359">
        <v>4121</v>
      </c>
      <c r="B1359" t="s">
        <v>1440</v>
      </c>
      <c r="C1359">
        <v>13.4</v>
      </c>
      <c r="D1359">
        <f>VLOOKUP(A1359,收盤價!A:C,3,0)</f>
        <v>11.9</v>
      </c>
      <c r="E1359" s="87">
        <v>-0.11194029850746269</v>
      </c>
      <c r="F1359">
        <v>16.78</v>
      </c>
    </row>
    <row r="1360" spans="1:6">
      <c r="A1360">
        <v>6109</v>
      </c>
      <c r="B1360" t="s">
        <v>1582</v>
      </c>
      <c r="C1360">
        <v>13.8</v>
      </c>
      <c r="D1360">
        <f>VLOOKUP(A1360,收盤價!A:C,3,0)</f>
        <v>12.25</v>
      </c>
      <c r="E1360" s="87">
        <v>-0.11231884057971019</v>
      </c>
      <c r="F1360">
        <v>16.72</v>
      </c>
    </row>
    <row r="1361" spans="1:6">
      <c r="A1361">
        <v>5304</v>
      </c>
      <c r="B1361" t="s">
        <v>380</v>
      </c>
      <c r="C1361">
        <v>2.58</v>
      </c>
      <c r="D1361">
        <f>VLOOKUP(A1361,收盤價!A:C,3,0)</f>
        <v>2.29</v>
      </c>
      <c r="E1361" s="87">
        <v>-0.1124031007751938</v>
      </c>
      <c r="F1361">
        <v>16.66</v>
      </c>
    </row>
    <row r="1362" spans="1:6">
      <c r="A1362">
        <v>5608</v>
      </c>
      <c r="B1362" t="s">
        <v>1168</v>
      </c>
      <c r="C1362">
        <v>10.15</v>
      </c>
      <c r="D1362">
        <f>VLOOKUP(A1362,收盤價!A:C,3,0)</f>
        <v>9</v>
      </c>
      <c r="E1362" s="87">
        <v>-0.11330049261083747</v>
      </c>
      <c r="F1362">
        <v>16.600000000000001</v>
      </c>
    </row>
    <row r="1363" spans="1:6">
      <c r="A1363">
        <v>2597</v>
      </c>
      <c r="B1363" t="s">
        <v>911</v>
      </c>
      <c r="C1363">
        <v>41.3</v>
      </c>
      <c r="D1363">
        <f>VLOOKUP(A1363,收盤價!A:C,3,0)</f>
        <v>36.6</v>
      </c>
      <c r="E1363" s="87">
        <v>-0.11380145278450354</v>
      </c>
      <c r="F1363">
        <v>16.53</v>
      </c>
    </row>
    <row r="1364" spans="1:6">
      <c r="A1364">
        <v>2433</v>
      </c>
      <c r="B1364" t="s">
        <v>832</v>
      </c>
      <c r="C1364">
        <v>43</v>
      </c>
      <c r="D1364">
        <f>VLOOKUP(A1364,收盤價!A:C,3,0)</f>
        <v>38.1</v>
      </c>
      <c r="E1364" s="87">
        <v>-0.11395348837209299</v>
      </c>
      <c r="F1364">
        <v>16.47</v>
      </c>
    </row>
    <row r="1365" spans="1:6">
      <c r="A1365">
        <v>2539</v>
      </c>
      <c r="B1365" t="s">
        <v>903</v>
      </c>
      <c r="C1365">
        <v>28.25</v>
      </c>
      <c r="D1365">
        <f>VLOOKUP(A1365,收盤價!A:C,3,0)</f>
        <v>25</v>
      </c>
      <c r="E1365" s="87">
        <v>-0.11504424778761062</v>
      </c>
      <c r="F1365">
        <v>16.41</v>
      </c>
    </row>
    <row r="1366" spans="1:6">
      <c r="A1366">
        <v>1446</v>
      </c>
      <c r="B1366" t="s">
        <v>573</v>
      </c>
      <c r="C1366">
        <v>19.100000000000001</v>
      </c>
      <c r="D1366">
        <f>VLOOKUP(A1366,收盤價!A:C,3,0)</f>
        <v>16.899999999999999</v>
      </c>
      <c r="E1366" s="87">
        <v>-0.11518324607329856</v>
      </c>
      <c r="F1366">
        <v>16.350000000000001</v>
      </c>
    </row>
    <row r="1367" spans="1:6">
      <c r="A1367">
        <v>4804</v>
      </c>
      <c r="B1367" t="s">
        <v>1758</v>
      </c>
      <c r="C1367">
        <v>121.5</v>
      </c>
      <c r="D1367">
        <f>VLOOKUP(A1367,收盤價!A:C,3,0)</f>
        <v>107.5</v>
      </c>
      <c r="E1367" s="87">
        <v>-0.11522633744855967</v>
      </c>
      <c r="F1367">
        <v>16.29</v>
      </c>
    </row>
    <row r="1368" spans="1:6">
      <c r="A1368">
        <v>6148</v>
      </c>
      <c r="B1368" t="s">
        <v>1599</v>
      </c>
      <c r="C1368">
        <v>7.31</v>
      </c>
      <c r="D1368">
        <f>VLOOKUP(A1368,收盤價!A:C,3,0)</f>
        <v>6.46</v>
      </c>
      <c r="E1368" s="87">
        <v>-0.11627906976744182</v>
      </c>
      <c r="F1368">
        <v>16.23</v>
      </c>
    </row>
    <row r="1369" spans="1:6">
      <c r="A1369" t="s">
        <v>1892</v>
      </c>
      <c r="B1369" t="s">
        <v>2276</v>
      </c>
      <c r="C1369">
        <v>19.899999999999999</v>
      </c>
      <c r="D1369">
        <f>VLOOKUP(A1369,收盤價!A:C,3,0)</f>
        <v>17.579999999999998</v>
      </c>
      <c r="E1369" s="87">
        <v>-0.11658291457286435</v>
      </c>
      <c r="F1369">
        <v>16.170000000000002</v>
      </c>
    </row>
    <row r="1370" spans="1:6">
      <c r="A1370">
        <v>3229</v>
      </c>
      <c r="B1370" t="s">
        <v>1044</v>
      </c>
      <c r="C1370">
        <v>14</v>
      </c>
      <c r="D1370">
        <f>VLOOKUP(A1370,收盤價!A:C,3,0)</f>
        <v>12.35</v>
      </c>
      <c r="E1370" s="87">
        <v>-0.11785714285714288</v>
      </c>
      <c r="F1370">
        <v>16.11</v>
      </c>
    </row>
    <row r="1371" spans="1:6">
      <c r="A1371">
        <v>8463</v>
      </c>
      <c r="B1371" t="s">
        <v>1271</v>
      </c>
      <c r="C1371">
        <v>19</v>
      </c>
      <c r="D1371">
        <f>VLOOKUP(A1371,收盤價!A:C,3,0)</f>
        <v>16.75</v>
      </c>
      <c r="E1371" s="87">
        <v>-0.11842105263157894</v>
      </c>
      <c r="F1371">
        <v>16.04</v>
      </c>
    </row>
    <row r="1372" spans="1:6">
      <c r="A1372">
        <v>1213</v>
      </c>
      <c r="B1372" t="s">
        <v>513</v>
      </c>
      <c r="C1372">
        <v>17.3</v>
      </c>
      <c r="D1372">
        <f>VLOOKUP(A1372,收盤價!A:C,3,0)</f>
        <v>15.25</v>
      </c>
      <c r="E1372" s="87">
        <v>-0.11849710982658963</v>
      </c>
      <c r="F1372">
        <v>15.98</v>
      </c>
    </row>
    <row r="1373" spans="1:6">
      <c r="A1373">
        <v>6702</v>
      </c>
      <c r="B1373" t="s">
        <v>1239</v>
      </c>
      <c r="C1373">
        <v>7</v>
      </c>
      <c r="D1373">
        <f>VLOOKUP(A1373,收盤價!A:C,3,0)</f>
        <v>6.17</v>
      </c>
      <c r="E1373" s="87">
        <v>-0.11857142857142858</v>
      </c>
      <c r="F1373">
        <v>15.92</v>
      </c>
    </row>
    <row r="1374" spans="1:6">
      <c r="A1374">
        <v>3623</v>
      </c>
      <c r="B1374" t="s">
        <v>313</v>
      </c>
      <c r="C1374">
        <v>60.7</v>
      </c>
      <c r="D1374">
        <f>VLOOKUP(A1374,收盤價!A:C,3,0)</f>
        <v>53.5</v>
      </c>
      <c r="E1374" s="87">
        <v>-0.11861614497528834</v>
      </c>
      <c r="F1374">
        <v>15.86</v>
      </c>
    </row>
    <row r="1375" spans="1:6">
      <c r="A1375">
        <v>4138</v>
      </c>
      <c r="B1375" t="s">
        <v>1446</v>
      </c>
      <c r="C1375">
        <v>61.3</v>
      </c>
      <c r="D1375">
        <f>VLOOKUP(A1375,收盤價!A:C,3,0)</f>
        <v>54</v>
      </c>
      <c r="E1375" s="87">
        <v>-0.11908646003262639</v>
      </c>
      <c r="F1375">
        <v>15.8</v>
      </c>
    </row>
    <row r="1376" spans="1:6">
      <c r="A1376">
        <v>4103</v>
      </c>
      <c r="B1376" t="s">
        <v>1434</v>
      </c>
      <c r="C1376">
        <v>83.2</v>
      </c>
      <c r="D1376">
        <f>VLOOKUP(A1376,收盤價!A:C,3,0)</f>
        <v>73.2</v>
      </c>
      <c r="E1376" s="87">
        <v>-0.12019230769230768</v>
      </c>
      <c r="F1376">
        <v>15.74</v>
      </c>
    </row>
    <row r="1377" spans="1:6">
      <c r="A1377">
        <v>2928</v>
      </c>
      <c r="B1377" t="s">
        <v>1812</v>
      </c>
      <c r="C1377">
        <v>58</v>
      </c>
      <c r="D1377">
        <f>VLOOKUP(A1377,收盤價!A:C,3,0)</f>
        <v>51</v>
      </c>
      <c r="E1377" s="87">
        <v>-0.1206896551724138</v>
      </c>
      <c r="F1377">
        <v>15.68</v>
      </c>
    </row>
    <row r="1378" spans="1:6">
      <c r="A1378">
        <v>3289</v>
      </c>
      <c r="B1378" t="s">
        <v>1374</v>
      </c>
      <c r="C1378">
        <v>110</v>
      </c>
      <c r="D1378">
        <f>VLOOKUP(A1378,收盤價!A:C,3,0)</f>
        <v>96.7</v>
      </c>
      <c r="E1378" s="87">
        <v>-0.12090909090909088</v>
      </c>
      <c r="F1378">
        <v>15.62</v>
      </c>
    </row>
    <row r="1379" spans="1:6">
      <c r="A1379">
        <v>1535</v>
      </c>
      <c r="B1379" t="s">
        <v>623</v>
      </c>
      <c r="C1379">
        <v>51</v>
      </c>
      <c r="D1379">
        <f>VLOOKUP(A1379,收盤價!A:C,3,0)</f>
        <v>44.8</v>
      </c>
      <c r="E1379" s="87">
        <v>-0.12156862745098045</v>
      </c>
      <c r="F1379">
        <v>15.55</v>
      </c>
    </row>
    <row r="1380" spans="1:6">
      <c r="A1380">
        <v>2231</v>
      </c>
      <c r="B1380" t="s">
        <v>741</v>
      </c>
      <c r="C1380">
        <v>356</v>
      </c>
      <c r="D1380">
        <f>VLOOKUP(A1380,收盤價!A:C,3,0)</f>
        <v>312</v>
      </c>
      <c r="E1380" s="87">
        <v>-0.12359550561797752</v>
      </c>
      <c r="F1380">
        <v>15.49</v>
      </c>
    </row>
    <row r="1381" spans="1:6">
      <c r="A1381">
        <v>9905</v>
      </c>
      <c r="B1381" t="s">
        <v>1277</v>
      </c>
      <c r="C1381">
        <v>25.85</v>
      </c>
      <c r="D1381">
        <f>VLOOKUP(A1381,收盤價!A:C,3,0)</f>
        <v>22.65</v>
      </c>
      <c r="E1381" s="87">
        <v>-0.12379110251450687</v>
      </c>
      <c r="F1381">
        <v>15.43</v>
      </c>
    </row>
    <row r="1382" spans="1:6">
      <c r="A1382">
        <v>3632</v>
      </c>
      <c r="B1382" t="s">
        <v>1421</v>
      </c>
      <c r="C1382">
        <v>21.4</v>
      </c>
      <c r="D1382">
        <f>VLOOKUP(A1382,收盤價!A:C,3,0)</f>
        <v>18.75</v>
      </c>
      <c r="E1382" s="87">
        <v>-0.12383177570093452</v>
      </c>
      <c r="F1382">
        <v>15.37</v>
      </c>
    </row>
    <row r="1383" spans="1:6">
      <c r="A1383">
        <v>8039</v>
      </c>
      <c r="B1383" t="s">
        <v>1244</v>
      </c>
      <c r="C1383">
        <v>34.25</v>
      </c>
      <c r="D1383">
        <f>VLOOKUP(A1383,收盤價!A:C,3,0)</f>
        <v>30</v>
      </c>
      <c r="E1383" s="87">
        <v>-0.12408759124087591</v>
      </c>
      <c r="F1383">
        <v>15.31</v>
      </c>
    </row>
    <row r="1384" spans="1:6">
      <c r="A1384">
        <v>1733</v>
      </c>
      <c r="B1384" t="s">
        <v>674</v>
      </c>
      <c r="C1384">
        <v>47.6</v>
      </c>
      <c r="D1384">
        <f>VLOOKUP(A1384,收盤價!A:C,3,0)</f>
        <v>41.65</v>
      </c>
      <c r="E1384" s="87">
        <v>-0.12500000000000006</v>
      </c>
      <c r="F1384">
        <v>15.25</v>
      </c>
    </row>
    <row r="1385" spans="1:6">
      <c r="A1385">
        <v>6151</v>
      </c>
      <c r="B1385" t="s">
        <v>1601</v>
      </c>
      <c r="C1385">
        <v>25.95</v>
      </c>
      <c r="D1385">
        <f>VLOOKUP(A1385,收盤價!A:C,3,0)</f>
        <v>22.7</v>
      </c>
      <c r="E1385" s="87">
        <v>-0.12524084778420039</v>
      </c>
      <c r="F1385">
        <v>15.19</v>
      </c>
    </row>
    <row r="1386" spans="1:6">
      <c r="A1386">
        <v>5706</v>
      </c>
      <c r="B1386" t="s">
        <v>1169</v>
      </c>
      <c r="C1386">
        <v>40.200000000000003</v>
      </c>
      <c r="D1386">
        <f>VLOOKUP(A1386,收盤價!A:C,3,0)</f>
        <v>35.15</v>
      </c>
      <c r="E1386" s="87">
        <v>-0.12562189054726378</v>
      </c>
      <c r="F1386">
        <v>15.13</v>
      </c>
    </row>
    <row r="1387" spans="1:6">
      <c r="A1387">
        <v>4977</v>
      </c>
      <c r="B1387" t="s">
        <v>2062</v>
      </c>
      <c r="C1387">
        <v>62.8</v>
      </c>
      <c r="D1387">
        <f>VLOOKUP(A1387,收盤價!A:C,3,0)</f>
        <v>54.9</v>
      </c>
      <c r="E1387" s="87">
        <v>-0.12579617834394902</v>
      </c>
      <c r="F1387">
        <v>15.06</v>
      </c>
    </row>
    <row r="1388" spans="1:6">
      <c r="A1388">
        <v>3285</v>
      </c>
      <c r="B1388" t="s">
        <v>273</v>
      </c>
      <c r="C1388">
        <v>26</v>
      </c>
      <c r="D1388">
        <f>VLOOKUP(A1388,收盤價!A:C,3,0)</f>
        <v>22.7</v>
      </c>
      <c r="E1388" s="87">
        <v>-0.12692307692307694</v>
      </c>
      <c r="F1388">
        <v>15</v>
      </c>
    </row>
    <row r="1389" spans="1:6">
      <c r="A1389">
        <v>8432</v>
      </c>
      <c r="B1389" t="s">
        <v>480</v>
      </c>
      <c r="C1389">
        <v>89.8</v>
      </c>
      <c r="D1389">
        <f>VLOOKUP(A1389,收盤價!A:C,3,0)</f>
        <v>78.400000000000006</v>
      </c>
      <c r="E1389" s="87">
        <v>-0.1269487750556792</v>
      </c>
      <c r="F1389">
        <v>14.94</v>
      </c>
    </row>
    <row r="1390" spans="1:6">
      <c r="A1390">
        <v>3011</v>
      </c>
      <c r="B1390" t="s">
        <v>990</v>
      </c>
      <c r="C1390">
        <v>8.1</v>
      </c>
      <c r="D1390">
        <f>VLOOKUP(A1390,收盤價!A:C,3,0)</f>
        <v>7.07</v>
      </c>
      <c r="E1390" s="87">
        <v>-0.12716049382716041</v>
      </c>
      <c r="F1390">
        <v>14.88</v>
      </c>
    </row>
    <row r="1391" spans="1:6">
      <c r="A1391">
        <v>4541</v>
      </c>
      <c r="B1391" t="s">
        <v>1481</v>
      </c>
      <c r="C1391">
        <v>33.6</v>
      </c>
      <c r="D1391">
        <f>VLOOKUP(A1391,收盤價!A:C,3,0)</f>
        <v>29.3</v>
      </c>
      <c r="E1391" s="87">
        <v>-0.12797619047619049</v>
      </c>
      <c r="F1391">
        <v>14.82</v>
      </c>
    </row>
    <row r="1392" spans="1:6">
      <c r="A1392">
        <v>8403</v>
      </c>
      <c r="B1392" t="s">
        <v>1695</v>
      </c>
      <c r="C1392">
        <v>41.25</v>
      </c>
      <c r="D1392">
        <f>VLOOKUP(A1392,收盤價!A:C,3,0)</f>
        <v>35.950000000000003</v>
      </c>
      <c r="E1392" s="87">
        <v>-0.12848484848484842</v>
      </c>
      <c r="F1392">
        <v>14.76</v>
      </c>
    </row>
    <row r="1393" spans="1:6">
      <c r="A1393">
        <v>5489</v>
      </c>
      <c r="B1393" t="s">
        <v>1554</v>
      </c>
      <c r="C1393">
        <v>48.2</v>
      </c>
      <c r="D1393">
        <f>VLOOKUP(A1393,收盤價!A:C,3,0)</f>
        <v>42</v>
      </c>
      <c r="E1393" s="87">
        <v>-0.12863070539419091</v>
      </c>
      <c r="F1393">
        <v>14.7</v>
      </c>
    </row>
    <row r="1394" spans="1:6">
      <c r="A1394">
        <v>3521</v>
      </c>
      <c r="B1394" t="s">
        <v>1402</v>
      </c>
      <c r="C1394">
        <v>11.65</v>
      </c>
      <c r="D1394">
        <f>VLOOKUP(A1394,收盤價!A:C,3,0)</f>
        <v>10.15</v>
      </c>
      <c r="E1394" s="87">
        <v>-0.12875536480686695</v>
      </c>
      <c r="F1394">
        <v>14.64</v>
      </c>
    </row>
    <row r="1395" spans="1:6">
      <c r="A1395">
        <v>4173</v>
      </c>
      <c r="B1395" t="s">
        <v>334</v>
      </c>
      <c r="C1395">
        <v>22.35</v>
      </c>
      <c r="D1395">
        <f>VLOOKUP(A1395,收盤價!A:C,3,0)</f>
        <v>19.45</v>
      </c>
      <c r="E1395" s="87">
        <v>-0.12975391498881442</v>
      </c>
      <c r="F1395">
        <v>14.57</v>
      </c>
    </row>
    <row r="1396" spans="1:6">
      <c r="A1396">
        <v>5287</v>
      </c>
      <c r="B1396" t="s">
        <v>376</v>
      </c>
      <c r="C1396">
        <v>230</v>
      </c>
      <c r="D1396">
        <f>VLOOKUP(A1396,收盤價!A:C,3,0)</f>
        <v>200</v>
      </c>
      <c r="E1396" s="87">
        <v>-0.13043478260869565</v>
      </c>
      <c r="F1396">
        <v>14.51</v>
      </c>
    </row>
    <row r="1397" spans="1:6">
      <c r="A1397">
        <v>3704</v>
      </c>
      <c r="B1397" t="s">
        <v>1109</v>
      </c>
      <c r="C1397">
        <v>16.350000000000001</v>
      </c>
      <c r="D1397">
        <f>VLOOKUP(A1397,收盤價!A:C,3,0)</f>
        <v>14.2</v>
      </c>
      <c r="E1397" s="87">
        <v>-0.13149847094801234</v>
      </c>
      <c r="F1397">
        <v>14.45</v>
      </c>
    </row>
    <row r="1398" spans="1:6">
      <c r="A1398">
        <v>8435</v>
      </c>
      <c r="B1398" t="s">
        <v>482</v>
      </c>
      <c r="C1398">
        <v>47</v>
      </c>
      <c r="D1398">
        <f>VLOOKUP(A1398,收盤價!A:C,3,0)</f>
        <v>40.75</v>
      </c>
      <c r="E1398" s="87">
        <v>-0.13297872340425532</v>
      </c>
      <c r="F1398">
        <v>14.39</v>
      </c>
    </row>
    <row r="1399" spans="1:6">
      <c r="A1399">
        <v>3356</v>
      </c>
      <c r="B1399" t="s">
        <v>1055</v>
      </c>
      <c r="C1399">
        <v>56.4</v>
      </c>
      <c r="D1399">
        <f>VLOOKUP(A1399,收盤價!A:C,3,0)</f>
        <v>48.9</v>
      </c>
      <c r="E1399" s="87">
        <v>-0.13297872340425532</v>
      </c>
      <c r="F1399">
        <v>14.33</v>
      </c>
    </row>
    <row r="1400" spans="1:6">
      <c r="A1400">
        <v>5604</v>
      </c>
      <c r="B1400" t="s">
        <v>1566</v>
      </c>
      <c r="C1400">
        <v>36.5</v>
      </c>
      <c r="D1400">
        <f>VLOOKUP(A1400,收盤價!A:C,3,0)</f>
        <v>31.6</v>
      </c>
      <c r="E1400" s="87">
        <v>-0.1342465753424657</v>
      </c>
      <c r="F1400">
        <v>14.27</v>
      </c>
    </row>
    <row r="1401" spans="1:6">
      <c r="A1401">
        <v>2504</v>
      </c>
      <c r="B1401" t="s">
        <v>885</v>
      </c>
      <c r="C1401">
        <v>8.51</v>
      </c>
      <c r="D1401">
        <f>VLOOKUP(A1401,收盤價!A:C,3,0)</f>
        <v>7.34</v>
      </c>
      <c r="E1401" s="87">
        <v>-0.13748531139835488</v>
      </c>
      <c r="F1401">
        <v>14.21</v>
      </c>
    </row>
    <row r="1402" spans="1:6">
      <c r="A1402">
        <v>4432</v>
      </c>
      <c r="B1402" t="s">
        <v>1469</v>
      </c>
      <c r="C1402">
        <v>67.7</v>
      </c>
      <c r="D1402">
        <f>VLOOKUP(A1402,收盤價!A:C,3,0)</f>
        <v>58.3</v>
      </c>
      <c r="E1402" s="87">
        <v>-0.13884785819793213</v>
      </c>
      <c r="F1402">
        <v>14.15</v>
      </c>
    </row>
    <row r="1403" spans="1:6">
      <c r="A1403">
        <v>8996</v>
      </c>
      <c r="B1403" t="s">
        <v>1274</v>
      </c>
      <c r="C1403">
        <v>66.3</v>
      </c>
      <c r="D1403">
        <f>VLOOKUP(A1403,收盤價!A:C,3,0)</f>
        <v>57</v>
      </c>
      <c r="E1403" s="87">
        <v>-0.14027149321266966</v>
      </c>
      <c r="F1403">
        <v>14.08</v>
      </c>
    </row>
    <row r="1404" spans="1:6">
      <c r="A1404">
        <v>5301</v>
      </c>
      <c r="B1404" t="s">
        <v>378</v>
      </c>
      <c r="C1404">
        <v>30.95</v>
      </c>
      <c r="D1404">
        <f>VLOOKUP(A1404,收盤價!A:C,3,0)</f>
        <v>26.6</v>
      </c>
      <c r="E1404" s="87">
        <v>-0.14054927302100154</v>
      </c>
      <c r="F1404">
        <v>14.02</v>
      </c>
    </row>
    <row r="1405" spans="1:6">
      <c r="A1405">
        <v>6266</v>
      </c>
      <c r="B1405" t="s">
        <v>1629</v>
      </c>
      <c r="C1405">
        <v>14.5</v>
      </c>
      <c r="D1405">
        <f>VLOOKUP(A1405,收盤價!A:C,3,0)</f>
        <v>12.45</v>
      </c>
      <c r="E1405" s="87">
        <v>-0.14137931034482765</v>
      </c>
      <c r="F1405">
        <v>13.96</v>
      </c>
    </row>
    <row r="1406" spans="1:6">
      <c r="A1406">
        <v>4102</v>
      </c>
      <c r="B1406" t="s">
        <v>1433</v>
      </c>
      <c r="C1406">
        <v>20.5</v>
      </c>
      <c r="D1406">
        <f>VLOOKUP(A1406,收盤價!A:C,3,0)</f>
        <v>17.600000000000001</v>
      </c>
      <c r="E1406" s="87">
        <v>-0.14146341463414627</v>
      </c>
      <c r="F1406">
        <v>13.9</v>
      </c>
    </row>
    <row r="1407" spans="1:6">
      <c r="A1407">
        <v>5519</v>
      </c>
      <c r="B1407" t="s">
        <v>1160</v>
      </c>
      <c r="C1407">
        <v>12</v>
      </c>
      <c r="D1407">
        <f>VLOOKUP(A1407,收盤價!A:C,3,0)</f>
        <v>10.3</v>
      </c>
      <c r="E1407" s="87">
        <v>-0.14166666666666661</v>
      </c>
      <c r="F1407">
        <v>13.84</v>
      </c>
    </row>
    <row r="1408" spans="1:6">
      <c r="A1408">
        <v>3118</v>
      </c>
      <c r="B1408" t="s">
        <v>1350</v>
      </c>
      <c r="C1408">
        <v>35.450000000000003</v>
      </c>
      <c r="D1408">
        <f>VLOOKUP(A1408,收盤價!A:C,3,0)</f>
        <v>30.4</v>
      </c>
      <c r="E1408" s="87">
        <v>-0.14245416078984496</v>
      </c>
      <c r="F1408">
        <v>13.78</v>
      </c>
    </row>
    <row r="1409" spans="1:6">
      <c r="A1409">
        <v>3465</v>
      </c>
      <c r="B1409" t="s">
        <v>1394</v>
      </c>
      <c r="C1409">
        <v>7</v>
      </c>
      <c r="D1409">
        <f>VLOOKUP(A1409,收盤價!A:C,3,0)</f>
        <v>6</v>
      </c>
      <c r="E1409" s="87">
        <v>-0.14285714285714285</v>
      </c>
      <c r="F1409">
        <v>13.72</v>
      </c>
    </row>
    <row r="1410" spans="1:6">
      <c r="A1410">
        <v>6101</v>
      </c>
      <c r="B1410" t="s">
        <v>1577</v>
      </c>
      <c r="C1410">
        <v>17.95</v>
      </c>
      <c r="D1410">
        <f>VLOOKUP(A1410,收盤價!A:C,3,0)</f>
        <v>15.35</v>
      </c>
      <c r="E1410" s="87">
        <v>-0.14484679665738159</v>
      </c>
      <c r="F1410">
        <v>13.66</v>
      </c>
    </row>
    <row r="1411" spans="1:6">
      <c r="A1411">
        <v>1813</v>
      </c>
      <c r="B1411" t="s">
        <v>235</v>
      </c>
      <c r="C1411">
        <v>26.9</v>
      </c>
      <c r="D1411">
        <f>VLOOKUP(A1411,收盤價!A:C,3,0)</f>
        <v>23</v>
      </c>
      <c r="E1411" s="87">
        <v>-0.14498141263940517</v>
      </c>
      <c r="F1411">
        <v>13.59</v>
      </c>
    </row>
    <row r="1412" spans="1:6">
      <c r="A1412">
        <v>3088</v>
      </c>
      <c r="B1412" t="s">
        <v>248</v>
      </c>
      <c r="C1412">
        <v>66</v>
      </c>
      <c r="D1412">
        <f>VLOOKUP(A1412,收盤價!A:C,3,0)</f>
        <v>56.4</v>
      </c>
      <c r="E1412" s="87">
        <v>-0.14545454545454548</v>
      </c>
      <c r="F1412">
        <v>13.53</v>
      </c>
    </row>
    <row r="1413" spans="1:6">
      <c r="A1413">
        <v>4130</v>
      </c>
      <c r="B1413" t="s">
        <v>328</v>
      </c>
      <c r="C1413">
        <v>45.7</v>
      </c>
      <c r="D1413">
        <f>VLOOKUP(A1413,收盤價!A:C,3,0)</f>
        <v>39</v>
      </c>
      <c r="E1413" s="87">
        <v>-0.14660831509846833</v>
      </c>
      <c r="F1413">
        <v>13.47</v>
      </c>
    </row>
    <row r="1414" spans="1:6">
      <c r="A1414">
        <v>2537</v>
      </c>
      <c r="B1414" t="s">
        <v>901</v>
      </c>
      <c r="C1414">
        <v>10.95</v>
      </c>
      <c r="D1414">
        <f>VLOOKUP(A1414,收盤價!A:C,3,0)</f>
        <v>9.34</v>
      </c>
      <c r="E1414" s="87">
        <v>-0.1470319634703196</v>
      </c>
      <c r="F1414">
        <v>13.41</v>
      </c>
    </row>
    <row r="1415" spans="1:6">
      <c r="A1415">
        <v>4712</v>
      </c>
      <c r="B1415" t="s">
        <v>349</v>
      </c>
      <c r="C1415">
        <v>8.59</v>
      </c>
      <c r="D1415">
        <f>VLOOKUP(A1415,收盤價!A:C,3,0)</f>
        <v>7.32</v>
      </c>
      <c r="E1415" s="87">
        <v>-0.14784633294528518</v>
      </c>
      <c r="F1415">
        <v>13.35</v>
      </c>
    </row>
    <row r="1416" spans="1:6">
      <c r="A1416">
        <v>3511</v>
      </c>
      <c r="B1416" t="s">
        <v>1399</v>
      </c>
      <c r="C1416">
        <v>23.3</v>
      </c>
      <c r="D1416">
        <f>VLOOKUP(A1416,收盤價!A:C,3,0)</f>
        <v>19.850000000000001</v>
      </c>
      <c r="E1416" s="87">
        <v>-0.14806866952789696</v>
      </c>
      <c r="F1416">
        <v>13.29</v>
      </c>
    </row>
    <row r="1417" spans="1:6">
      <c r="A1417">
        <v>7402</v>
      </c>
      <c r="B1417" t="s">
        <v>1798</v>
      </c>
      <c r="C1417">
        <v>79.3</v>
      </c>
      <c r="D1417">
        <f>VLOOKUP(A1417,收盤價!A:C,3,0)</f>
        <v>67.5</v>
      </c>
      <c r="E1417" s="87">
        <v>-0.14880201765447665</v>
      </c>
      <c r="F1417">
        <v>13.23</v>
      </c>
    </row>
    <row r="1418" spans="1:6">
      <c r="A1418">
        <v>8066</v>
      </c>
      <c r="B1418" t="s">
        <v>1658</v>
      </c>
      <c r="C1418">
        <v>95.7</v>
      </c>
      <c r="D1418">
        <f>VLOOKUP(A1418,收盤價!A:C,3,0)</f>
        <v>81.400000000000006</v>
      </c>
      <c r="E1418" s="87">
        <v>-0.1494252873563218</v>
      </c>
      <c r="F1418">
        <v>13.17</v>
      </c>
    </row>
    <row r="1419" spans="1:6">
      <c r="A1419">
        <v>1477</v>
      </c>
      <c r="B1419" t="s">
        <v>599</v>
      </c>
      <c r="C1419">
        <v>156.5</v>
      </c>
      <c r="D1419">
        <f>VLOOKUP(A1419,收盤價!A:C,3,0)</f>
        <v>133</v>
      </c>
      <c r="E1419" s="87">
        <v>-0.15015974440894569</v>
      </c>
      <c r="F1419">
        <v>13.1</v>
      </c>
    </row>
    <row r="1420" spans="1:6">
      <c r="A1420">
        <v>6259</v>
      </c>
      <c r="B1420" t="s">
        <v>446</v>
      </c>
      <c r="C1420">
        <v>3.65</v>
      </c>
      <c r="D1420">
        <f>VLOOKUP(A1420,收盤價!A:C,3,0)</f>
        <v>3.1</v>
      </c>
      <c r="E1420" s="87">
        <v>-0.15068493150684928</v>
      </c>
      <c r="F1420">
        <v>13.04</v>
      </c>
    </row>
    <row r="1421" spans="1:6">
      <c r="A1421">
        <v>5212</v>
      </c>
      <c r="B1421" t="s">
        <v>1515</v>
      </c>
      <c r="C1421">
        <v>19.5</v>
      </c>
      <c r="D1421">
        <f>VLOOKUP(A1421,收盤價!A:C,3,0)</f>
        <v>16.55</v>
      </c>
      <c r="E1421" s="87">
        <v>-0.15128205128205124</v>
      </c>
      <c r="F1421">
        <v>12.98</v>
      </c>
    </row>
    <row r="1422" spans="1:6">
      <c r="A1422">
        <v>2719</v>
      </c>
      <c r="B1422" t="s">
        <v>243</v>
      </c>
      <c r="C1422">
        <v>16.5</v>
      </c>
      <c r="D1422">
        <f>VLOOKUP(A1422,收盤價!A:C,3,0)</f>
        <v>14</v>
      </c>
      <c r="E1422" s="87">
        <v>-0.15151515151515152</v>
      </c>
      <c r="F1422">
        <v>12.92</v>
      </c>
    </row>
    <row r="1423" spans="1:6">
      <c r="A1423">
        <v>5225</v>
      </c>
      <c r="B1423" t="s">
        <v>2065</v>
      </c>
      <c r="C1423">
        <v>39.5</v>
      </c>
      <c r="D1423">
        <f>VLOOKUP(A1423,收盤價!A:C,3,0)</f>
        <v>33.5</v>
      </c>
      <c r="E1423" s="87">
        <v>-0.15189873417721519</v>
      </c>
      <c r="F1423">
        <v>12.86</v>
      </c>
    </row>
    <row r="1424" spans="1:6">
      <c r="A1424">
        <v>4543</v>
      </c>
      <c r="B1424" t="s">
        <v>1835</v>
      </c>
      <c r="C1424">
        <v>26</v>
      </c>
      <c r="D1424">
        <f>VLOOKUP(A1424,收盤價!A:C,3,0)</f>
        <v>22.05</v>
      </c>
      <c r="E1424" s="87">
        <v>-0.15192307692307688</v>
      </c>
      <c r="F1424">
        <v>12.8</v>
      </c>
    </row>
    <row r="1425" spans="1:6">
      <c r="A1425">
        <v>5230</v>
      </c>
      <c r="B1425" t="s">
        <v>370</v>
      </c>
      <c r="C1425">
        <v>45.7</v>
      </c>
      <c r="D1425">
        <f>VLOOKUP(A1425,收盤價!A:C,3,0)</f>
        <v>38.700000000000003</v>
      </c>
      <c r="E1425" s="87">
        <v>-0.15317286652078774</v>
      </c>
      <c r="F1425">
        <v>12.74</v>
      </c>
    </row>
    <row r="1426" spans="1:6">
      <c r="A1426">
        <v>5289</v>
      </c>
      <c r="B1426" t="s">
        <v>1522</v>
      </c>
      <c r="C1426">
        <v>99</v>
      </c>
      <c r="D1426">
        <f>VLOOKUP(A1426,收盤價!A:C,3,0)</f>
        <v>83.6</v>
      </c>
      <c r="E1426" s="87">
        <v>-0.15555555555555561</v>
      </c>
      <c r="F1426">
        <v>12.68</v>
      </c>
    </row>
    <row r="1427" spans="1:6">
      <c r="A1427">
        <v>1539</v>
      </c>
      <c r="B1427" t="s">
        <v>627</v>
      </c>
      <c r="C1427">
        <v>30.2</v>
      </c>
      <c r="D1427">
        <f>VLOOKUP(A1427,收盤價!A:C,3,0)</f>
        <v>25.5</v>
      </c>
      <c r="E1427" s="87">
        <v>-0.15562913907284767</v>
      </c>
      <c r="F1427">
        <v>12.61</v>
      </c>
    </row>
    <row r="1428" spans="1:6">
      <c r="A1428">
        <v>8046</v>
      </c>
      <c r="B1428" t="s">
        <v>1245</v>
      </c>
      <c r="C1428">
        <v>28.5</v>
      </c>
      <c r="D1428">
        <f>VLOOKUP(A1428,收盤價!A:C,3,0)</f>
        <v>24</v>
      </c>
      <c r="E1428" s="87">
        <v>-0.15789473684210525</v>
      </c>
      <c r="F1428">
        <v>12.55</v>
      </c>
    </row>
    <row r="1429" spans="1:6">
      <c r="A1429">
        <v>2397</v>
      </c>
      <c r="B1429" t="s">
        <v>806</v>
      </c>
      <c r="C1429">
        <v>58.2</v>
      </c>
      <c r="D1429">
        <f>VLOOKUP(A1429,收盤價!A:C,3,0)</f>
        <v>49</v>
      </c>
      <c r="E1429" s="87">
        <v>-0.1580756013745705</v>
      </c>
      <c r="F1429">
        <v>12.49</v>
      </c>
    </row>
    <row r="1430" spans="1:6">
      <c r="A1430">
        <v>2342</v>
      </c>
      <c r="B1430" t="s">
        <v>766</v>
      </c>
      <c r="C1430">
        <v>2.76</v>
      </c>
      <c r="D1430">
        <f>VLOOKUP(A1430,收盤價!A:C,3,0)</f>
        <v>2.31</v>
      </c>
      <c r="E1430" s="87">
        <v>-0.16304347826086948</v>
      </c>
      <c r="F1430">
        <v>12.43</v>
      </c>
    </row>
    <row r="1431" spans="1:6">
      <c r="A1431">
        <v>3128</v>
      </c>
      <c r="B1431" t="s">
        <v>1352</v>
      </c>
      <c r="C1431">
        <v>14.05</v>
      </c>
      <c r="D1431">
        <f>VLOOKUP(A1431,收盤價!A:C,3,0)</f>
        <v>11.75</v>
      </c>
      <c r="E1431" s="87">
        <v>-0.16370106761565842</v>
      </c>
      <c r="F1431">
        <v>12.37</v>
      </c>
    </row>
    <row r="1432" spans="1:6">
      <c r="A1432">
        <v>5011</v>
      </c>
      <c r="B1432" t="s">
        <v>364</v>
      </c>
      <c r="C1432">
        <v>22.15</v>
      </c>
      <c r="D1432">
        <f>VLOOKUP(A1432,收盤價!A:C,3,0)</f>
        <v>18.5</v>
      </c>
      <c r="E1432" s="87">
        <v>-0.164785553047404</v>
      </c>
      <c r="F1432">
        <v>12.31</v>
      </c>
    </row>
    <row r="1433" spans="1:6">
      <c r="A1433">
        <v>1541</v>
      </c>
      <c r="B1433" t="s">
        <v>629</v>
      </c>
      <c r="C1433">
        <v>54.3</v>
      </c>
      <c r="D1433">
        <f>VLOOKUP(A1433,收盤價!A:C,3,0)</f>
        <v>45.35</v>
      </c>
      <c r="E1433" s="87">
        <v>-0.16482504604051559</v>
      </c>
      <c r="F1433">
        <v>12.25</v>
      </c>
    </row>
    <row r="1434" spans="1:6">
      <c r="A1434">
        <v>4726</v>
      </c>
      <c r="B1434" t="s">
        <v>1486</v>
      </c>
      <c r="C1434">
        <v>46.7</v>
      </c>
      <c r="D1434">
        <f>VLOOKUP(A1434,收盤價!A:C,3,0)</f>
        <v>39</v>
      </c>
      <c r="E1434" s="87">
        <v>-0.1648822269807281</v>
      </c>
      <c r="F1434">
        <v>12.19</v>
      </c>
    </row>
    <row r="1435" spans="1:6">
      <c r="A1435">
        <v>4745</v>
      </c>
      <c r="B1435" t="s">
        <v>1490</v>
      </c>
      <c r="C1435">
        <v>62.7</v>
      </c>
      <c r="D1435">
        <f>VLOOKUP(A1435,收盤價!A:C,3,0)</f>
        <v>52.3</v>
      </c>
      <c r="E1435" s="87">
        <v>-0.16586921850079753</v>
      </c>
      <c r="F1435">
        <v>12.12</v>
      </c>
    </row>
    <row r="1436" spans="1:6">
      <c r="A1436">
        <v>6228</v>
      </c>
      <c r="B1436" t="s">
        <v>1621</v>
      </c>
      <c r="C1436">
        <v>8.0500000000000007</v>
      </c>
      <c r="D1436">
        <f>VLOOKUP(A1436,收盤價!A:C,3,0)</f>
        <v>6.71</v>
      </c>
      <c r="E1436" s="87">
        <v>-0.16645962732919262</v>
      </c>
      <c r="F1436">
        <v>12.06</v>
      </c>
    </row>
    <row r="1437" spans="1:6">
      <c r="A1437">
        <v>2640</v>
      </c>
      <c r="B1437" t="s">
        <v>1331</v>
      </c>
      <c r="C1437">
        <v>54.3</v>
      </c>
      <c r="D1437">
        <f>VLOOKUP(A1437,收盤價!A:C,3,0)</f>
        <v>45.2</v>
      </c>
      <c r="E1437" s="87">
        <v>-0.16758747697974208</v>
      </c>
      <c r="F1437">
        <v>12</v>
      </c>
    </row>
    <row r="1438" spans="1:6">
      <c r="A1438">
        <v>4972</v>
      </c>
      <c r="B1438" t="s">
        <v>1503</v>
      </c>
      <c r="C1438">
        <v>42</v>
      </c>
      <c r="D1438">
        <f>VLOOKUP(A1438,收盤價!A:C,3,0)</f>
        <v>34.950000000000003</v>
      </c>
      <c r="E1438" s="87">
        <v>-0.16785714285714279</v>
      </c>
      <c r="F1438">
        <v>11.94</v>
      </c>
    </row>
    <row r="1439" spans="1:6">
      <c r="A1439">
        <v>1432</v>
      </c>
      <c r="B1439" t="s">
        <v>560</v>
      </c>
      <c r="C1439">
        <v>20</v>
      </c>
      <c r="D1439">
        <f>VLOOKUP(A1439,收盤價!A:C,3,0)</f>
        <v>16.600000000000001</v>
      </c>
      <c r="E1439" s="87">
        <v>-0.16999999999999993</v>
      </c>
      <c r="F1439">
        <v>11.88</v>
      </c>
    </row>
    <row r="1440" spans="1:6">
      <c r="A1440">
        <v>6210</v>
      </c>
      <c r="B1440" t="s">
        <v>1616</v>
      </c>
      <c r="C1440">
        <v>42.8</v>
      </c>
      <c r="D1440">
        <f>VLOOKUP(A1440,收盤價!A:C,3,0)</f>
        <v>35.5</v>
      </c>
      <c r="E1440" s="87">
        <v>-0.17056074766355134</v>
      </c>
      <c r="F1440">
        <v>11.82</v>
      </c>
    </row>
    <row r="1441" spans="1:6">
      <c r="A1441">
        <v>2509</v>
      </c>
      <c r="B1441" t="s">
        <v>888</v>
      </c>
      <c r="C1441">
        <v>22.2</v>
      </c>
      <c r="D1441">
        <f>VLOOKUP(A1441,收盤價!A:C,3,0)</f>
        <v>18.399999999999999</v>
      </c>
      <c r="E1441" s="87">
        <v>-0.1711711711711712</v>
      </c>
      <c r="F1441">
        <v>11.76</v>
      </c>
    </row>
    <row r="1442" spans="1:6">
      <c r="A1442">
        <v>6107</v>
      </c>
      <c r="B1442" t="s">
        <v>1581</v>
      </c>
      <c r="C1442">
        <v>83.5</v>
      </c>
      <c r="D1442">
        <f>VLOOKUP(A1442,收盤價!A:C,3,0)</f>
        <v>69.099999999999994</v>
      </c>
      <c r="E1442" s="87">
        <v>-0.17245508982035934</v>
      </c>
      <c r="F1442">
        <v>11.7</v>
      </c>
    </row>
    <row r="1443" spans="1:6">
      <c r="A1443">
        <v>3450</v>
      </c>
      <c r="B1443" t="s">
        <v>1066</v>
      </c>
      <c r="C1443">
        <v>139</v>
      </c>
      <c r="D1443">
        <f>VLOOKUP(A1443,收盤價!A:C,3,0)</f>
        <v>115</v>
      </c>
      <c r="E1443" s="87">
        <v>-0.17266187050359713</v>
      </c>
      <c r="F1443">
        <v>11.64</v>
      </c>
    </row>
    <row r="1444" spans="1:6">
      <c r="A1444">
        <v>9136</v>
      </c>
      <c r="B1444" t="s">
        <v>2102</v>
      </c>
      <c r="C1444">
        <v>12.7</v>
      </c>
      <c r="D1444">
        <f>VLOOKUP(A1444,收盤價!A:C,3,0)</f>
        <v>10.5</v>
      </c>
      <c r="E1444" s="87">
        <v>-0.17322834645669286</v>
      </c>
      <c r="F1444">
        <v>11.57</v>
      </c>
    </row>
    <row r="1445" spans="1:6">
      <c r="A1445">
        <v>5516</v>
      </c>
      <c r="B1445" t="s">
        <v>1561</v>
      </c>
      <c r="C1445">
        <v>10.8</v>
      </c>
      <c r="D1445">
        <f>VLOOKUP(A1445,收盤價!A:C,3,0)</f>
        <v>8.91</v>
      </c>
      <c r="E1445" s="87">
        <v>-0.17500000000000004</v>
      </c>
      <c r="F1445">
        <v>11.51</v>
      </c>
    </row>
    <row r="1446" spans="1:6">
      <c r="A1446">
        <v>5309</v>
      </c>
      <c r="B1446" t="s">
        <v>1524</v>
      </c>
      <c r="C1446">
        <v>14.85</v>
      </c>
      <c r="D1446">
        <f>VLOOKUP(A1446,收盤價!A:C,3,0)</f>
        <v>12.2</v>
      </c>
      <c r="E1446" s="87">
        <v>-0.17845117845117847</v>
      </c>
      <c r="F1446">
        <v>11.45</v>
      </c>
    </row>
    <row r="1447" spans="1:6">
      <c r="A1447">
        <v>1762</v>
      </c>
      <c r="B1447" t="s">
        <v>679</v>
      </c>
      <c r="C1447">
        <v>33.299999999999997</v>
      </c>
      <c r="D1447">
        <f>VLOOKUP(A1447,收盤價!A:C,3,0)</f>
        <v>27.35</v>
      </c>
      <c r="E1447" s="87">
        <v>-0.17867867867867857</v>
      </c>
      <c r="F1447">
        <v>11.39</v>
      </c>
    </row>
    <row r="1448" spans="1:6">
      <c r="A1448">
        <v>4114</v>
      </c>
      <c r="B1448" t="s">
        <v>1439</v>
      </c>
      <c r="C1448">
        <v>35.6</v>
      </c>
      <c r="D1448">
        <f>VLOOKUP(A1448,收盤價!A:C,3,0)</f>
        <v>29.2</v>
      </c>
      <c r="E1448" s="87">
        <v>-0.17977528089887646</v>
      </c>
      <c r="F1448">
        <v>11.33</v>
      </c>
    </row>
    <row r="1449" spans="1:6">
      <c r="A1449">
        <v>4188</v>
      </c>
      <c r="B1449" t="s">
        <v>1455</v>
      </c>
      <c r="C1449">
        <v>35.6</v>
      </c>
      <c r="D1449">
        <f>VLOOKUP(A1449,收盤價!A:C,3,0)</f>
        <v>29.2</v>
      </c>
      <c r="E1449" s="87">
        <v>-0.17977528089887646</v>
      </c>
      <c r="F1449">
        <v>11.27</v>
      </c>
    </row>
    <row r="1450" spans="1:6">
      <c r="A1450">
        <v>6514</v>
      </c>
      <c r="B1450" t="s">
        <v>1759</v>
      </c>
      <c r="C1450">
        <v>40</v>
      </c>
      <c r="D1450">
        <f>VLOOKUP(A1450,收盤價!A:C,3,0)</f>
        <v>32.799999999999997</v>
      </c>
      <c r="E1450" s="87">
        <v>-0.18000000000000008</v>
      </c>
      <c r="F1450">
        <v>11.21</v>
      </c>
    </row>
    <row r="1451" spans="1:6">
      <c r="A1451">
        <v>2530</v>
      </c>
      <c r="B1451" t="s">
        <v>897</v>
      </c>
      <c r="C1451">
        <v>16.350000000000001</v>
      </c>
      <c r="D1451">
        <f>VLOOKUP(A1451,收盤價!A:C,3,0)</f>
        <v>13.4</v>
      </c>
      <c r="E1451" s="87">
        <v>-0.18042813455657497</v>
      </c>
      <c r="F1451">
        <v>11.15</v>
      </c>
    </row>
    <row r="1452" spans="1:6">
      <c r="A1452">
        <v>6404</v>
      </c>
      <c r="B1452" t="s">
        <v>1639</v>
      </c>
      <c r="C1452">
        <v>20.399999999999999</v>
      </c>
      <c r="D1452">
        <f>VLOOKUP(A1452,收盤價!A:C,3,0)</f>
        <v>16.7</v>
      </c>
      <c r="E1452" s="87">
        <v>-0.18137254901960781</v>
      </c>
      <c r="F1452">
        <v>11.08</v>
      </c>
    </row>
    <row r="1453" spans="1:6">
      <c r="A1453">
        <v>4806</v>
      </c>
      <c r="B1453" t="s">
        <v>1837</v>
      </c>
      <c r="C1453">
        <v>92.2</v>
      </c>
      <c r="D1453">
        <f>VLOOKUP(A1453,收盤價!A:C,3,0)</f>
        <v>75.3</v>
      </c>
      <c r="E1453" s="87">
        <v>-0.18329718004338399</v>
      </c>
      <c r="F1453">
        <v>11.02</v>
      </c>
    </row>
    <row r="1454" spans="1:6">
      <c r="A1454">
        <v>1799</v>
      </c>
      <c r="B1454" t="s">
        <v>234</v>
      </c>
      <c r="C1454">
        <v>30.25</v>
      </c>
      <c r="D1454">
        <f>VLOOKUP(A1454,收盤價!A:C,3,0)</f>
        <v>24.7</v>
      </c>
      <c r="E1454" s="87">
        <v>-0.1834710743801653</v>
      </c>
      <c r="F1454">
        <v>10.96</v>
      </c>
    </row>
    <row r="1455" spans="1:6">
      <c r="A1455">
        <v>4192</v>
      </c>
      <c r="B1455" t="s">
        <v>1456</v>
      </c>
      <c r="C1455">
        <v>35.549999999999997</v>
      </c>
      <c r="D1455">
        <f>VLOOKUP(A1455,收盤價!A:C,3,0)</f>
        <v>29</v>
      </c>
      <c r="E1455" s="87">
        <v>-0.18424753867791835</v>
      </c>
      <c r="F1455">
        <v>10.9</v>
      </c>
    </row>
    <row r="1456" spans="1:6">
      <c r="A1456">
        <v>5314</v>
      </c>
      <c r="B1456" t="s">
        <v>1526</v>
      </c>
      <c r="C1456">
        <v>6.2</v>
      </c>
      <c r="D1456">
        <f>VLOOKUP(A1456,收盤價!A:C,3,0)</f>
        <v>5.05</v>
      </c>
      <c r="E1456" s="87">
        <v>-0.18548387096774199</v>
      </c>
      <c r="F1456">
        <v>10.84</v>
      </c>
    </row>
    <row r="1457" spans="1:6">
      <c r="A1457">
        <v>4420</v>
      </c>
      <c r="B1457" t="s">
        <v>1467</v>
      </c>
      <c r="C1457">
        <v>34.65</v>
      </c>
      <c r="D1457">
        <f>VLOOKUP(A1457,收盤價!A:C,3,0)</f>
        <v>28.2</v>
      </c>
      <c r="E1457" s="87">
        <v>-0.18614718614718614</v>
      </c>
      <c r="F1457">
        <v>10.78</v>
      </c>
    </row>
    <row r="1458" spans="1:6">
      <c r="A1458">
        <v>2061</v>
      </c>
      <c r="B1458" t="s">
        <v>236</v>
      </c>
      <c r="C1458">
        <v>9.5500000000000007</v>
      </c>
      <c r="D1458">
        <f>VLOOKUP(A1458,收盤價!A:C,3,0)</f>
        <v>7.77</v>
      </c>
      <c r="E1458" s="87">
        <v>-0.18638743455497392</v>
      </c>
      <c r="F1458">
        <v>10.72</v>
      </c>
    </row>
    <row r="1459" spans="1:6">
      <c r="A1459">
        <v>4137</v>
      </c>
      <c r="B1459" t="s">
        <v>2053</v>
      </c>
      <c r="C1459">
        <v>173.5</v>
      </c>
      <c r="D1459">
        <f>VLOOKUP(A1459,收盤價!A:C,3,0)</f>
        <v>141</v>
      </c>
      <c r="E1459" s="87">
        <v>-0.18731988472622479</v>
      </c>
      <c r="F1459">
        <v>10.66</v>
      </c>
    </row>
    <row r="1460" spans="1:6">
      <c r="A1460">
        <v>8341</v>
      </c>
      <c r="B1460" t="s">
        <v>1266</v>
      </c>
      <c r="C1460">
        <v>146.5</v>
      </c>
      <c r="D1460">
        <f>VLOOKUP(A1460,收盤價!A:C,3,0)</f>
        <v>119</v>
      </c>
      <c r="E1460" s="87">
        <v>-0.18771331058020477</v>
      </c>
      <c r="F1460">
        <v>10.59</v>
      </c>
    </row>
    <row r="1461" spans="1:6">
      <c r="A1461">
        <v>1805</v>
      </c>
      <c r="B1461" t="s">
        <v>685</v>
      </c>
      <c r="C1461">
        <v>6.8</v>
      </c>
      <c r="D1461">
        <f>VLOOKUP(A1461,收盤價!A:C,3,0)</f>
        <v>5.52</v>
      </c>
      <c r="E1461" s="87">
        <v>-0.18823529411764711</v>
      </c>
      <c r="F1461">
        <v>10.53</v>
      </c>
    </row>
    <row r="1462" spans="1:6">
      <c r="A1462">
        <v>5490</v>
      </c>
      <c r="B1462" t="s">
        <v>402</v>
      </c>
      <c r="C1462">
        <v>54.1</v>
      </c>
      <c r="D1462">
        <f>VLOOKUP(A1462,收盤價!A:C,3,0)</f>
        <v>43.9</v>
      </c>
      <c r="E1462" s="87">
        <v>-0.18853974121996309</v>
      </c>
      <c r="F1462">
        <v>10.47</v>
      </c>
    </row>
    <row r="1463" spans="1:6">
      <c r="A1463">
        <v>4995</v>
      </c>
      <c r="B1463" t="s">
        <v>1507</v>
      </c>
      <c r="C1463">
        <v>37.15</v>
      </c>
      <c r="D1463">
        <f>VLOOKUP(A1463,收盤價!A:C,3,0)</f>
        <v>30.1</v>
      </c>
      <c r="E1463" s="87">
        <v>-0.1897711978465679</v>
      </c>
      <c r="F1463">
        <v>10.41</v>
      </c>
    </row>
    <row r="1464" spans="1:6">
      <c r="A1464">
        <v>3558</v>
      </c>
      <c r="B1464" t="s">
        <v>307</v>
      </c>
      <c r="C1464">
        <v>165</v>
      </c>
      <c r="D1464">
        <f>VLOOKUP(A1464,收盤價!A:C,3,0)</f>
        <v>133.5</v>
      </c>
      <c r="E1464" s="87">
        <v>-0.19090909090909092</v>
      </c>
      <c r="F1464">
        <v>10.35</v>
      </c>
    </row>
    <row r="1465" spans="1:6">
      <c r="A1465">
        <v>3624</v>
      </c>
      <c r="B1465" t="s">
        <v>314</v>
      </c>
      <c r="C1465">
        <v>27.95</v>
      </c>
      <c r="D1465">
        <f>VLOOKUP(A1465,收盤價!A:C,3,0)</f>
        <v>22.6</v>
      </c>
      <c r="E1465" s="87">
        <v>-0.19141323792486575</v>
      </c>
      <c r="F1465">
        <v>10.29</v>
      </c>
    </row>
    <row r="1466" spans="1:6">
      <c r="A1466">
        <v>3322</v>
      </c>
      <c r="B1466" t="s">
        <v>1380</v>
      </c>
      <c r="C1466">
        <v>9.9</v>
      </c>
      <c r="D1466">
        <f>VLOOKUP(A1466,收盤價!A:C,3,0)</f>
        <v>8</v>
      </c>
      <c r="E1466" s="87">
        <v>-0.19191919191919196</v>
      </c>
      <c r="F1466">
        <v>10.23</v>
      </c>
    </row>
    <row r="1467" spans="1:6">
      <c r="A1467">
        <v>3673</v>
      </c>
      <c r="B1467" t="s">
        <v>2052</v>
      </c>
      <c r="C1467">
        <v>60.5</v>
      </c>
      <c r="D1467">
        <f>VLOOKUP(A1467,收盤價!A:C,3,0)</f>
        <v>48.7</v>
      </c>
      <c r="E1467" s="87">
        <v>-0.19504132231404955</v>
      </c>
      <c r="F1467">
        <v>10.17</v>
      </c>
    </row>
    <row r="1468" spans="1:6">
      <c r="A1468">
        <v>3607</v>
      </c>
      <c r="B1468" t="s">
        <v>1095</v>
      </c>
      <c r="C1468">
        <v>38.15</v>
      </c>
      <c r="D1468">
        <f>VLOOKUP(A1468,收盤價!A:C,3,0)</f>
        <v>30.65</v>
      </c>
      <c r="E1468" s="87">
        <v>-0.19659239842726081</v>
      </c>
      <c r="F1468">
        <v>10.1</v>
      </c>
    </row>
    <row r="1469" spans="1:6">
      <c r="A1469">
        <v>4987</v>
      </c>
      <c r="B1469" t="s">
        <v>1505</v>
      </c>
      <c r="C1469">
        <v>56.8</v>
      </c>
      <c r="D1469">
        <f>VLOOKUP(A1469,收盤價!A:C,3,0)</f>
        <v>45.35</v>
      </c>
      <c r="E1469" s="87">
        <v>-0.20158450704225345</v>
      </c>
      <c r="F1469">
        <v>10.039999999999999</v>
      </c>
    </row>
    <row r="1470" spans="1:6">
      <c r="A1470">
        <v>8086</v>
      </c>
      <c r="B1470" t="s">
        <v>1666</v>
      </c>
      <c r="C1470">
        <v>60.1</v>
      </c>
      <c r="D1470">
        <f>VLOOKUP(A1470,收盤價!A:C,3,0)</f>
        <v>47.8</v>
      </c>
      <c r="E1470" s="87">
        <v>-0.20465890183028293</v>
      </c>
      <c r="F1470">
        <v>9.98</v>
      </c>
    </row>
    <row r="1471" spans="1:6">
      <c r="A1471">
        <v>1595</v>
      </c>
      <c r="B1471" t="s">
        <v>1318</v>
      </c>
      <c r="C1471">
        <v>48.8</v>
      </c>
      <c r="D1471">
        <f>VLOOKUP(A1471,收盤價!A:C,3,0)</f>
        <v>38.799999999999997</v>
      </c>
      <c r="E1471" s="87">
        <v>-0.20491803278688525</v>
      </c>
      <c r="F1471">
        <v>9.92</v>
      </c>
    </row>
    <row r="1472" spans="1:6">
      <c r="A1472">
        <v>2434</v>
      </c>
      <c r="B1472" t="s">
        <v>833</v>
      </c>
      <c r="C1472">
        <v>8.0299999999999994</v>
      </c>
      <c r="D1472">
        <f>VLOOKUP(A1472,收盤價!A:C,3,0)</f>
        <v>6.38</v>
      </c>
      <c r="E1472" s="87">
        <v>-0.20547945205479448</v>
      </c>
      <c r="F1472">
        <v>9.86</v>
      </c>
    </row>
    <row r="1473" spans="1:6">
      <c r="A1473">
        <v>4108</v>
      </c>
      <c r="B1473" t="s">
        <v>1114</v>
      </c>
      <c r="C1473">
        <v>37.6</v>
      </c>
      <c r="D1473">
        <f>VLOOKUP(A1473,收盤價!A:C,3,0)</f>
        <v>29.85</v>
      </c>
      <c r="E1473" s="87">
        <v>-0.20611702127659573</v>
      </c>
      <c r="F1473">
        <v>9.8000000000000007</v>
      </c>
    </row>
    <row r="1474" spans="1:6">
      <c r="A1474">
        <v>6443</v>
      </c>
      <c r="B1474" t="s">
        <v>1234</v>
      </c>
      <c r="C1474">
        <v>14.2</v>
      </c>
      <c r="D1474">
        <f>VLOOKUP(A1474,收盤價!A:C,3,0)</f>
        <v>11.25</v>
      </c>
      <c r="E1474" s="87">
        <v>-0.20774647887323941</v>
      </c>
      <c r="F1474">
        <v>9.74</v>
      </c>
    </row>
    <row r="1475" spans="1:6">
      <c r="A1475">
        <v>4555</v>
      </c>
      <c r="B1475" t="s">
        <v>1741</v>
      </c>
      <c r="C1475">
        <v>67.8</v>
      </c>
      <c r="D1475">
        <f>VLOOKUP(A1475,收盤價!A:C,3,0)</f>
        <v>53.7</v>
      </c>
      <c r="E1475" s="87">
        <v>-0.20796460176991144</v>
      </c>
      <c r="F1475">
        <v>9.68</v>
      </c>
    </row>
    <row r="1476" spans="1:6">
      <c r="A1476">
        <v>2637</v>
      </c>
      <c r="B1476" t="s">
        <v>2045</v>
      </c>
      <c r="C1476">
        <v>36.049999999999997</v>
      </c>
      <c r="D1476">
        <f>VLOOKUP(A1476,收盤價!A:C,3,0)</f>
        <v>28.5</v>
      </c>
      <c r="E1476" s="87">
        <v>-0.20943134535367539</v>
      </c>
      <c r="F1476">
        <v>9.61</v>
      </c>
    </row>
    <row r="1477" spans="1:6">
      <c r="A1477">
        <v>4174</v>
      </c>
      <c r="B1477" t="s">
        <v>335</v>
      </c>
      <c r="C1477">
        <v>413</v>
      </c>
      <c r="D1477">
        <f>VLOOKUP(A1477,收盤價!A:C,3,0)</f>
        <v>325</v>
      </c>
      <c r="E1477" s="87">
        <v>-0.21307506053268765</v>
      </c>
      <c r="F1477">
        <v>9.5500000000000007</v>
      </c>
    </row>
    <row r="1478" spans="1:6">
      <c r="A1478">
        <v>4971</v>
      </c>
      <c r="B1478" t="s">
        <v>1502</v>
      </c>
      <c r="C1478">
        <v>99.4</v>
      </c>
      <c r="D1478">
        <f>VLOOKUP(A1478,收盤價!A:C,3,0)</f>
        <v>77.7</v>
      </c>
      <c r="E1478" s="87">
        <v>-0.21830985915492959</v>
      </c>
      <c r="F1478">
        <v>9.49</v>
      </c>
    </row>
    <row r="1479" spans="1:6">
      <c r="A1479">
        <v>1516</v>
      </c>
      <c r="B1479" t="s">
        <v>608</v>
      </c>
      <c r="C1479">
        <v>22.65</v>
      </c>
      <c r="D1479">
        <f>VLOOKUP(A1479,收盤價!A:C,3,0)</f>
        <v>17.7</v>
      </c>
      <c r="E1479" s="87">
        <v>-0.21854304635761587</v>
      </c>
      <c r="F1479">
        <v>9.43</v>
      </c>
    </row>
    <row r="1480" spans="1:6">
      <c r="A1480">
        <v>8409</v>
      </c>
      <c r="B1480" t="s">
        <v>1697</v>
      </c>
      <c r="C1480">
        <v>28.8</v>
      </c>
      <c r="D1480">
        <f>VLOOKUP(A1480,收盤價!A:C,3,0)</f>
        <v>22.5</v>
      </c>
      <c r="E1480" s="87">
        <v>-0.21875000000000003</v>
      </c>
      <c r="F1480">
        <v>9.3699999999999992</v>
      </c>
    </row>
    <row r="1481" spans="1:6">
      <c r="A1481">
        <v>8096</v>
      </c>
      <c r="B1481" t="s">
        <v>1670</v>
      </c>
      <c r="C1481">
        <v>17.8</v>
      </c>
      <c r="D1481">
        <f>VLOOKUP(A1481,收盤價!A:C,3,0)</f>
        <v>13.9</v>
      </c>
      <c r="E1481" s="87">
        <v>-0.21910112359550563</v>
      </c>
      <c r="F1481">
        <v>9.31</v>
      </c>
    </row>
    <row r="1482" spans="1:6">
      <c r="A1482">
        <v>3691</v>
      </c>
      <c r="B1482" t="s">
        <v>1432</v>
      </c>
      <c r="C1482">
        <v>520</v>
      </c>
      <c r="D1482">
        <f>VLOOKUP(A1482,收盤價!A:C,3,0)</f>
        <v>404</v>
      </c>
      <c r="E1482" s="87">
        <v>-0.22307692307692309</v>
      </c>
      <c r="F1482">
        <v>9.25</v>
      </c>
    </row>
    <row r="1483" spans="1:6">
      <c r="A1483">
        <v>3523</v>
      </c>
      <c r="B1483" t="s">
        <v>1403</v>
      </c>
      <c r="C1483">
        <v>23.3</v>
      </c>
      <c r="D1483">
        <f>VLOOKUP(A1483,收盤價!A:C,3,0)</f>
        <v>18.100000000000001</v>
      </c>
      <c r="E1483" s="87">
        <v>-0.22317596566523601</v>
      </c>
      <c r="F1483">
        <v>9.19</v>
      </c>
    </row>
    <row r="1484" spans="1:6">
      <c r="A1484">
        <v>3293</v>
      </c>
      <c r="B1484" t="s">
        <v>1376</v>
      </c>
      <c r="C1484">
        <v>249.5</v>
      </c>
      <c r="D1484">
        <f>VLOOKUP(A1484,收盤價!A:C,3,0)</f>
        <v>193</v>
      </c>
      <c r="E1484" s="87">
        <v>-0.22645290581162325</v>
      </c>
      <c r="F1484">
        <v>9.1199999999999992</v>
      </c>
    </row>
    <row r="1485" spans="1:6">
      <c r="A1485">
        <v>6465</v>
      </c>
      <c r="B1485" t="s">
        <v>1754</v>
      </c>
      <c r="C1485">
        <v>75</v>
      </c>
      <c r="D1485">
        <f>VLOOKUP(A1485,收盤價!A:C,3,0)</f>
        <v>57.9</v>
      </c>
      <c r="E1485" s="87">
        <v>-0.22800000000000001</v>
      </c>
      <c r="F1485">
        <v>9.06</v>
      </c>
    </row>
    <row r="1486" spans="1:6">
      <c r="A1486">
        <v>3684</v>
      </c>
      <c r="B1486" t="s">
        <v>1429</v>
      </c>
      <c r="C1486">
        <v>50.5</v>
      </c>
      <c r="D1486">
        <f>VLOOKUP(A1486,收盤價!A:C,3,0)</f>
        <v>38.950000000000003</v>
      </c>
      <c r="E1486" s="87">
        <v>-0.22871287128712867</v>
      </c>
      <c r="F1486">
        <v>9</v>
      </c>
    </row>
    <row r="1487" spans="1:6">
      <c r="A1487">
        <v>5349</v>
      </c>
      <c r="B1487" t="s">
        <v>1533</v>
      </c>
      <c r="C1487">
        <v>41.7</v>
      </c>
      <c r="D1487">
        <f>VLOOKUP(A1487,收盤價!A:C,3,0)</f>
        <v>32</v>
      </c>
      <c r="E1487" s="87">
        <v>-0.23261390887290173</v>
      </c>
      <c r="F1487">
        <v>8.94</v>
      </c>
    </row>
    <row r="1488" spans="1:6">
      <c r="A1488">
        <v>5364</v>
      </c>
      <c r="B1488" t="s">
        <v>387</v>
      </c>
      <c r="C1488">
        <v>28.8</v>
      </c>
      <c r="D1488">
        <f>VLOOKUP(A1488,收盤價!A:C,3,0)</f>
        <v>22</v>
      </c>
      <c r="E1488" s="87">
        <v>-0.23611111111111113</v>
      </c>
      <c r="F1488">
        <v>8.8800000000000008</v>
      </c>
    </row>
    <row r="1489" spans="1:6">
      <c r="A1489">
        <v>3629</v>
      </c>
      <c r="B1489" t="s">
        <v>1420</v>
      </c>
      <c r="C1489">
        <v>38.5</v>
      </c>
      <c r="D1489">
        <f>VLOOKUP(A1489,收盤價!A:C,3,0)</f>
        <v>29.4</v>
      </c>
      <c r="E1489" s="87">
        <v>-0.23636363636363639</v>
      </c>
      <c r="F1489">
        <v>8.82</v>
      </c>
    </row>
    <row r="1490" spans="1:6">
      <c r="A1490">
        <v>2331</v>
      </c>
      <c r="B1490" t="s">
        <v>761</v>
      </c>
      <c r="C1490">
        <v>19</v>
      </c>
      <c r="D1490">
        <f>VLOOKUP(A1490,收盤價!A:C,3,0)</f>
        <v>14.5</v>
      </c>
      <c r="E1490" s="87">
        <v>-0.23684210526315788</v>
      </c>
      <c r="F1490">
        <v>8.76</v>
      </c>
    </row>
    <row r="1491" spans="1:6">
      <c r="A1491">
        <v>3373</v>
      </c>
      <c r="B1491" t="s">
        <v>285</v>
      </c>
      <c r="C1491">
        <v>27.6</v>
      </c>
      <c r="D1491">
        <f>VLOOKUP(A1491,收盤價!A:C,3,0)</f>
        <v>21.05</v>
      </c>
      <c r="E1491" s="87">
        <v>-0.23731884057971017</v>
      </c>
      <c r="F1491">
        <v>8.6999999999999993</v>
      </c>
    </row>
    <row r="1492" spans="1:6">
      <c r="A1492">
        <v>6294</v>
      </c>
      <c r="B1492" t="s">
        <v>1637</v>
      </c>
      <c r="C1492">
        <v>126.5</v>
      </c>
      <c r="D1492">
        <f>VLOOKUP(A1492,收盤價!A:C,3,0)</f>
        <v>96.4</v>
      </c>
      <c r="E1492" s="87">
        <v>-0.23794466403162051</v>
      </c>
      <c r="F1492">
        <v>8.6300000000000008</v>
      </c>
    </row>
    <row r="1493" spans="1:6">
      <c r="A1493">
        <v>6234</v>
      </c>
      <c r="B1493" t="s">
        <v>439</v>
      </c>
      <c r="C1493">
        <v>23</v>
      </c>
      <c r="D1493">
        <f>VLOOKUP(A1493,收盤價!A:C,3,0)</f>
        <v>17.45</v>
      </c>
      <c r="E1493" s="87">
        <v>-0.24130434782608698</v>
      </c>
      <c r="F1493">
        <v>8.57</v>
      </c>
    </row>
    <row r="1494" spans="1:6">
      <c r="A1494">
        <v>8101</v>
      </c>
      <c r="B1494" t="s">
        <v>1249</v>
      </c>
      <c r="C1494">
        <v>6.57</v>
      </c>
      <c r="D1494">
        <f>VLOOKUP(A1494,收盤價!A:C,3,0)</f>
        <v>4.9800000000000004</v>
      </c>
      <c r="E1494" s="87">
        <v>-0.24200913242009128</v>
      </c>
      <c r="F1494">
        <v>8.51</v>
      </c>
    </row>
    <row r="1495" spans="1:6">
      <c r="A1495">
        <v>6485</v>
      </c>
      <c r="B1495" t="s">
        <v>1755</v>
      </c>
      <c r="C1495">
        <v>75</v>
      </c>
      <c r="D1495">
        <f>VLOOKUP(A1495,收盤價!A:C,3,0)</f>
        <v>56.5</v>
      </c>
      <c r="E1495" s="87">
        <v>-0.24666666666666667</v>
      </c>
      <c r="F1495">
        <v>8.4499999999999993</v>
      </c>
    </row>
    <row r="1496" spans="1:6">
      <c r="A1496">
        <v>2316</v>
      </c>
      <c r="B1496" t="s">
        <v>751</v>
      </c>
      <c r="C1496">
        <v>24</v>
      </c>
      <c r="D1496">
        <f>VLOOKUP(A1496,收盤價!A:C,3,0)</f>
        <v>17.95</v>
      </c>
      <c r="E1496" s="87">
        <v>-0.25208333333333338</v>
      </c>
      <c r="F1496">
        <v>8.39</v>
      </c>
    </row>
    <row r="1497" spans="1:6">
      <c r="A1497">
        <v>4171</v>
      </c>
      <c r="B1497" t="s">
        <v>1453</v>
      </c>
      <c r="C1497">
        <v>30</v>
      </c>
      <c r="D1497">
        <f>VLOOKUP(A1497,收盤價!A:C,3,0)</f>
        <v>22.4</v>
      </c>
      <c r="E1497" s="87">
        <v>-0.25333333333333335</v>
      </c>
      <c r="F1497">
        <v>8.33</v>
      </c>
    </row>
    <row r="1498" spans="1:6">
      <c r="A1498">
        <v>4736</v>
      </c>
      <c r="B1498" t="s">
        <v>354</v>
      </c>
      <c r="C1498">
        <v>148</v>
      </c>
      <c r="D1498">
        <f>VLOOKUP(A1498,收盤價!A:C,3,0)</f>
        <v>109</v>
      </c>
      <c r="E1498" s="87">
        <v>-0.26351351351351349</v>
      </c>
      <c r="F1498">
        <v>8.27</v>
      </c>
    </row>
    <row r="1499" spans="1:6">
      <c r="A1499">
        <v>2538</v>
      </c>
      <c r="B1499" t="s">
        <v>902</v>
      </c>
      <c r="C1499">
        <v>14</v>
      </c>
      <c r="D1499">
        <f>VLOOKUP(A1499,收盤價!A:C,3,0)</f>
        <v>10.25</v>
      </c>
      <c r="E1499" s="87">
        <v>-0.26785714285714285</v>
      </c>
      <c r="F1499">
        <v>8.2100000000000009</v>
      </c>
    </row>
    <row r="1500" spans="1:6">
      <c r="A1500">
        <v>1473</v>
      </c>
      <c r="B1500" t="s">
        <v>595</v>
      </c>
      <c r="C1500">
        <v>39.700000000000003</v>
      </c>
      <c r="D1500">
        <f>VLOOKUP(A1500,收盤價!A:C,3,0)</f>
        <v>29.05</v>
      </c>
      <c r="E1500" s="87">
        <v>-0.26826196473551639</v>
      </c>
      <c r="F1500">
        <v>8.14</v>
      </c>
    </row>
    <row r="1501" spans="1:6">
      <c r="A1501">
        <v>4991</v>
      </c>
      <c r="B1501" t="s">
        <v>1506</v>
      </c>
      <c r="C1501">
        <v>91</v>
      </c>
      <c r="D1501">
        <f>VLOOKUP(A1501,收盤價!A:C,3,0)</f>
        <v>66.5</v>
      </c>
      <c r="E1501" s="87">
        <v>-0.26923076923076922</v>
      </c>
      <c r="F1501">
        <v>8.08</v>
      </c>
    </row>
    <row r="1502" spans="1:6">
      <c r="A1502">
        <v>4911</v>
      </c>
      <c r="B1502" t="s">
        <v>356</v>
      </c>
      <c r="C1502">
        <v>111.5</v>
      </c>
      <c r="D1502">
        <f>VLOOKUP(A1502,收盤價!A:C,3,0)</f>
        <v>81.3</v>
      </c>
      <c r="E1502" s="87">
        <v>-0.27085201793721975</v>
      </c>
      <c r="F1502">
        <v>8.02</v>
      </c>
    </row>
    <row r="1503" spans="1:6">
      <c r="A1503">
        <v>8048</v>
      </c>
      <c r="B1503" t="s">
        <v>1654</v>
      </c>
      <c r="C1503">
        <v>37.950000000000003</v>
      </c>
      <c r="D1503">
        <f>VLOOKUP(A1503,收盤價!A:C,3,0)</f>
        <v>27.35</v>
      </c>
      <c r="E1503" s="87">
        <v>-0.27931488801054022</v>
      </c>
      <c r="F1503">
        <v>7.96</v>
      </c>
    </row>
    <row r="1504" spans="1:6">
      <c r="A1504">
        <v>3321</v>
      </c>
      <c r="B1504" t="s">
        <v>1785</v>
      </c>
      <c r="C1504">
        <v>23</v>
      </c>
      <c r="D1504">
        <f>VLOOKUP(A1504,收盤價!A:C,3,0)</f>
        <v>16.399999999999999</v>
      </c>
      <c r="E1504" s="87">
        <v>-0.2869565217391305</v>
      </c>
      <c r="F1504">
        <v>7.9</v>
      </c>
    </row>
    <row r="1505" spans="1:6">
      <c r="A1505">
        <v>8038</v>
      </c>
      <c r="B1505" t="s">
        <v>460</v>
      </c>
      <c r="C1505">
        <v>67.7</v>
      </c>
      <c r="D1505">
        <f>VLOOKUP(A1505,收盤價!A:C,3,0)</f>
        <v>48.2</v>
      </c>
      <c r="E1505" s="87">
        <v>-0.2880354505169867</v>
      </c>
      <c r="F1505">
        <v>7.84</v>
      </c>
    </row>
    <row r="1506" spans="1:6">
      <c r="A1506">
        <v>9928</v>
      </c>
      <c r="B1506" t="s">
        <v>1293</v>
      </c>
      <c r="C1506">
        <v>7.1</v>
      </c>
      <c r="D1506">
        <f>VLOOKUP(A1506,收盤價!A:C,3,0)</f>
        <v>5.0199999999999996</v>
      </c>
      <c r="E1506" s="87">
        <v>-0.29295774647887324</v>
      </c>
      <c r="F1506">
        <v>7.78</v>
      </c>
    </row>
    <row r="1507" spans="1:6">
      <c r="A1507">
        <v>8080</v>
      </c>
      <c r="B1507" t="s">
        <v>465</v>
      </c>
      <c r="C1507">
        <v>21</v>
      </c>
      <c r="D1507">
        <f>VLOOKUP(A1507,收盤價!A:C,3,0)</f>
        <v>14.8</v>
      </c>
      <c r="E1507" s="87">
        <v>-0.29523809523809519</v>
      </c>
      <c r="F1507">
        <v>7.72</v>
      </c>
    </row>
    <row r="1508" spans="1:6">
      <c r="A1508">
        <v>6227</v>
      </c>
      <c r="B1508" t="s">
        <v>436</v>
      </c>
      <c r="C1508">
        <v>35.299999999999997</v>
      </c>
      <c r="D1508">
        <f>VLOOKUP(A1508,收盤價!A:C,3,0)</f>
        <v>24.85</v>
      </c>
      <c r="E1508" s="87">
        <v>-0.29603399433427752</v>
      </c>
      <c r="F1508">
        <v>7.65</v>
      </c>
    </row>
    <row r="1509" spans="1:6">
      <c r="A1509">
        <v>5281</v>
      </c>
      <c r="B1509" t="s">
        <v>1845</v>
      </c>
      <c r="C1509">
        <v>36.5</v>
      </c>
      <c r="D1509">
        <f>VLOOKUP(A1509,收盤價!A:C,3,0)</f>
        <v>25.65</v>
      </c>
      <c r="E1509" s="87">
        <v>-0.2972602739726028</v>
      </c>
      <c r="F1509">
        <v>7.59</v>
      </c>
    </row>
    <row r="1510" spans="1:6">
      <c r="A1510">
        <v>2724</v>
      </c>
      <c r="B1510" t="s">
        <v>1333</v>
      </c>
      <c r="C1510">
        <v>12.8</v>
      </c>
      <c r="D1510">
        <f>VLOOKUP(A1510,收盤價!A:C,3,0)</f>
        <v>8.93</v>
      </c>
      <c r="E1510" s="87">
        <v>-0.30234375000000008</v>
      </c>
      <c r="F1510">
        <v>7.53</v>
      </c>
    </row>
    <row r="1511" spans="1:6">
      <c r="A1511">
        <v>6238</v>
      </c>
      <c r="B1511" t="s">
        <v>1623</v>
      </c>
      <c r="C1511">
        <v>256</v>
      </c>
      <c r="D1511">
        <f>VLOOKUP(A1511,收盤價!A:C,3,0)</f>
        <v>177.5</v>
      </c>
      <c r="E1511" s="87">
        <v>-0.306640625</v>
      </c>
      <c r="F1511">
        <v>7.47</v>
      </c>
    </row>
    <row r="1512" spans="1:6">
      <c r="A1512">
        <v>4139</v>
      </c>
      <c r="B1512" t="s">
        <v>1447</v>
      </c>
      <c r="C1512">
        <v>58.2</v>
      </c>
      <c r="D1512">
        <f>VLOOKUP(A1512,收盤價!A:C,3,0)</f>
        <v>40</v>
      </c>
      <c r="E1512" s="87">
        <v>-0.31271477663230246</v>
      </c>
      <c r="F1512">
        <v>7.41</v>
      </c>
    </row>
    <row r="1513" spans="1:6">
      <c r="A1513">
        <v>1586</v>
      </c>
      <c r="B1513" t="s">
        <v>1316</v>
      </c>
      <c r="C1513">
        <v>31.95</v>
      </c>
      <c r="D1513">
        <f>VLOOKUP(A1513,收盤價!A:C,3,0)</f>
        <v>21.9</v>
      </c>
      <c r="E1513" s="87">
        <v>-0.31455399061032868</v>
      </c>
      <c r="F1513">
        <v>7.35</v>
      </c>
    </row>
    <row r="1514" spans="1:6">
      <c r="A1514">
        <v>1589</v>
      </c>
      <c r="B1514" t="s">
        <v>2035</v>
      </c>
      <c r="C1514">
        <v>195</v>
      </c>
      <c r="D1514">
        <f>VLOOKUP(A1514,收盤價!A:C,3,0)</f>
        <v>132</v>
      </c>
      <c r="E1514" s="87">
        <v>-0.32307692307692309</v>
      </c>
      <c r="F1514">
        <v>7.29</v>
      </c>
    </row>
    <row r="1515" spans="1:6">
      <c r="A1515">
        <v>8467</v>
      </c>
      <c r="B1515" t="s">
        <v>2084</v>
      </c>
      <c r="C1515">
        <v>53.6</v>
      </c>
      <c r="D1515">
        <f>VLOOKUP(A1515,收盤價!A:C,3,0)</f>
        <v>36.200000000000003</v>
      </c>
      <c r="E1515" s="87">
        <v>-0.32462686567164173</v>
      </c>
      <c r="F1515">
        <v>7.23</v>
      </c>
    </row>
    <row r="1516" spans="1:6">
      <c r="A1516">
        <v>8429</v>
      </c>
      <c r="B1516" t="s">
        <v>2083</v>
      </c>
      <c r="C1516">
        <v>58</v>
      </c>
      <c r="D1516">
        <f>VLOOKUP(A1516,收盤價!A:C,3,0)</f>
        <v>39</v>
      </c>
      <c r="E1516" s="87">
        <v>-0.32758620689655171</v>
      </c>
      <c r="F1516">
        <v>7.16</v>
      </c>
    </row>
    <row r="1517" spans="1:6">
      <c r="A1517">
        <v>4979</v>
      </c>
      <c r="B1517" t="s">
        <v>362</v>
      </c>
      <c r="C1517">
        <v>49</v>
      </c>
      <c r="D1517">
        <f>VLOOKUP(A1517,收盤價!A:C,3,0)</f>
        <v>32.5</v>
      </c>
      <c r="E1517" s="87">
        <v>-0.33673469387755101</v>
      </c>
      <c r="F1517">
        <v>7.1</v>
      </c>
    </row>
    <row r="1518" spans="1:6">
      <c r="A1518">
        <v>3081</v>
      </c>
      <c r="B1518" t="s">
        <v>1345</v>
      </c>
      <c r="C1518">
        <v>415.5</v>
      </c>
      <c r="D1518">
        <f>VLOOKUP(A1518,收盤價!A:C,3,0)</f>
        <v>273</v>
      </c>
      <c r="E1518" s="87">
        <v>-0.34296028880866425</v>
      </c>
      <c r="F1518">
        <v>7.04</v>
      </c>
    </row>
    <row r="1519" spans="1:6">
      <c r="A1519">
        <v>4153</v>
      </c>
      <c r="B1519" t="s">
        <v>330</v>
      </c>
      <c r="C1519">
        <v>58.9</v>
      </c>
      <c r="D1519">
        <f>VLOOKUP(A1519,收盤價!A:C,3,0)</f>
        <v>38.6</v>
      </c>
      <c r="E1519" s="87">
        <v>-0.34465195246179964</v>
      </c>
      <c r="F1519">
        <v>6.98</v>
      </c>
    </row>
    <row r="1520" spans="1:6">
      <c r="A1520">
        <v>2348</v>
      </c>
      <c r="B1520" t="s">
        <v>770</v>
      </c>
      <c r="C1520">
        <v>32</v>
      </c>
      <c r="D1520">
        <f>VLOOKUP(A1520,收盤價!A:C,3,0)</f>
        <v>20.6</v>
      </c>
      <c r="E1520" s="87">
        <v>-0.35624999999999996</v>
      </c>
      <c r="F1520">
        <v>6.92</v>
      </c>
    </row>
    <row r="1521" spans="1:6">
      <c r="A1521">
        <v>1456</v>
      </c>
      <c r="B1521" t="s">
        <v>581</v>
      </c>
      <c r="C1521">
        <v>14.25</v>
      </c>
      <c r="D1521">
        <f>VLOOKUP(A1521,收盤價!A:C,3,0)</f>
        <v>9.16</v>
      </c>
      <c r="E1521" s="87">
        <v>-0.35719298245614034</v>
      </c>
      <c r="F1521">
        <v>6.86</v>
      </c>
    </row>
    <row r="1522" spans="1:6">
      <c r="A1522">
        <v>4198</v>
      </c>
      <c r="B1522" t="s">
        <v>337</v>
      </c>
      <c r="C1522">
        <v>24.15</v>
      </c>
      <c r="D1522">
        <f>VLOOKUP(A1522,收盤價!A:C,3,0)</f>
        <v>15.05</v>
      </c>
      <c r="E1522" s="87">
        <v>-0.3768115942028985</v>
      </c>
      <c r="F1522">
        <v>6.8</v>
      </c>
    </row>
    <row r="1523" spans="1:6">
      <c r="A1523">
        <v>3205</v>
      </c>
      <c r="B1523" t="s">
        <v>259</v>
      </c>
      <c r="C1523">
        <v>224</v>
      </c>
      <c r="D1523">
        <f>VLOOKUP(A1523,收盤價!A:C,3,0)</f>
        <v>136.5</v>
      </c>
      <c r="E1523" s="87">
        <v>-0.390625</v>
      </c>
      <c r="F1523">
        <v>6.74</v>
      </c>
    </row>
    <row r="1524" spans="1:6">
      <c r="A1524">
        <v>911611</v>
      </c>
      <c r="B1524" t="s">
        <v>2095</v>
      </c>
      <c r="C1524">
        <v>0.57999999999999996</v>
      </c>
      <c r="D1524">
        <f>VLOOKUP(A1524,收盤價!A:C,3,0)</f>
        <v>0.34</v>
      </c>
      <c r="E1524" s="87">
        <v>-0.4137931034482758</v>
      </c>
      <c r="F1524">
        <v>6.67</v>
      </c>
    </row>
    <row r="1525" spans="1:6">
      <c r="A1525">
        <v>8077</v>
      </c>
      <c r="B1525" t="s">
        <v>1663</v>
      </c>
      <c r="C1525">
        <v>41.35</v>
      </c>
      <c r="D1525">
        <f>VLOOKUP(A1525,收盤價!A:C,3,0)</f>
        <v>24.2</v>
      </c>
      <c r="E1525" s="87">
        <v>-0.41475211608222495</v>
      </c>
      <c r="F1525">
        <v>6.61</v>
      </c>
    </row>
    <row r="1526" spans="1:6">
      <c r="A1526">
        <v>2736</v>
      </c>
      <c r="B1526" t="s">
        <v>1800</v>
      </c>
      <c r="C1526">
        <v>36.1</v>
      </c>
      <c r="D1526">
        <f>VLOOKUP(A1526,收盤價!A:C,3,0)</f>
        <v>20.5</v>
      </c>
      <c r="E1526" s="87">
        <v>-0.4321329639889197</v>
      </c>
      <c r="F1526">
        <v>6.55</v>
      </c>
    </row>
    <row r="1527" spans="1:6">
      <c r="A1527">
        <v>3490</v>
      </c>
      <c r="B1527" t="s">
        <v>295</v>
      </c>
      <c r="C1527">
        <v>62.5</v>
      </c>
      <c r="D1527">
        <f>VLOOKUP(A1527,收盤價!A:C,3,0)</f>
        <v>33.9</v>
      </c>
      <c r="E1527" s="87">
        <v>-0.45760000000000001</v>
      </c>
      <c r="F1527">
        <v>6.49</v>
      </c>
    </row>
    <row r="1528" spans="1:6">
      <c r="A1528">
        <v>3086</v>
      </c>
      <c r="B1528" t="s">
        <v>1347</v>
      </c>
      <c r="C1528">
        <v>12.9</v>
      </c>
      <c r="D1528">
        <f>VLOOKUP(A1528,收盤價!A:C,3,0)</f>
        <v>6.4</v>
      </c>
      <c r="E1528" s="87">
        <v>-0.50387596899224807</v>
      </c>
      <c r="F1528">
        <v>6.43</v>
      </c>
    </row>
    <row r="1529" spans="1:6">
      <c r="A1529">
        <v>3095</v>
      </c>
      <c r="B1529" t="s">
        <v>252</v>
      </c>
      <c r="C1529">
        <v>3.96</v>
      </c>
      <c r="D1529">
        <f>VLOOKUP(A1529,收盤價!A:C,3,0)</f>
        <v>1.83</v>
      </c>
      <c r="E1529" s="87">
        <v>-0.53787878787878785</v>
      </c>
      <c r="F1529">
        <v>6.37</v>
      </c>
    </row>
    <row r="1530" spans="1:6">
      <c r="A1530">
        <v>3662</v>
      </c>
      <c r="B1530" t="s">
        <v>1424</v>
      </c>
      <c r="C1530">
        <v>81.599999999999994</v>
      </c>
      <c r="D1530">
        <f>VLOOKUP(A1530,收盤價!A:C,3,0)</f>
        <v>17.850000000000001</v>
      </c>
      <c r="E1530" s="87">
        <v>-0.78125</v>
      </c>
      <c r="F1530">
        <v>6.31</v>
      </c>
    </row>
    <row r="1531" spans="1:6">
      <c r="A1531">
        <v>3609</v>
      </c>
      <c r="B1531" t="s">
        <v>311</v>
      </c>
      <c r="C1531">
        <v>12</v>
      </c>
      <c r="D1531">
        <f>VLOOKUP(A1531,收盤價!A:C,3,0)</f>
        <v>0</v>
      </c>
      <c r="E1531" s="87">
        <v>-1</v>
      </c>
      <c r="F1531">
        <v>6.25</v>
      </c>
    </row>
    <row r="1532" spans="1:6">
      <c r="A1532">
        <v>5468</v>
      </c>
      <c r="B1532" t="s">
        <v>399</v>
      </c>
      <c r="C1532">
        <v>5.31</v>
      </c>
      <c r="D1532">
        <f>VLOOKUP(A1532,收盤價!A:C,3,0)</f>
        <v>0</v>
      </c>
      <c r="E1532" s="87">
        <v>-1</v>
      </c>
      <c r="F1532">
        <v>6.18</v>
      </c>
    </row>
    <row r="1533" spans="1:6">
      <c r="A1533">
        <v>6144</v>
      </c>
      <c r="B1533" t="s">
        <v>1597</v>
      </c>
      <c r="C1533">
        <v>8.4600000000000009</v>
      </c>
      <c r="D1533">
        <f>VLOOKUP(A1533,收盤價!A:C,3,0)</f>
        <v>0</v>
      </c>
      <c r="E1533" s="87">
        <v>-1</v>
      </c>
      <c r="F1533">
        <v>6.12</v>
      </c>
    </row>
    <row r="1534" spans="1:6">
      <c r="A1534">
        <v>5209</v>
      </c>
      <c r="B1534" t="s">
        <v>1514</v>
      </c>
      <c r="C1534">
        <v>38.85</v>
      </c>
      <c r="D1534">
        <f>VLOOKUP(A1534,收盤價!A:C,3,0)</f>
        <v>0</v>
      </c>
      <c r="E1534" s="87">
        <v>-1</v>
      </c>
      <c r="F1534">
        <v>6.06</v>
      </c>
    </row>
    <row r="1535" spans="1:6">
      <c r="A1535">
        <v>6212</v>
      </c>
      <c r="B1535" t="s">
        <v>432</v>
      </c>
      <c r="C1535">
        <v>30.5</v>
      </c>
      <c r="D1535">
        <f>VLOOKUP(A1535,收盤價!A:C,3,0)</f>
        <v>0</v>
      </c>
      <c r="E1535" s="87">
        <v>-1</v>
      </c>
      <c r="F1535">
        <v>6</v>
      </c>
    </row>
    <row r="1536" spans="1:6">
      <c r="A1536">
        <v>4513</v>
      </c>
      <c r="B1536" t="s">
        <v>1472</v>
      </c>
      <c r="C1536">
        <v>9.5</v>
      </c>
      <c r="D1536">
        <f>VLOOKUP(A1536,收盤價!A:C,3,0)</f>
        <v>0</v>
      </c>
      <c r="E1536" s="87">
        <v>-1</v>
      </c>
      <c r="F1536">
        <v>5.94</v>
      </c>
    </row>
    <row r="1537" spans="1:6">
      <c r="A1537">
        <v>2064</v>
      </c>
      <c r="B1537" t="s">
        <v>238</v>
      </c>
      <c r="C1537">
        <v>16.399999999999999</v>
      </c>
      <c r="D1537">
        <f>VLOOKUP(A1537,收盤價!A:C,3,0)</f>
        <v>0</v>
      </c>
      <c r="E1537" s="87">
        <v>-1</v>
      </c>
      <c r="F1537">
        <v>5.88</v>
      </c>
    </row>
    <row r="1538" spans="1:6">
      <c r="A1538">
        <v>3332</v>
      </c>
      <c r="B1538" t="s">
        <v>281</v>
      </c>
      <c r="C1538">
        <v>37</v>
      </c>
      <c r="D1538">
        <f>VLOOKUP(A1538,收盤價!A:C,3,0)</f>
        <v>0</v>
      </c>
      <c r="E1538" s="87">
        <v>-1</v>
      </c>
      <c r="F1538">
        <v>5.82</v>
      </c>
    </row>
    <row r="1539" spans="1:6">
      <c r="A1539">
        <v>4907</v>
      </c>
      <c r="B1539" t="s">
        <v>1494</v>
      </c>
      <c r="C1539">
        <v>10.15</v>
      </c>
      <c r="D1539">
        <f>VLOOKUP(A1539,收盤價!A:C,3,0)</f>
        <v>0</v>
      </c>
      <c r="E1539" s="87">
        <v>-1</v>
      </c>
      <c r="F1539">
        <v>5.76</v>
      </c>
    </row>
    <row r="1540" spans="1:6">
      <c r="A1540">
        <v>4419</v>
      </c>
      <c r="B1540" t="s">
        <v>1466</v>
      </c>
      <c r="C1540">
        <v>5.45</v>
      </c>
      <c r="D1540">
        <f>VLOOKUP(A1540,收盤價!A:C,3,0)</f>
        <v>0</v>
      </c>
      <c r="E1540" s="87">
        <v>-1</v>
      </c>
      <c r="F1540">
        <v>5.7</v>
      </c>
    </row>
    <row r="1541" spans="1:6">
      <c r="A1541">
        <v>4530</v>
      </c>
      <c r="B1541" t="s">
        <v>1477</v>
      </c>
      <c r="C1541">
        <v>4.2</v>
      </c>
      <c r="D1541">
        <f>VLOOKUP(A1541,收盤價!A:C,3,0)</f>
        <v>0</v>
      </c>
      <c r="E1541" s="87">
        <v>-1</v>
      </c>
      <c r="F1541">
        <v>5.63</v>
      </c>
    </row>
    <row r="1542" spans="1:6">
      <c r="A1542">
        <v>8423</v>
      </c>
      <c r="B1542" t="s">
        <v>1699</v>
      </c>
      <c r="C1542">
        <v>19.75</v>
      </c>
      <c r="D1542">
        <f>VLOOKUP(A1542,收盤價!A:C,3,0)</f>
        <v>0</v>
      </c>
      <c r="E1542" s="87">
        <v>-1</v>
      </c>
      <c r="F1542">
        <v>5.57</v>
      </c>
    </row>
    <row r="1543" spans="1:6">
      <c r="A1543">
        <v>3562</v>
      </c>
      <c r="B1543" t="s">
        <v>308</v>
      </c>
      <c r="C1543">
        <v>4.18</v>
      </c>
      <c r="D1543">
        <f>VLOOKUP(A1543,收盤價!A:C,3,0)</f>
        <v>0</v>
      </c>
      <c r="E1543" s="87">
        <v>-1</v>
      </c>
      <c r="F1543">
        <v>5.51</v>
      </c>
    </row>
    <row r="1544" spans="1:6">
      <c r="A1544">
        <v>5903</v>
      </c>
      <c r="B1544" t="s">
        <v>1571</v>
      </c>
      <c r="C1544">
        <v>203.5</v>
      </c>
      <c r="D1544">
        <f>VLOOKUP(A1544,收盤價!A:C,3,0)</f>
        <v>0</v>
      </c>
      <c r="E1544" s="87">
        <v>-1</v>
      </c>
      <c r="F1544">
        <v>5.45</v>
      </c>
    </row>
    <row r="1545" spans="1:6">
      <c r="A1545">
        <v>4305</v>
      </c>
      <c r="B1545" t="s">
        <v>1460</v>
      </c>
      <c r="C1545">
        <v>29.6</v>
      </c>
      <c r="D1545">
        <f>VLOOKUP(A1545,收盤價!A:C,3,0)</f>
        <v>0</v>
      </c>
      <c r="E1545" s="87">
        <v>-1</v>
      </c>
      <c r="F1545">
        <v>5.39</v>
      </c>
    </row>
    <row r="1546" spans="1:6">
      <c r="A1546">
        <v>3466</v>
      </c>
      <c r="B1546" t="s">
        <v>291</v>
      </c>
      <c r="C1546">
        <v>19.850000000000001</v>
      </c>
      <c r="D1546">
        <f>VLOOKUP(A1546,收盤價!A:C,3,0)</f>
        <v>0</v>
      </c>
      <c r="E1546" s="87">
        <v>-1</v>
      </c>
      <c r="F1546">
        <v>5.33</v>
      </c>
    </row>
    <row r="1547" spans="1:6">
      <c r="A1547">
        <v>2740</v>
      </c>
      <c r="B1547" t="s">
        <v>1790</v>
      </c>
      <c r="C1547">
        <v>47.9</v>
      </c>
      <c r="D1547">
        <f>VLOOKUP(A1547,收盤價!A:C,3,0)</f>
        <v>0</v>
      </c>
      <c r="E1547" s="87">
        <v>-1</v>
      </c>
      <c r="F1547">
        <v>5.27</v>
      </c>
    </row>
    <row r="1548" spans="1:6">
      <c r="A1548">
        <v>2528</v>
      </c>
      <c r="B1548" t="s">
        <v>896</v>
      </c>
      <c r="C1548">
        <v>8.31</v>
      </c>
      <c r="D1548" t="str">
        <f>VLOOKUP(A1548,收盤價!A:C,3,0)</f>
        <v>--</v>
      </c>
      <c r="F1548">
        <v>5.21</v>
      </c>
    </row>
    <row r="1549" spans="1:6">
      <c r="A1549">
        <v>2424</v>
      </c>
      <c r="B1549" t="s">
        <v>824</v>
      </c>
      <c r="C1549">
        <v>28.55</v>
      </c>
      <c r="D1549" t="str">
        <f>VLOOKUP(A1549,收盤價!A:C,3,0)</f>
        <v>--</v>
      </c>
      <c r="E1549" s="213"/>
      <c r="F1549">
        <v>5.14</v>
      </c>
    </row>
    <row r="1550" spans="1:6">
      <c r="A1550">
        <v>6150</v>
      </c>
      <c r="B1550" t="s">
        <v>1600</v>
      </c>
      <c r="C1550">
        <v>6.92</v>
      </c>
      <c r="D1550" t="e">
        <f>VLOOKUP(A1550,收盤價!A:C,3,0)</f>
        <v>#N/A</v>
      </c>
      <c r="F1550">
        <v>5.08</v>
      </c>
    </row>
    <row r="1551" spans="1:6">
      <c r="A1551">
        <v>9911</v>
      </c>
      <c r="B1551" t="s">
        <v>1282</v>
      </c>
      <c r="C1551">
        <v>24.35</v>
      </c>
      <c r="D1551" t="e">
        <f>VLOOKUP(A1551,收盤價!A:C,3,0)</f>
        <v>#N/A</v>
      </c>
      <c r="F1551">
        <v>5.0199999999999996</v>
      </c>
    </row>
    <row r="1552" spans="1:6">
      <c r="A1552">
        <v>8176</v>
      </c>
      <c r="B1552" t="s">
        <v>1679</v>
      </c>
      <c r="C1552">
        <v>7.94</v>
      </c>
      <c r="D1552" t="e">
        <f>VLOOKUP(A1552,收盤價!A:C,3,0)</f>
        <v>#N/A</v>
      </c>
      <c r="F1552">
        <v>4.96</v>
      </c>
    </row>
    <row r="1553" spans="1:6">
      <c r="A1553">
        <v>2358</v>
      </c>
      <c r="B1553" t="s">
        <v>779</v>
      </c>
      <c r="C1553">
        <v>7.52</v>
      </c>
      <c r="D1553" t="e">
        <f>VLOOKUP(A1553,收盤價!A:C,3,0)</f>
        <v>#N/A</v>
      </c>
      <c r="F1553">
        <v>4.9000000000000004</v>
      </c>
    </row>
    <row r="1554" spans="1:6">
      <c r="A1554" t="s">
        <v>1849</v>
      </c>
      <c r="B1554" t="s">
        <v>2286</v>
      </c>
      <c r="C1554">
        <v>16.190000000000001</v>
      </c>
      <c r="D1554" t="str">
        <f>VLOOKUP(A1554,收盤價!A:C,3,0)</f>
        <v>--</v>
      </c>
      <c r="F1554">
        <v>4.84</v>
      </c>
    </row>
    <row r="1555" spans="1:6">
      <c r="A1555">
        <v>6246</v>
      </c>
      <c r="B1555" t="s">
        <v>444</v>
      </c>
      <c r="C1555">
        <v>2.31</v>
      </c>
      <c r="D1555" t="e">
        <f>VLOOKUP(A1555,收盤價!A:C,3,0)</f>
        <v>#N/A</v>
      </c>
      <c r="E1555" s="213"/>
      <c r="F1555">
        <v>4.78</v>
      </c>
    </row>
    <row r="1556" spans="1:6">
      <c r="A1556">
        <v>2501</v>
      </c>
      <c r="B1556" t="s">
        <v>884</v>
      </c>
      <c r="C1556">
        <v>13.35</v>
      </c>
      <c r="D1556" t="e">
        <f>VLOOKUP(A1556,收盤價!A:C,3,0)</f>
        <v>#N/A</v>
      </c>
      <c r="F1556">
        <v>4.72</v>
      </c>
    </row>
    <row r="1557" spans="1:6">
      <c r="A1557">
        <v>910482</v>
      </c>
      <c r="B1557" t="s">
        <v>2087</v>
      </c>
      <c r="C1557">
        <v>1.66</v>
      </c>
      <c r="D1557" t="str">
        <f>VLOOKUP(A1557,收盤價!A:C,3,0)</f>
        <v>--</v>
      </c>
      <c r="F1557">
        <v>4.6500000000000004</v>
      </c>
    </row>
    <row r="1558" spans="1:6">
      <c r="A1558">
        <v>3291</v>
      </c>
      <c r="B1558" t="s">
        <v>274</v>
      </c>
      <c r="C1558">
        <v>13.75</v>
      </c>
      <c r="D1558" t="e">
        <f>VLOOKUP(A1558,收盤價!A:C,3,0)</f>
        <v>#N/A</v>
      </c>
      <c r="F1558">
        <v>4.59</v>
      </c>
    </row>
    <row r="1559" spans="1:6">
      <c r="A1559">
        <v>8082</v>
      </c>
      <c r="B1559" t="s">
        <v>466</v>
      </c>
      <c r="C1559">
        <v>1.8</v>
      </c>
      <c r="D1559" t="e">
        <f>VLOOKUP(A1559,收盤價!A:C,3,0)</f>
        <v>#N/A</v>
      </c>
      <c r="F1559">
        <v>4.53</v>
      </c>
    </row>
    <row r="1560" spans="1:6">
      <c r="A1560">
        <v>910708</v>
      </c>
      <c r="B1560" t="s">
        <v>2090</v>
      </c>
      <c r="C1560">
        <v>196.5</v>
      </c>
      <c r="D1560" t="str">
        <f>VLOOKUP(A1560,收盤價!A:C,3,0)</f>
        <v>--</v>
      </c>
      <c r="F1560">
        <v>4.47</v>
      </c>
    </row>
    <row r="1561" spans="1:6">
      <c r="A1561">
        <v>1418</v>
      </c>
      <c r="B1561" t="s">
        <v>557</v>
      </c>
      <c r="C1561" t="s">
        <v>1744</v>
      </c>
      <c r="D1561">
        <f>VLOOKUP(A1561,收盤價!A:C,3,0)</f>
        <v>4.8</v>
      </c>
      <c r="E1561" s="87"/>
      <c r="F1561">
        <v>4.41</v>
      </c>
    </row>
    <row r="1562" spans="1:6">
      <c r="A1562">
        <v>1469</v>
      </c>
      <c r="B1562" t="s">
        <v>591</v>
      </c>
      <c r="C1562" t="s">
        <v>1744</v>
      </c>
      <c r="D1562" t="str">
        <f>VLOOKUP(A1562,收盤價!A:C,3,0)</f>
        <v>--</v>
      </c>
      <c r="F1562">
        <v>4.3499999999999996</v>
      </c>
    </row>
    <row r="1563" spans="1:6">
      <c r="A1563">
        <v>2033</v>
      </c>
      <c r="B1563" t="s">
        <v>719</v>
      </c>
      <c r="C1563" t="s">
        <v>1744</v>
      </c>
      <c r="D1563">
        <f>VLOOKUP(A1563,收盤價!A:C,3,0)</f>
        <v>8.99</v>
      </c>
      <c r="E1563" s="87"/>
      <c r="F1563">
        <v>4.29</v>
      </c>
    </row>
    <row r="1564" spans="1:6">
      <c r="A1564">
        <v>2712</v>
      </c>
      <c r="B1564" t="s">
        <v>936</v>
      </c>
      <c r="C1564" t="s">
        <v>1744</v>
      </c>
      <c r="D1564">
        <f>VLOOKUP(A1564,收盤價!A:C,3,0)</f>
        <v>25.7</v>
      </c>
      <c r="E1564" s="87"/>
      <c r="F1564">
        <v>4.2300000000000004</v>
      </c>
    </row>
    <row r="1565" spans="1:6">
      <c r="A1565">
        <v>2722</v>
      </c>
      <c r="B1565" t="s">
        <v>937</v>
      </c>
      <c r="C1565" t="s">
        <v>1744</v>
      </c>
      <c r="D1565">
        <f>VLOOKUP(A1565,收盤價!A:C,3,0)</f>
        <v>41.75</v>
      </c>
      <c r="E1565" s="87"/>
      <c r="F1565">
        <v>4.16</v>
      </c>
    </row>
    <row r="1566" spans="1:6">
      <c r="A1566">
        <v>3573</v>
      </c>
      <c r="B1566" t="s">
        <v>1085</v>
      </c>
      <c r="C1566">
        <v>26.35</v>
      </c>
      <c r="D1566" t="e">
        <f>VLOOKUP(A1566,收盤價!A:C,3,0)</f>
        <v>#N/A</v>
      </c>
      <c r="F1566">
        <v>4.0999999999999996</v>
      </c>
    </row>
    <row r="1567" spans="1:6">
      <c r="A1567">
        <v>3598</v>
      </c>
      <c r="B1567" t="s">
        <v>1093</v>
      </c>
      <c r="C1567">
        <v>50.7</v>
      </c>
      <c r="D1567" t="e">
        <f>VLOOKUP(A1567,收盤價!A:C,3,0)</f>
        <v>#N/A</v>
      </c>
      <c r="F1567">
        <v>4.04</v>
      </c>
    </row>
    <row r="1568" spans="1:6">
      <c r="A1568">
        <v>3701</v>
      </c>
      <c r="B1568" t="s">
        <v>1106</v>
      </c>
      <c r="C1568" t="s">
        <v>1744</v>
      </c>
      <c r="D1568" t="e">
        <f>VLOOKUP(A1568,收盤價!A:C,3,0)</f>
        <v>#N/A</v>
      </c>
      <c r="F1568">
        <v>3.98</v>
      </c>
    </row>
    <row r="1569" spans="1:6">
      <c r="A1569">
        <v>4733</v>
      </c>
      <c r="B1569" t="s">
        <v>1129</v>
      </c>
      <c r="C1569">
        <v>117</v>
      </c>
      <c r="D1569" t="e">
        <f>VLOOKUP(A1569,收盤價!A:C,3,0)</f>
        <v>#N/A</v>
      </c>
      <c r="F1569">
        <v>3.92</v>
      </c>
    </row>
    <row r="1570" spans="1:6">
      <c r="A1570">
        <v>911622</v>
      </c>
      <c r="B1570" t="s">
        <v>2098</v>
      </c>
      <c r="C1570" t="s">
        <v>1744</v>
      </c>
      <c r="D1570" t="str">
        <f>VLOOKUP(A1570,收盤價!A:C,3,0)</f>
        <v>--</v>
      </c>
      <c r="F1570">
        <v>3.86</v>
      </c>
    </row>
    <row r="1571" spans="1:6">
      <c r="A1571">
        <v>912398</v>
      </c>
      <c r="B1571" t="s">
        <v>2101</v>
      </c>
      <c r="C1571" t="s">
        <v>1744</v>
      </c>
      <c r="D1571">
        <f>VLOOKUP(A1571,收盤價!A:C,3,0)</f>
        <v>6.58</v>
      </c>
      <c r="E1571" s="87"/>
      <c r="F1571">
        <v>3.8</v>
      </c>
    </row>
    <row r="1572" spans="1:6">
      <c r="A1572">
        <v>9918</v>
      </c>
      <c r="B1572" t="s">
        <v>1286</v>
      </c>
      <c r="C1572" t="s">
        <v>1744</v>
      </c>
      <c r="D1572" t="str">
        <f>VLOOKUP(A1572,收盤價!A:C,3,0)</f>
        <v>--</v>
      </c>
      <c r="F1572">
        <v>3.74</v>
      </c>
    </row>
    <row r="1573" spans="1:6">
      <c r="A1573">
        <v>9931</v>
      </c>
      <c r="B1573" t="s">
        <v>1295</v>
      </c>
      <c r="C1573" t="s">
        <v>1744</v>
      </c>
      <c r="D1573" t="str">
        <f>VLOOKUP(A1573,收盤價!A:C,3,0)</f>
        <v>--</v>
      </c>
      <c r="F1573">
        <v>3.67</v>
      </c>
    </row>
    <row r="1574" spans="1:6">
      <c r="A1574">
        <v>1591</v>
      </c>
      <c r="B1574" t="s">
        <v>1317</v>
      </c>
      <c r="C1574">
        <v>0</v>
      </c>
      <c r="F1574">
        <v>3.61</v>
      </c>
    </row>
    <row r="1575" spans="1:6">
      <c r="A1575">
        <v>1785</v>
      </c>
      <c r="B1575" t="s">
        <v>1322</v>
      </c>
      <c r="C1575">
        <v>8.75</v>
      </c>
      <c r="D1575" t="e">
        <f>VLOOKUP(A1575,收盤價!A:C,3,0)</f>
        <v>#N/A</v>
      </c>
      <c r="F1575">
        <v>3.55</v>
      </c>
    </row>
    <row r="1576" spans="1:6">
      <c r="A1576">
        <v>2718</v>
      </c>
      <c r="B1576" t="s">
        <v>1739</v>
      </c>
      <c r="C1576">
        <v>0</v>
      </c>
      <c r="F1576">
        <v>3.49</v>
      </c>
    </row>
    <row r="1577" spans="1:6">
      <c r="A1577">
        <v>3115</v>
      </c>
      <c r="B1577" t="s">
        <v>1349</v>
      </c>
      <c r="C1577">
        <v>0</v>
      </c>
      <c r="F1577">
        <v>3.43</v>
      </c>
    </row>
    <row r="1578" spans="1:6">
      <c r="A1578">
        <v>3434</v>
      </c>
      <c r="B1578" t="s">
        <v>289</v>
      </c>
      <c r="C1578">
        <v>0</v>
      </c>
      <c r="F1578">
        <v>3.37</v>
      </c>
    </row>
    <row r="1579" spans="1:6">
      <c r="A1579">
        <v>4131</v>
      </c>
      <c r="B1579" t="s">
        <v>1445</v>
      </c>
      <c r="C1579">
        <v>0</v>
      </c>
      <c r="F1579">
        <v>3.31</v>
      </c>
    </row>
    <row r="1580" spans="1:6">
      <c r="A1580">
        <v>4413</v>
      </c>
      <c r="B1580" t="s">
        <v>1463</v>
      </c>
      <c r="C1580">
        <v>0</v>
      </c>
      <c r="F1580">
        <v>3.25</v>
      </c>
    </row>
    <row r="1581" spans="1:6">
      <c r="A1581">
        <v>4950</v>
      </c>
      <c r="B1581" t="s">
        <v>359</v>
      </c>
      <c r="C1581">
        <v>0</v>
      </c>
      <c r="F1581">
        <v>3.18</v>
      </c>
    </row>
    <row r="1582" spans="1:6">
      <c r="A1582">
        <v>5205</v>
      </c>
      <c r="B1582" t="s">
        <v>1513</v>
      </c>
      <c r="C1582">
        <v>0</v>
      </c>
      <c r="F1582">
        <v>3.12</v>
      </c>
    </row>
    <row r="1583" spans="1:6">
      <c r="A1583">
        <v>5340</v>
      </c>
      <c r="B1583" t="s">
        <v>1530</v>
      </c>
      <c r="C1583">
        <v>0</v>
      </c>
      <c r="F1583">
        <v>3.06</v>
      </c>
    </row>
    <row r="1584" spans="1:6">
      <c r="A1584">
        <v>5348</v>
      </c>
      <c r="B1584" t="s">
        <v>1532</v>
      </c>
      <c r="C1584">
        <v>0</v>
      </c>
      <c r="F1584">
        <v>3</v>
      </c>
    </row>
    <row r="1585" spans="1:6">
      <c r="A1585">
        <v>5386</v>
      </c>
      <c r="B1585" t="s">
        <v>1539</v>
      </c>
      <c r="C1585">
        <v>0</v>
      </c>
      <c r="F1585">
        <v>2.94</v>
      </c>
    </row>
    <row r="1586" spans="1:6">
      <c r="A1586">
        <v>5395</v>
      </c>
      <c r="B1586" t="s">
        <v>1541</v>
      </c>
      <c r="C1586">
        <v>0</v>
      </c>
      <c r="F1586">
        <v>2.88</v>
      </c>
    </row>
    <row r="1587" spans="1:6">
      <c r="A1587">
        <v>5450</v>
      </c>
      <c r="B1587" t="s">
        <v>394</v>
      </c>
      <c r="C1587">
        <v>0</v>
      </c>
      <c r="F1587">
        <v>2.82</v>
      </c>
    </row>
    <row r="1588" spans="1:6">
      <c r="A1588">
        <v>5455</v>
      </c>
      <c r="B1588" t="s">
        <v>396</v>
      </c>
      <c r="C1588">
        <v>0</v>
      </c>
      <c r="F1588">
        <v>2.76</v>
      </c>
    </row>
    <row r="1589" spans="1:6">
      <c r="A1589">
        <v>5878</v>
      </c>
      <c r="B1589" t="s">
        <v>408</v>
      </c>
      <c r="C1589">
        <v>0</v>
      </c>
      <c r="F1589">
        <v>2.69</v>
      </c>
    </row>
    <row r="1590" spans="1:6">
      <c r="A1590">
        <v>6103</v>
      </c>
      <c r="B1590" t="s">
        <v>1578</v>
      </c>
      <c r="C1590">
        <v>0</v>
      </c>
      <c r="F1590">
        <v>2.63</v>
      </c>
    </row>
    <row r="1591" spans="1:6">
      <c r="A1591">
        <v>6199</v>
      </c>
      <c r="B1591" t="s">
        <v>1613</v>
      </c>
      <c r="C1591">
        <v>0</v>
      </c>
      <c r="F1591">
        <v>2.57</v>
      </c>
    </row>
    <row r="1592" spans="1:6">
      <c r="A1592">
        <v>6222</v>
      </c>
      <c r="B1592" t="s">
        <v>1620</v>
      </c>
      <c r="C1592">
        <v>3.8</v>
      </c>
      <c r="D1592" t="e">
        <f>VLOOKUP(A1592,收盤價!A:C,3,0)</f>
        <v>#N/A</v>
      </c>
      <c r="F1592">
        <v>2.5099999999999998</v>
      </c>
    </row>
    <row r="1593" spans="1:6">
      <c r="A1593">
        <v>6236</v>
      </c>
      <c r="B1593" t="s">
        <v>440</v>
      </c>
      <c r="C1593">
        <v>0</v>
      </c>
      <c r="F1593">
        <v>2.4500000000000002</v>
      </c>
    </row>
    <row r="1594" spans="1:6">
      <c r="A1594">
        <v>6240</v>
      </c>
      <c r="B1594" t="s">
        <v>1624</v>
      </c>
      <c r="C1594">
        <v>0</v>
      </c>
      <c r="F1594">
        <v>2.39</v>
      </c>
    </row>
    <row r="1595" spans="1:6">
      <c r="A1595">
        <v>6242</v>
      </c>
      <c r="B1595" t="s">
        <v>1625</v>
      </c>
      <c r="C1595">
        <v>0</v>
      </c>
      <c r="F1595">
        <v>2.33</v>
      </c>
    </row>
    <row r="1596" spans="1:6">
      <c r="A1596">
        <v>6248</v>
      </c>
      <c r="B1596" t="s">
        <v>445</v>
      </c>
      <c r="C1596">
        <v>0</v>
      </c>
      <c r="F1596">
        <v>2.27</v>
      </c>
    </row>
    <row r="1597" spans="1:6">
      <c r="A1597">
        <v>6426</v>
      </c>
      <c r="B1597" t="s">
        <v>454</v>
      </c>
      <c r="C1597">
        <v>0</v>
      </c>
      <c r="F1597">
        <v>2.2000000000000002</v>
      </c>
    </row>
    <row r="1598" spans="1:6">
      <c r="A1598">
        <v>8067</v>
      </c>
      <c r="B1598" t="s">
        <v>1659</v>
      </c>
      <c r="C1598">
        <v>0</v>
      </c>
      <c r="F1598">
        <v>2.14</v>
      </c>
    </row>
    <row r="1599" spans="1:6">
      <c r="A1599">
        <v>8079</v>
      </c>
      <c r="B1599" t="s">
        <v>1664</v>
      </c>
      <c r="C1599">
        <v>17.25</v>
      </c>
      <c r="D1599" t="e">
        <f>VLOOKUP(A1599,收盤價!A:C,3,0)</f>
        <v>#N/A</v>
      </c>
      <c r="F1599">
        <v>2.08</v>
      </c>
    </row>
    <row r="1600" spans="1:6">
      <c r="A1600">
        <v>8087</v>
      </c>
      <c r="B1600" t="s">
        <v>469</v>
      </c>
      <c r="C1600">
        <v>0</v>
      </c>
      <c r="F1600">
        <v>2.02</v>
      </c>
    </row>
    <row r="1601" spans="1:6">
      <c r="A1601">
        <v>8446</v>
      </c>
      <c r="B1601" t="s">
        <v>1703</v>
      </c>
      <c r="C1601">
        <v>130.5</v>
      </c>
      <c r="D1601">
        <f>VLOOKUP(A1601,收盤價!A:C,3,0)</f>
        <v>112.5</v>
      </c>
      <c r="E1601" s="87">
        <v>-0.13793103448275862</v>
      </c>
      <c r="F1601">
        <v>1.96</v>
      </c>
    </row>
    <row r="1602" spans="1:6">
      <c r="A1602">
        <v>8450</v>
      </c>
      <c r="B1602" t="s">
        <v>483</v>
      </c>
      <c r="C1602">
        <v>84.5</v>
      </c>
      <c r="D1602">
        <f>VLOOKUP(A1602,收盤價!A:C,3,0)</f>
        <v>97.3</v>
      </c>
      <c r="E1602" s="87">
        <v>0.15147928994082838</v>
      </c>
      <c r="F1602">
        <v>1.9</v>
      </c>
    </row>
    <row r="1603" spans="1:6">
      <c r="A1603">
        <v>8455</v>
      </c>
      <c r="B1603" t="s">
        <v>1803</v>
      </c>
      <c r="C1603">
        <v>50.5</v>
      </c>
      <c r="D1603">
        <f>VLOOKUP(A1603,收盤價!A:C,3,0)</f>
        <v>34.75</v>
      </c>
      <c r="E1603" s="87">
        <v>-0.31188118811881188</v>
      </c>
      <c r="F1603">
        <v>1.84</v>
      </c>
    </row>
    <row r="1604" spans="1:6">
      <c r="A1604">
        <v>8462</v>
      </c>
      <c r="B1604" t="s">
        <v>1834</v>
      </c>
      <c r="C1604">
        <v>76</v>
      </c>
      <c r="D1604">
        <f>VLOOKUP(A1604,收盤價!A:C,3,0)</f>
        <v>97.5</v>
      </c>
      <c r="E1604" s="87">
        <v>0.28289473684210525</v>
      </c>
      <c r="F1604">
        <v>1.78</v>
      </c>
    </row>
    <row r="1605" spans="1:6">
      <c r="A1605">
        <v>8472</v>
      </c>
      <c r="B1605" t="s">
        <v>1799</v>
      </c>
      <c r="C1605">
        <v>58.8</v>
      </c>
      <c r="D1605">
        <f>VLOOKUP(A1605,收盤價!A:C,3,0)</f>
        <v>43.2</v>
      </c>
      <c r="E1605" s="87">
        <v>-0.2653061224489795</v>
      </c>
      <c r="F1605">
        <v>1.71</v>
      </c>
    </row>
    <row r="1606" spans="1:6">
      <c r="A1606">
        <v>8905</v>
      </c>
      <c r="B1606" t="s">
        <v>1704</v>
      </c>
      <c r="C1606">
        <v>13.2</v>
      </c>
      <c r="D1606">
        <f>VLOOKUP(A1606,收盤價!A:C,3,0)</f>
        <v>13.45</v>
      </c>
      <c r="E1606" s="87">
        <v>1.893939393939394E-2</v>
      </c>
      <c r="F1606">
        <v>1.65</v>
      </c>
    </row>
    <row r="1607" spans="1:6">
      <c r="A1607">
        <v>8906</v>
      </c>
      <c r="B1607" t="s">
        <v>1705</v>
      </c>
      <c r="C1607">
        <v>5.85</v>
      </c>
      <c r="D1607">
        <f>VLOOKUP(A1607,收盤價!A:C,3,0)</f>
        <v>0</v>
      </c>
      <c r="E1607" s="87">
        <v>-1</v>
      </c>
      <c r="F1607">
        <v>1.59</v>
      </c>
    </row>
    <row r="1608" spans="1:6">
      <c r="A1608">
        <v>8908</v>
      </c>
      <c r="B1608" t="s">
        <v>484</v>
      </c>
      <c r="C1608">
        <v>33.200000000000003</v>
      </c>
      <c r="D1608">
        <f>VLOOKUP(A1608,收盤價!A:C,3,0)</f>
        <v>29.15</v>
      </c>
      <c r="E1608" s="87">
        <v>-0.12198795180722903</v>
      </c>
      <c r="F1608">
        <v>1.53</v>
      </c>
    </row>
    <row r="1609" spans="1:6">
      <c r="A1609">
        <v>8913</v>
      </c>
      <c r="B1609" t="s">
        <v>485</v>
      </c>
      <c r="C1609">
        <v>17.8</v>
      </c>
      <c r="D1609">
        <f>VLOOKUP(A1609,收盤價!A:C,3,0)</f>
        <v>20</v>
      </c>
      <c r="E1609" s="87">
        <v>0.12359550561797748</v>
      </c>
      <c r="F1609">
        <v>1.47</v>
      </c>
    </row>
    <row r="1610" spans="1:6">
      <c r="A1610">
        <v>8916</v>
      </c>
      <c r="B1610" t="s">
        <v>486</v>
      </c>
      <c r="C1610">
        <v>44.35</v>
      </c>
      <c r="D1610">
        <f>VLOOKUP(A1610,收盤價!A:C,3,0)</f>
        <v>48.7</v>
      </c>
      <c r="E1610" s="87">
        <v>9.8083427282976351E-2</v>
      </c>
      <c r="F1610">
        <v>1.41</v>
      </c>
    </row>
    <row r="1611" spans="1:6">
      <c r="A1611">
        <v>8917</v>
      </c>
      <c r="B1611" t="s">
        <v>487</v>
      </c>
      <c r="C1611">
        <v>0</v>
      </c>
      <c r="F1611">
        <v>1.35</v>
      </c>
    </row>
    <row r="1612" spans="1:6">
      <c r="A1612">
        <v>8921</v>
      </c>
      <c r="B1612" t="s">
        <v>1706</v>
      </c>
      <c r="C1612">
        <v>0</v>
      </c>
      <c r="F1612">
        <v>1.29</v>
      </c>
    </row>
    <row r="1613" spans="1:6">
      <c r="A1613">
        <v>8923</v>
      </c>
      <c r="B1613" t="s">
        <v>1707</v>
      </c>
      <c r="C1613">
        <v>0</v>
      </c>
      <c r="F1613">
        <v>1.22</v>
      </c>
    </row>
    <row r="1614" spans="1:6">
      <c r="A1614">
        <v>8924</v>
      </c>
      <c r="B1614" t="s">
        <v>1708</v>
      </c>
      <c r="C1614">
        <v>12.15</v>
      </c>
      <c r="D1614">
        <f>VLOOKUP(A1614,收盤價!A:C,3,0)</f>
        <v>14</v>
      </c>
      <c r="E1614" s="87">
        <v>0.15226337448559668</v>
      </c>
      <c r="F1614">
        <v>1.1599999999999999</v>
      </c>
    </row>
    <row r="1615" spans="1:6">
      <c r="A1615">
        <v>8927</v>
      </c>
      <c r="B1615" t="s">
        <v>488</v>
      </c>
      <c r="C1615">
        <v>9.66</v>
      </c>
      <c r="D1615">
        <f>VLOOKUP(A1615,收盤價!A:C,3,0)</f>
        <v>10</v>
      </c>
      <c r="E1615" s="87">
        <v>3.5196687370600402E-2</v>
      </c>
      <c r="F1615">
        <v>1.1000000000000001</v>
      </c>
    </row>
    <row r="1616" spans="1:6">
      <c r="A1616">
        <v>8928</v>
      </c>
      <c r="B1616" t="s">
        <v>489</v>
      </c>
      <c r="C1616">
        <v>31.9</v>
      </c>
      <c r="D1616">
        <f>VLOOKUP(A1616,收盤價!A:C,3,0)</f>
        <v>26.2</v>
      </c>
      <c r="E1616" s="87">
        <v>-0.17868338557993729</v>
      </c>
      <c r="F1616">
        <v>1.04</v>
      </c>
    </row>
    <row r="1617" spans="1:6">
      <c r="A1617">
        <v>8929</v>
      </c>
      <c r="B1617" t="s">
        <v>490</v>
      </c>
      <c r="C1617">
        <v>22.75</v>
      </c>
      <c r="D1617">
        <f>VLOOKUP(A1617,收盤價!A:C,3,0)</f>
        <v>24.2</v>
      </c>
      <c r="E1617" s="87">
        <v>6.3736263736263704E-2</v>
      </c>
      <c r="F1617">
        <v>0.98</v>
      </c>
    </row>
    <row r="1618" spans="1:6">
      <c r="A1618">
        <v>8930</v>
      </c>
      <c r="B1618" t="s">
        <v>491</v>
      </c>
      <c r="C1618">
        <v>9.01</v>
      </c>
      <c r="D1618">
        <f>VLOOKUP(A1618,收盤價!A:C,3,0)</f>
        <v>10.6</v>
      </c>
      <c r="E1618" s="87">
        <v>0.1764705882352941</v>
      </c>
      <c r="F1618">
        <v>0.92</v>
      </c>
    </row>
    <row r="1619" spans="1:6">
      <c r="A1619">
        <v>8931</v>
      </c>
      <c r="B1619" t="s">
        <v>1709</v>
      </c>
      <c r="C1619">
        <v>22.6</v>
      </c>
      <c r="D1619">
        <f>VLOOKUP(A1619,收盤價!A:C,3,0)</f>
        <v>19.100000000000001</v>
      </c>
      <c r="E1619" s="87">
        <v>-0.15486725663716813</v>
      </c>
      <c r="F1619">
        <v>0.86</v>
      </c>
    </row>
    <row r="1620" spans="1:6">
      <c r="A1620">
        <v>8932</v>
      </c>
      <c r="B1620" t="s">
        <v>1710</v>
      </c>
      <c r="C1620">
        <v>9.25</v>
      </c>
      <c r="D1620">
        <f>VLOOKUP(A1620,收盤價!A:C,3,0)</f>
        <v>9.17</v>
      </c>
      <c r="E1620" s="87">
        <v>-8.6486486486486557E-3</v>
      </c>
      <c r="F1620">
        <v>0.8</v>
      </c>
    </row>
    <row r="1621" spans="1:6">
      <c r="A1621">
        <v>8933</v>
      </c>
      <c r="B1621" t="s">
        <v>1711</v>
      </c>
      <c r="C1621">
        <v>11.55</v>
      </c>
      <c r="D1621">
        <f>VLOOKUP(A1621,收盤價!A:C,3,0)</f>
        <v>10.55</v>
      </c>
      <c r="E1621" s="87">
        <v>-8.6580086580086577E-2</v>
      </c>
      <c r="F1621">
        <v>0.73</v>
      </c>
    </row>
    <row r="1622" spans="1:6">
      <c r="A1622">
        <v>8934</v>
      </c>
      <c r="B1622" t="s">
        <v>1712</v>
      </c>
      <c r="C1622">
        <v>0</v>
      </c>
      <c r="F1622">
        <v>0.67</v>
      </c>
    </row>
    <row r="1623" spans="1:6">
      <c r="A1623">
        <v>8935</v>
      </c>
      <c r="B1623" t="s">
        <v>492</v>
      </c>
      <c r="C1623">
        <v>6.27</v>
      </c>
      <c r="D1623">
        <f>VLOOKUP(A1623,收盤價!A:C,3,0)</f>
        <v>6.9</v>
      </c>
      <c r="E1623" s="87">
        <v>0.10047846889952167</v>
      </c>
      <c r="F1623">
        <v>0.61</v>
      </c>
    </row>
    <row r="1624" spans="1:6">
      <c r="A1624">
        <v>8936</v>
      </c>
      <c r="B1624" t="s">
        <v>1713</v>
      </c>
      <c r="C1624">
        <v>19.8</v>
      </c>
      <c r="D1624">
        <f>VLOOKUP(A1624,收盤價!A:C,3,0)</f>
        <v>17.8</v>
      </c>
      <c r="E1624" s="87">
        <v>-0.10101010101010101</v>
      </c>
      <c r="F1624">
        <v>0.55000000000000004</v>
      </c>
    </row>
    <row r="1625" spans="1:6">
      <c r="A1625">
        <v>8937</v>
      </c>
      <c r="B1625" t="s">
        <v>1714</v>
      </c>
      <c r="C1625">
        <v>11.6</v>
      </c>
      <c r="D1625">
        <f>VLOOKUP(A1625,收盤價!A:C,3,0)</f>
        <v>10.3</v>
      </c>
      <c r="E1625" s="87">
        <v>-0.11206896551724128</v>
      </c>
      <c r="F1625">
        <v>0.49</v>
      </c>
    </row>
    <row r="1626" spans="1:6">
      <c r="A1626">
        <v>8938</v>
      </c>
      <c r="B1626" t="s">
        <v>493</v>
      </c>
      <c r="C1626">
        <v>20.100000000000001</v>
      </c>
      <c r="D1626">
        <f>VLOOKUP(A1626,收盤價!A:C,3,0)</f>
        <v>20.350000000000001</v>
      </c>
      <c r="E1626" s="87">
        <v>1.2437810945273631E-2</v>
      </c>
      <c r="F1626">
        <v>0.43</v>
      </c>
    </row>
    <row r="1627" spans="1:6">
      <c r="A1627">
        <v>8941</v>
      </c>
      <c r="B1627" t="s">
        <v>494</v>
      </c>
      <c r="C1627">
        <v>77.599999999999994</v>
      </c>
      <c r="D1627">
        <f>VLOOKUP(A1627,收盤價!A:C,3,0)</f>
        <v>71</v>
      </c>
      <c r="E1627" s="87">
        <v>-8.5051546391752511E-2</v>
      </c>
      <c r="F1627">
        <v>0.37</v>
      </c>
    </row>
    <row r="1628" spans="1:6">
      <c r="A1628">
        <v>8942</v>
      </c>
      <c r="B1628" t="s">
        <v>1715</v>
      </c>
      <c r="C1628">
        <v>87.6</v>
      </c>
      <c r="D1628">
        <f>VLOOKUP(A1628,收盤價!A:C,3,0)</f>
        <v>82.4</v>
      </c>
      <c r="E1628" s="87">
        <v>-5.9360730593607178E-2</v>
      </c>
      <c r="F1628">
        <v>0.31</v>
      </c>
    </row>
    <row r="1629" spans="1:6">
      <c r="A1629">
        <v>911613</v>
      </c>
      <c r="B1629" t="s">
        <v>1716</v>
      </c>
      <c r="C1629">
        <v>0</v>
      </c>
      <c r="F1629">
        <v>0.24</v>
      </c>
    </row>
    <row r="1630" spans="1:6">
      <c r="A1630">
        <v>9949</v>
      </c>
      <c r="B1630" t="s">
        <v>495</v>
      </c>
      <c r="C1630">
        <v>11.5</v>
      </c>
      <c r="D1630">
        <f>VLOOKUP(A1630,收盤價!A:C,3,0)</f>
        <v>12.25</v>
      </c>
      <c r="E1630" s="87">
        <v>6.5217391304347824E-2</v>
      </c>
      <c r="F1630">
        <v>0.18</v>
      </c>
    </row>
    <row r="1631" spans="1:6">
      <c r="A1631">
        <v>9950</v>
      </c>
      <c r="B1631" t="s">
        <v>1717</v>
      </c>
      <c r="C1631">
        <v>18.55</v>
      </c>
      <c r="D1631">
        <f>VLOOKUP(A1631,收盤價!A:C,3,0)</f>
        <v>16.7</v>
      </c>
      <c r="E1631" s="87">
        <v>-9.9730458221024332E-2</v>
      </c>
      <c r="F1631">
        <v>0.12</v>
      </c>
    </row>
    <row r="1632" spans="1:6">
      <c r="A1632">
        <v>9951</v>
      </c>
      <c r="B1632" t="s">
        <v>1718</v>
      </c>
      <c r="C1632">
        <v>172.5</v>
      </c>
      <c r="D1632">
        <f>VLOOKUP(A1632,收盤價!A:C,3,0)</f>
        <v>189</v>
      </c>
      <c r="E1632" s="87">
        <v>9.5652173913043481E-2</v>
      </c>
      <c r="F1632">
        <v>0.06</v>
      </c>
    </row>
    <row r="1633" spans="1:6">
      <c r="A1633">
        <v>9960</v>
      </c>
      <c r="B1633" t="s">
        <v>496</v>
      </c>
      <c r="C1633">
        <v>22.05</v>
      </c>
      <c r="D1633">
        <f>VLOOKUP(A1633,收盤價!A:C,3,0)</f>
        <v>35.1</v>
      </c>
      <c r="E1633" s="87">
        <v>0.59183673469387754</v>
      </c>
      <c r="F1633">
        <v>0</v>
      </c>
    </row>
    <row r="1634" spans="1:6">
      <c r="A1634">
        <v>9962</v>
      </c>
      <c r="B1634" t="s">
        <v>1719</v>
      </c>
      <c r="C1634">
        <v>8.52</v>
      </c>
      <c r="D1634">
        <f>VLOOKUP(A1634,收盤價!A:C,3,0)</f>
        <v>9.68</v>
      </c>
      <c r="E1634" s="87">
        <v>0.13615023474178406</v>
      </c>
      <c r="F1634">
        <v>-0.06</v>
      </c>
    </row>
  </sheetData>
  <sortState ref="A2:E1600">
    <sortCondition descending="1" ref="E1:E1600"/>
  </sortState>
  <phoneticPr fontId="2" type="noConversion"/>
  <pageMargins left="0.7" right="0.7" top="0.75" bottom="0.75" header="0.3" footer="0.3"/>
  <pageSetup paperSize="9" orientation="portrait" r:id="rId1"/>
  <legacyDrawing r:id="rId2"/>
  <controls>
    <control shapeId="86017" r:id="rId3" name="CommandButton1"/>
  </controls>
</worksheet>
</file>

<file path=xl/worksheets/sheet12.xml><?xml version="1.0" encoding="utf-8"?>
<worksheet xmlns="http://schemas.openxmlformats.org/spreadsheetml/2006/main" xmlns:r="http://schemas.openxmlformats.org/officeDocument/2006/relationships">
  <sheetPr codeName="sheet4"/>
  <dimension ref="A1:L76"/>
  <sheetViews>
    <sheetView workbookViewId="0">
      <pane xSplit="12" ySplit="4" topLeftCell="M5" activePane="bottomRight" state="frozen"/>
      <selection pane="topRight" activeCell="M1" sqref="M1"/>
      <selection pane="bottomLeft" activeCell="A5" sqref="A5"/>
      <selection pane="bottomRight" activeCell="P28" sqref="P28"/>
    </sheetView>
  </sheetViews>
  <sheetFormatPr defaultRowHeight="16.5"/>
  <cols>
    <col min="2" max="2" width="20.375" bestFit="1" customWidth="1"/>
    <col min="3" max="3" width="12.75" bestFit="1" customWidth="1"/>
    <col min="4" max="10" width="11.625" bestFit="1" customWidth="1"/>
    <col min="12" max="12" width="9.375" bestFit="1" customWidth="1"/>
  </cols>
  <sheetData>
    <row r="1" spans="1:12">
      <c r="A1" t="s">
        <v>199</v>
      </c>
      <c r="C1">
        <v>1</v>
      </c>
      <c r="D1">
        <v>2</v>
      </c>
      <c r="E1">
        <v>3</v>
      </c>
      <c r="F1">
        <v>4</v>
      </c>
      <c r="G1">
        <v>5</v>
      </c>
      <c r="H1">
        <v>6</v>
      </c>
      <c r="I1">
        <v>7</v>
      </c>
      <c r="J1">
        <v>8</v>
      </c>
      <c r="K1" t="s">
        <v>200</v>
      </c>
      <c r="L1" t="s">
        <v>200</v>
      </c>
    </row>
    <row r="2" spans="1:12">
      <c r="A2" s="51">
        <v>1210</v>
      </c>
      <c r="B2" s="51" t="s">
        <v>8</v>
      </c>
      <c r="C2" s="51">
        <f>VLOOKUP("營業收入淨額",PKA!$B$1:$L$500,9,0)</f>
        <v>23068</v>
      </c>
      <c r="D2" s="51">
        <f>VLOOKUP("營業收入淨額",PKA!$B$1:$L$500,8,0)</f>
        <v>24258</v>
      </c>
      <c r="E2" s="51">
        <f>VLOOKUP("營業收入淨額",PKA!$B$1:$L$500,7,0)</f>
        <v>20079</v>
      </c>
      <c r="F2" s="51">
        <f>VLOOKUP("營業收入淨額",PKA!$B$1:$L$500,6,0)</f>
        <v>18716</v>
      </c>
      <c r="G2" s="51">
        <f>VLOOKUP("營業收入淨額",PKA!$B$1:$L$500,5,0)</f>
        <v>19928</v>
      </c>
      <c r="H2" s="51">
        <f>VLOOKUP("營業收入淨額",PKA!$B$1:$L$500,4,0)</f>
        <v>19529</v>
      </c>
      <c r="I2" s="51">
        <f>VLOOKUP("營業收入淨額",PKA!$B$1:$L$500,3,0)</f>
        <v>17744</v>
      </c>
      <c r="J2" s="51">
        <f>VLOOKUP("營業收入淨額",PKA!$B$1:$L$500,2,0)</f>
        <v>18429</v>
      </c>
      <c r="K2" s="51">
        <f>IF(ISNA(C4),MIN(C2:J3),MIN(C2:J4))</f>
        <v>3929</v>
      </c>
      <c r="L2" s="51">
        <f>IF(ISNA(C4),MAX(C2:J3),MAX(C2:J3))</f>
        <v>24258</v>
      </c>
    </row>
    <row r="3" spans="1:12">
      <c r="A3" s="51">
        <v>1215</v>
      </c>
      <c r="B3" s="51" t="s">
        <v>8</v>
      </c>
      <c r="C3" s="51">
        <f>VLOOKUP("營業收入淨額",PKB!$B$1:$L$500,9,0)</f>
        <v>4541</v>
      </c>
      <c r="D3" s="51">
        <f>VLOOKUP("營業收入淨額",PKB!$B$1:$L$500,8,0)</f>
        <v>4519</v>
      </c>
      <c r="E3" s="51">
        <f>VLOOKUP("營業收入淨額",PKB!$B$1:$L$500,7,0)</f>
        <v>4008</v>
      </c>
      <c r="F3" s="51">
        <f>VLOOKUP("營業收入淨額",PKB!$B$1:$L$500,6,0)</f>
        <v>3929</v>
      </c>
      <c r="G3" s="51">
        <f>VLOOKUP("營業收入淨額",PKB!$B$1:$L$500,5,0)</f>
        <v>4437</v>
      </c>
      <c r="H3" s="51">
        <f>VLOOKUP("營業收入淨額",PKB!$B$1:$L$500,4,0)</f>
        <v>4179</v>
      </c>
      <c r="I3" s="51">
        <f>VLOOKUP("營業收入淨額",PKB!$B$1:$L$500,3,0)</f>
        <v>4256</v>
      </c>
      <c r="J3" s="51">
        <f>VLOOKUP("營業收入淨額",PKB!$B$1:$L$500,2,0)</f>
        <v>4338</v>
      </c>
      <c r="K3" s="51"/>
      <c r="L3" s="51"/>
    </row>
    <row r="4" spans="1:12">
      <c r="A4" s="51"/>
      <c r="B4" s="51" t="s">
        <v>8</v>
      </c>
      <c r="C4" s="51" t="e">
        <f>VLOOKUP("營業收入淨額",PKC!$B$1:$L$500,9,0)</f>
        <v>#N/A</v>
      </c>
      <c r="D4" s="51" t="e">
        <f>VLOOKUP("營業收入淨額",PKC!$B$1:$L$500,8,0)</f>
        <v>#N/A</v>
      </c>
      <c r="E4" s="51" t="e">
        <f>VLOOKUP("營業收入淨額",PKC!$B$1:$L$500,7,0)</f>
        <v>#N/A</v>
      </c>
      <c r="F4" s="51" t="e">
        <f>VLOOKUP("營業收入淨額",PKC!$B$1:$L$500,6,0)</f>
        <v>#N/A</v>
      </c>
      <c r="G4" s="51" t="e">
        <f>VLOOKUP("營業收入淨額",PKC!$B$1:$L$500,5,0)</f>
        <v>#N/A</v>
      </c>
      <c r="H4" s="51" t="e">
        <f>VLOOKUP("營業收入淨額",PKC!$B$1:$L$500,4,0)</f>
        <v>#N/A</v>
      </c>
      <c r="I4" s="51" t="e">
        <f>VLOOKUP("營業收入淨額",PKC!$B$1:$L$500,3,0)</f>
        <v>#N/A</v>
      </c>
      <c r="J4" s="51" t="e">
        <f>VLOOKUP("營業收入淨額",PKC!$B$1:$L$500,2,0)</f>
        <v>#N/A</v>
      </c>
      <c r="K4" s="51"/>
      <c r="L4" s="51"/>
    </row>
    <row r="5" spans="1:12">
      <c r="A5" s="52">
        <v>1210</v>
      </c>
      <c r="B5" s="52" t="s">
        <v>9</v>
      </c>
      <c r="C5" s="52">
        <f>VLOOKUP("營業成本",PKA!$B$1:$L$500,9,0)</f>
        <v>21127</v>
      </c>
      <c r="D5" s="52">
        <f>VLOOKUP("營業成本",PKA!$B$1:$L$500,8,0)</f>
        <v>22454</v>
      </c>
      <c r="E5" s="52">
        <f>VLOOKUP("營業成本",PKA!$B$1:$L$500,7,0)</f>
        <v>18212</v>
      </c>
      <c r="F5" s="52">
        <f>VLOOKUP("營業成本",PKA!$B$1:$L$500,6,0)</f>
        <v>16757</v>
      </c>
      <c r="G5" s="52">
        <f>VLOOKUP("營業成本",PKA!$B$1:$L$500,5,0)</f>
        <v>17556</v>
      </c>
      <c r="H5" s="52">
        <f>VLOOKUP("營業成本",PKA!$B$1:$L$500,4,0)</f>
        <v>17323</v>
      </c>
      <c r="I5" s="52">
        <f>VLOOKUP("營業成本",PKA!$B$1:$L$500,3,0)</f>
        <v>15327</v>
      </c>
      <c r="J5" s="52">
        <f>VLOOKUP("營業成本",PKA!$B$1:$L$500,2,0)</f>
        <v>16020</v>
      </c>
      <c r="K5" s="52"/>
      <c r="L5" s="52"/>
    </row>
    <row r="6" spans="1:12">
      <c r="A6" s="52">
        <v>1215</v>
      </c>
      <c r="B6" s="52" t="s">
        <v>9</v>
      </c>
      <c r="C6" s="52">
        <f>VLOOKUP("營業成本",PKB!$B$1:$L$500,9,0)</f>
        <v>4048</v>
      </c>
      <c r="D6" s="52">
        <f>VLOOKUP("營業成本",PKB!$B$1:$L$500,8,0)</f>
        <v>3934</v>
      </c>
      <c r="E6" s="52">
        <f>VLOOKUP("營業成本",PKB!$B$1:$L$500,7,0)</f>
        <v>3506</v>
      </c>
      <c r="F6" s="52">
        <f>VLOOKUP("營業成本",PKB!$B$1:$L$500,6,0)</f>
        <v>3538</v>
      </c>
      <c r="G6" s="52">
        <f>VLOOKUP("營業成本",PKB!$B$1:$L$500,5,0)</f>
        <v>3871</v>
      </c>
      <c r="H6" s="52">
        <f>VLOOKUP("營業成本",PKB!$B$1:$L$500,4,0)</f>
        <v>3611</v>
      </c>
      <c r="I6" s="52">
        <f>VLOOKUP("營業成本",PKB!$B$1:$L$500,3,0)</f>
        <v>3646</v>
      </c>
      <c r="J6" s="52">
        <f>VLOOKUP("營業成本",PKB!$B$1:$L$500,2,0)</f>
        <v>3684</v>
      </c>
      <c r="K6" s="52"/>
      <c r="L6" s="52"/>
    </row>
    <row r="7" spans="1:12">
      <c r="A7" s="52"/>
      <c r="B7" s="52" t="s">
        <v>9</v>
      </c>
      <c r="C7" s="52" t="e">
        <f>VLOOKUP("營業成本",PKC!$B$1:$L$500,9,0)</f>
        <v>#N/A</v>
      </c>
      <c r="D7" s="52" t="e">
        <f>VLOOKUP("營業成本",PKC!$B$1:$L$500,8,0)</f>
        <v>#N/A</v>
      </c>
      <c r="E7" s="52" t="e">
        <f>VLOOKUP("營業成本",PKC!$B$1:$L$500,7,0)</f>
        <v>#N/A</v>
      </c>
      <c r="F7" s="52" t="e">
        <f>VLOOKUP("營業成本",PKC!$B$1:$L$500,6,0)</f>
        <v>#N/A</v>
      </c>
      <c r="G7" s="52" t="e">
        <f>VLOOKUP("營業成本",PKC!$B$1:$L$500,5,0)</f>
        <v>#N/A</v>
      </c>
      <c r="H7" s="52" t="e">
        <f>VLOOKUP("營業成本",PKC!$B$1:$L$500,4,0)</f>
        <v>#N/A</v>
      </c>
      <c r="I7" s="52" t="e">
        <f>VLOOKUP("營業成本",PKC!$B$1:$L$500,3,0)</f>
        <v>#N/A</v>
      </c>
      <c r="J7" s="52" t="e">
        <f>VLOOKUP("營業成本",PKC!$B$1:$L$500,2,0)</f>
        <v>#N/A</v>
      </c>
      <c r="K7" s="52"/>
      <c r="L7" s="52"/>
    </row>
    <row r="8" spans="1:12">
      <c r="A8" s="53">
        <v>1210</v>
      </c>
      <c r="B8" s="53" t="s">
        <v>11</v>
      </c>
      <c r="C8" s="53">
        <f>VLOOKUP("本期稅後淨利",PKA!$B$1:$L$500,9,0)</f>
        <v>496</v>
      </c>
      <c r="D8" s="53">
        <f>VLOOKUP("本期稅後淨利",PKA!$B$1:$L$500,8,0)</f>
        <v>-5</v>
      </c>
      <c r="E8" s="53">
        <f>VLOOKUP("本期稅後淨利",PKA!$B$1:$L$500,7,0)</f>
        <v>158</v>
      </c>
      <c r="F8" s="53">
        <f>VLOOKUP("本期稅後淨利",PKA!$B$1:$L$500,6,0)</f>
        <v>98</v>
      </c>
      <c r="G8" s="53">
        <f>VLOOKUP("本期稅後淨利",PKA!$B$1:$L$500,5,0)</f>
        <v>343</v>
      </c>
      <c r="H8" s="53">
        <f>VLOOKUP("本期稅後淨利",PKA!$B$1:$L$500,4,0)</f>
        <v>-8</v>
      </c>
      <c r="I8" s="53">
        <f>VLOOKUP("本期稅後淨利",PKA!$B$1:$L$500,3,0)</f>
        <v>499</v>
      </c>
      <c r="J8" s="53">
        <f>VLOOKUP("本期稅後淨利",PKA!$B$1:$L$500,2,0)</f>
        <v>527</v>
      </c>
      <c r="K8" s="53"/>
      <c r="L8" s="53"/>
    </row>
    <row r="9" spans="1:12">
      <c r="A9" s="53">
        <v>1215</v>
      </c>
      <c r="B9" s="53" t="s">
        <v>11</v>
      </c>
      <c r="C9" s="53">
        <f>VLOOKUP("本期稅後淨利",PKB!$B$1:$L$500,9,0)</f>
        <v>168</v>
      </c>
      <c r="D9" s="53">
        <f>VLOOKUP("本期稅後淨利",PKB!$B$1:$L$500,8,0)</f>
        <v>233</v>
      </c>
      <c r="E9" s="53">
        <f>VLOOKUP("本期稅後淨利",PKB!$B$1:$L$500,7,0)</f>
        <v>175</v>
      </c>
      <c r="F9" s="53">
        <f>VLOOKUP("本期稅後淨利",PKB!$B$1:$L$500,6,0)</f>
        <v>102</v>
      </c>
      <c r="G9" s="53">
        <f>VLOOKUP("本期稅後淨利",PKB!$B$1:$L$500,5,0)</f>
        <v>192</v>
      </c>
      <c r="H9" s="53">
        <f>VLOOKUP("本期稅後淨利",PKB!$B$1:$L$500,4,0)</f>
        <v>219</v>
      </c>
      <c r="I9" s="53">
        <f>VLOOKUP("本期稅後淨利",PKB!$B$1:$L$500,3,0)</f>
        <v>255</v>
      </c>
      <c r="J9" s="53">
        <f>VLOOKUP("本期稅後淨利",PKB!$B$1:$L$500,2,0)</f>
        <v>289</v>
      </c>
      <c r="K9" s="53"/>
      <c r="L9" s="53"/>
    </row>
    <row r="10" spans="1:12">
      <c r="A10" s="53"/>
      <c r="B10" s="53" t="s">
        <v>11</v>
      </c>
      <c r="C10" s="53" t="e">
        <f>VLOOKUP("本期稅後淨利",PKC!$B$1:$L$500,9,0)</f>
        <v>#N/A</v>
      </c>
      <c r="D10" s="53" t="e">
        <f>VLOOKUP("本期稅後淨利",PKC!$B$1:$L$500,8,0)</f>
        <v>#N/A</v>
      </c>
      <c r="E10" s="53" t="e">
        <f>VLOOKUP("本期稅後淨利",PKC!$B$1:$L$500,7,0)</f>
        <v>#N/A</v>
      </c>
      <c r="F10" s="53" t="e">
        <f>VLOOKUP("本期稅後淨利",PKC!$B$1:$L$500,6,0)</f>
        <v>#N/A</v>
      </c>
      <c r="G10" s="53" t="e">
        <f>VLOOKUP("本期稅後淨利",PKC!$B$1:$L$500,5,0)</f>
        <v>#N/A</v>
      </c>
      <c r="H10" s="53" t="e">
        <f>VLOOKUP("本期稅後淨利",PKC!$B$1:$L$500,4,0)</f>
        <v>#N/A</v>
      </c>
      <c r="I10" s="53" t="e">
        <f>VLOOKUP("本期稅後淨利",PKC!$B$1:$L$500,3,0)</f>
        <v>#N/A</v>
      </c>
      <c r="J10" s="53" t="e">
        <f>VLOOKUP("本期稅後淨利",PKC!$B$1:$L$500,2,0)</f>
        <v>#N/A</v>
      </c>
      <c r="K10" s="53"/>
      <c r="L10" s="53"/>
    </row>
    <row r="11" spans="1:12">
      <c r="A11" s="54">
        <v>1210</v>
      </c>
      <c r="B11" s="54" t="s">
        <v>201</v>
      </c>
      <c r="C11" s="54">
        <f>VLOOKUP("每股盈餘 (元)",PKA!$B$1:$L$500,9,0)</f>
        <v>0.73</v>
      </c>
      <c r="D11" s="54">
        <f>VLOOKUP("每股盈餘 (元)",PKA!$B$1:$L$500,8,0)</f>
        <v>-0.01</v>
      </c>
      <c r="E11" s="54">
        <f>VLOOKUP("每股盈餘 (元)",PKA!$B$1:$L$500,7,0)</f>
        <v>0.23</v>
      </c>
      <c r="F11" s="54">
        <f>VLOOKUP("每股盈餘 (元)",PKA!$B$1:$L$500,6,0)</f>
        <v>0.14000000000000001</v>
      </c>
      <c r="G11" s="54">
        <f>VLOOKUP("每股盈餘 (元)",PKA!$B$1:$L$500,5,0)</f>
        <v>0.5</v>
      </c>
      <c r="H11" s="54">
        <f>VLOOKUP("每股盈餘 (元)",PKA!$B$1:$L$500,4,0)</f>
        <v>-0.01</v>
      </c>
      <c r="I11" s="54">
        <f>VLOOKUP("每股盈餘 (元)",PKA!$B$1:$L$500,3,0)</f>
        <v>0.73</v>
      </c>
      <c r="J11" s="54">
        <f>VLOOKUP("每股盈餘 (元)",PKA!$B$1:$L$500,2,0)</f>
        <v>0.77</v>
      </c>
      <c r="K11" s="54"/>
      <c r="L11" s="54">
        <f>(SUM(G11:J11)/2)+(J11+I11)/2+(((G11-F11)/F11)+1)*J11</f>
        <v>4.4950000000000001</v>
      </c>
    </row>
    <row r="12" spans="1:12">
      <c r="A12" s="54">
        <v>1215</v>
      </c>
      <c r="B12" s="54" t="s">
        <v>201</v>
      </c>
      <c r="C12" s="54">
        <f>VLOOKUP("每股盈餘 (元)",PKB!$B$1:$L$500,9,0)</f>
        <v>0.69</v>
      </c>
      <c r="D12" s="54">
        <f>VLOOKUP("每股盈餘 (元)",PKB!$B$1:$L$500,8,0)</f>
        <v>0.96</v>
      </c>
      <c r="E12" s="54">
        <f>VLOOKUP("每股盈餘 (元)",PKB!$B$1:$L$500,7,0)</f>
        <v>0.72</v>
      </c>
      <c r="F12" s="54">
        <f>VLOOKUP("每股盈餘 (元)",PKB!$B$1:$L$500,6,0)</f>
        <v>0.42</v>
      </c>
      <c r="G12" s="54">
        <f>VLOOKUP("每股盈餘 (元)",PKB!$B$1:$L$500,5,0)</f>
        <v>0.72</v>
      </c>
      <c r="H12" s="54">
        <f>VLOOKUP("每股盈餘 (元)",PKB!$B$1:$L$500,4,0)</f>
        <v>0.82</v>
      </c>
      <c r="I12" s="54">
        <f>VLOOKUP("每股盈餘 (元)",PKB!$B$1:$L$500,3,0)</f>
        <v>0.95</v>
      </c>
      <c r="J12" s="54">
        <f>VLOOKUP("每股盈餘 (元)",PKB!$B$1:$L$500,2,0)</f>
        <v>1.08</v>
      </c>
      <c r="K12" s="54"/>
      <c r="L12" s="54">
        <f>(SUM(G12:J12)/2)+(J12+I12)/2+(((G12-F12)/F12)+1)*J12</f>
        <v>4.6514285714285721</v>
      </c>
    </row>
    <row r="13" spans="1:12">
      <c r="A13" s="54"/>
      <c r="B13" s="54" t="s">
        <v>201</v>
      </c>
      <c r="C13" s="54" t="e">
        <f>VLOOKUP("每股盈餘 (元)",PKC!$B$1:$L$500,9,0)</f>
        <v>#N/A</v>
      </c>
      <c r="D13" s="54" t="e">
        <f>VLOOKUP("每股盈餘 (元)",PKC!$B$1:$L$500,8,0)</f>
        <v>#N/A</v>
      </c>
      <c r="E13" s="54" t="e">
        <f>VLOOKUP("每股盈餘 (元)",PKC!$B$1:$L$500,7,0)</f>
        <v>#N/A</v>
      </c>
      <c r="F13" s="54" t="e">
        <f>VLOOKUP("每股盈餘 (元)",PKC!$B$1:$L$500,6,0)</f>
        <v>#N/A</v>
      </c>
      <c r="G13" s="54" t="e">
        <f>VLOOKUP("每股盈餘 (元)",PKC!$B$1:$L$500,5,0)</f>
        <v>#N/A</v>
      </c>
      <c r="H13" s="54" t="e">
        <f>VLOOKUP("每股盈餘 (元)",PKC!$B$1:$L$500,4,0)</f>
        <v>#N/A</v>
      </c>
      <c r="I13" s="54" t="e">
        <f>VLOOKUP("每股盈餘 (元)",PKC!$B$1:$L$500,3,0)</f>
        <v>#N/A</v>
      </c>
      <c r="J13" s="54" t="e">
        <f>VLOOKUP("每股盈餘 (元)",PKC!$B$1:$L$500,2,0)</f>
        <v>#N/A</v>
      </c>
      <c r="K13" s="54"/>
      <c r="L13" s="54" t="e">
        <f>(SUM(G13:J13)/2)+(J13+I13)/2+(((G13-F13)/F13)+1)*J13</f>
        <v>#N/A</v>
      </c>
    </row>
    <row r="14" spans="1:12">
      <c r="A14" s="55">
        <v>1210</v>
      </c>
      <c r="B14" s="55" t="s">
        <v>183</v>
      </c>
      <c r="C14" s="55">
        <f>VLOOKUP(" 應收帳款及票據",PKA!$B$1:$L$500,9,0)</f>
        <v>6243</v>
      </c>
      <c r="D14" s="55">
        <f>VLOOKUP(" 應收帳款及票據",PKA!$B$1:$L$500,8,0)</f>
        <v>6047</v>
      </c>
      <c r="E14" s="55">
        <f>VLOOKUP(" 應收帳款及票據",PKA!$B$1:$L$500,7,0)</f>
        <v>5301</v>
      </c>
      <c r="F14" s="55">
        <f>VLOOKUP(" 應收帳款及票據",PKA!$B$1:$L$500,6,0)</f>
        <v>5626</v>
      </c>
      <c r="G14" s="55">
        <f>VLOOKUP(" 應收帳款及票據",PKA!$B$1:$L$500,5,0)</f>
        <v>6109</v>
      </c>
      <c r="H14" s="55">
        <f>VLOOKUP(" 應收帳款及票據",PKA!$B$1:$L$500,4,0)</f>
        <v>5657</v>
      </c>
      <c r="I14" s="55">
        <f>VLOOKUP(" 應收帳款及票據",PKA!$B$1:$L$500,3,0)</f>
        <v>5312</v>
      </c>
      <c r="J14" s="55">
        <f>VLOOKUP(" 應收帳款及票據",PKA!$B$1:$L$500,2,0)</f>
        <v>5274</v>
      </c>
      <c r="K14" s="55"/>
      <c r="L14" s="55"/>
    </row>
    <row r="15" spans="1:12">
      <c r="A15" s="55">
        <v>1215</v>
      </c>
      <c r="B15" s="55" t="s">
        <v>183</v>
      </c>
      <c r="C15" s="55">
        <f>VLOOKUP(" 應收帳款及票據",PKB!$B$1:$L$500,9,0)</f>
        <v>1766</v>
      </c>
      <c r="D15" s="55">
        <f>VLOOKUP(" 應收帳款及票據",PKB!$B$1:$L$500,8,0)</f>
        <v>1779</v>
      </c>
      <c r="E15" s="55">
        <f>VLOOKUP(" 應收帳款及票據",PKB!$B$1:$L$500,7,0)</f>
        <v>1563</v>
      </c>
      <c r="F15" s="55">
        <f>VLOOKUP(" 應收帳款及票據",PKB!$B$1:$L$500,6,0)</f>
        <v>1560</v>
      </c>
      <c r="G15" s="55">
        <f>VLOOKUP(" 應收帳款及票據",PKB!$B$1:$L$500,5,0)</f>
        <v>1722</v>
      </c>
      <c r="H15" s="55">
        <f>VLOOKUP(" 應收帳款及票據",PKB!$B$1:$L$500,4,0)</f>
        <v>1633</v>
      </c>
      <c r="I15" s="55">
        <f>VLOOKUP(" 應收帳款及票據",PKB!$B$1:$L$500,3,0)</f>
        <v>1719</v>
      </c>
      <c r="J15" s="55">
        <f>VLOOKUP(" 應收帳款及票據",PKB!$B$1:$L$500,2,0)</f>
        <v>1689</v>
      </c>
      <c r="K15" s="55"/>
      <c r="L15" s="55"/>
    </row>
    <row r="16" spans="1:12">
      <c r="A16" s="55"/>
      <c r="B16" s="55" t="s">
        <v>183</v>
      </c>
      <c r="C16" s="55" t="e">
        <f>VLOOKUP(" 應收帳款及票據",PKC!$B$1:$L$500,9,0)</f>
        <v>#N/A</v>
      </c>
      <c r="D16" s="55" t="e">
        <f>VLOOKUP(" 應收帳款及票據",PKC!$B$1:$L$500,8,0)</f>
        <v>#N/A</v>
      </c>
      <c r="E16" s="55" t="e">
        <f>VLOOKUP(" 應收帳款及票據",PKC!$B$1:$L$500,7,0)</f>
        <v>#N/A</v>
      </c>
      <c r="F16" s="55" t="e">
        <f>VLOOKUP(" 應收帳款及票據",PKC!$B$1:$L$500,6,0)</f>
        <v>#N/A</v>
      </c>
      <c r="G16" s="55" t="e">
        <f>VLOOKUP(" 應收帳款及票據",PKC!$B$1:$L$500,5,0)</f>
        <v>#N/A</v>
      </c>
      <c r="H16" s="55" t="e">
        <f>VLOOKUP(" 應收帳款及票據",PKC!$B$1:$L$500,4,0)</f>
        <v>#N/A</v>
      </c>
      <c r="I16" s="55" t="e">
        <f>VLOOKUP(" 應收帳款及票據",PKC!$B$1:$L$500,3,0)</f>
        <v>#N/A</v>
      </c>
      <c r="J16" s="55" t="e">
        <f>VLOOKUP(" 應收帳款及票據",PKC!$B$1:$L$500,2,0)</f>
        <v>#N/A</v>
      </c>
      <c r="K16" s="55"/>
      <c r="L16" s="55"/>
    </row>
    <row r="17" spans="1:12">
      <c r="A17" s="51">
        <v>1210</v>
      </c>
      <c r="B17" s="51" t="s">
        <v>13</v>
      </c>
      <c r="C17" s="51">
        <f>VLOOKUP(" 存貨",PKA!$B$1:$L$500,9,0)</f>
        <v>7679</v>
      </c>
      <c r="D17" s="51">
        <f>VLOOKUP(" 存貨",PKA!$B$1:$L$500,8,0)</f>
        <v>7840</v>
      </c>
      <c r="E17" s="51">
        <f>VLOOKUP(" 存貨",PKA!$B$1:$L$500,7,0)</f>
        <v>7693</v>
      </c>
      <c r="F17" s="51">
        <f>VLOOKUP(" 存貨",PKA!$B$1:$L$500,6,0)</f>
        <v>6204</v>
      </c>
      <c r="G17" s="51">
        <f>VLOOKUP(" 存貨",PKA!$B$1:$L$500,5,0)</f>
        <v>5935</v>
      </c>
      <c r="H17" s="51">
        <f>VLOOKUP(" 存貨",PKA!$B$1:$L$500,4,0)</f>
        <v>6916</v>
      </c>
      <c r="I17" s="51">
        <f>VLOOKUP(" 存貨",PKA!$B$1:$L$500,3,0)</f>
        <v>5719</v>
      </c>
      <c r="J17" s="51">
        <f>VLOOKUP(" 存貨",PKA!$B$1:$L$500,2,0)</f>
        <v>5729</v>
      </c>
      <c r="K17" s="51"/>
      <c r="L17" s="51"/>
    </row>
    <row r="18" spans="1:12">
      <c r="A18" s="51">
        <v>1215</v>
      </c>
      <c r="B18" s="51" t="s">
        <v>13</v>
      </c>
      <c r="C18" s="51">
        <f>VLOOKUP(" 存貨",PKB!$B$1:$L$500,9,0)</f>
        <v>1146</v>
      </c>
      <c r="D18" s="51">
        <f>VLOOKUP(" 存貨",PKB!$B$1:$L$500,8,0)</f>
        <v>1144</v>
      </c>
      <c r="E18" s="51">
        <f>VLOOKUP(" 存貨",PKB!$B$1:$L$500,7,0)</f>
        <v>1677</v>
      </c>
      <c r="F18" s="51">
        <f>VLOOKUP(" 存貨",PKB!$B$1:$L$500,6,0)</f>
        <v>1386</v>
      </c>
      <c r="G18" s="51">
        <f>VLOOKUP(" 存貨",PKB!$B$1:$L$500,5,0)</f>
        <v>1233</v>
      </c>
      <c r="H18" s="51">
        <f>VLOOKUP(" 存貨",PKB!$B$1:$L$500,4,0)</f>
        <v>1374</v>
      </c>
      <c r="I18" s="51">
        <f>VLOOKUP(" 存貨",PKB!$B$1:$L$500,3,0)</f>
        <v>1201</v>
      </c>
      <c r="J18" s="51">
        <f>VLOOKUP(" 存貨",PKB!$B$1:$L$500,2,0)</f>
        <v>1210</v>
      </c>
      <c r="K18" s="51"/>
      <c r="L18" s="51"/>
    </row>
    <row r="19" spans="1:12">
      <c r="A19" s="51"/>
      <c r="B19" s="51" t="s">
        <v>13</v>
      </c>
      <c r="C19" s="51" t="e">
        <f>VLOOKUP(" 存貨",PKC!$B$1:$L$500,9,0)</f>
        <v>#N/A</v>
      </c>
      <c r="D19" s="51" t="e">
        <f>VLOOKUP(" 存貨",PKC!$B$1:$L$500,8,0)</f>
        <v>#N/A</v>
      </c>
      <c r="E19" s="51" t="e">
        <f>VLOOKUP(" 存貨",PKC!$B$1:$L$500,7,0)</f>
        <v>#N/A</v>
      </c>
      <c r="F19" s="51" t="e">
        <f>VLOOKUP(" 存貨",PKC!$B$1:$L$500,6,0)</f>
        <v>#N/A</v>
      </c>
      <c r="G19" s="51" t="e">
        <f>VLOOKUP(" 存貨",PKC!$B$1:$L$500,5,0)</f>
        <v>#N/A</v>
      </c>
      <c r="H19" s="51" t="e">
        <f>VLOOKUP(" 存貨",PKC!$B$1:$L$500,4,0)</f>
        <v>#N/A</v>
      </c>
      <c r="I19" s="51" t="e">
        <f>VLOOKUP(" 存貨",PKC!$B$1:$L$500,3,0)</f>
        <v>#N/A</v>
      </c>
      <c r="J19" s="51" t="e">
        <f>VLOOKUP(" 存貨",PKC!$B$1:$L$500,2,0)</f>
        <v>#N/A</v>
      </c>
      <c r="K19" s="51"/>
      <c r="L19" s="51"/>
    </row>
    <row r="20" spans="1:12">
      <c r="A20" s="52">
        <v>1210</v>
      </c>
      <c r="B20" s="52" t="s">
        <v>15</v>
      </c>
      <c r="C20" s="52">
        <f>VLOOKUP("負債總額",PKA!$B$1:$L$500,9,0)</f>
        <v>21091</v>
      </c>
      <c r="D20" s="52">
        <f>VLOOKUP("負債總額",PKA!$B$1:$L$500,8,0)</f>
        <v>21451</v>
      </c>
      <c r="E20" s="52">
        <f>VLOOKUP("負債總額",PKA!$B$1:$L$500,7,0)</f>
        <v>21355</v>
      </c>
      <c r="F20" s="52">
        <f>VLOOKUP("負債總額",PKA!$B$1:$L$500,6,0)</f>
        <v>20783</v>
      </c>
      <c r="G20" s="52">
        <f>VLOOKUP("負債總額",PKA!$B$1:$L$500,5,0)</f>
        <v>20764</v>
      </c>
      <c r="H20" s="52">
        <f>VLOOKUP("負債總額",PKA!$B$1:$L$500,4,0)</f>
        <v>20779</v>
      </c>
      <c r="I20" s="52">
        <f>VLOOKUP("負債總額",PKA!$B$1:$L$500,3,0)</f>
        <v>18868</v>
      </c>
      <c r="J20" s="52">
        <f>VLOOKUP("負債總額",PKA!$B$1:$L$500,2,0)</f>
        <v>18526</v>
      </c>
      <c r="K20" s="52"/>
      <c r="L20" s="52"/>
    </row>
    <row r="21" spans="1:12">
      <c r="A21" s="52">
        <v>1215</v>
      </c>
      <c r="B21" s="52" t="s">
        <v>15</v>
      </c>
      <c r="C21" s="52">
        <f>VLOOKUP("負債總額",PKB!$B$1:$L$500,9,0)</f>
        <v>4168</v>
      </c>
      <c r="D21" s="52">
        <f>VLOOKUP("負債總額",PKB!$B$1:$L$500,8,0)</f>
        <v>4019</v>
      </c>
      <c r="E21" s="52">
        <f>VLOOKUP("負債總額",PKB!$B$1:$L$500,7,0)</f>
        <v>4143</v>
      </c>
      <c r="F21" s="52">
        <f>VLOOKUP("負債總額",PKB!$B$1:$L$500,6,0)</f>
        <v>3979</v>
      </c>
      <c r="G21" s="52">
        <f>VLOOKUP("負債總額",PKB!$B$1:$L$500,5,0)</f>
        <v>4086</v>
      </c>
      <c r="H21" s="52">
        <f>VLOOKUP("負債總額",PKB!$B$1:$L$500,4,0)</f>
        <v>4460</v>
      </c>
      <c r="I21" s="52">
        <f>VLOOKUP("負債總額",PKB!$B$1:$L$500,3,0)</f>
        <v>4047</v>
      </c>
      <c r="J21" s="52">
        <f>VLOOKUP("負債總額",PKB!$B$1:$L$500,2,0)</f>
        <v>4337</v>
      </c>
      <c r="K21" s="52"/>
      <c r="L21" s="52"/>
    </row>
    <row r="22" spans="1:12">
      <c r="A22" s="52"/>
      <c r="B22" s="52" t="s">
        <v>15</v>
      </c>
      <c r="C22" s="52" t="e">
        <f>VLOOKUP("負債總額",PKC!$B$1:$L$500,9,0)</f>
        <v>#N/A</v>
      </c>
      <c r="D22" s="52" t="e">
        <f>VLOOKUP("負債總額",PKC!$B$1:$L$500,8,0)</f>
        <v>#N/A</v>
      </c>
      <c r="E22" s="52" t="e">
        <f>VLOOKUP("負債總額",PKC!$B$1:$L$500,7,0)</f>
        <v>#N/A</v>
      </c>
      <c r="F22" s="52" t="e">
        <f>VLOOKUP("負債總額",PKC!$B$1:$L$500,6,0)</f>
        <v>#N/A</v>
      </c>
      <c r="G22" s="52" t="e">
        <f>VLOOKUP("負債總額",PKC!$B$1:$L$500,5,0)</f>
        <v>#N/A</v>
      </c>
      <c r="H22" s="52" t="e">
        <f>VLOOKUP("負債總額",PKC!$B$1:$L$500,4,0)</f>
        <v>#N/A</v>
      </c>
      <c r="I22" s="52" t="e">
        <f>VLOOKUP("負債總額",PKC!$B$1:$L$500,3,0)</f>
        <v>#N/A</v>
      </c>
      <c r="J22" s="52" t="e">
        <f>VLOOKUP("負債總額",PKC!$B$1:$L$500,2,0)</f>
        <v>#N/A</v>
      </c>
      <c r="K22" s="52"/>
      <c r="L22" s="52"/>
    </row>
    <row r="23" spans="1:12">
      <c r="A23" s="53">
        <v>1210</v>
      </c>
      <c r="B23" s="53" t="s">
        <v>16</v>
      </c>
      <c r="C23" s="53">
        <f>VLOOKUP("資產總額",PKA!$B$1:$L$500,9,0)</f>
        <v>40859</v>
      </c>
      <c r="D23" s="53">
        <f>VLOOKUP("資產總額",PKA!$B$1:$L$500,8,0)</f>
        <v>41395</v>
      </c>
      <c r="E23" s="53">
        <f>VLOOKUP("資產總額",PKA!$B$1:$L$500,7,0)</f>
        <v>41477</v>
      </c>
      <c r="F23" s="53">
        <f>VLOOKUP("資產總額",PKA!$B$1:$L$500,6,0)</f>
        <v>39938</v>
      </c>
      <c r="G23" s="53">
        <f>VLOOKUP("資產總額",PKA!$B$1:$L$500,5,0)</f>
        <v>40522</v>
      </c>
      <c r="H23" s="53">
        <f>VLOOKUP("資產總額",PKA!$B$1:$L$500,4,0)</f>
        <v>40028</v>
      </c>
      <c r="I23" s="53">
        <f>VLOOKUP("資產總額",PKA!$B$1:$L$500,3,0)</f>
        <v>38631</v>
      </c>
      <c r="J23" s="53">
        <f>VLOOKUP("資產總額",PKA!$B$1:$L$500,2,0)</f>
        <v>38146</v>
      </c>
      <c r="K23" s="53"/>
      <c r="L23" s="53"/>
    </row>
    <row r="24" spans="1:12">
      <c r="A24" s="53">
        <v>1215</v>
      </c>
      <c r="B24" s="53" t="s">
        <v>16</v>
      </c>
      <c r="C24" s="53">
        <f>VLOOKUP("資產總額",PKB!$B$1:$L$500,9,0)</f>
        <v>9388</v>
      </c>
      <c r="D24" s="53">
        <f>VLOOKUP("資產總額",PKB!$B$1:$L$500,8,0)</f>
        <v>9376</v>
      </c>
      <c r="E24" s="53">
        <f>VLOOKUP("資產總額",PKB!$B$1:$L$500,7,0)</f>
        <v>9361</v>
      </c>
      <c r="F24" s="53">
        <f>VLOOKUP("資產總額",PKB!$B$1:$L$500,6,0)</f>
        <v>9078</v>
      </c>
      <c r="G24" s="53">
        <f>VLOOKUP("資產總額",PKB!$B$1:$L$500,5,0)</f>
        <v>9202</v>
      </c>
      <c r="H24" s="53">
        <f>VLOOKUP("資產總額",PKB!$B$1:$L$500,4,0)</f>
        <v>9644</v>
      </c>
      <c r="I24" s="53">
        <f>VLOOKUP("資產總額",PKB!$B$1:$L$500,3,0)</f>
        <v>9829</v>
      </c>
      <c r="J24" s="53">
        <f>VLOOKUP("資產總額",PKB!$B$1:$L$500,2,0)</f>
        <v>10129</v>
      </c>
      <c r="K24" s="53"/>
      <c r="L24" s="53"/>
    </row>
    <row r="25" spans="1:12">
      <c r="A25" s="53"/>
      <c r="B25" s="53" t="s">
        <v>16</v>
      </c>
      <c r="C25" s="53" t="e">
        <f>VLOOKUP("資產總額",PKC!$B$1:$L$500,9,0)</f>
        <v>#N/A</v>
      </c>
      <c r="D25" s="53" t="e">
        <f>VLOOKUP("資產總額",PKC!$B$1:$L$500,8,0)</f>
        <v>#N/A</v>
      </c>
      <c r="E25" s="53" t="e">
        <f>VLOOKUP("資產總額",PKC!$B$1:$L$500,7,0)</f>
        <v>#N/A</v>
      </c>
      <c r="F25" s="53" t="e">
        <f>VLOOKUP("資產總額",PKC!$B$1:$L$500,6,0)</f>
        <v>#N/A</v>
      </c>
      <c r="G25" s="53" t="e">
        <f>VLOOKUP("資產總額",PKC!$B$1:$L$500,5,0)</f>
        <v>#N/A</v>
      </c>
      <c r="H25" s="53" t="e">
        <f>VLOOKUP("資產總額",PKC!$B$1:$L$500,4,0)</f>
        <v>#N/A</v>
      </c>
      <c r="I25" s="53" t="e">
        <f>VLOOKUP("資產總額",PKC!$B$1:$L$500,3,0)</f>
        <v>#N/A</v>
      </c>
      <c r="J25" s="53" t="e">
        <f>VLOOKUP("資產總額",PKC!$B$1:$L$500,2,0)</f>
        <v>#N/A</v>
      </c>
      <c r="K25" s="53"/>
      <c r="L25" s="53"/>
    </row>
    <row r="26" spans="1:12">
      <c r="A26" s="54">
        <v>1210</v>
      </c>
      <c r="B26" s="54" t="s">
        <v>202</v>
      </c>
      <c r="C26" s="54">
        <f>VLOOKUP("來自營運之現金流量",PKA!$B$1:$L$500,9,0)</f>
        <v>-236</v>
      </c>
      <c r="D26" s="54">
        <f>VLOOKUP("來自營運之現金流量",PKA!$B$1:$L$500,8,0)</f>
        <v>2452</v>
      </c>
      <c r="E26" s="54">
        <f>VLOOKUP("來自營運之現金流量",PKA!$B$1:$L$500,7,0)</f>
        <v>-707</v>
      </c>
      <c r="F26" s="54">
        <f>VLOOKUP("來自營運之現金流量",PKA!$B$1:$L$500,6,0)</f>
        <v>2572</v>
      </c>
      <c r="G26" s="54">
        <f>VLOOKUP("來自營運之現金流量",PKA!$B$1:$L$500,5,0)</f>
        <v>-106</v>
      </c>
      <c r="H26" s="54">
        <f>VLOOKUP("來自營運之現金流量",PKA!$B$1:$L$500,4,0)</f>
        <v>1393</v>
      </c>
      <c r="I26" s="54">
        <f>VLOOKUP("來自營運之現金流量",PKA!$B$1:$L$500,3,0)</f>
        <v>1156</v>
      </c>
      <c r="J26" s="54">
        <f>VLOOKUP("來自營運之現金流量",PKA!$B$1:$L$500,2,0)</f>
        <v>1711</v>
      </c>
      <c r="K26" s="54">
        <f>IF(ISNA(C28),MIN(C26:J27),MIN(C26:J28))</f>
        <v>-707</v>
      </c>
      <c r="L26" s="54">
        <f>IF(ISNA(C28),MAX(C26:J27),MAX(C26:J28))</f>
        <v>2572</v>
      </c>
    </row>
    <row r="27" spans="1:12">
      <c r="A27" s="54">
        <v>1215</v>
      </c>
      <c r="B27" s="54" t="s">
        <v>203</v>
      </c>
      <c r="C27" s="54">
        <f>VLOOKUP("來自營運之現金流量",PKB!$B$1:$L$500,9,0)</f>
        <v>486</v>
      </c>
      <c r="D27" s="54">
        <f>VLOOKUP("來自營運之現金流量",PKB!$B$1:$L$500,8,0)</f>
        <v>220</v>
      </c>
      <c r="E27" s="54">
        <f>VLOOKUP("來自營運之現金流量",PKB!$B$1:$L$500,7,0)</f>
        <v>-15</v>
      </c>
      <c r="F27" s="54">
        <f>VLOOKUP("來自營運之現金流量",PKB!$B$1:$L$500,6,0)</f>
        <v>457</v>
      </c>
      <c r="G27" s="54">
        <f>VLOOKUP("來自營運之現金流量",PKB!$B$1:$L$500,5,0)</f>
        <v>361</v>
      </c>
      <c r="H27" s="54">
        <f>VLOOKUP("來自營運之現金流量",PKB!$B$1:$L$500,4,0)</f>
        <v>-89</v>
      </c>
      <c r="I27" s="54">
        <f>VLOOKUP("來自營運之現金流量",PKB!$B$1:$L$500,3,0)</f>
        <v>366</v>
      </c>
      <c r="J27" s="54">
        <f>VLOOKUP("來自營運之現金流量",PKB!$B$1:$L$500,2,0)</f>
        <v>463</v>
      </c>
      <c r="K27" s="54"/>
      <c r="L27" s="54"/>
    </row>
    <row r="28" spans="1:12">
      <c r="A28" s="54"/>
      <c r="B28" s="54" t="s">
        <v>203</v>
      </c>
      <c r="C28" s="54" t="e">
        <f>VLOOKUP("來自營運之現金流量",PKC!$B$1:$L$500,9,0)</f>
        <v>#N/A</v>
      </c>
      <c r="D28" s="54" t="e">
        <f>VLOOKUP("來自營運之現金流量",PKC!$B$1:$L$500,8,0)</f>
        <v>#N/A</v>
      </c>
      <c r="E28" s="54" t="e">
        <f>VLOOKUP("來自營運之現金流量",PKC!$B$1:$L$500,7,0)</f>
        <v>#N/A</v>
      </c>
      <c r="F28" s="54" t="e">
        <f>VLOOKUP("來自營運之現金流量",PKC!$B$1:$L$500,6,0)</f>
        <v>#N/A</v>
      </c>
      <c r="G28" s="54" t="e">
        <f>VLOOKUP("來自營運之現金流量",PKC!$B$1:$L$500,5,0)</f>
        <v>#N/A</v>
      </c>
      <c r="H28" s="54" t="e">
        <f>VLOOKUP("來自營運之現金流量",PKC!$B$1:$L$500,4,0)</f>
        <v>#N/A</v>
      </c>
      <c r="I28" s="54" t="e">
        <f>VLOOKUP("來自營運之現金流量",PKC!$B$1:$L$500,3,0)</f>
        <v>#N/A</v>
      </c>
      <c r="J28" s="54" t="e">
        <f>VLOOKUP("來自營運之現金流量",PKC!$B$1:$L$500,2,0)</f>
        <v>#N/A</v>
      </c>
      <c r="K28" s="54"/>
      <c r="L28" s="54"/>
    </row>
    <row r="29" spans="1:12">
      <c r="A29" s="55">
        <v>1210</v>
      </c>
      <c r="B29" s="55" t="s">
        <v>125</v>
      </c>
      <c r="C29" s="55">
        <f>VLOOKUP("投資活動之現金流量",PKA!$B$1:$L$500,9,0)</f>
        <v>-561</v>
      </c>
      <c r="D29" s="55">
        <f>VLOOKUP("投資活動之現金流量",PKA!$B$1:$L$500,8,0)</f>
        <v>-1101</v>
      </c>
      <c r="E29" s="55">
        <f>VLOOKUP("投資活動之現金流量",PKA!$B$1:$L$500,7,0)</f>
        <v>-360</v>
      </c>
      <c r="F29" s="55">
        <f>VLOOKUP("投資活動之現金流量",PKA!$B$1:$L$500,6,0)</f>
        <v>-428</v>
      </c>
      <c r="G29" s="55">
        <f>VLOOKUP("投資活動之現金流量",PKA!$B$1:$L$500,5,0)</f>
        <v>-305</v>
      </c>
      <c r="H29" s="55">
        <f>VLOOKUP("投資活動之現金流量",PKA!$B$1:$L$500,4,0)</f>
        <v>-1204</v>
      </c>
      <c r="I29" s="55">
        <f>VLOOKUP("投資活動之現金流量",PKA!$B$1:$L$500,3,0)</f>
        <v>-198</v>
      </c>
      <c r="J29" s="55">
        <f>VLOOKUP("投資活動之現金流量",PKA!$B$1:$L$500,2,0)</f>
        <v>-241</v>
      </c>
      <c r="K29" s="55"/>
      <c r="L29" s="55"/>
    </row>
    <row r="30" spans="1:12">
      <c r="A30" s="55">
        <v>1215</v>
      </c>
      <c r="B30" s="55" t="s">
        <v>125</v>
      </c>
      <c r="C30" s="55">
        <f>VLOOKUP("投資活動之現金流量",PKB!$B$1:$L$500,9,0)</f>
        <v>-147</v>
      </c>
      <c r="D30" s="55">
        <f>VLOOKUP("投資活動之現金流量",PKB!$B$1:$L$500,8,0)</f>
        <v>-110</v>
      </c>
      <c r="E30" s="55">
        <f>VLOOKUP("投資活動之現金流量",PKB!$B$1:$L$500,7,0)</f>
        <v>-189</v>
      </c>
      <c r="F30" s="55">
        <f>VLOOKUP("投資活動之現金流量",PKB!$B$1:$L$500,6,0)</f>
        <v>-190</v>
      </c>
      <c r="G30" s="55">
        <f>VLOOKUP("投資活動之現金流量",PKB!$B$1:$L$500,5,0)</f>
        <v>-319</v>
      </c>
      <c r="H30" s="55">
        <f>VLOOKUP("投資活動之現金流量",PKB!$B$1:$L$500,4,0)</f>
        <v>-249</v>
      </c>
      <c r="I30" s="55">
        <f>VLOOKUP("投資活動之現金流量",PKB!$B$1:$L$500,3,0)</f>
        <v>-287</v>
      </c>
      <c r="J30" s="55">
        <f>VLOOKUP("投資活動之現金流量",PKB!$B$1:$L$500,2,0)</f>
        <v>-156</v>
      </c>
      <c r="K30" s="55"/>
      <c r="L30" s="55"/>
    </row>
    <row r="31" spans="1:12">
      <c r="A31" s="55"/>
      <c r="B31" s="55" t="s">
        <v>125</v>
      </c>
      <c r="C31" s="55" t="e">
        <f>VLOOKUP("投資活動之現金流量",PKC!$B$1:$L$500,9,0)</f>
        <v>#N/A</v>
      </c>
      <c r="D31" s="55" t="e">
        <f>VLOOKUP("投資活動之現金流量",PKC!$B$1:$L$500,8,0)</f>
        <v>#N/A</v>
      </c>
      <c r="E31" s="55" t="e">
        <f>VLOOKUP("投資活動之現金流量",PKC!$B$1:$L$500,7,0)</f>
        <v>#N/A</v>
      </c>
      <c r="F31" s="55" t="e">
        <f>VLOOKUP("投資活動之現金流量",PKC!$B$1:$L$500,6,0)</f>
        <v>#N/A</v>
      </c>
      <c r="G31" s="55" t="e">
        <f>VLOOKUP("投資活動之現金流量",PKC!$B$1:$L$500,5,0)</f>
        <v>#N/A</v>
      </c>
      <c r="H31" s="55" t="e">
        <f>VLOOKUP("投資活動之現金流量",PKC!$B$1:$L$500,4,0)</f>
        <v>#N/A</v>
      </c>
      <c r="I31" s="55" t="e">
        <f>VLOOKUP("投資活動之現金流量",PKC!$B$1:$L$500,3,0)</f>
        <v>#N/A</v>
      </c>
      <c r="J31" s="55" t="e">
        <f>VLOOKUP("投資活動之現金流量",PKC!$B$1:$L$500,2,0)</f>
        <v>#N/A</v>
      </c>
      <c r="K31" s="55"/>
      <c r="L31" s="55"/>
    </row>
    <row r="32" spans="1:12">
      <c r="A32" s="51">
        <v>1210</v>
      </c>
      <c r="B32" s="51" t="s">
        <v>18</v>
      </c>
      <c r="C32" s="51">
        <f>VLOOKUP(" 固定資產(購置)",PKA!$B$1:$L$500,9,0)</f>
        <v>-803</v>
      </c>
      <c r="D32" s="51">
        <f>VLOOKUP(" 固定資產(購置)",PKA!$B$1:$L$500,8,0)</f>
        <v>-752</v>
      </c>
      <c r="E32" s="51">
        <f>VLOOKUP(" 固定資產(購置)",PKA!$B$1:$L$500,7,0)</f>
        <v>-641</v>
      </c>
      <c r="F32" s="51">
        <f>VLOOKUP(" 固定資產(購置)",PKA!$B$1:$L$500,6,0)</f>
        <v>-502</v>
      </c>
      <c r="G32" s="51">
        <f>VLOOKUP(" 固定資產(購置)",PKA!$B$1:$L$500,5,0)</f>
        <v>-404</v>
      </c>
      <c r="H32" s="51">
        <f>VLOOKUP(" 固定資產(購置)",PKA!$B$1:$L$500,4,0)</f>
        <v>-422</v>
      </c>
      <c r="I32" s="51">
        <f>VLOOKUP(" 固定資產(購置)",PKA!$B$1:$L$500,3,0)</f>
        <v>-225</v>
      </c>
      <c r="J32" s="51">
        <f>VLOOKUP(" 固定資產(購置)",PKA!$B$1:$L$500,2,0)</f>
        <v>-377</v>
      </c>
      <c r="K32" s="51"/>
      <c r="L32" s="51"/>
    </row>
    <row r="33" spans="1:12">
      <c r="A33" s="51">
        <v>1215</v>
      </c>
      <c r="B33" s="51" t="s">
        <v>18</v>
      </c>
      <c r="C33" s="51">
        <f>VLOOKUP(" 固定資產(購置)",PKB!$B$1:$L$500,9,0)</f>
        <v>-150</v>
      </c>
      <c r="D33" s="51">
        <f>VLOOKUP(" 固定資產(購置)",PKB!$B$1:$L$500,8,0)</f>
        <v>-137</v>
      </c>
      <c r="E33" s="51">
        <f>VLOOKUP(" 固定資產(購置)",PKB!$B$1:$L$500,7,0)</f>
        <v>-192</v>
      </c>
      <c r="F33" s="51">
        <f>VLOOKUP(" 固定資產(購置)",PKB!$B$1:$L$500,6,0)</f>
        <v>-194</v>
      </c>
      <c r="G33" s="51">
        <f>VLOOKUP(" 固定資產(購置)",PKB!$B$1:$L$500,5,0)</f>
        <v>-311</v>
      </c>
      <c r="H33" s="51">
        <f>VLOOKUP(" 固定資產(購置)",PKB!$B$1:$L$500,4,0)</f>
        <v>-249</v>
      </c>
      <c r="I33" s="51">
        <f>VLOOKUP(" 固定資產(購置)",PKB!$B$1:$L$500,3,0)</f>
        <v>-276</v>
      </c>
      <c r="J33" s="51">
        <f>VLOOKUP(" 固定資產(購置)",PKB!$B$1:$L$500,2,0)</f>
        <v>-162</v>
      </c>
      <c r="K33" s="51"/>
      <c r="L33" s="51"/>
    </row>
    <row r="34" spans="1:12">
      <c r="A34" s="51"/>
      <c r="B34" s="51" t="s">
        <v>18</v>
      </c>
      <c r="C34" s="51" t="e">
        <f>VLOOKUP(" 固定資產(購置)",PKC!$B$1:$L$500,9,0)</f>
        <v>#N/A</v>
      </c>
      <c r="D34" s="51" t="e">
        <f>VLOOKUP(" 固定資產(購置)",PKC!$B$1:$L$500,8,0)</f>
        <v>#N/A</v>
      </c>
      <c r="E34" s="51" t="e">
        <f>VLOOKUP(" 固定資產(購置)",PKC!$B$1:$L$500,7,0)</f>
        <v>#N/A</v>
      </c>
      <c r="F34" s="51" t="e">
        <f>VLOOKUP(" 固定資產(購置)",PKC!$B$1:$L$500,6,0)</f>
        <v>#N/A</v>
      </c>
      <c r="G34" s="51" t="e">
        <f>VLOOKUP(" 固定資產(購置)",PKC!$B$1:$L$500,5,0)</f>
        <v>#N/A</v>
      </c>
      <c r="H34" s="51" t="e">
        <f>VLOOKUP(" 固定資產(購置)",PKC!$B$1:$L$500,4,0)</f>
        <v>#N/A</v>
      </c>
      <c r="I34" s="51" t="e">
        <f>VLOOKUP(" 固定資產(購置)",PKC!$B$1:$L$500,3,0)</f>
        <v>#N/A</v>
      </c>
      <c r="J34" s="51" t="e">
        <f>VLOOKUP(" 固定資產(購置)",PKC!$B$1:$L$500,2,0)</f>
        <v>#N/A</v>
      </c>
      <c r="K34" s="51"/>
      <c r="L34" s="51"/>
    </row>
    <row r="35" spans="1:12">
      <c r="A35" s="52">
        <v>1210</v>
      </c>
      <c r="B35" s="52" t="s">
        <v>19</v>
      </c>
      <c r="C35" s="52">
        <f>VLOOKUP(" 長期投資(新增)",PKA!$B$1:$L$500,9,0)</f>
        <v>-89</v>
      </c>
      <c r="D35" s="52">
        <f>VLOOKUP(" 長期投資(新增)",PKA!$B$1:$L$500,8,0)</f>
        <v>-1</v>
      </c>
      <c r="E35" s="52">
        <f>VLOOKUP(" 長期投資(新增)",PKA!$B$1:$L$500,7,0)</f>
        <v>0</v>
      </c>
      <c r="F35" s="52">
        <f>VLOOKUP(" 長期投資(新增)",PKA!$B$1:$L$500,6,0)</f>
        <v>0</v>
      </c>
      <c r="G35" s="52">
        <f>VLOOKUP(" 長期投資(新增)",PKA!$B$1:$L$500,5,0)</f>
        <v>-42</v>
      </c>
      <c r="H35" s="52">
        <f>VLOOKUP(" 長期投資(新增)",PKA!$B$1:$L$500,4,0)</f>
        <v>0</v>
      </c>
      <c r="I35" s="52">
        <f>VLOOKUP(" 長期投資(新增)",PKA!$B$1:$L$500,3,0)</f>
        <v>0</v>
      </c>
      <c r="J35" s="52">
        <f>VLOOKUP(" 長期投資(新增)",PKA!$B$1:$L$500,2,0)</f>
        <v>0</v>
      </c>
      <c r="K35" s="52"/>
      <c r="L35" s="52"/>
    </row>
    <row r="36" spans="1:12">
      <c r="A36" s="52">
        <v>1215</v>
      </c>
      <c r="B36" s="52" t="s">
        <v>19</v>
      </c>
      <c r="C36" s="52">
        <f>VLOOKUP(" 長期投資(新增)",PKB!$B$1:$L$500,9,0)</f>
        <v>0</v>
      </c>
      <c r="D36" s="52">
        <f>VLOOKUP(" 長期投資(新增)",PKB!$B$1:$L$500,8,0)</f>
        <v>0</v>
      </c>
      <c r="E36" s="52">
        <f>VLOOKUP(" 長期投資(新增)",PKB!$B$1:$L$500,7,0)</f>
        <v>0</v>
      </c>
      <c r="F36" s="52">
        <f>VLOOKUP(" 長期投資(新增)",PKB!$B$1:$L$500,6,0)</f>
        <v>0</v>
      </c>
      <c r="G36" s="52">
        <f>VLOOKUP(" 長期投資(新增)",PKB!$B$1:$L$500,5,0)</f>
        <v>0</v>
      </c>
      <c r="H36" s="52">
        <f>VLOOKUP(" 長期投資(新增)",PKB!$B$1:$L$500,4,0)</f>
        <v>0</v>
      </c>
      <c r="I36" s="52">
        <f>VLOOKUP(" 長期投資(新增)",PKB!$B$1:$L$500,3,0)</f>
        <v>0</v>
      </c>
      <c r="J36" s="52">
        <f>VLOOKUP(" 長期投資(新增)",PKB!$B$1:$L$500,2,0)</f>
        <v>0</v>
      </c>
      <c r="K36" s="52"/>
      <c r="L36" s="52"/>
    </row>
    <row r="37" spans="1:12">
      <c r="A37" s="52"/>
      <c r="B37" s="52" t="s">
        <v>19</v>
      </c>
      <c r="C37" s="52" t="e">
        <f>VLOOKUP(" 長期投資(新增)",PKC!$B$1:$L$500,9,0)</f>
        <v>#N/A</v>
      </c>
      <c r="D37" s="52" t="e">
        <f>VLOOKUP(" 長期投資(新增)",PKC!$B$1:$L$500,8,0)</f>
        <v>#N/A</v>
      </c>
      <c r="E37" s="52" t="e">
        <f>VLOOKUP(" 長期投資(新增)",PKC!$B$1:$L$500,7,0)</f>
        <v>#N/A</v>
      </c>
      <c r="F37" s="52" t="e">
        <f>VLOOKUP(" 長期投資(新增)",PKC!$B$1:$L$500,6,0)</f>
        <v>#N/A</v>
      </c>
      <c r="G37" s="52" t="e">
        <f>VLOOKUP(" 長期投資(新增)",PKC!$B$1:$L$500,5,0)</f>
        <v>#N/A</v>
      </c>
      <c r="H37" s="52" t="e">
        <f>VLOOKUP(" 長期投資(新增)",PKC!$B$1:$L$500,4,0)</f>
        <v>#N/A</v>
      </c>
      <c r="I37" s="52" t="e">
        <f>VLOOKUP(" 長期投資(新增)",PKC!$B$1:$L$500,3,0)</f>
        <v>#N/A</v>
      </c>
      <c r="J37" s="52" t="e">
        <f>VLOOKUP(" 長期投資(新增)",PKC!$B$1:$L$500,2,0)</f>
        <v>#N/A</v>
      </c>
      <c r="K37" s="52"/>
      <c r="L37" s="52"/>
    </row>
    <row r="38" spans="1:12">
      <c r="A38" s="53">
        <v>1210</v>
      </c>
      <c r="B38" s="53" t="s">
        <v>108</v>
      </c>
      <c r="C38" s="53">
        <f>VLOOKUP(" 折舊",PKA!$B$1:$L$500,9,0)</f>
        <v>311</v>
      </c>
      <c r="D38" s="53">
        <f>VLOOKUP(" 折舊",PKA!$B$1:$L$500,8,0)</f>
        <v>317</v>
      </c>
      <c r="E38" s="53">
        <f>VLOOKUP(" 折舊",PKA!$B$1:$L$500,7,0)</f>
        <v>345</v>
      </c>
      <c r="F38" s="53">
        <f>VLOOKUP(" 折舊",PKA!$B$1:$L$500,6,0)</f>
        <v>349</v>
      </c>
      <c r="G38" s="53">
        <f>VLOOKUP(" 折舊",PKA!$B$1:$L$500,5,0)</f>
        <v>359</v>
      </c>
      <c r="H38" s="53">
        <f>VLOOKUP(" 折舊",PKA!$B$1:$L$500,4,0)</f>
        <v>-7</v>
      </c>
      <c r="I38" s="53">
        <f>VLOOKUP(" 折舊",PKA!$B$1:$L$500,3,0)</f>
        <v>373</v>
      </c>
      <c r="J38" s="53">
        <f>VLOOKUP(" 折舊",PKA!$B$1:$L$500,2,0)</f>
        <v>333</v>
      </c>
      <c r="K38" s="53"/>
      <c r="L38" s="53"/>
    </row>
    <row r="39" spans="1:12">
      <c r="A39" s="53">
        <v>1215</v>
      </c>
      <c r="B39" s="53" t="s">
        <v>108</v>
      </c>
      <c r="C39" s="53">
        <f>VLOOKUP(" 折舊",PKB!$B$1:$L$500,9,0)</f>
        <v>74</v>
      </c>
      <c r="D39" s="53">
        <f>VLOOKUP(" 折舊",PKB!$B$1:$L$500,8,0)</f>
        <v>75</v>
      </c>
      <c r="E39" s="53">
        <f>VLOOKUP(" 折舊",PKB!$B$1:$L$500,7,0)</f>
        <v>76</v>
      </c>
      <c r="F39" s="53">
        <f>VLOOKUP(" 折舊",PKB!$B$1:$L$500,6,0)</f>
        <v>79</v>
      </c>
      <c r="G39" s="53">
        <f>VLOOKUP(" 折舊",PKB!$B$1:$L$500,5,0)</f>
        <v>84</v>
      </c>
      <c r="H39" s="53">
        <f>VLOOKUP(" 折舊",PKB!$B$1:$L$500,4,0)</f>
        <v>88</v>
      </c>
      <c r="I39" s="53">
        <f>VLOOKUP(" 折舊",PKB!$B$1:$L$500,3,0)</f>
        <v>90</v>
      </c>
      <c r="J39" s="53">
        <f>VLOOKUP(" 折舊",PKB!$B$1:$L$500,2,0)</f>
        <v>94</v>
      </c>
      <c r="K39" s="53"/>
      <c r="L39" s="53"/>
    </row>
    <row r="40" spans="1:12">
      <c r="A40" s="53"/>
      <c r="B40" s="53" t="s">
        <v>108</v>
      </c>
      <c r="C40" s="53" t="e">
        <f>VLOOKUP(" 折舊",PKC!$B$1:$L$500,9,0)</f>
        <v>#N/A</v>
      </c>
      <c r="D40" s="53" t="e">
        <f>VLOOKUP(" 折舊",PKC!$B$1:$L$500,8,0)</f>
        <v>#N/A</v>
      </c>
      <c r="E40" s="53" t="e">
        <f>VLOOKUP(" 折舊",PKC!$B$1:$L$500,7,0)</f>
        <v>#N/A</v>
      </c>
      <c r="F40" s="53" t="e">
        <f>VLOOKUP(" 折舊",PKC!$B$1:$L$500,6,0)</f>
        <v>#N/A</v>
      </c>
      <c r="G40" s="53" t="e">
        <f>VLOOKUP(" 折舊",PKC!$B$1:$L$500,5,0)</f>
        <v>#N/A</v>
      </c>
      <c r="H40" s="53" t="e">
        <f>VLOOKUP(" 折舊",PKC!$B$1:$L$500,4,0)</f>
        <v>#N/A</v>
      </c>
      <c r="I40" s="53" t="e">
        <f>VLOOKUP(" 折舊",PKC!$B$1:$L$500,3,0)</f>
        <v>#N/A</v>
      </c>
      <c r="J40" s="53" t="e">
        <f>VLOOKUP(" 折舊",PKC!$B$1:$L$500,2,0)</f>
        <v>#N/A</v>
      </c>
      <c r="K40" s="53"/>
      <c r="L40" s="53"/>
    </row>
    <row r="41" spans="1:12">
      <c r="A41" s="54">
        <v>1210</v>
      </c>
      <c r="B41" s="54" t="s">
        <v>204</v>
      </c>
      <c r="C41" s="54">
        <f>VLOOKUP("營業費用",PKA!$B$1:$L$500,9,0)</f>
        <v>1729</v>
      </c>
      <c r="D41" s="54">
        <f>VLOOKUP("營業費用",PKA!$B$1:$L$500,8,0)</f>
        <v>1735</v>
      </c>
      <c r="E41" s="54">
        <f>VLOOKUP("營業費用",PKA!$B$1:$L$500,7,0)</f>
        <v>1654</v>
      </c>
      <c r="F41" s="54">
        <f>VLOOKUP("營業費用",PKA!$B$1:$L$500,6,0)</f>
        <v>1710</v>
      </c>
      <c r="G41" s="54">
        <f>VLOOKUP("營業費用",PKA!$B$1:$L$500,5,0)</f>
        <v>1801</v>
      </c>
      <c r="H41" s="54">
        <f>VLOOKUP("營業費用",PKA!$B$1:$L$500,4,0)</f>
        <v>1698</v>
      </c>
      <c r="I41" s="54">
        <f>VLOOKUP("營業費用",PKA!$B$1:$L$500,3,0)</f>
        <v>1709</v>
      </c>
      <c r="J41" s="54">
        <f>VLOOKUP("營業費用",PKA!$B$1:$L$500,2,0)</f>
        <v>1843</v>
      </c>
      <c r="K41" s="54"/>
      <c r="L41" s="54"/>
    </row>
    <row r="42" spans="1:12">
      <c r="A42" s="54">
        <v>1215</v>
      </c>
      <c r="B42" s="54" t="s">
        <v>204</v>
      </c>
      <c r="C42" s="54">
        <f>VLOOKUP("營業費用",PKB!$B$1:$L$500,9,0)</f>
        <v>281</v>
      </c>
      <c r="D42" s="54">
        <f>VLOOKUP("營業費用",PKB!$B$1:$L$500,8,0)</f>
        <v>288</v>
      </c>
      <c r="E42" s="54">
        <f>VLOOKUP("營業費用",PKB!$B$1:$L$500,7,0)</f>
        <v>286</v>
      </c>
      <c r="F42" s="54">
        <f>VLOOKUP("營業費用",PKB!$B$1:$L$500,6,0)</f>
        <v>255</v>
      </c>
      <c r="G42" s="54">
        <f>VLOOKUP("營業費用",PKB!$B$1:$L$500,5,0)</f>
        <v>304</v>
      </c>
      <c r="H42" s="54">
        <f>VLOOKUP("營業費用",PKB!$B$1:$L$500,4,0)</f>
        <v>299</v>
      </c>
      <c r="I42" s="54">
        <f>VLOOKUP("營業費用",PKB!$B$1:$L$500,3,0)</f>
        <v>292</v>
      </c>
      <c r="J42" s="54">
        <f>VLOOKUP("營業費用",PKB!$B$1:$L$500,2,0)</f>
        <v>308</v>
      </c>
      <c r="K42" s="54"/>
      <c r="L42" s="54"/>
    </row>
    <row r="43" spans="1:12">
      <c r="A43" s="54"/>
      <c r="B43" s="54" t="s">
        <v>204</v>
      </c>
      <c r="C43" s="54" t="e">
        <f>VLOOKUP("營業費用",PKC!$B$1:$L$500,9,0)</f>
        <v>#N/A</v>
      </c>
      <c r="D43" s="54" t="e">
        <f>VLOOKUP("營業費用",PKC!$B$1:$L$500,8,0)</f>
        <v>#N/A</v>
      </c>
      <c r="E43" s="54" t="e">
        <f>VLOOKUP("營業費用",PKC!$B$1:$L$500,7,0)</f>
        <v>#N/A</v>
      </c>
      <c r="F43" s="54" t="e">
        <f>VLOOKUP("營業費用",PKC!$B$1:$L$500,6,0)</f>
        <v>#N/A</v>
      </c>
      <c r="G43" s="54" t="e">
        <f>VLOOKUP("營業費用",PKC!$B$1:$L$500,5,0)</f>
        <v>#N/A</v>
      </c>
      <c r="H43" s="54" t="e">
        <f>VLOOKUP("營業費用",PKC!$B$1:$L$500,4,0)</f>
        <v>#N/A</v>
      </c>
      <c r="I43" s="54" t="e">
        <f>VLOOKUP("營業費用",PKC!$B$1:$L$500,3,0)</f>
        <v>#N/A</v>
      </c>
      <c r="J43" s="54" t="e">
        <f>VLOOKUP("營業費用",PKC!$B$1:$L$500,2,0)</f>
        <v>#N/A</v>
      </c>
      <c r="K43" s="54"/>
      <c r="L43" s="54"/>
    </row>
    <row r="44" spans="1:12">
      <c r="A44" s="56">
        <v>1210</v>
      </c>
      <c r="B44" s="56" t="s">
        <v>501</v>
      </c>
      <c r="C44" s="56">
        <f>VLOOKUP(" 普通股股本",PKA!$B$1:$L$500,9,0)</f>
        <v>7364</v>
      </c>
      <c r="D44" s="56">
        <f>VLOOKUP(" 普通股股本",PKA!$B$1:$L$500,8,0)</f>
        <v>7364</v>
      </c>
      <c r="E44" s="56">
        <f>VLOOKUP(" 普通股股本",PKA!$B$1:$L$500,7,0)</f>
        <v>7364</v>
      </c>
      <c r="F44" s="56">
        <f>VLOOKUP(" 普通股股本",PKA!$B$1:$L$500,6,0)</f>
        <v>7364</v>
      </c>
      <c r="G44" s="56">
        <f>VLOOKUP(" 普通股股本",PKA!$B$1:$L$500,5,0)</f>
        <v>7364</v>
      </c>
      <c r="H44" s="56">
        <f>VLOOKUP(" 普通股股本",PKA!$B$1:$L$500,4,0)</f>
        <v>7364</v>
      </c>
      <c r="I44" s="56">
        <f>VLOOKUP(" 普通股股本",PKA!$B$1:$L$500,3,0)</f>
        <v>7364</v>
      </c>
      <c r="J44" s="56">
        <f>VLOOKUP(" 普通股股本",PKA!$B$1:$L$500,2,0)</f>
        <v>7364</v>
      </c>
      <c r="K44" s="56"/>
      <c r="L44" s="56"/>
    </row>
    <row r="45" spans="1:12">
      <c r="A45" s="56">
        <v>1215</v>
      </c>
      <c r="B45" s="56" t="s">
        <v>501</v>
      </c>
      <c r="C45" s="56">
        <f>VLOOKUP(" 普通股股本",PKB!$B$1:$L$500,9,0)</f>
        <v>2436</v>
      </c>
      <c r="D45" s="56">
        <f>VLOOKUP(" 普通股股本",PKB!$B$1:$L$500,8,0)</f>
        <v>2436</v>
      </c>
      <c r="E45" s="56">
        <f>VLOOKUP(" 普通股股本",PKB!$B$1:$L$500,7,0)</f>
        <v>2436</v>
      </c>
      <c r="F45" s="56">
        <f>VLOOKUP(" 普通股股本",PKB!$B$1:$L$500,6,0)</f>
        <v>2436</v>
      </c>
      <c r="G45" s="56">
        <f>VLOOKUP(" 普通股股本",PKB!$B$1:$L$500,5,0)</f>
        <v>2680</v>
      </c>
      <c r="H45" s="56">
        <f>VLOOKUP(" 普通股股本",PKB!$B$1:$L$500,4,0)</f>
        <v>2680</v>
      </c>
      <c r="I45" s="56">
        <f>VLOOKUP(" 普通股股本",PKB!$B$1:$L$500,3,0)</f>
        <v>2680</v>
      </c>
      <c r="J45" s="56">
        <f>VLOOKUP(" 普通股股本",PKB!$B$1:$L$500,2,0)</f>
        <v>2680</v>
      </c>
      <c r="K45" s="56"/>
      <c r="L45" s="56"/>
    </row>
    <row r="46" spans="1:12">
      <c r="A46" s="56"/>
      <c r="B46" s="56" t="s">
        <v>501</v>
      </c>
      <c r="C46" s="56" t="e">
        <f>VLOOKUP(" 普通股股本",PKC!$B$1:$L$500,9,0)</f>
        <v>#N/A</v>
      </c>
      <c r="D46" s="56" t="e">
        <f>VLOOKUP(" 普通股股本",PKC!$B$1:$L$500,8,0)</f>
        <v>#N/A</v>
      </c>
      <c r="E46" s="56" t="e">
        <f>VLOOKUP(" 普通股股本",PKC!$B$1:$L$500,7,0)</f>
        <v>#N/A</v>
      </c>
      <c r="F46" s="56" t="e">
        <f>VLOOKUP(" 普通股股本",PKC!$B$1:$L$500,6,0)</f>
        <v>#N/A</v>
      </c>
      <c r="G46" s="56" t="e">
        <f>VLOOKUP(" 普通股股本",PKC!$B$1:$L$500,5,0)</f>
        <v>#N/A</v>
      </c>
      <c r="H46" s="56" t="e">
        <f>VLOOKUP(" 普通股股本",PKC!$B$1:$L$500,4,0)</f>
        <v>#N/A</v>
      </c>
      <c r="I46" s="56" t="e">
        <f>VLOOKUP(" 普通股股本",PKC!$B$1:$L$500,3,0)</f>
        <v>#N/A</v>
      </c>
      <c r="J46" s="56" t="e">
        <f>VLOOKUP(" 普通股股本",PKC!$B$1:$L$500,2,0)</f>
        <v>#N/A</v>
      </c>
      <c r="K46" s="56"/>
      <c r="L46" s="56"/>
    </row>
    <row r="47" spans="1:12">
      <c r="A47" s="55">
        <v>1210</v>
      </c>
      <c r="B47" s="55" t="s">
        <v>23</v>
      </c>
      <c r="C47" s="57">
        <f>IF(ISNUMBER((C2-C5)/C2),(C2-C5)/C2,0)</f>
        <v>8.4142535113577249E-2</v>
      </c>
      <c r="D47" s="57">
        <f t="shared" ref="D47:J47" si="0">IF(ISNUMBER((D2-D5)/D2),(D2-D5)/D2,0)</f>
        <v>7.4367219061752823E-2</v>
      </c>
      <c r="E47" s="57">
        <f t="shared" si="0"/>
        <v>9.2982718262861697E-2</v>
      </c>
      <c r="F47" s="57">
        <f t="shared" si="0"/>
        <v>0.10466980123958111</v>
      </c>
      <c r="G47" s="57">
        <f t="shared" si="0"/>
        <v>0.11902850260939382</v>
      </c>
      <c r="H47" s="57">
        <f t="shared" si="0"/>
        <v>0.11296021301653951</v>
      </c>
      <c r="I47" s="57">
        <f t="shared" si="0"/>
        <v>0.1362150586113616</v>
      </c>
      <c r="J47" s="57">
        <f t="shared" si="0"/>
        <v>0.13071789028162137</v>
      </c>
      <c r="K47" s="55">
        <f>MIN(C47:J49)</f>
        <v>0</v>
      </c>
      <c r="L47" s="55">
        <f>MAX(C47:J49)</f>
        <v>0.15076071922544951</v>
      </c>
    </row>
    <row r="48" spans="1:12">
      <c r="A48" s="55">
        <v>1215</v>
      </c>
      <c r="B48" s="55" t="s">
        <v>23</v>
      </c>
      <c r="C48" s="57">
        <f>IF(ISNUMBER((C3-C6)/C3),(C3-C6)/C3,0)</f>
        <v>0.10856639506716582</v>
      </c>
      <c r="D48" s="57">
        <f t="shared" ref="D48:J49" si="1">IF(ISNUMBER((D3-D6)/D3),(D3-D6)/D3,0)</f>
        <v>0.12945341889798628</v>
      </c>
      <c r="E48" s="57">
        <f t="shared" si="1"/>
        <v>0.125249500998004</v>
      </c>
      <c r="F48" s="57">
        <f t="shared" si="1"/>
        <v>9.9516416390939166E-2</v>
      </c>
      <c r="G48" s="57">
        <f t="shared" si="1"/>
        <v>0.12756366914581924</v>
      </c>
      <c r="H48" s="57">
        <f t="shared" si="1"/>
        <v>0.13591768365637713</v>
      </c>
      <c r="I48" s="57">
        <f t="shared" si="1"/>
        <v>0.14332706766917294</v>
      </c>
      <c r="J48" s="57">
        <f t="shared" si="1"/>
        <v>0.15076071922544951</v>
      </c>
      <c r="K48" s="55"/>
      <c r="L48" s="55"/>
    </row>
    <row r="49" spans="1:12">
      <c r="A49" s="55"/>
      <c r="B49" s="55" t="s">
        <v>23</v>
      </c>
      <c r="C49" s="57">
        <f>IF(ISNUMBER((C4-C7)/C4),(C4-C7)/C4,0)</f>
        <v>0</v>
      </c>
      <c r="D49" s="57">
        <f t="shared" si="1"/>
        <v>0</v>
      </c>
      <c r="E49" s="57">
        <f t="shared" si="1"/>
        <v>0</v>
      </c>
      <c r="F49" s="57">
        <f t="shared" si="1"/>
        <v>0</v>
      </c>
      <c r="G49" s="57">
        <f t="shared" si="1"/>
        <v>0</v>
      </c>
      <c r="H49" s="57">
        <f t="shared" si="1"/>
        <v>0</v>
      </c>
      <c r="I49" s="57">
        <f t="shared" si="1"/>
        <v>0</v>
      </c>
      <c r="J49" s="57">
        <f t="shared" si="1"/>
        <v>0</v>
      </c>
      <c r="K49" s="55"/>
      <c r="L49" s="55"/>
    </row>
    <row r="50" spans="1:12">
      <c r="A50" s="51">
        <v>1210</v>
      </c>
      <c r="B50" s="51" t="s">
        <v>205</v>
      </c>
      <c r="C50" s="58">
        <f t="shared" ref="C50:C55" si="2">D50</f>
        <v>23.115312474235306</v>
      </c>
      <c r="D50" s="58">
        <f t="shared" ref="D50:D55" si="3">IF(ISNUMBER(365/(D2*4/((C14+D14)/2))),365/(D2*4/((C14+D14)/2)),0)</f>
        <v>23.115312474235306</v>
      </c>
      <c r="E50" s="58">
        <f t="shared" ref="E50:J50" si="4">IF(ISNUMBER(365/(E2*4/((D14+E14)/2))),365/(E2*4/((D14+E14)/2)),0)</f>
        <v>25.785771203745206</v>
      </c>
      <c r="F50" s="58">
        <f t="shared" si="4"/>
        <v>26.637335702073095</v>
      </c>
      <c r="G50" s="58">
        <f t="shared" si="4"/>
        <v>26.867190636290648</v>
      </c>
      <c r="H50" s="58">
        <f t="shared" si="4"/>
        <v>27.488542680116748</v>
      </c>
      <c r="I50" s="58">
        <f t="shared" si="4"/>
        <v>28.204498703787195</v>
      </c>
      <c r="J50" s="58">
        <f t="shared" si="4"/>
        <v>26.207946714417496</v>
      </c>
      <c r="K50" s="51">
        <f>MIN(C50:J52)</f>
        <v>0</v>
      </c>
      <c r="L50" s="51">
        <f>MAX(C50:J52)</f>
        <v>38.043600299401199</v>
      </c>
    </row>
    <row r="51" spans="1:12">
      <c r="A51" s="51">
        <v>1215</v>
      </c>
      <c r="B51" s="51" t="s">
        <v>205</v>
      </c>
      <c r="C51" s="58">
        <f t="shared" si="2"/>
        <v>35.79124253153352</v>
      </c>
      <c r="D51" s="58">
        <f t="shared" si="3"/>
        <v>35.79124253153352</v>
      </c>
      <c r="E51" s="58">
        <f t="shared" ref="E51:J55" si="5">IF(ISNUMBER(365/(E3*4/((D15+E15)/2))),365/(E3*4/((D15+E15)/2)),0)</f>
        <v>38.043600299401199</v>
      </c>
      <c r="F51" s="58">
        <f t="shared" si="5"/>
        <v>36.265430134894373</v>
      </c>
      <c r="G51" s="58">
        <f t="shared" si="5"/>
        <v>33.748309668695065</v>
      </c>
      <c r="H51" s="58">
        <f t="shared" si="5"/>
        <v>36.62882866714525</v>
      </c>
      <c r="I51" s="58">
        <f t="shared" si="5"/>
        <v>35.933975563909776</v>
      </c>
      <c r="J51" s="58">
        <f t="shared" si="5"/>
        <v>35.843706777316733</v>
      </c>
      <c r="K51" s="51"/>
      <c r="L51" s="51">
        <f>AVERAGE(F51:J51)</f>
        <v>35.684050162392239</v>
      </c>
    </row>
    <row r="52" spans="1:12">
      <c r="A52" s="51"/>
      <c r="B52" s="51" t="s">
        <v>205</v>
      </c>
      <c r="C52" s="58">
        <f t="shared" si="2"/>
        <v>0</v>
      </c>
      <c r="D52" s="58">
        <f t="shared" si="3"/>
        <v>0</v>
      </c>
      <c r="E52" s="58">
        <f t="shared" si="5"/>
        <v>0</v>
      </c>
      <c r="F52" s="58">
        <f t="shared" si="5"/>
        <v>0</v>
      </c>
      <c r="G52" s="58">
        <f t="shared" si="5"/>
        <v>0</v>
      </c>
      <c r="H52" s="58">
        <f t="shared" si="5"/>
        <v>0</v>
      </c>
      <c r="I52" s="58">
        <f t="shared" si="5"/>
        <v>0</v>
      </c>
      <c r="J52" s="58">
        <f t="shared" si="5"/>
        <v>0</v>
      </c>
      <c r="K52" s="51"/>
      <c r="L52" s="51">
        <f>AVERAGE(F52:J52)</f>
        <v>0</v>
      </c>
    </row>
    <row r="53" spans="1:12">
      <c r="A53" s="52">
        <v>1210</v>
      </c>
      <c r="B53" s="52" t="s">
        <v>206</v>
      </c>
      <c r="C53" s="59">
        <f t="shared" si="2"/>
        <v>31.533551928386927</v>
      </c>
      <c r="D53" s="59">
        <f t="shared" si="3"/>
        <v>31.533551928386927</v>
      </c>
      <c r="E53" s="59">
        <f t="shared" si="5"/>
        <v>38.913525422798152</v>
      </c>
      <c r="F53" s="59">
        <f t="shared" si="5"/>
        <v>37.837955779674161</v>
      </c>
      <c r="G53" s="59">
        <f t="shared" si="5"/>
        <v>31.547156242879929</v>
      </c>
      <c r="H53" s="59">
        <f t="shared" si="5"/>
        <v>33.846728338047683</v>
      </c>
      <c r="I53" s="59">
        <f t="shared" si="5"/>
        <v>37.611527043778956</v>
      </c>
      <c r="J53" s="59">
        <f t="shared" si="5"/>
        <v>32.603932584269664</v>
      </c>
      <c r="K53" s="52">
        <f>MIN(C53:J55)</f>
        <v>0</v>
      </c>
      <c r="L53" s="52">
        <f>MAX(C53:J55)</f>
        <v>39.499540700960992</v>
      </c>
    </row>
    <row r="54" spans="1:12">
      <c r="A54" s="52">
        <v>1215</v>
      </c>
      <c r="B54" s="52" t="s">
        <v>206</v>
      </c>
      <c r="C54" s="59">
        <f t="shared" si="2"/>
        <v>26.558528215556684</v>
      </c>
      <c r="D54" s="59">
        <f t="shared" si="3"/>
        <v>26.558528215556684</v>
      </c>
      <c r="E54" s="59">
        <f t="shared" si="5"/>
        <v>36.710817170564752</v>
      </c>
      <c r="F54" s="59">
        <f t="shared" si="5"/>
        <v>39.499540700960992</v>
      </c>
      <c r="G54" s="59">
        <f t="shared" si="5"/>
        <v>30.868477137690522</v>
      </c>
      <c r="H54" s="59">
        <f t="shared" si="5"/>
        <v>32.939455829410136</v>
      </c>
      <c r="I54" s="59">
        <f t="shared" si="5"/>
        <v>32.222812671420733</v>
      </c>
      <c r="J54" s="59">
        <f t="shared" si="5"/>
        <v>29.85935803474484</v>
      </c>
      <c r="K54" s="52"/>
      <c r="L54" s="52">
        <f>AVERAGE(F54:J54)</f>
        <v>33.077928874845448</v>
      </c>
    </row>
    <row r="55" spans="1:12">
      <c r="A55" s="52"/>
      <c r="B55" s="52" t="s">
        <v>206</v>
      </c>
      <c r="C55" s="59">
        <f t="shared" si="2"/>
        <v>0</v>
      </c>
      <c r="D55" s="59">
        <f t="shared" si="3"/>
        <v>0</v>
      </c>
      <c r="E55" s="59">
        <f t="shared" si="5"/>
        <v>0</v>
      </c>
      <c r="F55" s="59">
        <f t="shared" si="5"/>
        <v>0</v>
      </c>
      <c r="G55" s="59">
        <f t="shared" si="5"/>
        <v>0</v>
      </c>
      <c r="H55" s="59">
        <f t="shared" si="5"/>
        <v>0</v>
      </c>
      <c r="I55" s="59">
        <f t="shared" si="5"/>
        <v>0</v>
      </c>
      <c r="J55" s="59">
        <f t="shared" si="5"/>
        <v>0</v>
      </c>
      <c r="K55" s="52"/>
      <c r="L55" s="52">
        <f>AVERAGE(F55:J55)</f>
        <v>0</v>
      </c>
    </row>
    <row r="56" spans="1:12">
      <c r="A56" s="53">
        <v>1210</v>
      </c>
      <c r="B56" s="53" t="s">
        <v>207</v>
      </c>
      <c r="C56" s="60">
        <f t="shared" ref="C56:J56" si="6">C20/C23</f>
        <v>0.5161898235394895</v>
      </c>
      <c r="D56" s="60">
        <f t="shared" si="6"/>
        <v>0.51820268148327098</v>
      </c>
      <c r="E56" s="60">
        <f t="shared" si="6"/>
        <v>0.51486365937748635</v>
      </c>
      <c r="F56" s="60">
        <f t="shared" si="6"/>
        <v>0.52038159146677354</v>
      </c>
      <c r="G56" s="60">
        <f t="shared" si="6"/>
        <v>0.5124130102166724</v>
      </c>
      <c r="H56" s="60">
        <f t="shared" si="6"/>
        <v>0.51911162186469473</v>
      </c>
      <c r="I56" s="60">
        <f t="shared" si="6"/>
        <v>0.48841603893246355</v>
      </c>
      <c r="J56" s="60">
        <f t="shared" si="6"/>
        <v>0.48566035757353326</v>
      </c>
      <c r="K56" s="53">
        <f>MIN(C56:J58)</f>
        <v>0</v>
      </c>
      <c r="L56" s="53">
        <f>MAX(C56:J58)</f>
        <v>0.52038159146677354</v>
      </c>
    </row>
    <row r="57" spans="1:12">
      <c r="A57" s="53">
        <v>1215</v>
      </c>
      <c r="B57" s="53" t="s">
        <v>207</v>
      </c>
      <c r="C57" s="60">
        <f>IF(ISNUMBER(C21/C24),C21/C24,0)</f>
        <v>0.443971026842778</v>
      </c>
      <c r="D57" s="60">
        <f t="shared" ref="D57:J57" si="7">D21/D24</f>
        <v>0.42864761092150172</v>
      </c>
      <c r="E57" s="60">
        <f t="shared" si="7"/>
        <v>0.4425809208417904</v>
      </c>
      <c r="F57" s="60">
        <f t="shared" si="7"/>
        <v>0.43831240361313062</v>
      </c>
      <c r="G57" s="60">
        <f t="shared" si="7"/>
        <v>0.44403390567267986</v>
      </c>
      <c r="H57" s="60">
        <f t="shared" si="7"/>
        <v>0.46246370800497721</v>
      </c>
      <c r="I57" s="60">
        <f t="shared" si="7"/>
        <v>0.4117407671177129</v>
      </c>
      <c r="J57" s="60">
        <f t="shared" si="7"/>
        <v>0.42817652285516833</v>
      </c>
      <c r="K57" s="53"/>
      <c r="L57" s="53"/>
    </row>
    <row r="58" spans="1:12">
      <c r="A58" s="53"/>
      <c r="B58" s="53" t="s">
        <v>207</v>
      </c>
      <c r="C58" s="60">
        <f>IF(ISNUMBER(C22/C25),C22/C25,0)</f>
        <v>0</v>
      </c>
      <c r="D58" s="60">
        <f t="shared" ref="D58:J58" si="8">IF(ISNUMBER(D22/D25),D22/D25,0)</f>
        <v>0</v>
      </c>
      <c r="E58" s="60">
        <f t="shared" si="8"/>
        <v>0</v>
      </c>
      <c r="F58" s="60">
        <f t="shared" si="8"/>
        <v>0</v>
      </c>
      <c r="G58" s="60">
        <f t="shared" si="8"/>
        <v>0</v>
      </c>
      <c r="H58" s="60">
        <f t="shared" si="8"/>
        <v>0</v>
      </c>
      <c r="I58" s="60">
        <f t="shared" si="8"/>
        <v>0</v>
      </c>
      <c r="J58" s="60">
        <f t="shared" si="8"/>
        <v>0</v>
      </c>
      <c r="K58" s="53"/>
      <c r="L58" s="53"/>
    </row>
    <row r="59" spans="1:12">
      <c r="A59" s="54">
        <v>1210</v>
      </c>
      <c r="B59" s="54" t="s">
        <v>208</v>
      </c>
      <c r="C59" s="61">
        <f>IF(C8&gt;0,IF(C26&gt;C8,IF(ISNUMBER(C26/C8),C26/C8,0),0),0)</f>
        <v>0</v>
      </c>
      <c r="D59" s="61">
        <f t="shared" ref="D59:J59" si="9">IF(D8&gt;0,IF(D26&gt;D8,IF(ISNUMBER(D26/D8),D26/D8,0),0),0)</f>
        <v>0</v>
      </c>
      <c r="E59" s="61">
        <f t="shared" si="9"/>
        <v>0</v>
      </c>
      <c r="F59" s="61">
        <f t="shared" si="9"/>
        <v>26.244897959183675</v>
      </c>
      <c r="G59" s="61">
        <f t="shared" si="9"/>
        <v>0</v>
      </c>
      <c r="H59" s="61">
        <f t="shared" si="9"/>
        <v>0</v>
      </c>
      <c r="I59" s="61">
        <f t="shared" si="9"/>
        <v>2.3166332665330662</v>
      </c>
      <c r="J59" s="61">
        <f t="shared" si="9"/>
        <v>3.2466793168880455</v>
      </c>
      <c r="K59" s="54"/>
      <c r="L59" s="54">
        <f>AVERAGE(F59:J59)</f>
        <v>6.3616421085209574</v>
      </c>
    </row>
    <row r="60" spans="1:12">
      <c r="A60" s="54">
        <v>1215</v>
      </c>
      <c r="B60" s="54" t="s">
        <v>208</v>
      </c>
      <c r="C60" s="61">
        <f>IF(C9&gt;0,IF(C27&gt;C9,IF(ISNUMBER(C27/C9),C27/C9,0),0),0)</f>
        <v>2.8928571428571428</v>
      </c>
      <c r="D60" s="61">
        <f t="shared" ref="D60:J61" si="10">IF(D9&gt;0,IF(D27&gt;D9,IF(ISNUMBER(D27/D9),D27/D9,0),0),0)</f>
        <v>0</v>
      </c>
      <c r="E60" s="61">
        <f t="shared" si="10"/>
        <v>0</v>
      </c>
      <c r="F60" s="61">
        <f t="shared" si="10"/>
        <v>4.4803921568627452</v>
      </c>
      <c r="G60" s="61">
        <f t="shared" si="10"/>
        <v>1.8802083333333333</v>
      </c>
      <c r="H60" s="61">
        <f t="shared" si="10"/>
        <v>0</v>
      </c>
      <c r="I60" s="61">
        <f t="shared" si="10"/>
        <v>1.4352941176470588</v>
      </c>
      <c r="J60" s="61">
        <f t="shared" si="10"/>
        <v>1.6020761245674739</v>
      </c>
      <c r="K60" s="54"/>
      <c r="L60" s="54"/>
    </row>
    <row r="61" spans="1:12">
      <c r="A61" s="54"/>
      <c r="B61" s="54" t="s">
        <v>208</v>
      </c>
      <c r="C61" s="61" t="e">
        <f>IF(C10&gt;0,IF(C28&gt;C10,IF(ISNUMBER(C28/C10),C28/C10,0),0),0)</f>
        <v>#N/A</v>
      </c>
      <c r="D61" s="61" t="e">
        <f t="shared" si="10"/>
        <v>#N/A</v>
      </c>
      <c r="E61" s="61" t="e">
        <f t="shared" si="10"/>
        <v>#N/A</v>
      </c>
      <c r="F61" s="61" t="e">
        <f t="shared" si="10"/>
        <v>#N/A</v>
      </c>
      <c r="G61" s="61" t="e">
        <f t="shared" si="10"/>
        <v>#N/A</v>
      </c>
      <c r="H61" s="61" t="e">
        <f t="shared" si="10"/>
        <v>#N/A</v>
      </c>
      <c r="I61" s="61" t="e">
        <f t="shared" si="10"/>
        <v>#N/A</v>
      </c>
      <c r="J61" s="61" t="e">
        <f t="shared" si="10"/>
        <v>#N/A</v>
      </c>
      <c r="K61" s="54"/>
      <c r="L61" s="54"/>
    </row>
    <row r="62" spans="1:12">
      <c r="A62" s="55">
        <v>1210</v>
      </c>
      <c r="B62" s="55" t="s">
        <v>209</v>
      </c>
      <c r="C62" s="62">
        <f>C38/C5</f>
        <v>1.472049983433521E-2</v>
      </c>
      <c r="D62" s="62">
        <f t="shared" ref="D62:J62" si="11">D38/D5</f>
        <v>1.4117751848223033E-2</v>
      </c>
      <c r="E62" s="62">
        <f t="shared" si="11"/>
        <v>1.8943553700856579E-2</v>
      </c>
      <c r="F62" s="62">
        <f t="shared" si="11"/>
        <v>2.0827117025720595E-2</v>
      </c>
      <c r="G62" s="62">
        <f t="shared" si="11"/>
        <v>2.0448849396217817E-2</v>
      </c>
      <c r="H62" s="62">
        <f t="shared" si="11"/>
        <v>-4.0408705189632282E-4</v>
      </c>
      <c r="I62" s="62">
        <f t="shared" si="11"/>
        <v>2.4336138839955633E-2</v>
      </c>
      <c r="J62" s="62">
        <f t="shared" si="11"/>
        <v>2.0786516853932586E-2</v>
      </c>
      <c r="K62" s="55"/>
      <c r="L62" s="55"/>
    </row>
    <row r="63" spans="1:12">
      <c r="A63" s="55">
        <v>1215</v>
      </c>
      <c r="B63" s="55" t="s">
        <v>209</v>
      </c>
      <c r="C63" s="62">
        <f>C39/C6</f>
        <v>1.8280632411067192E-2</v>
      </c>
      <c r="D63" s="62">
        <f t="shared" ref="D63:J64" si="12">D39/D6</f>
        <v>1.9064565327910524E-2</v>
      </c>
      <c r="E63" s="62">
        <f t="shared" si="12"/>
        <v>2.167712492869367E-2</v>
      </c>
      <c r="F63" s="62">
        <f t="shared" si="12"/>
        <v>2.2328999434708875E-2</v>
      </c>
      <c r="G63" s="62">
        <f t="shared" si="12"/>
        <v>2.1699819168173599E-2</v>
      </c>
      <c r="H63" s="62">
        <f t="shared" si="12"/>
        <v>2.4369980614788147E-2</v>
      </c>
      <c r="I63" s="62">
        <f t="shared" si="12"/>
        <v>2.4684585847504114E-2</v>
      </c>
      <c r="J63" s="62">
        <f t="shared" si="12"/>
        <v>2.5515743756786103E-2</v>
      </c>
      <c r="K63" s="55"/>
      <c r="L63" s="55"/>
    </row>
    <row r="64" spans="1:12">
      <c r="A64" s="55"/>
      <c r="B64" s="55" t="s">
        <v>209</v>
      </c>
      <c r="C64" s="62" t="e">
        <f>C40/C7</f>
        <v>#N/A</v>
      </c>
      <c r="D64" s="62" t="e">
        <f t="shared" si="12"/>
        <v>#N/A</v>
      </c>
      <c r="E64" s="62" t="e">
        <f t="shared" si="12"/>
        <v>#N/A</v>
      </c>
      <c r="F64" s="62" t="e">
        <f t="shared" si="12"/>
        <v>#N/A</v>
      </c>
      <c r="G64" s="62" t="e">
        <f t="shared" si="12"/>
        <v>#N/A</v>
      </c>
      <c r="H64" s="62" t="e">
        <f t="shared" si="12"/>
        <v>#N/A</v>
      </c>
      <c r="I64" s="62" t="e">
        <f t="shared" si="12"/>
        <v>#N/A</v>
      </c>
      <c r="J64" s="62" t="e">
        <f t="shared" si="12"/>
        <v>#N/A</v>
      </c>
      <c r="K64" s="55"/>
      <c r="L64" s="55"/>
    </row>
    <row r="65" spans="1:12">
      <c r="A65" s="51">
        <v>1210</v>
      </c>
      <c r="B65" s="51" t="s">
        <v>210</v>
      </c>
      <c r="C65" s="63">
        <f>C41/C2</f>
        <v>7.495231489509277E-2</v>
      </c>
      <c r="D65" s="63">
        <f t="shared" ref="D65:J65" si="13">D41/D2</f>
        <v>7.1522796603182462E-2</v>
      </c>
      <c r="E65" s="63">
        <f t="shared" si="13"/>
        <v>8.2374620250012451E-2</v>
      </c>
      <c r="F65" s="63">
        <f t="shared" si="13"/>
        <v>9.1365676426586884E-2</v>
      </c>
      <c r="G65" s="63">
        <f t="shared" si="13"/>
        <v>9.0375351264552387E-2</v>
      </c>
      <c r="H65" s="63">
        <f t="shared" si="13"/>
        <v>8.6947616365405295E-2</v>
      </c>
      <c r="I65" s="63">
        <f t="shared" si="13"/>
        <v>9.6314247069431924E-2</v>
      </c>
      <c r="J65" s="63">
        <f t="shared" si="13"/>
        <v>0.10000542623039774</v>
      </c>
      <c r="K65" s="51"/>
      <c r="L65" s="51"/>
    </row>
    <row r="66" spans="1:12">
      <c r="A66" s="51">
        <v>1215</v>
      </c>
      <c r="B66" s="51" t="s">
        <v>210</v>
      </c>
      <c r="C66" s="63">
        <f>C42/C3</f>
        <v>6.1880643030169567E-2</v>
      </c>
      <c r="D66" s="63">
        <f t="shared" ref="D66:J67" si="14">D42/D3</f>
        <v>6.3730913919008633E-2</v>
      </c>
      <c r="E66" s="63">
        <f t="shared" si="14"/>
        <v>7.1357285429141715E-2</v>
      </c>
      <c r="F66" s="63">
        <f t="shared" si="14"/>
        <v>6.4902010689742939E-2</v>
      </c>
      <c r="G66" s="63">
        <f t="shared" si="14"/>
        <v>6.8514762226729767E-2</v>
      </c>
      <c r="H66" s="63">
        <f t="shared" si="14"/>
        <v>7.154821727686049E-2</v>
      </c>
      <c r="I66" s="63">
        <f t="shared" si="14"/>
        <v>6.8609022556390981E-2</v>
      </c>
      <c r="J66" s="63">
        <f t="shared" si="14"/>
        <v>7.1000461041954815E-2</v>
      </c>
      <c r="K66" s="51"/>
      <c r="L66" s="51"/>
    </row>
    <row r="67" spans="1:12">
      <c r="A67" s="51"/>
      <c r="B67" s="51" t="s">
        <v>210</v>
      </c>
      <c r="C67" s="63" t="e">
        <f>C43/C4</f>
        <v>#N/A</v>
      </c>
      <c r="D67" s="63" t="e">
        <f t="shared" si="14"/>
        <v>#N/A</v>
      </c>
      <c r="E67" s="63" t="e">
        <f t="shared" si="14"/>
        <v>#N/A</v>
      </c>
      <c r="F67" s="63" t="e">
        <f t="shared" si="14"/>
        <v>#N/A</v>
      </c>
      <c r="G67" s="63" t="e">
        <f t="shared" si="14"/>
        <v>#N/A</v>
      </c>
      <c r="H67" s="63" t="e">
        <f t="shared" si="14"/>
        <v>#N/A</v>
      </c>
      <c r="I67" s="63" t="e">
        <f t="shared" si="14"/>
        <v>#N/A</v>
      </c>
      <c r="J67" s="63" t="e">
        <f t="shared" si="14"/>
        <v>#N/A</v>
      </c>
      <c r="K67" s="51"/>
      <c r="L67" s="51"/>
    </row>
    <row r="68" spans="1:12">
      <c r="A68" s="52">
        <v>1210</v>
      </c>
      <c r="B68" s="52" t="s">
        <v>503</v>
      </c>
      <c r="C68" s="64">
        <f t="shared" ref="C68:J70" si="15">ROUND((C2/C44)*10,2)</f>
        <v>31.33</v>
      </c>
      <c r="D68" s="64">
        <f t="shared" si="15"/>
        <v>32.94</v>
      </c>
      <c r="E68" s="64">
        <f t="shared" si="15"/>
        <v>27.27</v>
      </c>
      <c r="F68" s="64">
        <f t="shared" si="15"/>
        <v>25.42</v>
      </c>
      <c r="G68" s="64">
        <f t="shared" si="15"/>
        <v>27.06</v>
      </c>
      <c r="H68" s="64">
        <f t="shared" si="15"/>
        <v>26.52</v>
      </c>
      <c r="I68" s="64">
        <f t="shared" si="15"/>
        <v>24.1</v>
      </c>
      <c r="J68" s="64">
        <f t="shared" si="15"/>
        <v>25.03</v>
      </c>
      <c r="K68" s="52"/>
      <c r="L68" s="52"/>
    </row>
    <row r="69" spans="1:12">
      <c r="A69" s="52">
        <v>1215</v>
      </c>
      <c r="B69" s="52" t="s">
        <v>503</v>
      </c>
      <c r="C69" s="64">
        <f t="shared" si="15"/>
        <v>18.64</v>
      </c>
      <c r="D69" s="64">
        <f t="shared" si="15"/>
        <v>18.55</v>
      </c>
      <c r="E69" s="64">
        <f t="shared" si="15"/>
        <v>16.45</v>
      </c>
      <c r="F69" s="64">
        <f t="shared" si="15"/>
        <v>16.13</v>
      </c>
      <c r="G69" s="64">
        <f t="shared" si="15"/>
        <v>16.559999999999999</v>
      </c>
      <c r="H69" s="64">
        <f t="shared" si="15"/>
        <v>15.59</v>
      </c>
      <c r="I69" s="64">
        <f t="shared" si="15"/>
        <v>15.88</v>
      </c>
      <c r="J69" s="64">
        <f t="shared" si="15"/>
        <v>16.190000000000001</v>
      </c>
      <c r="K69" s="52"/>
      <c r="L69" s="52"/>
    </row>
    <row r="70" spans="1:12">
      <c r="A70" s="52"/>
      <c r="B70" s="52" t="s">
        <v>503</v>
      </c>
      <c r="C70" s="52" t="e">
        <f t="shared" si="15"/>
        <v>#N/A</v>
      </c>
      <c r="D70" s="52" t="e">
        <f t="shared" si="15"/>
        <v>#N/A</v>
      </c>
      <c r="E70" s="52" t="e">
        <f t="shared" si="15"/>
        <v>#N/A</v>
      </c>
      <c r="F70" s="52" t="e">
        <f t="shared" si="15"/>
        <v>#N/A</v>
      </c>
      <c r="G70" s="52" t="e">
        <f t="shared" si="15"/>
        <v>#N/A</v>
      </c>
      <c r="H70" s="52" t="e">
        <f t="shared" si="15"/>
        <v>#N/A</v>
      </c>
      <c r="I70" s="52" t="e">
        <f t="shared" si="15"/>
        <v>#N/A</v>
      </c>
      <c r="J70" s="52" t="e">
        <f t="shared" si="15"/>
        <v>#N/A</v>
      </c>
      <c r="K70" s="52"/>
      <c r="L70" s="52"/>
    </row>
    <row r="71" spans="1:12">
      <c r="A71" s="65">
        <v>1210</v>
      </c>
      <c r="B71" s="65" t="s">
        <v>502</v>
      </c>
      <c r="C71" s="65">
        <f t="shared" ref="C71:J73" si="16">ROUND((C26/C44)*10,2)</f>
        <v>-0.32</v>
      </c>
      <c r="D71" s="65">
        <f t="shared" si="16"/>
        <v>3.33</v>
      </c>
      <c r="E71" s="65">
        <f t="shared" si="16"/>
        <v>-0.96</v>
      </c>
      <c r="F71" s="65">
        <f t="shared" si="16"/>
        <v>3.49</v>
      </c>
      <c r="G71" s="65">
        <f t="shared" si="16"/>
        <v>-0.14000000000000001</v>
      </c>
      <c r="H71" s="65">
        <f t="shared" si="16"/>
        <v>1.89</v>
      </c>
      <c r="I71" s="65">
        <f t="shared" si="16"/>
        <v>1.57</v>
      </c>
      <c r="J71" s="65">
        <f t="shared" si="16"/>
        <v>2.3199999999999998</v>
      </c>
      <c r="K71" s="65"/>
      <c r="L71" s="65"/>
    </row>
    <row r="72" spans="1:12">
      <c r="A72" s="65">
        <v>1215</v>
      </c>
      <c r="B72" s="65" t="s">
        <v>502</v>
      </c>
      <c r="C72" s="65">
        <f t="shared" si="16"/>
        <v>2</v>
      </c>
      <c r="D72" s="65">
        <f t="shared" si="16"/>
        <v>0.9</v>
      </c>
      <c r="E72" s="65">
        <f t="shared" si="16"/>
        <v>-0.06</v>
      </c>
      <c r="F72" s="65">
        <f t="shared" si="16"/>
        <v>1.88</v>
      </c>
      <c r="G72" s="65">
        <f t="shared" si="16"/>
        <v>1.35</v>
      </c>
      <c r="H72" s="65">
        <f t="shared" si="16"/>
        <v>-0.33</v>
      </c>
      <c r="I72" s="65">
        <f t="shared" si="16"/>
        <v>1.37</v>
      </c>
      <c r="J72" s="65">
        <f t="shared" si="16"/>
        <v>1.73</v>
      </c>
      <c r="K72" s="65"/>
      <c r="L72" s="65"/>
    </row>
    <row r="73" spans="1:12">
      <c r="A73" s="65"/>
      <c r="B73" s="65" t="s">
        <v>502</v>
      </c>
      <c r="C73" s="65" t="e">
        <f t="shared" si="16"/>
        <v>#N/A</v>
      </c>
      <c r="D73" s="65" t="e">
        <f t="shared" si="16"/>
        <v>#N/A</v>
      </c>
      <c r="E73" s="65" t="e">
        <f t="shared" si="16"/>
        <v>#N/A</v>
      </c>
      <c r="F73" s="65" t="e">
        <f t="shared" si="16"/>
        <v>#N/A</v>
      </c>
      <c r="G73" s="65" t="e">
        <f t="shared" si="16"/>
        <v>#N/A</v>
      </c>
      <c r="H73" s="65" t="e">
        <f t="shared" si="16"/>
        <v>#N/A</v>
      </c>
      <c r="I73" s="65" t="e">
        <f t="shared" si="16"/>
        <v>#N/A</v>
      </c>
      <c r="J73" s="65" t="e">
        <f t="shared" si="16"/>
        <v>#N/A</v>
      </c>
      <c r="K73" s="65"/>
      <c r="L73" s="65"/>
    </row>
    <row r="74" spans="1:12">
      <c r="A74" s="66">
        <v>1210</v>
      </c>
      <c r="B74" s="66" t="s">
        <v>1730</v>
      </c>
      <c r="C74" s="66">
        <f>IF(C32&lt;0,ROUND((-C32/C44)*10,2),0)</f>
        <v>1.0900000000000001</v>
      </c>
      <c r="D74" s="66">
        <f t="shared" ref="D74:J74" si="17">IF(D32&lt;0,ROUND((-D32/D44)*10,2),0)</f>
        <v>1.02</v>
      </c>
      <c r="E74" s="66">
        <f t="shared" si="17"/>
        <v>0.87</v>
      </c>
      <c r="F74" s="66">
        <f t="shared" si="17"/>
        <v>0.68</v>
      </c>
      <c r="G74" s="66">
        <f t="shared" si="17"/>
        <v>0.55000000000000004</v>
      </c>
      <c r="H74" s="66">
        <f t="shared" si="17"/>
        <v>0.56999999999999995</v>
      </c>
      <c r="I74" s="66">
        <f t="shared" si="17"/>
        <v>0.31</v>
      </c>
      <c r="J74" s="66">
        <f t="shared" si="17"/>
        <v>0.51</v>
      </c>
      <c r="K74" s="66"/>
      <c r="L74" s="66"/>
    </row>
    <row r="75" spans="1:12">
      <c r="A75" s="66">
        <v>1215</v>
      </c>
      <c r="B75" s="66" t="s">
        <v>1730</v>
      </c>
      <c r="C75" s="66">
        <f>IF(C33&lt;0,ROUND((-C33/C45)*10,2),0)</f>
        <v>0.62</v>
      </c>
      <c r="D75" s="66">
        <f t="shared" ref="D75:J75" si="18">IF(D33&lt;0,ROUND((-D33/D45)*10,2),0)</f>
        <v>0.56000000000000005</v>
      </c>
      <c r="E75" s="66">
        <f t="shared" si="18"/>
        <v>0.79</v>
      </c>
      <c r="F75" s="66">
        <f t="shared" si="18"/>
        <v>0.8</v>
      </c>
      <c r="G75" s="66">
        <f t="shared" si="18"/>
        <v>1.1599999999999999</v>
      </c>
      <c r="H75" s="66">
        <f t="shared" si="18"/>
        <v>0.93</v>
      </c>
      <c r="I75" s="66">
        <f t="shared" si="18"/>
        <v>1.03</v>
      </c>
      <c r="J75" s="66">
        <f t="shared" si="18"/>
        <v>0.6</v>
      </c>
      <c r="K75" s="66"/>
      <c r="L75" s="66"/>
    </row>
    <row r="76" spans="1:12">
      <c r="A76" s="66"/>
      <c r="B76" s="66" t="s">
        <v>1730</v>
      </c>
      <c r="C76" s="66" t="e">
        <f>IF(C34&lt;0,ROUND((-C34/C46)*10,2),0)</f>
        <v>#N/A</v>
      </c>
      <c r="D76" s="66" t="e">
        <f t="shared" ref="D76:J76" si="19">IF(D34&lt;0,ROUND((-D34/D46)*10,2),0)</f>
        <v>#N/A</v>
      </c>
      <c r="E76" s="66" t="e">
        <f t="shared" si="19"/>
        <v>#N/A</v>
      </c>
      <c r="F76" s="66" t="e">
        <f t="shared" si="19"/>
        <v>#N/A</v>
      </c>
      <c r="G76" s="66" t="e">
        <f t="shared" si="19"/>
        <v>#N/A</v>
      </c>
      <c r="H76" s="66" t="e">
        <f t="shared" si="19"/>
        <v>#N/A</v>
      </c>
      <c r="I76" s="66" t="e">
        <f t="shared" si="19"/>
        <v>#N/A</v>
      </c>
      <c r="J76" s="66" t="e">
        <f t="shared" si="19"/>
        <v>#N/A</v>
      </c>
      <c r="K76" s="66"/>
      <c r="L76" s="66"/>
    </row>
  </sheetData>
  <sheetProtection sheet="1" objects="1" scenarios="1"/>
  <phoneticPr fontId="2" type="noConversion"/>
  <pageMargins left="0.7" right="0.7" top="0.75" bottom="0.75" header="0.3" footer="0.3"/>
  <pageSetup paperSize="9" orientation="portrait" horizontalDpi="1200" verticalDpi="1200" r:id="rId1"/>
</worksheet>
</file>

<file path=xl/worksheets/sheet13.xml><?xml version="1.0" encoding="utf-8"?>
<worksheet xmlns="http://schemas.openxmlformats.org/spreadsheetml/2006/main" xmlns:r="http://schemas.openxmlformats.org/officeDocument/2006/relationships">
  <sheetPr codeName="sheet6"/>
  <dimension ref="B2:J246"/>
  <sheetViews>
    <sheetView workbookViewId="0">
      <selection sqref="A1:XFD1000"/>
    </sheetView>
  </sheetViews>
  <sheetFormatPr defaultRowHeight="16.5"/>
  <cols>
    <col min="2" max="2" width="80.875" customWidth="1"/>
    <col min="3" max="10" width="7.625" customWidth="1"/>
  </cols>
  <sheetData>
    <row r="2" spans="2:10">
      <c r="B2" t="s">
        <v>3196</v>
      </c>
    </row>
    <row r="3" spans="2:10">
      <c r="B3" t="s">
        <v>43</v>
      </c>
    </row>
    <row r="4" spans="2:10">
      <c r="B4" t="s">
        <v>44</v>
      </c>
      <c r="C4" t="s">
        <v>2909</v>
      </c>
      <c r="D4" t="s">
        <v>1907</v>
      </c>
      <c r="E4" t="s">
        <v>1840</v>
      </c>
      <c r="F4" t="s">
        <v>1751</v>
      </c>
      <c r="G4" t="s">
        <v>215</v>
      </c>
      <c r="H4" t="s">
        <v>45</v>
      </c>
      <c r="I4" t="s">
        <v>46</v>
      </c>
      <c r="J4" t="s">
        <v>47</v>
      </c>
    </row>
    <row r="5" spans="2:10">
      <c r="B5" t="s">
        <v>8</v>
      </c>
      <c r="C5" s="33">
        <v>18429</v>
      </c>
      <c r="D5" s="33">
        <v>17744</v>
      </c>
      <c r="E5" s="33">
        <v>19529</v>
      </c>
      <c r="F5" s="33">
        <v>19928</v>
      </c>
      <c r="G5" s="33">
        <v>18716</v>
      </c>
      <c r="H5" s="33">
        <v>20079</v>
      </c>
      <c r="I5" s="33">
        <v>24258</v>
      </c>
      <c r="J5" s="33">
        <v>23068</v>
      </c>
    </row>
    <row r="6" spans="2:10">
      <c r="B6" t="s">
        <v>9</v>
      </c>
      <c r="C6" s="33">
        <v>16020</v>
      </c>
      <c r="D6" s="33">
        <v>15327</v>
      </c>
      <c r="E6" s="33">
        <v>17323</v>
      </c>
      <c r="F6" s="33">
        <v>17556</v>
      </c>
      <c r="G6" s="33">
        <v>16757</v>
      </c>
      <c r="H6" s="33">
        <v>18212</v>
      </c>
      <c r="I6" s="33">
        <v>22454</v>
      </c>
      <c r="J6" s="33">
        <v>21127</v>
      </c>
    </row>
    <row r="7" spans="2:10">
      <c r="B7" t="s">
        <v>49</v>
      </c>
      <c r="C7" s="33">
        <v>2409</v>
      </c>
      <c r="D7" s="33">
        <v>2416</v>
      </c>
      <c r="E7" s="33">
        <v>2206</v>
      </c>
      <c r="F7" s="33">
        <v>2371</v>
      </c>
      <c r="G7" s="33">
        <v>1959</v>
      </c>
      <c r="H7" s="33">
        <v>1867</v>
      </c>
      <c r="I7" s="33">
        <v>1805</v>
      </c>
      <c r="J7" s="33">
        <v>1940</v>
      </c>
    </row>
    <row r="8" spans="2:10">
      <c r="B8" t="s">
        <v>50</v>
      </c>
      <c r="C8">
        <v>0</v>
      </c>
      <c r="D8">
        <v>0</v>
      </c>
      <c r="E8">
        <v>0</v>
      </c>
      <c r="F8">
        <v>0</v>
      </c>
      <c r="G8">
        <v>0</v>
      </c>
      <c r="H8">
        <v>0</v>
      </c>
      <c r="I8">
        <v>0</v>
      </c>
      <c r="J8">
        <v>0</v>
      </c>
    </row>
    <row r="9" spans="2:10">
      <c r="B9" t="s">
        <v>51</v>
      </c>
      <c r="C9" s="33">
        <v>2409</v>
      </c>
      <c r="D9" s="33">
        <v>2416</v>
      </c>
      <c r="E9" s="33">
        <v>2206</v>
      </c>
      <c r="F9" s="33">
        <v>2371</v>
      </c>
      <c r="G9" s="33">
        <v>1959</v>
      </c>
      <c r="H9" s="33">
        <v>1867</v>
      </c>
      <c r="I9" s="33">
        <v>1805</v>
      </c>
      <c r="J9" s="33">
        <v>1940</v>
      </c>
    </row>
    <row r="10" spans="2:10">
      <c r="B10" t="s">
        <v>52</v>
      </c>
      <c r="C10" s="33">
        <v>1843</v>
      </c>
      <c r="D10" s="33">
        <v>1709</v>
      </c>
      <c r="E10" s="33">
        <v>1698</v>
      </c>
      <c r="F10" s="33">
        <v>1801</v>
      </c>
      <c r="G10" s="33">
        <v>1710</v>
      </c>
      <c r="H10" s="33">
        <v>1654</v>
      </c>
      <c r="I10" s="33">
        <v>1735</v>
      </c>
      <c r="J10" s="33">
        <v>1729</v>
      </c>
    </row>
    <row r="11" spans="2:10">
      <c r="B11" t="s">
        <v>53</v>
      </c>
      <c r="C11" s="33">
        <v>1243</v>
      </c>
      <c r="D11" s="33">
        <v>1183</v>
      </c>
      <c r="E11">
        <v>819</v>
      </c>
      <c r="F11" s="33">
        <v>1315</v>
      </c>
      <c r="G11" s="33">
        <v>1159</v>
      </c>
      <c r="H11" s="33">
        <v>1082</v>
      </c>
      <c r="I11" s="33">
        <v>1241</v>
      </c>
      <c r="J11" s="33">
        <v>1087</v>
      </c>
    </row>
    <row r="12" spans="2:10">
      <c r="B12" t="s">
        <v>54</v>
      </c>
      <c r="C12">
        <v>577</v>
      </c>
      <c r="D12">
        <v>501</v>
      </c>
      <c r="E12">
        <v>853</v>
      </c>
      <c r="F12">
        <v>460</v>
      </c>
      <c r="G12">
        <v>524</v>
      </c>
      <c r="H12">
        <v>546</v>
      </c>
      <c r="I12">
        <v>448</v>
      </c>
      <c r="J12">
        <v>613</v>
      </c>
    </row>
    <row r="13" spans="2:10">
      <c r="B13" t="s">
        <v>55</v>
      </c>
      <c r="C13">
        <v>23</v>
      </c>
      <c r="D13">
        <v>25</v>
      </c>
      <c r="E13">
        <v>25</v>
      </c>
      <c r="F13">
        <v>26</v>
      </c>
      <c r="G13">
        <v>27</v>
      </c>
      <c r="H13">
        <v>26</v>
      </c>
      <c r="I13">
        <v>46</v>
      </c>
      <c r="J13">
        <v>29</v>
      </c>
    </row>
    <row r="14" spans="2:10">
      <c r="B14" t="s">
        <v>56</v>
      </c>
      <c r="C14">
        <v>566</v>
      </c>
      <c r="D14">
        <v>707</v>
      </c>
      <c r="E14">
        <v>509</v>
      </c>
      <c r="F14">
        <v>570</v>
      </c>
      <c r="G14">
        <v>250</v>
      </c>
      <c r="H14">
        <v>213</v>
      </c>
      <c r="I14">
        <v>70</v>
      </c>
      <c r="J14">
        <v>212</v>
      </c>
    </row>
    <row r="15" spans="2:10">
      <c r="B15" t="s">
        <v>57</v>
      </c>
      <c r="C15">
        <v>4</v>
      </c>
      <c r="D15">
        <v>6</v>
      </c>
      <c r="E15">
        <v>9</v>
      </c>
      <c r="F15">
        <v>12</v>
      </c>
      <c r="G15">
        <v>8</v>
      </c>
      <c r="H15">
        <v>4</v>
      </c>
      <c r="I15">
        <v>10</v>
      </c>
      <c r="J15">
        <v>4</v>
      </c>
    </row>
    <row r="16" spans="2:10">
      <c r="B16" t="s">
        <v>58</v>
      </c>
      <c r="C16">
        <v>0</v>
      </c>
      <c r="D16">
        <v>0</v>
      </c>
      <c r="E16">
        <v>5</v>
      </c>
      <c r="F16">
        <v>96</v>
      </c>
      <c r="G16">
        <v>0</v>
      </c>
      <c r="H16">
        <v>0</v>
      </c>
      <c r="I16">
        <v>64</v>
      </c>
      <c r="J16">
        <v>64</v>
      </c>
    </row>
    <row r="17" spans="2:10">
      <c r="B17" t="s">
        <v>59</v>
      </c>
      <c r="C17">
        <v>0</v>
      </c>
      <c r="D17">
        <v>0</v>
      </c>
      <c r="E17">
        <v>0</v>
      </c>
      <c r="F17">
        <v>0</v>
      </c>
      <c r="G17">
        <v>0</v>
      </c>
      <c r="H17">
        <v>0</v>
      </c>
      <c r="I17">
        <v>32</v>
      </c>
      <c r="J17">
        <v>220</v>
      </c>
    </row>
    <row r="18" spans="2:10">
      <c r="B18" t="s">
        <v>60</v>
      </c>
      <c r="C18">
        <v>0</v>
      </c>
      <c r="D18">
        <v>0</v>
      </c>
      <c r="E18">
        <v>0</v>
      </c>
      <c r="F18">
        <v>0</v>
      </c>
      <c r="G18">
        <v>0</v>
      </c>
      <c r="H18">
        <v>0</v>
      </c>
      <c r="I18">
        <v>190</v>
      </c>
      <c r="J18">
        <v>0</v>
      </c>
    </row>
    <row r="19" spans="2:10">
      <c r="B19" t="s">
        <v>61</v>
      </c>
      <c r="C19">
        <v>0</v>
      </c>
      <c r="D19">
        <v>0</v>
      </c>
      <c r="E19">
        <v>-71</v>
      </c>
      <c r="F19">
        <v>193</v>
      </c>
      <c r="G19">
        <v>0</v>
      </c>
      <c r="H19">
        <v>0</v>
      </c>
      <c r="I19">
        <v>113</v>
      </c>
      <c r="J19">
        <v>67</v>
      </c>
    </row>
    <row r="20" spans="2:10">
      <c r="B20" t="s">
        <v>62</v>
      </c>
      <c r="C20">
        <v>0</v>
      </c>
      <c r="D20">
        <v>0</v>
      </c>
      <c r="E20">
        <v>0</v>
      </c>
      <c r="F20">
        <v>0</v>
      </c>
      <c r="G20">
        <v>0</v>
      </c>
      <c r="H20">
        <v>0</v>
      </c>
      <c r="I20">
        <v>0</v>
      </c>
      <c r="J20">
        <v>0</v>
      </c>
    </row>
    <row r="21" spans="2:10">
      <c r="B21" t="s">
        <v>63</v>
      </c>
      <c r="C21">
        <v>0</v>
      </c>
      <c r="D21">
        <v>0</v>
      </c>
      <c r="E21">
        <v>0</v>
      </c>
      <c r="F21">
        <v>0</v>
      </c>
      <c r="G21">
        <v>0</v>
      </c>
      <c r="H21">
        <v>0</v>
      </c>
      <c r="I21">
        <v>-12</v>
      </c>
      <c r="J21">
        <v>38</v>
      </c>
    </row>
    <row r="22" spans="2:10">
      <c r="B22" t="s">
        <v>64</v>
      </c>
      <c r="C22">
        <v>0</v>
      </c>
      <c r="D22">
        <v>0</v>
      </c>
      <c r="E22">
        <v>0</v>
      </c>
      <c r="F22">
        <v>0</v>
      </c>
      <c r="G22">
        <v>0</v>
      </c>
      <c r="H22">
        <v>0</v>
      </c>
      <c r="I22">
        <v>0</v>
      </c>
      <c r="J22">
        <v>0</v>
      </c>
    </row>
    <row r="23" spans="2:10">
      <c r="B23" t="s">
        <v>65</v>
      </c>
      <c r="C23">
        <v>172</v>
      </c>
      <c r="D23">
        <v>0</v>
      </c>
      <c r="E23">
        <v>-2</v>
      </c>
      <c r="F23">
        <v>0</v>
      </c>
      <c r="G23">
        <v>1</v>
      </c>
      <c r="H23">
        <v>1</v>
      </c>
      <c r="I23">
        <v>-3</v>
      </c>
      <c r="J23">
        <v>0</v>
      </c>
    </row>
    <row r="24" spans="2:10">
      <c r="B24" t="s">
        <v>66</v>
      </c>
      <c r="C24">
        <v>0</v>
      </c>
      <c r="D24">
        <v>0</v>
      </c>
      <c r="E24">
        <v>0</v>
      </c>
      <c r="F24">
        <v>0</v>
      </c>
      <c r="G24">
        <v>0</v>
      </c>
      <c r="H24">
        <v>0</v>
      </c>
      <c r="I24">
        <v>0</v>
      </c>
      <c r="J24">
        <v>0</v>
      </c>
    </row>
    <row r="25" spans="2:10">
      <c r="B25" t="s">
        <v>67</v>
      </c>
      <c r="C25">
        <v>-23</v>
      </c>
      <c r="D25">
        <v>69</v>
      </c>
      <c r="E25">
        <v>0</v>
      </c>
      <c r="F25">
        <v>-78</v>
      </c>
      <c r="G25">
        <v>49</v>
      </c>
      <c r="H25">
        <v>29</v>
      </c>
      <c r="I25">
        <v>0</v>
      </c>
      <c r="J25">
        <v>0</v>
      </c>
    </row>
    <row r="26" spans="2:10">
      <c r="B26" t="s">
        <v>68</v>
      </c>
      <c r="C26">
        <v>47</v>
      </c>
      <c r="D26">
        <v>91</v>
      </c>
      <c r="E26">
        <v>52</v>
      </c>
      <c r="F26">
        <v>9</v>
      </c>
      <c r="G26">
        <v>106</v>
      </c>
      <c r="H26">
        <v>73</v>
      </c>
      <c r="I26">
        <v>-252</v>
      </c>
      <c r="J26">
        <v>132</v>
      </c>
    </row>
    <row r="27" spans="2:10">
      <c r="B27" t="s">
        <v>69</v>
      </c>
      <c r="C27">
        <v>200</v>
      </c>
      <c r="D27">
        <v>166</v>
      </c>
      <c r="E27">
        <v>-6</v>
      </c>
      <c r="F27">
        <v>233</v>
      </c>
      <c r="G27">
        <v>163</v>
      </c>
      <c r="H27">
        <v>106</v>
      </c>
      <c r="I27">
        <v>142</v>
      </c>
      <c r="J27">
        <v>524</v>
      </c>
    </row>
    <row r="28" spans="2:10">
      <c r="B28" t="s">
        <v>70</v>
      </c>
      <c r="C28">
        <v>82</v>
      </c>
      <c r="D28">
        <v>92</v>
      </c>
      <c r="E28">
        <v>69</v>
      </c>
      <c r="F28">
        <v>38</v>
      </c>
      <c r="G28">
        <v>54</v>
      </c>
      <c r="H28">
        <v>59</v>
      </c>
      <c r="I28">
        <v>52</v>
      </c>
      <c r="J28">
        <v>54</v>
      </c>
    </row>
    <row r="29" spans="2:10">
      <c r="B29" t="s">
        <v>71</v>
      </c>
      <c r="C29">
        <v>0</v>
      </c>
      <c r="D29">
        <v>0</v>
      </c>
      <c r="E29">
        <v>0</v>
      </c>
      <c r="F29">
        <v>0</v>
      </c>
      <c r="G29">
        <v>0</v>
      </c>
      <c r="H29">
        <v>0</v>
      </c>
      <c r="I29">
        <v>0</v>
      </c>
      <c r="J29">
        <v>0</v>
      </c>
    </row>
    <row r="30" spans="2:10">
      <c r="B30" t="s">
        <v>72</v>
      </c>
      <c r="C30">
        <v>17</v>
      </c>
      <c r="D30">
        <v>26</v>
      </c>
      <c r="E30">
        <v>21</v>
      </c>
      <c r="F30">
        <v>20</v>
      </c>
      <c r="G30">
        <v>39</v>
      </c>
      <c r="H30">
        <v>28</v>
      </c>
      <c r="I30">
        <v>4</v>
      </c>
      <c r="J30">
        <v>-2</v>
      </c>
    </row>
    <row r="31" spans="2:10">
      <c r="B31" t="s">
        <v>73</v>
      </c>
      <c r="C31">
        <v>0</v>
      </c>
      <c r="D31">
        <v>0</v>
      </c>
      <c r="E31">
        <v>0</v>
      </c>
      <c r="F31">
        <v>0</v>
      </c>
      <c r="G31">
        <v>0</v>
      </c>
      <c r="H31">
        <v>0</v>
      </c>
      <c r="I31">
        <v>0</v>
      </c>
      <c r="J31">
        <v>0</v>
      </c>
    </row>
    <row r="32" spans="2:10">
      <c r="B32" t="s">
        <v>74</v>
      </c>
      <c r="C32">
        <v>1</v>
      </c>
      <c r="D32">
        <v>0</v>
      </c>
      <c r="E32">
        <v>40</v>
      </c>
      <c r="F32">
        <v>0</v>
      </c>
      <c r="G32">
        <v>1</v>
      </c>
      <c r="H32">
        <v>5</v>
      </c>
      <c r="I32">
        <v>-10</v>
      </c>
      <c r="J32">
        <v>10</v>
      </c>
    </row>
    <row r="33" spans="2:10">
      <c r="B33" t="s">
        <v>75</v>
      </c>
      <c r="C33">
        <v>-69</v>
      </c>
      <c r="D33">
        <v>70</v>
      </c>
      <c r="E33">
        <v>0</v>
      </c>
      <c r="F33">
        <v>-65</v>
      </c>
      <c r="G33">
        <v>26</v>
      </c>
      <c r="H33">
        <v>39</v>
      </c>
      <c r="I33">
        <v>0</v>
      </c>
      <c r="J33">
        <v>0</v>
      </c>
    </row>
    <row r="34" spans="2:10">
      <c r="B34" t="s">
        <v>76</v>
      </c>
      <c r="C34">
        <v>0</v>
      </c>
      <c r="D34">
        <v>0</v>
      </c>
      <c r="E34">
        <v>0</v>
      </c>
      <c r="F34">
        <v>0</v>
      </c>
      <c r="G34">
        <v>0</v>
      </c>
      <c r="H34">
        <v>0</v>
      </c>
      <c r="I34">
        <v>0</v>
      </c>
      <c r="J34">
        <v>0</v>
      </c>
    </row>
    <row r="35" spans="2:10">
      <c r="B35" t="s">
        <v>77</v>
      </c>
      <c r="C35">
        <v>4</v>
      </c>
      <c r="D35">
        <v>8</v>
      </c>
      <c r="E35">
        <v>3</v>
      </c>
      <c r="F35">
        <v>2</v>
      </c>
      <c r="G35">
        <v>42</v>
      </c>
      <c r="H35">
        <v>5</v>
      </c>
      <c r="I35">
        <v>0</v>
      </c>
      <c r="J35">
        <v>0</v>
      </c>
    </row>
    <row r="36" spans="2:10">
      <c r="B36" t="s">
        <v>78</v>
      </c>
      <c r="C36">
        <v>0</v>
      </c>
      <c r="D36">
        <v>0</v>
      </c>
      <c r="E36">
        <v>0</v>
      </c>
      <c r="F36">
        <v>0</v>
      </c>
      <c r="G36">
        <v>0</v>
      </c>
      <c r="H36">
        <v>0</v>
      </c>
      <c r="I36">
        <v>0</v>
      </c>
      <c r="J36">
        <v>0</v>
      </c>
    </row>
    <row r="37" spans="2:10">
      <c r="B37" t="s">
        <v>79</v>
      </c>
      <c r="C37">
        <v>0</v>
      </c>
      <c r="D37">
        <v>0</v>
      </c>
      <c r="E37">
        <v>374</v>
      </c>
      <c r="F37">
        <v>0</v>
      </c>
      <c r="G37">
        <v>0</v>
      </c>
      <c r="H37">
        <v>0</v>
      </c>
      <c r="I37">
        <v>101</v>
      </c>
      <c r="J37">
        <v>0</v>
      </c>
    </row>
    <row r="38" spans="2:10">
      <c r="B38" t="s">
        <v>80</v>
      </c>
      <c r="C38">
        <v>0</v>
      </c>
      <c r="D38">
        <v>0</v>
      </c>
      <c r="E38">
        <v>-55</v>
      </c>
      <c r="F38">
        <v>326</v>
      </c>
      <c r="G38">
        <v>0</v>
      </c>
      <c r="H38">
        <v>0</v>
      </c>
      <c r="I38">
        <v>121</v>
      </c>
      <c r="J38">
        <v>63</v>
      </c>
    </row>
    <row r="39" spans="2:10">
      <c r="B39" t="s">
        <v>81</v>
      </c>
      <c r="C39">
        <v>0</v>
      </c>
      <c r="D39">
        <v>0</v>
      </c>
      <c r="E39">
        <v>0</v>
      </c>
      <c r="F39">
        <v>0</v>
      </c>
      <c r="G39">
        <v>0</v>
      </c>
      <c r="H39">
        <v>0</v>
      </c>
      <c r="I39">
        <v>0</v>
      </c>
      <c r="J39">
        <v>0</v>
      </c>
    </row>
    <row r="40" spans="2:10">
      <c r="B40" t="s">
        <v>82</v>
      </c>
      <c r="C40">
        <v>0</v>
      </c>
      <c r="D40">
        <v>0</v>
      </c>
      <c r="E40">
        <v>0</v>
      </c>
      <c r="F40">
        <v>0</v>
      </c>
      <c r="G40">
        <v>0</v>
      </c>
      <c r="H40">
        <v>0</v>
      </c>
      <c r="I40">
        <v>9</v>
      </c>
      <c r="J40">
        <v>0</v>
      </c>
    </row>
    <row r="41" spans="2:10">
      <c r="B41" t="s">
        <v>83</v>
      </c>
      <c r="C41">
        <v>35</v>
      </c>
      <c r="D41">
        <v>195</v>
      </c>
      <c r="E41">
        <v>452</v>
      </c>
      <c r="F41">
        <v>320</v>
      </c>
      <c r="G41">
        <v>162</v>
      </c>
      <c r="H41">
        <v>136</v>
      </c>
      <c r="I41">
        <v>277</v>
      </c>
      <c r="J41">
        <v>125</v>
      </c>
    </row>
    <row r="42" spans="2:10">
      <c r="B42" t="s">
        <v>84</v>
      </c>
      <c r="C42">
        <v>731</v>
      </c>
      <c r="D42">
        <v>679</v>
      </c>
      <c r="E42">
        <v>51</v>
      </c>
      <c r="F42">
        <v>483</v>
      </c>
      <c r="G42">
        <v>251</v>
      </c>
      <c r="H42">
        <v>183</v>
      </c>
      <c r="I42">
        <v>-65</v>
      </c>
      <c r="J42">
        <v>611</v>
      </c>
    </row>
    <row r="43" spans="2:10">
      <c r="B43" t="s">
        <v>85</v>
      </c>
      <c r="C43">
        <v>84</v>
      </c>
      <c r="D43">
        <v>81</v>
      </c>
      <c r="E43">
        <v>189</v>
      </c>
      <c r="F43">
        <v>92</v>
      </c>
      <c r="G43">
        <v>108</v>
      </c>
      <c r="H43">
        <v>93</v>
      </c>
      <c r="I43">
        <v>229</v>
      </c>
      <c r="J43">
        <v>68</v>
      </c>
    </row>
    <row r="44" spans="2:10">
      <c r="B44" t="s">
        <v>86</v>
      </c>
      <c r="C44">
        <v>647</v>
      </c>
      <c r="D44">
        <v>597</v>
      </c>
      <c r="E44">
        <v>-138</v>
      </c>
      <c r="F44">
        <v>391</v>
      </c>
      <c r="G44">
        <v>143</v>
      </c>
      <c r="H44">
        <v>90</v>
      </c>
      <c r="I44">
        <v>-294</v>
      </c>
      <c r="J44">
        <v>542</v>
      </c>
    </row>
    <row r="45" spans="2:10">
      <c r="B45" t="s">
        <v>87</v>
      </c>
      <c r="C45">
        <v>0</v>
      </c>
      <c r="D45">
        <v>0</v>
      </c>
      <c r="E45">
        <v>4</v>
      </c>
      <c r="F45">
        <v>0</v>
      </c>
      <c r="G45">
        <v>-4</v>
      </c>
      <c r="H45">
        <v>0</v>
      </c>
      <c r="I45">
        <v>0</v>
      </c>
      <c r="J45">
        <v>0</v>
      </c>
    </row>
    <row r="46" spans="2:10">
      <c r="B46" t="s">
        <v>88</v>
      </c>
      <c r="C46">
        <v>0</v>
      </c>
      <c r="D46">
        <v>0</v>
      </c>
      <c r="E46">
        <v>0</v>
      </c>
      <c r="F46">
        <v>0</v>
      </c>
      <c r="G46">
        <v>0</v>
      </c>
      <c r="H46">
        <v>0</v>
      </c>
      <c r="I46">
        <v>0</v>
      </c>
      <c r="J46">
        <v>0</v>
      </c>
    </row>
    <row r="47" spans="2:10">
      <c r="B47" t="s">
        <v>89</v>
      </c>
      <c r="C47">
        <v>0</v>
      </c>
      <c r="D47">
        <v>0</v>
      </c>
      <c r="E47">
        <v>0</v>
      </c>
      <c r="F47">
        <v>0</v>
      </c>
      <c r="G47">
        <v>0</v>
      </c>
      <c r="H47">
        <v>0</v>
      </c>
      <c r="I47">
        <v>0</v>
      </c>
      <c r="J47">
        <v>0</v>
      </c>
    </row>
    <row r="48" spans="2:10">
      <c r="B48" t="s">
        <v>90</v>
      </c>
      <c r="C48">
        <v>647</v>
      </c>
      <c r="D48">
        <v>597</v>
      </c>
      <c r="E48">
        <v>-134</v>
      </c>
      <c r="F48">
        <v>391</v>
      </c>
      <c r="G48">
        <v>139</v>
      </c>
      <c r="H48">
        <v>90</v>
      </c>
      <c r="I48">
        <v>-294</v>
      </c>
      <c r="J48">
        <v>542</v>
      </c>
    </row>
    <row r="49" spans="2:10">
      <c r="B49" t="s">
        <v>91</v>
      </c>
      <c r="C49" t="s">
        <v>92</v>
      </c>
      <c r="D49" t="s">
        <v>92</v>
      </c>
      <c r="E49" t="s">
        <v>92</v>
      </c>
      <c r="F49" t="s">
        <v>92</v>
      </c>
      <c r="G49" t="s">
        <v>92</v>
      </c>
      <c r="H49" t="s">
        <v>92</v>
      </c>
      <c r="I49" t="s">
        <v>92</v>
      </c>
      <c r="J49" t="s">
        <v>92</v>
      </c>
    </row>
    <row r="50" spans="2:10">
      <c r="B50" t="s">
        <v>93</v>
      </c>
      <c r="C50">
        <v>120</v>
      </c>
      <c r="D50">
        <v>98</v>
      </c>
      <c r="E50">
        <v>-126</v>
      </c>
      <c r="F50">
        <v>48</v>
      </c>
      <c r="G50">
        <v>42</v>
      </c>
      <c r="H50">
        <v>-69</v>
      </c>
      <c r="I50">
        <v>-289</v>
      </c>
      <c r="J50">
        <v>46</v>
      </c>
    </row>
    <row r="51" spans="2:10">
      <c r="B51" t="s">
        <v>94</v>
      </c>
      <c r="C51">
        <v>0</v>
      </c>
      <c r="D51">
        <v>0</v>
      </c>
      <c r="E51">
        <v>0</v>
      </c>
      <c r="F51">
        <v>0</v>
      </c>
      <c r="G51">
        <v>0</v>
      </c>
      <c r="H51">
        <v>0</v>
      </c>
      <c r="I51">
        <v>0</v>
      </c>
      <c r="J51">
        <v>0</v>
      </c>
    </row>
    <row r="52" spans="2:10">
      <c r="B52" t="s">
        <v>11</v>
      </c>
      <c r="C52">
        <v>527</v>
      </c>
      <c r="D52">
        <v>499</v>
      </c>
      <c r="E52">
        <v>-8</v>
      </c>
      <c r="F52">
        <v>343</v>
      </c>
      <c r="G52">
        <v>98</v>
      </c>
      <c r="H52">
        <v>158</v>
      </c>
      <c r="I52">
        <v>-5</v>
      </c>
      <c r="J52">
        <v>496</v>
      </c>
    </row>
    <row r="53" spans="2:10">
      <c r="B53" t="s">
        <v>12</v>
      </c>
      <c r="C53">
        <v>0.77</v>
      </c>
      <c r="D53">
        <v>0.73</v>
      </c>
      <c r="E53">
        <v>-0.01</v>
      </c>
      <c r="F53">
        <v>0.5</v>
      </c>
      <c r="G53">
        <v>0.14000000000000001</v>
      </c>
      <c r="H53">
        <v>0.23</v>
      </c>
      <c r="I53">
        <v>-0.01</v>
      </c>
      <c r="J53">
        <v>0.73</v>
      </c>
    </row>
    <row r="54" spans="2:10">
      <c r="B54" t="s">
        <v>95</v>
      </c>
      <c r="C54">
        <v>0.77</v>
      </c>
      <c r="D54">
        <v>0.73</v>
      </c>
      <c r="E54" t="s">
        <v>92</v>
      </c>
      <c r="F54">
        <v>0.5</v>
      </c>
      <c r="G54">
        <v>0.14000000000000001</v>
      </c>
      <c r="H54">
        <v>0.23</v>
      </c>
      <c r="I54" t="s">
        <v>92</v>
      </c>
      <c r="J54">
        <v>0.73</v>
      </c>
    </row>
    <row r="55" spans="2:10">
      <c r="B55" t="s">
        <v>96</v>
      </c>
      <c r="C55" s="33">
        <v>6835</v>
      </c>
      <c r="D55" s="33">
        <v>6835</v>
      </c>
      <c r="E55" s="33">
        <v>6835</v>
      </c>
      <c r="F55" s="33">
        <v>6835</v>
      </c>
      <c r="G55" s="33">
        <v>6835</v>
      </c>
      <c r="H55" s="33">
        <v>6835</v>
      </c>
      <c r="I55" s="33">
        <v>6835</v>
      </c>
      <c r="J55" s="33">
        <v>6835</v>
      </c>
    </row>
    <row r="56" spans="2:10">
      <c r="B56" t="s">
        <v>97</v>
      </c>
      <c r="C56">
        <v>0</v>
      </c>
      <c r="D56">
        <v>0</v>
      </c>
      <c r="E56">
        <v>0</v>
      </c>
      <c r="F56">
        <v>0</v>
      </c>
      <c r="G56">
        <v>0</v>
      </c>
      <c r="H56">
        <v>0</v>
      </c>
      <c r="I56">
        <v>0</v>
      </c>
      <c r="J56">
        <v>0</v>
      </c>
    </row>
    <row r="57" spans="2:10">
      <c r="B57" t="s">
        <v>98</v>
      </c>
      <c r="C57" t="s">
        <v>92</v>
      </c>
      <c r="D57" t="s">
        <v>92</v>
      </c>
      <c r="E57">
        <v>0</v>
      </c>
      <c r="F57" t="s">
        <v>92</v>
      </c>
      <c r="G57" t="s">
        <v>92</v>
      </c>
      <c r="H57" t="s">
        <v>92</v>
      </c>
      <c r="I57">
        <v>0</v>
      </c>
      <c r="J57" t="s">
        <v>92</v>
      </c>
    </row>
    <row r="58" spans="2:10">
      <c r="B58" t="s">
        <v>99</v>
      </c>
      <c r="C58">
        <v>0</v>
      </c>
      <c r="D58">
        <v>0</v>
      </c>
      <c r="E58">
        <v>0</v>
      </c>
      <c r="F58">
        <v>0</v>
      </c>
      <c r="G58">
        <v>0</v>
      </c>
      <c r="H58">
        <v>0</v>
      </c>
      <c r="I58">
        <v>0</v>
      </c>
      <c r="J58">
        <v>0</v>
      </c>
    </row>
    <row r="59" spans="2:10">
      <c r="B59" t="s">
        <v>100</v>
      </c>
      <c r="C59">
        <v>53</v>
      </c>
      <c r="D59">
        <v>53</v>
      </c>
      <c r="E59">
        <v>53</v>
      </c>
      <c r="F59">
        <v>53</v>
      </c>
      <c r="G59">
        <v>53</v>
      </c>
      <c r="H59">
        <v>53</v>
      </c>
      <c r="I59">
        <v>53</v>
      </c>
      <c r="J59">
        <v>53</v>
      </c>
    </row>
    <row r="60" spans="2:10">
      <c r="B60" t="s">
        <v>101</v>
      </c>
      <c r="C60">
        <v>813</v>
      </c>
      <c r="D60">
        <v>770</v>
      </c>
      <c r="E60">
        <v>120</v>
      </c>
      <c r="F60">
        <v>521</v>
      </c>
      <c r="G60">
        <v>305</v>
      </c>
      <c r="H60">
        <v>242</v>
      </c>
      <c r="I60">
        <v>-13</v>
      </c>
      <c r="J60">
        <v>665</v>
      </c>
    </row>
    <row r="61" spans="2:10">
      <c r="B61" t="s">
        <v>102</v>
      </c>
      <c r="C61" s="33">
        <v>1153</v>
      </c>
      <c r="D61" s="33">
        <v>1150</v>
      </c>
      <c r="E61">
        <v>136</v>
      </c>
      <c r="F61">
        <v>887</v>
      </c>
      <c r="G61">
        <v>667</v>
      </c>
      <c r="H61">
        <v>598</v>
      </c>
      <c r="I61">
        <v>317</v>
      </c>
      <c r="J61">
        <v>986</v>
      </c>
    </row>
    <row r="62" spans="2:10">
      <c r="B62" t="s">
        <v>103</v>
      </c>
      <c r="C62">
        <v>411</v>
      </c>
      <c r="D62">
        <v>675</v>
      </c>
      <c r="E62">
        <v>352</v>
      </c>
      <c r="F62">
        <v>133</v>
      </c>
      <c r="G62">
        <v>212</v>
      </c>
      <c r="H62">
        <v>138</v>
      </c>
      <c r="I62">
        <v>-522</v>
      </c>
      <c r="J62">
        <v>227</v>
      </c>
    </row>
    <row r="63" spans="2:10">
      <c r="B63" t="s">
        <v>104</v>
      </c>
    </row>
    <row r="64" spans="2:10">
      <c r="B64" t="s">
        <v>105</v>
      </c>
    </row>
    <row r="101" spans="2:10">
      <c r="B101" t="s">
        <v>3197</v>
      </c>
    </row>
    <row r="102" spans="2:10">
      <c r="B102" t="s">
        <v>43</v>
      </c>
    </row>
    <row r="103" spans="2:10">
      <c r="B103" t="s">
        <v>44</v>
      </c>
      <c r="C103" t="s">
        <v>2909</v>
      </c>
      <c r="D103" t="s">
        <v>1907</v>
      </c>
      <c r="E103" t="s">
        <v>1840</v>
      </c>
      <c r="F103" t="s">
        <v>1751</v>
      </c>
      <c r="G103" t="s">
        <v>215</v>
      </c>
      <c r="H103" t="s">
        <v>45</v>
      </c>
      <c r="I103" t="s">
        <v>46</v>
      </c>
      <c r="J103" t="s">
        <v>47</v>
      </c>
    </row>
    <row r="104" spans="2:10">
      <c r="B104" t="s">
        <v>145</v>
      </c>
      <c r="C104" s="33">
        <v>3714</v>
      </c>
      <c r="D104" s="33">
        <v>4112</v>
      </c>
      <c r="E104" s="33">
        <v>4405</v>
      </c>
      <c r="F104" s="33">
        <v>4405</v>
      </c>
      <c r="G104" s="33">
        <v>4059</v>
      </c>
      <c r="H104" s="33">
        <v>3704</v>
      </c>
      <c r="I104" s="33">
        <v>3825</v>
      </c>
      <c r="J104" s="33">
        <v>3450</v>
      </c>
    </row>
    <row r="105" spans="2:10">
      <c r="B105" t="s">
        <v>146</v>
      </c>
      <c r="C105">
        <v>8</v>
      </c>
      <c r="D105">
        <v>1</v>
      </c>
      <c r="E105">
        <v>86</v>
      </c>
      <c r="F105">
        <v>205</v>
      </c>
      <c r="G105">
        <v>53</v>
      </c>
      <c r="H105">
        <v>47</v>
      </c>
      <c r="I105">
        <v>127</v>
      </c>
      <c r="J105">
        <v>79</v>
      </c>
    </row>
    <row r="106" spans="2:10">
      <c r="B106" t="s">
        <v>183</v>
      </c>
      <c r="C106" s="33">
        <v>5274</v>
      </c>
      <c r="D106" s="33">
        <v>5312</v>
      </c>
      <c r="E106" s="33">
        <v>5657</v>
      </c>
      <c r="F106" s="33">
        <v>6109</v>
      </c>
      <c r="G106" s="33">
        <v>5626</v>
      </c>
      <c r="H106" s="33">
        <v>5301</v>
      </c>
      <c r="I106" s="33">
        <v>6047</v>
      </c>
      <c r="J106" s="33">
        <v>6243</v>
      </c>
    </row>
    <row r="107" spans="2:10">
      <c r="B107" t="s">
        <v>147</v>
      </c>
      <c r="C107">
        <v>690</v>
      </c>
      <c r="D107">
        <v>701</v>
      </c>
      <c r="E107">
        <v>674</v>
      </c>
      <c r="F107">
        <v>218</v>
      </c>
      <c r="G107">
        <v>657</v>
      </c>
      <c r="H107">
        <v>844</v>
      </c>
      <c r="I107">
        <v>648</v>
      </c>
      <c r="J107">
        <v>133</v>
      </c>
    </row>
    <row r="108" spans="2:10">
      <c r="B108" t="s">
        <v>184</v>
      </c>
      <c r="C108">
        <v>0</v>
      </c>
      <c r="D108">
        <v>0</v>
      </c>
      <c r="E108">
        <v>0</v>
      </c>
      <c r="F108">
        <v>0</v>
      </c>
      <c r="G108">
        <v>0</v>
      </c>
      <c r="H108">
        <v>0</v>
      </c>
      <c r="I108">
        <v>0</v>
      </c>
      <c r="J108">
        <v>0</v>
      </c>
    </row>
    <row r="109" spans="2:10">
      <c r="B109" t="s">
        <v>13</v>
      </c>
      <c r="C109" s="33">
        <v>5729</v>
      </c>
      <c r="D109" s="33">
        <v>5719</v>
      </c>
      <c r="E109" s="33">
        <v>6916</v>
      </c>
      <c r="F109" s="33">
        <v>5935</v>
      </c>
      <c r="G109" s="33">
        <v>6204</v>
      </c>
      <c r="H109" s="33">
        <v>7693</v>
      </c>
      <c r="I109" s="33">
        <v>7840</v>
      </c>
      <c r="J109" s="33">
        <v>7679</v>
      </c>
    </row>
    <row r="110" spans="2:10">
      <c r="B110" t="s">
        <v>185</v>
      </c>
      <c r="C110" t="s">
        <v>92</v>
      </c>
      <c r="D110" t="s">
        <v>92</v>
      </c>
      <c r="E110" t="s">
        <v>92</v>
      </c>
      <c r="F110" t="s">
        <v>92</v>
      </c>
      <c r="G110" t="s">
        <v>92</v>
      </c>
      <c r="H110" t="s">
        <v>92</v>
      </c>
      <c r="I110" t="s">
        <v>92</v>
      </c>
      <c r="J110" t="s">
        <v>92</v>
      </c>
    </row>
    <row r="111" spans="2:10">
      <c r="B111" t="s">
        <v>148</v>
      </c>
      <c r="C111" s="33">
        <v>1437</v>
      </c>
      <c r="D111" s="33">
        <v>1310</v>
      </c>
      <c r="E111">
        <v>628</v>
      </c>
      <c r="F111" s="33">
        <v>1176</v>
      </c>
      <c r="G111" s="33">
        <v>1698</v>
      </c>
      <c r="H111" s="33">
        <v>2018</v>
      </c>
      <c r="I111" s="33">
        <v>1037</v>
      </c>
      <c r="J111" s="33">
        <v>1732</v>
      </c>
    </row>
    <row r="112" spans="2:10">
      <c r="B112" t="s">
        <v>149</v>
      </c>
      <c r="C112" s="33">
        <v>2382</v>
      </c>
      <c r="D112" s="33">
        <v>2430</v>
      </c>
      <c r="E112" s="33">
        <v>2382</v>
      </c>
      <c r="F112" s="33">
        <v>2726</v>
      </c>
      <c r="G112" s="33">
        <v>2755</v>
      </c>
      <c r="H112" s="33">
        <v>2671</v>
      </c>
      <c r="I112" s="33">
        <v>2770</v>
      </c>
      <c r="J112" s="33">
        <v>2440</v>
      </c>
    </row>
    <row r="113" spans="2:10">
      <c r="B113" t="s">
        <v>150</v>
      </c>
      <c r="C113" s="33">
        <v>19234</v>
      </c>
      <c r="D113" s="33">
        <v>19609</v>
      </c>
      <c r="E113" s="33">
        <v>20749</v>
      </c>
      <c r="F113" s="33">
        <v>21299</v>
      </c>
      <c r="G113" s="33">
        <v>21069</v>
      </c>
      <c r="H113" s="33">
        <v>22277</v>
      </c>
      <c r="I113" s="33">
        <v>22294</v>
      </c>
      <c r="J113" s="33">
        <v>22735</v>
      </c>
    </row>
    <row r="114" spans="2:10">
      <c r="B114" t="s">
        <v>151</v>
      </c>
      <c r="C114" s="33">
        <v>4764</v>
      </c>
      <c r="D114" s="33">
        <v>4820</v>
      </c>
      <c r="E114" s="33">
        <v>4836</v>
      </c>
      <c r="F114" s="33">
        <v>4716</v>
      </c>
      <c r="G114" s="33">
        <v>4723</v>
      </c>
      <c r="H114" s="33">
        <v>4994</v>
      </c>
      <c r="I114" s="33">
        <v>4129</v>
      </c>
      <c r="J114" s="33">
        <v>3916</v>
      </c>
    </row>
    <row r="115" spans="2:10">
      <c r="B115" t="s">
        <v>152</v>
      </c>
      <c r="C115" s="33">
        <v>1552</v>
      </c>
      <c r="D115" s="33">
        <v>1547</v>
      </c>
      <c r="E115" s="33">
        <v>1535</v>
      </c>
      <c r="F115" s="33">
        <v>1535</v>
      </c>
      <c r="G115" s="33">
        <v>1515</v>
      </c>
      <c r="H115" s="33">
        <v>1515</v>
      </c>
      <c r="I115" s="33">
        <v>1539</v>
      </c>
      <c r="J115" s="33">
        <v>1539</v>
      </c>
    </row>
    <row r="116" spans="2:10">
      <c r="B116" t="s">
        <v>153</v>
      </c>
      <c r="C116" s="33">
        <v>3158</v>
      </c>
      <c r="D116" s="33">
        <v>3155</v>
      </c>
      <c r="E116" s="33">
        <v>3091</v>
      </c>
      <c r="F116" s="33">
        <v>3274</v>
      </c>
      <c r="G116" s="33">
        <v>3236</v>
      </c>
      <c r="H116" s="33">
        <v>3197</v>
      </c>
      <c r="I116" s="33">
        <v>3754</v>
      </c>
      <c r="J116" s="33">
        <v>3807</v>
      </c>
    </row>
    <row r="117" spans="2:10">
      <c r="B117" t="s">
        <v>154</v>
      </c>
      <c r="C117" s="33">
        <v>14240</v>
      </c>
      <c r="D117" s="33">
        <v>14300</v>
      </c>
      <c r="E117" s="33">
        <v>14049</v>
      </c>
      <c r="F117" s="33">
        <v>14492</v>
      </c>
      <c r="G117" s="33">
        <v>13990</v>
      </c>
      <c r="H117" s="33">
        <v>13852</v>
      </c>
      <c r="I117" s="33">
        <v>14067</v>
      </c>
      <c r="J117" s="33">
        <v>13166</v>
      </c>
    </row>
    <row r="118" spans="2:10">
      <c r="B118" t="s">
        <v>155</v>
      </c>
      <c r="C118" s="33">
        <v>3990</v>
      </c>
      <c r="D118" s="33">
        <v>3983</v>
      </c>
      <c r="E118" s="33">
        <v>3936</v>
      </c>
      <c r="F118" s="33">
        <v>4045</v>
      </c>
      <c r="G118" s="33">
        <v>4030</v>
      </c>
      <c r="H118" s="33">
        <v>3866</v>
      </c>
      <c r="I118" s="33">
        <v>3830</v>
      </c>
      <c r="J118" s="33">
        <v>3623</v>
      </c>
    </row>
    <row r="119" spans="2:10">
      <c r="B119" t="s">
        <v>156</v>
      </c>
      <c r="C119">
        <v>0</v>
      </c>
      <c r="D119">
        <v>0</v>
      </c>
      <c r="E119">
        <v>0</v>
      </c>
      <c r="F119">
        <v>0</v>
      </c>
      <c r="G119">
        <v>0</v>
      </c>
      <c r="H119">
        <v>0</v>
      </c>
      <c r="I119">
        <v>0</v>
      </c>
      <c r="J119">
        <v>0</v>
      </c>
    </row>
    <row r="120" spans="2:10">
      <c r="B120" t="s">
        <v>157</v>
      </c>
      <c r="C120" s="33">
        <v>-11117</v>
      </c>
      <c r="D120" s="33">
        <v>-11025</v>
      </c>
      <c r="E120" s="33">
        <v>-10362</v>
      </c>
      <c r="F120" s="33">
        <v>-10711</v>
      </c>
      <c r="G120" s="33">
        <v>-10362</v>
      </c>
      <c r="H120" s="33">
        <v>-10116</v>
      </c>
      <c r="I120" s="33">
        <v>-10066</v>
      </c>
      <c r="J120" s="33">
        <v>-9683</v>
      </c>
    </row>
    <row r="121" spans="2:10">
      <c r="B121" t="s">
        <v>158</v>
      </c>
      <c r="C121">
        <v>-411</v>
      </c>
      <c r="D121">
        <v>-551</v>
      </c>
      <c r="E121">
        <v>-535</v>
      </c>
      <c r="F121">
        <v>-142</v>
      </c>
      <c r="G121">
        <v>-139</v>
      </c>
      <c r="H121">
        <v>-141</v>
      </c>
      <c r="I121">
        <v>-209</v>
      </c>
      <c r="J121">
        <v>-34</v>
      </c>
    </row>
    <row r="122" spans="2:10">
      <c r="B122" t="s">
        <v>159</v>
      </c>
      <c r="C122">
        <v>514</v>
      </c>
      <c r="D122">
        <v>525</v>
      </c>
      <c r="E122">
        <v>461</v>
      </c>
      <c r="F122">
        <v>327</v>
      </c>
      <c r="G122">
        <v>345</v>
      </c>
      <c r="H122">
        <v>463</v>
      </c>
      <c r="I122">
        <v>469</v>
      </c>
      <c r="J122">
        <v>276</v>
      </c>
    </row>
    <row r="123" spans="2:10">
      <c r="B123" t="s">
        <v>160</v>
      </c>
      <c r="C123" s="33">
        <v>11925</v>
      </c>
      <c r="D123" s="33">
        <v>11934</v>
      </c>
      <c r="E123" s="33">
        <v>12175</v>
      </c>
      <c r="F123" s="33">
        <v>12819</v>
      </c>
      <c r="G123" s="33">
        <v>12614</v>
      </c>
      <c r="H123" s="33">
        <v>12635</v>
      </c>
      <c r="I123" s="33">
        <v>13384</v>
      </c>
      <c r="J123" s="33">
        <v>12694</v>
      </c>
    </row>
    <row r="124" spans="2:10">
      <c r="B124" t="s">
        <v>161</v>
      </c>
      <c r="C124">
        <v>209</v>
      </c>
      <c r="D124">
        <v>214</v>
      </c>
      <c r="E124">
        <v>183</v>
      </c>
      <c r="F124">
        <v>234</v>
      </c>
      <c r="G124">
        <v>169</v>
      </c>
      <c r="H124">
        <v>200</v>
      </c>
      <c r="I124">
        <v>209</v>
      </c>
      <c r="J124">
        <v>240</v>
      </c>
    </row>
    <row r="125" spans="2:10">
      <c r="B125" t="s">
        <v>162</v>
      </c>
      <c r="C125">
        <v>0</v>
      </c>
      <c r="D125">
        <v>0</v>
      </c>
      <c r="E125">
        <v>0</v>
      </c>
      <c r="F125">
        <v>0</v>
      </c>
      <c r="G125">
        <v>0</v>
      </c>
      <c r="H125">
        <v>0</v>
      </c>
      <c r="I125">
        <v>0</v>
      </c>
      <c r="J125">
        <v>0</v>
      </c>
    </row>
    <row r="126" spans="2:10">
      <c r="B126" t="s">
        <v>163</v>
      </c>
      <c r="C126" s="33">
        <v>1870</v>
      </c>
      <c r="D126" s="33">
        <v>1909</v>
      </c>
      <c r="E126" s="33">
        <v>1938</v>
      </c>
      <c r="F126" s="33">
        <v>1306</v>
      </c>
      <c r="G126" s="33">
        <v>1219</v>
      </c>
      <c r="H126" s="33">
        <v>1225</v>
      </c>
      <c r="I126" s="33">
        <v>1232</v>
      </c>
      <c r="J126" s="33">
        <v>1128</v>
      </c>
    </row>
    <row r="127" spans="2:10">
      <c r="B127" t="s">
        <v>164</v>
      </c>
      <c r="C127" s="33">
        <v>2223</v>
      </c>
      <c r="D127" s="33">
        <v>2268</v>
      </c>
      <c r="E127" s="33">
        <v>2268</v>
      </c>
      <c r="F127" s="33">
        <v>1688</v>
      </c>
      <c r="G127" s="33">
        <v>1533</v>
      </c>
      <c r="H127" s="33">
        <v>1571</v>
      </c>
      <c r="I127" s="33">
        <v>1588</v>
      </c>
      <c r="J127" s="33">
        <v>1513</v>
      </c>
    </row>
    <row r="128" spans="2:10">
      <c r="B128" t="s">
        <v>16</v>
      </c>
      <c r="C128" s="33">
        <v>38146</v>
      </c>
      <c r="D128" s="33">
        <v>38631</v>
      </c>
      <c r="E128" s="33">
        <v>40028</v>
      </c>
      <c r="F128" s="33">
        <v>40522</v>
      </c>
      <c r="G128" s="33">
        <v>39938</v>
      </c>
      <c r="H128" s="33">
        <v>41477</v>
      </c>
      <c r="I128" s="33">
        <v>41395</v>
      </c>
      <c r="J128" s="33">
        <v>40859</v>
      </c>
    </row>
    <row r="129" spans="2:10">
      <c r="B129" t="s">
        <v>186</v>
      </c>
      <c r="C129" s="33">
        <v>5620</v>
      </c>
      <c r="D129" s="33">
        <v>6273</v>
      </c>
      <c r="E129" s="33">
        <v>6695</v>
      </c>
      <c r="F129" s="33">
        <v>6348</v>
      </c>
      <c r="G129" s="33">
        <v>6278</v>
      </c>
      <c r="H129" s="33">
        <v>6186</v>
      </c>
      <c r="I129" s="33">
        <v>5314</v>
      </c>
      <c r="J129" s="33">
        <v>7336</v>
      </c>
    </row>
    <row r="130" spans="2:10">
      <c r="B130" t="s">
        <v>187</v>
      </c>
      <c r="C130" s="33">
        <v>1301</v>
      </c>
      <c r="D130" s="33">
        <v>1411</v>
      </c>
      <c r="E130" s="33">
        <v>1349</v>
      </c>
      <c r="F130">
        <v>969</v>
      </c>
      <c r="G130">
        <v>461</v>
      </c>
      <c r="H130" s="33">
        <v>1214</v>
      </c>
      <c r="I130" s="33">
        <v>1019</v>
      </c>
      <c r="J130" s="33">
        <v>1103</v>
      </c>
    </row>
    <row r="131" spans="2:10">
      <c r="B131" t="s">
        <v>14</v>
      </c>
      <c r="C131" s="33">
        <v>4634</v>
      </c>
      <c r="D131" s="33">
        <v>4437</v>
      </c>
      <c r="E131" s="33">
        <v>4541</v>
      </c>
      <c r="F131" s="33">
        <v>4898</v>
      </c>
      <c r="G131" s="33">
        <v>5103</v>
      </c>
      <c r="H131" s="33">
        <v>5360</v>
      </c>
      <c r="I131" s="33">
        <v>5897</v>
      </c>
      <c r="J131" s="33">
        <v>5717</v>
      </c>
    </row>
    <row r="132" spans="2:10">
      <c r="B132" t="s">
        <v>165</v>
      </c>
      <c r="C132">
        <v>0</v>
      </c>
      <c r="D132">
        <v>0</v>
      </c>
      <c r="E132">
        <v>0</v>
      </c>
      <c r="F132">
        <v>0</v>
      </c>
      <c r="G132">
        <v>0</v>
      </c>
      <c r="H132">
        <v>0</v>
      </c>
      <c r="I132">
        <v>0</v>
      </c>
      <c r="J132">
        <v>0</v>
      </c>
    </row>
    <row r="133" spans="2:10">
      <c r="B133" t="s">
        <v>166</v>
      </c>
      <c r="C133">
        <v>0</v>
      </c>
      <c r="D133">
        <v>0</v>
      </c>
      <c r="E133">
        <v>0</v>
      </c>
      <c r="F133">
        <v>0</v>
      </c>
      <c r="G133">
        <v>0</v>
      </c>
      <c r="H133">
        <v>0</v>
      </c>
      <c r="I133">
        <v>0</v>
      </c>
      <c r="J133">
        <v>0</v>
      </c>
    </row>
    <row r="134" spans="2:10">
      <c r="B134" t="s">
        <v>167</v>
      </c>
      <c r="C134" s="33">
        <v>2123</v>
      </c>
      <c r="D134" s="33">
        <v>1531</v>
      </c>
      <c r="E134" s="33">
        <v>1782</v>
      </c>
      <c r="F134" s="33">
        <v>1566</v>
      </c>
      <c r="G134" s="33">
        <v>2371</v>
      </c>
      <c r="H134" s="33">
        <v>1639</v>
      </c>
      <c r="I134" s="33">
        <v>1656</v>
      </c>
      <c r="J134" s="33">
        <v>1286</v>
      </c>
    </row>
    <row r="135" spans="2:10">
      <c r="B135" t="s">
        <v>168</v>
      </c>
      <c r="C135">
        <v>170</v>
      </c>
      <c r="D135">
        <v>379</v>
      </c>
      <c r="E135">
        <v>314</v>
      </c>
      <c r="F135">
        <v>130</v>
      </c>
      <c r="G135">
        <v>170</v>
      </c>
      <c r="H135">
        <v>272</v>
      </c>
      <c r="I135">
        <v>226</v>
      </c>
      <c r="J135">
        <v>104</v>
      </c>
    </row>
    <row r="136" spans="2:10">
      <c r="B136" t="s">
        <v>169</v>
      </c>
      <c r="C136">
        <v>500</v>
      </c>
      <c r="D136">
        <v>575</v>
      </c>
      <c r="E136">
        <v>579</v>
      </c>
      <c r="F136">
        <v>383</v>
      </c>
      <c r="G136">
        <v>364</v>
      </c>
      <c r="H136">
        <v>260</v>
      </c>
      <c r="I136">
        <v>260</v>
      </c>
      <c r="J136">
        <v>250</v>
      </c>
    </row>
    <row r="137" spans="2:10">
      <c r="B137" t="s">
        <v>170</v>
      </c>
      <c r="C137" s="33">
        <v>1404</v>
      </c>
      <c r="D137" s="33">
        <v>1119</v>
      </c>
      <c r="E137" s="33">
        <v>1586</v>
      </c>
      <c r="F137" s="33">
        <v>1637</v>
      </c>
      <c r="G137" s="33">
        <v>1382</v>
      </c>
      <c r="H137" s="33">
        <v>1387</v>
      </c>
      <c r="I137" s="33">
        <v>2017</v>
      </c>
      <c r="J137" s="33">
        <v>1571</v>
      </c>
    </row>
    <row r="138" spans="2:10">
      <c r="B138" t="s">
        <v>171</v>
      </c>
      <c r="C138" s="33">
        <v>15759</v>
      </c>
      <c r="D138" s="33">
        <v>15760</v>
      </c>
      <c r="E138" s="33">
        <v>16856</v>
      </c>
      <c r="F138" s="33">
        <v>15930</v>
      </c>
      <c r="G138" s="33">
        <v>16151</v>
      </c>
      <c r="H138" s="33">
        <v>16336</v>
      </c>
      <c r="I138" s="33">
        <v>16389</v>
      </c>
      <c r="J138" s="33">
        <v>17367</v>
      </c>
    </row>
    <row r="139" spans="2:10">
      <c r="B139" t="s">
        <v>172</v>
      </c>
      <c r="C139" s="33">
        <v>2388</v>
      </c>
      <c r="D139" s="33">
        <v>2771</v>
      </c>
      <c r="E139" s="33">
        <v>3597</v>
      </c>
      <c r="F139" s="33">
        <v>4459</v>
      </c>
      <c r="G139" s="33">
        <v>4294</v>
      </c>
      <c r="H139" s="33">
        <v>4624</v>
      </c>
      <c r="I139" s="33">
        <v>4682</v>
      </c>
      <c r="J139" s="33">
        <v>3327</v>
      </c>
    </row>
    <row r="140" spans="2:10">
      <c r="B140" t="s">
        <v>173</v>
      </c>
      <c r="C140">
        <v>0</v>
      </c>
      <c r="D140">
        <v>0</v>
      </c>
      <c r="E140">
        <v>0</v>
      </c>
      <c r="F140">
        <v>0</v>
      </c>
      <c r="G140">
        <v>0</v>
      </c>
      <c r="H140">
        <v>0</v>
      </c>
      <c r="I140">
        <v>0</v>
      </c>
      <c r="J140">
        <v>0</v>
      </c>
    </row>
    <row r="141" spans="2:10">
      <c r="B141" t="s">
        <v>174</v>
      </c>
      <c r="C141">
        <v>0</v>
      </c>
      <c r="D141">
        <v>0</v>
      </c>
      <c r="E141">
        <v>0</v>
      </c>
      <c r="F141">
        <v>0</v>
      </c>
      <c r="G141">
        <v>0</v>
      </c>
      <c r="H141">
        <v>0</v>
      </c>
      <c r="I141">
        <v>0</v>
      </c>
      <c r="J141">
        <v>0</v>
      </c>
    </row>
    <row r="142" spans="2:10">
      <c r="B142" t="s">
        <v>175</v>
      </c>
      <c r="C142">
        <v>36</v>
      </c>
      <c r="D142">
        <v>54</v>
      </c>
      <c r="E142">
        <v>69</v>
      </c>
      <c r="F142">
        <v>173</v>
      </c>
      <c r="G142">
        <v>140</v>
      </c>
      <c r="H142">
        <v>138</v>
      </c>
      <c r="I142">
        <v>156</v>
      </c>
      <c r="J142">
        <v>138</v>
      </c>
    </row>
    <row r="143" spans="2:10">
      <c r="B143" t="s">
        <v>176</v>
      </c>
      <c r="C143">
        <v>0</v>
      </c>
      <c r="D143">
        <v>0</v>
      </c>
      <c r="E143">
        <v>0</v>
      </c>
      <c r="F143">
        <v>0</v>
      </c>
      <c r="G143">
        <v>0</v>
      </c>
      <c r="H143">
        <v>0</v>
      </c>
      <c r="I143">
        <v>0</v>
      </c>
      <c r="J143">
        <v>0</v>
      </c>
    </row>
    <row r="144" spans="2:10">
      <c r="B144" t="s">
        <v>177</v>
      </c>
      <c r="C144">
        <v>15</v>
      </c>
      <c r="D144">
        <v>15</v>
      </c>
      <c r="E144">
        <v>15</v>
      </c>
      <c r="F144">
        <v>14</v>
      </c>
      <c r="G144">
        <v>14</v>
      </c>
      <c r="H144">
        <v>14</v>
      </c>
      <c r="I144">
        <v>14</v>
      </c>
      <c r="J144">
        <v>21</v>
      </c>
    </row>
    <row r="145" spans="2:10">
      <c r="B145" t="s">
        <v>178</v>
      </c>
      <c r="C145">
        <v>328</v>
      </c>
      <c r="D145">
        <v>268</v>
      </c>
      <c r="E145">
        <v>242</v>
      </c>
      <c r="F145">
        <v>189</v>
      </c>
      <c r="G145">
        <v>184</v>
      </c>
      <c r="H145">
        <v>244</v>
      </c>
      <c r="I145">
        <v>209</v>
      </c>
      <c r="J145">
        <v>238</v>
      </c>
    </row>
    <row r="146" spans="2:10">
      <c r="B146" t="s">
        <v>179</v>
      </c>
      <c r="C146">
        <v>379</v>
      </c>
      <c r="D146">
        <v>337</v>
      </c>
      <c r="E146">
        <v>325</v>
      </c>
      <c r="F146">
        <v>376</v>
      </c>
      <c r="G146">
        <v>338</v>
      </c>
      <c r="H146">
        <v>395</v>
      </c>
      <c r="I146">
        <v>379</v>
      </c>
      <c r="J146">
        <v>396</v>
      </c>
    </row>
    <row r="147" spans="2:10">
      <c r="B147" t="s">
        <v>15</v>
      </c>
      <c r="C147" s="33">
        <v>18526</v>
      </c>
      <c r="D147" s="33">
        <v>18868</v>
      </c>
      <c r="E147" s="33">
        <v>20779</v>
      </c>
      <c r="F147" s="33">
        <v>20764</v>
      </c>
      <c r="G147" s="33">
        <v>20783</v>
      </c>
      <c r="H147" s="33">
        <v>21355</v>
      </c>
      <c r="I147" s="33">
        <v>21451</v>
      </c>
      <c r="J147" s="33">
        <v>21091</v>
      </c>
    </row>
    <row r="148" spans="2:10">
      <c r="B148" t="s">
        <v>180</v>
      </c>
      <c r="C148" s="33">
        <v>19620</v>
      </c>
      <c r="D148" s="33">
        <v>19763</v>
      </c>
      <c r="E148" s="33">
        <v>19249</v>
      </c>
      <c r="F148" s="33">
        <v>19759</v>
      </c>
      <c r="G148" s="33">
        <v>19156</v>
      </c>
      <c r="H148" s="33">
        <v>20122</v>
      </c>
      <c r="I148" s="33">
        <v>19944</v>
      </c>
      <c r="J148" s="33">
        <v>19768</v>
      </c>
    </row>
    <row r="149" spans="2:10">
      <c r="B149" t="s">
        <v>188</v>
      </c>
      <c r="C149" s="33">
        <v>7364</v>
      </c>
      <c r="D149" s="33">
        <v>7364</v>
      </c>
      <c r="E149" s="33">
        <v>7364</v>
      </c>
      <c r="F149" s="33">
        <v>7364</v>
      </c>
      <c r="G149" s="33">
        <v>7364</v>
      </c>
      <c r="H149" s="33">
        <v>7364</v>
      </c>
      <c r="I149" s="33">
        <v>7364</v>
      </c>
      <c r="J149" s="33">
        <v>7364</v>
      </c>
    </row>
    <row r="150" spans="2:10">
      <c r="B150" t="s">
        <v>189</v>
      </c>
      <c r="C150">
        <v>0</v>
      </c>
      <c r="D150">
        <v>0</v>
      </c>
      <c r="E150">
        <v>0</v>
      </c>
      <c r="F150">
        <v>0</v>
      </c>
      <c r="G150">
        <v>0</v>
      </c>
      <c r="H150">
        <v>0</v>
      </c>
      <c r="I150">
        <v>0</v>
      </c>
      <c r="J150">
        <v>0</v>
      </c>
    </row>
    <row r="151" spans="2:10">
      <c r="B151" t="s">
        <v>190</v>
      </c>
      <c r="C151" s="33">
        <v>2433</v>
      </c>
      <c r="D151" s="33">
        <v>2433</v>
      </c>
      <c r="E151" s="33">
        <v>2433</v>
      </c>
      <c r="F151" s="33">
        <v>2431</v>
      </c>
      <c r="G151" s="33">
        <v>2378</v>
      </c>
      <c r="H151" s="33">
        <v>2378</v>
      </c>
      <c r="I151" s="33">
        <v>2378</v>
      </c>
      <c r="J151" s="33">
        <v>2378</v>
      </c>
    </row>
    <row r="152" spans="2:10">
      <c r="B152" t="s">
        <v>191</v>
      </c>
      <c r="C152" s="33">
        <v>1624</v>
      </c>
      <c r="D152" s="33">
        <v>1565</v>
      </c>
      <c r="E152" s="33">
        <v>1565</v>
      </c>
      <c r="F152" s="33">
        <v>1565</v>
      </c>
      <c r="G152" s="33">
        <v>1565</v>
      </c>
      <c r="H152" s="33">
        <v>1448</v>
      </c>
      <c r="I152" s="33">
        <v>1448</v>
      </c>
      <c r="J152" s="33">
        <v>1448</v>
      </c>
    </row>
    <row r="153" spans="2:10">
      <c r="B153" t="s">
        <v>192</v>
      </c>
      <c r="C153">
        <v>43</v>
      </c>
      <c r="D153">
        <v>43</v>
      </c>
      <c r="E153">
        <v>43</v>
      </c>
      <c r="F153">
        <v>43</v>
      </c>
      <c r="G153">
        <v>43</v>
      </c>
      <c r="H153">
        <v>43</v>
      </c>
      <c r="I153">
        <v>43</v>
      </c>
      <c r="J153">
        <v>43</v>
      </c>
    </row>
    <row r="154" spans="2:10">
      <c r="B154" t="s">
        <v>193</v>
      </c>
      <c r="C154" s="33">
        <v>1690</v>
      </c>
      <c r="D154" s="33">
        <v>1738</v>
      </c>
      <c r="E154" s="33">
        <v>1239</v>
      </c>
      <c r="F154" s="33">
        <v>1247</v>
      </c>
      <c r="G154">
        <v>904</v>
      </c>
      <c r="H154" s="33">
        <v>1659</v>
      </c>
      <c r="I154" s="33">
        <v>1501</v>
      </c>
      <c r="J154" s="33">
        <v>1508</v>
      </c>
    </row>
    <row r="155" spans="2:10">
      <c r="B155" t="s">
        <v>194</v>
      </c>
      <c r="C155">
        <v>0</v>
      </c>
      <c r="D155">
        <v>0</v>
      </c>
      <c r="E155">
        <v>0</v>
      </c>
      <c r="F155">
        <v>0</v>
      </c>
      <c r="G155">
        <v>0</v>
      </c>
      <c r="H155">
        <v>0</v>
      </c>
      <c r="I155">
        <v>0</v>
      </c>
      <c r="J155">
        <v>0</v>
      </c>
    </row>
    <row r="156" spans="2:10">
      <c r="B156" t="s">
        <v>181</v>
      </c>
      <c r="C156" s="33">
        <v>5641</v>
      </c>
      <c r="D156" s="33">
        <v>5645</v>
      </c>
      <c r="E156" s="33">
        <v>5615</v>
      </c>
      <c r="F156" s="33">
        <v>6017</v>
      </c>
      <c r="G156" s="33">
        <v>5958</v>
      </c>
      <c r="H156" s="33">
        <v>5979</v>
      </c>
      <c r="I156" s="33">
        <v>6146</v>
      </c>
      <c r="J156" s="33">
        <v>6205</v>
      </c>
    </row>
    <row r="157" spans="2:10">
      <c r="B157" t="s">
        <v>182</v>
      </c>
      <c r="C157" s="33">
        <v>38146</v>
      </c>
      <c r="D157" s="33">
        <v>38631</v>
      </c>
      <c r="E157" s="33">
        <v>40028</v>
      </c>
      <c r="F157" s="33">
        <v>40522</v>
      </c>
      <c r="G157" s="33">
        <v>39938</v>
      </c>
      <c r="H157" s="33">
        <v>41477</v>
      </c>
      <c r="I157" s="33">
        <v>41395</v>
      </c>
      <c r="J157" s="33">
        <v>40859</v>
      </c>
    </row>
    <row r="158" spans="2:10">
      <c r="B158" t="s">
        <v>104</v>
      </c>
    </row>
    <row r="159" spans="2:10">
      <c r="B159" t="s">
        <v>105</v>
      </c>
    </row>
    <row r="201" spans="2:10">
      <c r="B201" t="s">
        <v>3196</v>
      </c>
    </row>
    <row r="202" spans="2:10">
      <c r="B202" t="s">
        <v>43</v>
      </c>
    </row>
    <row r="203" spans="2:10">
      <c r="B203" t="s">
        <v>44</v>
      </c>
      <c r="C203" t="s">
        <v>2909</v>
      </c>
      <c r="D203" t="s">
        <v>1907</v>
      </c>
      <c r="E203" t="s">
        <v>1840</v>
      </c>
      <c r="F203" t="s">
        <v>1751</v>
      </c>
      <c r="G203" t="s">
        <v>215</v>
      </c>
      <c r="H203" t="s">
        <v>45</v>
      </c>
      <c r="I203" t="s">
        <v>46</v>
      </c>
      <c r="J203" t="s">
        <v>47</v>
      </c>
    </row>
    <row r="204" spans="2:10">
      <c r="B204" t="s">
        <v>106</v>
      </c>
      <c r="C204">
        <v>647</v>
      </c>
      <c r="D204">
        <v>597</v>
      </c>
      <c r="E204">
        <v>-134</v>
      </c>
      <c r="F204">
        <v>391</v>
      </c>
      <c r="G204">
        <v>139</v>
      </c>
      <c r="H204">
        <v>90</v>
      </c>
      <c r="I204">
        <v>-294</v>
      </c>
      <c r="J204">
        <v>542</v>
      </c>
    </row>
    <row r="205" spans="2:10">
      <c r="B205" t="s">
        <v>107</v>
      </c>
      <c r="C205">
        <v>0</v>
      </c>
      <c r="D205">
        <v>0</v>
      </c>
      <c r="E205">
        <v>0</v>
      </c>
      <c r="F205">
        <v>0</v>
      </c>
      <c r="G205">
        <v>0</v>
      </c>
      <c r="H205">
        <v>0</v>
      </c>
      <c r="I205">
        <v>0</v>
      </c>
      <c r="J205">
        <v>0</v>
      </c>
    </row>
    <row r="206" spans="2:10">
      <c r="B206" t="s">
        <v>108</v>
      </c>
      <c r="C206">
        <v>333</v>
      </c>
      <c r="D206">
        <v>373</v>
      </c>
      <c r="E206">
        <v>-7</v>
      </c>
      <c r="F206">
        <v>359</v>
      </c>
      <c r="G206">
        <v>349</v>
      </c>
      <c r="H206">
        <v>345</v>
      </c>
      <c r="I206">
        <v>317</v>
      </c>
      <c r="J206">
        <v>311</v>
      </c>
    </row>
    <row r="207" spans="2:10">
      <c r="B207" t="s">
        <v>109</v>
      </c>
      <c r="C207">
        <v>6</v>
      </c>
      <c r="D207">
        <v>7</v>
      </c>
      <c r="E207">
        <v>23</v>
      </c>
      <c r="F207">
        <v>8</v>
      </c>
      <c r="G207">
        <v>13</v>
      </c>
      <c r="H207">
        <v>12</v>
      </c>
      <c r="I207">
        <v>12</v>
      </c>
      <c r="J207">
        <v>10</v>
      </c>
    </row>
    <row r="208" spans="2:10">
      <c r="B208" t="s">
        <v>110</v>
      </c>
      <c r="C208">
        <v>0</v>
      </c>
      <c r="D208">
        <v>0</v>
      </c>
      <c r="E208">
        <v>0</v>
      </c>
      <c r="F208">
        <v>0</v>
      </c>
      <c r="G208">
        <v>0</v>
      </c>
      <c r="H208">
        <v>0</v>
      </c>
      <c r="I208">
        <v>-2</v>
      </c>
      <c r="J208">
        <v>-2</v>
      </c>
    </row>
    <row r="209" spans="2:10">
      <c r="B209" t="s">
        <v>111</v>
      </c>
      <c r="C209">
        <v>17</v>
      </c>
      <c r="D209">
        <v>26</v>
      </c>
      <c r="E209">
        <v>21</v>
      </c>
      <c r="F209">
        <v>20</v>
      </c>
      <c r="G209">
        <v>39</v>
      </c>
      <c r="H209">
        <v>28</v>
      </c>
      <c r="I209">
        <v>0</v>
      </c>
      <c r="J209">
        <v>-2</v>
      </c>
    </row>
    <row r="210" spans="2:10">
      <c r="B210" t="s">
        <v>112</v>
      </c>
      <c r="C210">
        <v>0</v>
      </c>
      <c r="D210">
        <v>0</v>
      </c>
      <c r="E210">
        <v>-96</v>
      </c>
      <c r="F210">
        <v>96</v>
      </c>
      <c r="G210">
        <v>0</v>
      </c>
      <c r="H210">
        <v>0</v>
      </c>
      <c r="I210">
        <v>-62</v>
      </c>
      <c r="J210">
        <v>62</v>
      </c>
    </row>
    <row r="211" spans="2:10">
      <c r="B211" t="s">
        <v>113</v>
      </c>
      <c r="C211" t="s">
        <v>92</v>
      </c>
      <c r="D211" t="s">
        <v>92</v>
      </c>
      <c r="E211" t="s">
        <v>92</v>
      </c>
      <c r="F211" t="s">
        <v>92</v>
      </c>
      <c r="G211" t="s">
        <v>92</v>
      </c>
      <c r="H211" t="s">
        <v>92</v>
      </c>
      <c r="I211" t="s">
        <v>92</v>
      </c>
      <c r="J211" t="s">
        <v>92</v>
      </c>
    </row>
    <row r="212" spans="2:10">
      <c r="B212" t="s">
        <v>114</v>
      </c>
      <c r="C212">
        <v>1</v>
      </c>
      <c r="D212">
        <v>0</v>
      </c>
      <c r="E212">
        <v>40</v>
      </c>
      <c r="F212">
        <v>0</v>
      </c>
      <c r="G212">
        <v>1</v>
      </c>
      <c r="H212">
        <v>5</v>
      </c>
      <c r="I212">
        <v>-200</v>
      </c>
      <c r="J212">
        <v>10</v>
      </c>
    </row>
    <row r="213" spans="2:10">
      <c r="B213" t="s">
        <v>115</v>
      </c>
      <c r="C213">
        <v>0</v>
      </c>
      <c r="D213">
        <v>0</v>
      </c>
      <c r="E213">
        <v>0</v>
      </c>
      <c r="F213">
        <v>0</v>
      </c>
      <c r="G213">
        <v>0</v>
      </c>
      <c r="H213">
        <v>0</v>
      </c>
      <c r="I213">
        <v>0</v>
      </c>
      <c r="J213">
        <v>0</v>
      </c>
    </row>
    <row r="214" spans="2:10">
      <c r="B214" t="s">
        <v>116</v>
      </c>
      <c r="C214">
        <v>0</v>
      </c>
      <c r="D214">
        <v>0</v>
      </c>
      <c r="E214">
        <v>0</v>
      </c>
      <c r="F214">
        <v>0</v>
      </c>
      <c r="G214">
        <v>0</v>
      </c>
      <c r="H214">
        <v>0</v>
      </c>
      <c r="I214">
        <v>0</v>
      </c>
      <c r="J214">
        <v>0</v>
      </c>
    </row>
    <row r="215" spans="2:10">
      <c r="B215" t="s">
        <v>117</v>
      </c>
      <c r="C215">
        <v>38</v>
      </c>
      <c r="D215">
        <v>345</v>
      </c>
      <c r="E215">
        <v>452</v>
      </c>
      <c r="F215">
        <v>-483</v>
      </c>
      <c r="G215">
        <v>-325</v>
      </c>
      <c r="H215">
        <v>746</v>
      </c>
      <c r="I215">
        <v>197</v>
      </c>
      <c r="J215">
        <v>-233</v>
      </c>
    </row>
    <row r="216" spans="2:10">
      <c r="B216" t="s">
        <v>118</v>
      </c>
      <c r="C216">
        <v>-11</v>
      </c>
      <c r="D216" s="33">
        <v>1198</v>
      </c>
      <c r="E216">
        <v>-982</v>
      </c>
      <c r="F216">
        <v>269</v>
      </c>
      <c r="G216" s="33">
        <v>1489</v>
      </c>
      <c r="H216">
        <v>147</v>
      </c>
      <c r="I216">
        <v>-161</v>
      </c>
      <c r="J216">
        <v>47</v>
      </c>
    </row>
    <row r="217" spans="2:10">
      <c r="B217" t="s">
        <v>119</v>
      </c>
      <c r="C217">
        <v>197</v>
      </c>
      <c r="D217">
        <v>-104</v>
      </c>
      <c r="E217">
        <v>-357</v>
      </c>
      <c r="F217">
        <v>-205</v>
      </c>
      <c r="G217">
        <v>-257</v>
      </c>
      <c r="H217">
        <v>-538</v>
      </c>
      <c r="I217">
        <v>181</v>
      </c>
      <c r="J217">
        <v>512</v>
      </c>
    </row>
    <row r="218" spans="2:10">
      <c r="B218" t="s">
        <v>120</v>
      </c>
      <c r="C218">
        <v>78</v>
      </c>
      <c r="D218">
        <v>-784</v>
      </c>
      <c r="E218" s="33">
        <v>1932</v>
      </c>
      <c r="F218">
        <v>-390</v>
      </c>
      <c r="G218">
        <v>689</v>
      </c>
      <c r="H218" s="33">
        <v>-1199</v>
      </c>
      <c r="I218" s="33">
        <v>2412</v>
      </c>
      <c r="J218" s="33">
        <v>-1435</v>
      </c>
    </row>
    <row r="219" spans="2:10">
      <c r="B219" t="s">
        <v>17</v>
      </c>
      <c r="C219" s="33">
        <v>1711</v>
      </c>
      <c r="D219" s="33">
        <v>1156</v>
      </c>
      <c r="E219" s="33">
        <v>1393</v>
      </c>
      <c r="F219">
        <v>-106</v>
      </c>
      <c r="G219" s="33">
        <v>2572</v>
      </c>
      <c r="H219">
        <v>-707</v>
      </c>
      <c r="I219" s="33">
        <v>2452</v>
      </c>
      <c r="J219">
        <v>-236</v>
      </c>
    </row>
    <row r="220" spans="2:10">
      <c r="B220" t="s">
        <v>121</v>
      </c>
      <c r="C220">
        <v>0</v>
      </c>
      <c r="D220">
        <v>0</v>
      </c>
      <c r="E220">
        <v>0</v>
      </c>
      <c r="F220">
        <v>0</v>
      </c>
      <c r="G220">
        <v>0</v>
      </c>
      <c r="H220">
        <v>0</v>
      </c>
      <c r="I220">
        <v>36</v>
      </c>
      <c r="J220">
        <v>250</v>
      </c>
    </row>
    <row r="221" spans="2:10">
      <c r="B221" t="s">
        <v>122</v>
      </c>
      <c r="C221">
        <v>0</v>
      </c>
      <c r="D221">
        <v>0</v>
      </c>
      <c r="E221">
        <v>0</v>
      </c>
      <c r="F221">
        <v>0</v>
      </c>
      <c r="G221">
        <v>0</v>
      </c>
      <c r="H221">
        <v>0</v>
      </c>
      <c r="I221">
        <v>0</v>
      </c>
      <c r="J221">
        <v>0</v>
      </c>
    </row>
    <row r="222" spans="2:10">
      <c r="B222" t="s">
        <v>19</v>
      </c>
      <c r="C222">
        <v>0</v>
      </c>
      <c r="D222">
        <v>0</v>
      </c>
      <c r="E222">
        <v>0</v>
      </c>
      <c r="F222">
        <v>-42</v>
      </c>
      <c r="G222">
        <v>0</v>
      </c>
      <c r="H222">
        <v>0</v>
      </c>
      <c r="I222">
        <v>-1</v>
      </c>
      <c r="J222">
        <v>-89</v>
      </c>
    </row>
    <row r="223" spans="2:10">
      <c r="B223" t="s">
        <v>123</v>
      </c>
      <c r="C223">
        <v>51</v>
      </c>
      <c r="D223">
        <v>42</v>
      </c>
      <c r="E223">
        <v>406</v>
      </c>
      <c r="F223">
        <v>21</v>
      </c>
      <c r="G223">
        <v>93</v>
      </c>
      <c r="H223">
        <v>278</v>
      </c>
      <c r="I223">
        <v>247</v>
      </c>
      <c r="J223">
        <v>25</v>
      </c>
    </row>
    <row r="224" spans="2:10">
      <c r="B224" t="s">
        <v>18</v>
      </c>
      <c r="C224">
        <v>-377</v>
      </c>
      <c r="D224">
        <v>-225</v>
      </c>
      <c r="E224">
        <v>-422</v>
      </c>
      <c r="F224">
        <v>-404</v>
      </c>
      <c r="G224">
        <v>-502</v>
      </c>
      <c r="H224">
        <v>-641</v>
      </c>
      <c r="I224">
        <v>-752</v>
      </c>
      <c r="J224">
        <v>-803</v>
      </c>
    </row>
    <row r="225" spans="2:10">
      <c r="B225" t="s">
        <v>124</v>
      </c>
      <c r="C225">
        <v>85</v>
      </c>
      <c r="D225">
        <v>-15</v>
      </c>
      <c r="E225" s="33">
        <v>-1190</v>
      </c>
      <c r="F225">
        <v>119</v>
      </c>
      <c r="G225">
        <v>-19</v>
      </c>
      <c r="H225">
        <v>3</v>
      </c>
      <c r="I225">
        <v>-631</v>
      </c>
      <c r="J225">
        <v>55</v>
      </c>
    </row>
    <row r="226" spans="2:10">
      <c r="B226" t="s">
        <v>125</v>
      </c>
      <c r="C226">
        <v>-241</v>
      </c>
      <c r="D226">
        <v>-198</v>
      </c>
      <c r="E226" s="33">
        <v>-1204</v>
      </c>
      <c r="F226">
        <v>-305</v>
      </c>
      <c r="G226">
        <v>-428</v>
      </c>
      <c r="H226">
        <v>-360</v>
      </c>
      <c r="I226" s="33">
        <v>-1101</v>
      </c>
      <c r="J226">
        <v>-561</v>
      </c>
    </row>
    <row r="227" spans="2:10">
      <c r="B227" t="s">
        <v>126</v>
      </c>
      <c r="C227">
        <v>0</v>
      </c>
      <c r="D227">
        <v>0</v>
      </c>
      <c r="E227">
        <v>0</v>
      </c>
      <c r="F227">
        <v>0</v>
      </c>
      <c r="G227">
        <v>0</v>
      </c>
      <c r="H227">
        <v>0</v>
      </c>
      <c r="I227">
        <v>0</v>
      </c>
      <c r="J227">
        <v>0</v>
      </c>
    </row>
    <row r="228" spans="2:10">
      <c r="B228" t="s">
        <v>127</v>
      </c>
      <c r="C228">
        <v>-515</v>
      </c>
      <c r="D228">
        <v>0</v>
      </c>
      <c r="E228">
        <v>-53</v>
      </c>
      <c r="F228">
        <v>53</v>
      </c>
      <c r="G228">
        <v>-736</v>
      </c>
      <c r="H228">
        <v>0</v>
      </c>
      <c r="I228">
        <v>0</v>
      </c>
      <c r="J228">
        <v>0</v>
      </c>
    </row>
    <row r="229" spans="2:10">
      <c r="B229" t="s">
        <v>128</v>
      </c>
      <c r="C229">
        <v>0</v>
      </c>
      <c r="D229">
        <v>0</v>
      </c>
      <c r="E229">
        <v>0</v>
      </c>
      <c r="F229">
        <v>0</v>
      </c>
      <c r="G229">
        <v>0</v>
      </c>
      <c r="H229">
        <v>0</v>
      </c>
      <c r="I229">
        <v>0</v>
      </c>
      <c r="J229">
        <v>0</v>
      </c>
    </row>
    <row r="230" spans="2:10">
      <c r="B230" t="s">
        <v>129</v>
      </c>
      <c r="C230">
        <v>-763</v>
      </c>
      <c r="D230">
        <v>-360</v>
      </c>
      <c r="E230">
        <v>727</v>
      </c>
      <c r="F230">
        <v>578</v>
      </c>
      <c r="G230">
        <v>-661</v>
      </c>
      <c r="H230" s="33">
        <v>1067</v>
      </c>
      <c r="I230" s="33">
        <v>-2106</v>
      </c>
      <c r="J230" s="33">
        <v>1623</v>
      </c>
    </row>
    <row r="231" spans="2:10">
      <c r="B231" t="s">
        <v>130</v>
      </c>
      <c r="C231">
        <v>-458</v>
      </c>
      <c r="D231">
        <v>-831</v>
      </c>
      <c r="E231">
        <v>-665</v>
      </c>
      <c r="F231">
        <v>183</v>
      </c>
      <c r="G231">
        <v>-226</v>
      </c>
      <c r="H231">
        <v>-58</v>
      </c>
      <c r="I231" s="33">
        <v>1365</v>
      </c>
      <c r="J231" s="33">
        <v>-1328</v>
      </c>
    </row>
    <row r="232" spans="2:10">
      <c r="B232" t="s">
        <v>131</v>
      </c>
      <c r="C232">
        <v>0</v>
      </c>
      <c r="D232">
        <v>0</v>
      </c>
      <c r="E232">
        <v>0</v>
      </c>
      <c r="F232">
        <v>0</v>
      </c>
      <c r="G232">
        <v>0</v>
      </c>
      <c r="H232">
        <v>0</v>
      </c>
      <c r="I232">
        <v>0</v>
      </c>
      <c r="J232">
        <v>0</v>
      </c>
    </row>
    <row r="233" spans="2:10">
      <c r="B233" t="s">
        <v>132</v>
      </c>
      <c r="C233">
        <v>0</v>
      </c>
      <c r="D233">
        <v>0</v>
      </c>
      <c r="E233">
        <v>0</v>
      </c>
      <c r="F233">
        <v>0</v>
      </c>
      <c r="G233">
        <v>0</v>
      </c>
      <c r="H233">
        <v>0</v>
      </c>
      <c r="I233">
        <v>0</v>
      </c>
      <c r="J233">
        <v>0</v>
      </c>
    </row>
    <row r="234" spans="2:10">
      <c r="B234" t="s">
        <v>133</v>
      </c>
      <c r="C234">
        <v>0</v>
      </c>
      <c r="D234">
        <v>0</v>
      </c>
      <c r="E234">
        <v>0</v>
      </c>
      <c r="F234">
        <v>0</v>
      </c>
      <c r="G234">
        <v>0</v>
      </c>
      <c r="H234">
        <v>0</v>
      </c>
      <c r="I234">
        <v>0</v>
      </c>
      <c r="J234">
        <v>0</v>
      </c>
    </row>
    <row r="235" spans="2:10">
      <c r="B235" t="s">
        <v>134</v>
      </c>
      <c r="C235">
        <v>-20</v>
      </c>
      <c r="D235">
        <v>54</v>
      </c>
      <c r="E235">
        <v>-163</v>
      </c>
      <c r="F235">
        <v>-549</v>
      </c>
      <c r="G235">
        <v>-6</v>
      </c>
      <c r="H235">
        <v>55</v>
      </c>
      <c r="I235">
        <v>-278</v>
      </c>
      <c r="J235">
        <v>-329</v>
      </c>
    </row>
    <row r="236" spans="2:10">
      <c r="B236" t="s">
        <v>135</v>
      </c>
      <c r="C236" s="33">
        <v>-1756</v>
      </c>
      <c r="D236" s="33">
        <v>-1136</v>
      </c>
      <c r="E236">
        <v>-153</v>
      </c>
      <c r="F236">
        <v>265</v>
      </c>
      <c r="G236" s="33">
        <v>-1630</v>
      </c>
      <c r="H236" s="33">
        <v>1064</v>
      </c>
      <c r="I236" s="33">
        <v>-1019</v>
      </c>
      <c r="J236">
        <v>-35</v>
      </c>
    </row>
    <row r="237" spans="2:10">
      <c r="B237" t="s">
        <v>136</v>
      </c>
      <c r="C237">
        <v>-111</v>
      </c>
      <c r="D237">
        <v>-115</v>
      </c>
      <c r="E237">
        <v>-37</v>
      </c>
      <c r="F237">
        <v>493</v>
      </c>
      <c r="G237">
        <v>-160</v>
      </c>
      <c r="H237">
        <v>-119</v>
      </c>
      <c r="I237">
        <v>43</v>
      </c>
      <c r="J237">
        <v>268</v>
      </c>
    </row>
    <row r="238" spans="2:10">
      <c r="B238" t="s">
        <v>137</v>
      </c>
      <c r="C238">
        <v>-398</v>
      </c>
      <c r="D238">
        <v>-293</v>
      </c>
      <c r="E238">
        <v>-1</v>
      </c>
      <c r="F238">
        <v>347</v>
      </c>
      <c r="G238">
        <v>355</v>
      </c>
      <c r="H238">
        <v>-121</v>
      </c>
      <c r="I238">
        <v>375</v>
      </c>
      <c r="J238">
        <v>-564</v>
      </c>
    </row>
    <row r="239" spans="2:10">
      <c r="B239" t="s">
        <v>138</v>
      </c>
      <c r="C239" s="33">
        <v>4112</v>
      </c>
      <c r="D239" s="33">
        <v>4405</v>
      </c>
      <c r="E239" s="33">
        <v>4405</v>
      </c>
      <c r="F239" s="33">
        <v>4059</v>
      </c>
      <c r="G239" s="33">
        <v>3704</v>
      </c>
      <c r="H239" s="33">
        <v>3825</v>
      </c>
      <c r="I239" s="33">
        <v>3450</v>
      </c>
      <c r="J239" s="33">
        <v>4014</v>
      </c>
    </row>
    <row r="240" spans="2:10">
      <c r="B240" t="s">
        <v>139</v>
      </c>
      <c r="C240" s="33">
        <v>3714</v>
      </c>
      <c r="D240" s="33">
        <v>4112</v>
      </c>
      <c r="E240" s="33">
        <v>4405</v>
      </c>
      <c r="F240" s="33">
        <v>4405</v>
      </c>
      <c r="G240" s="33">
        <v>4059</v>
      </c>
      <c r="H240" s="33">
        <v>3704</v>
      </c>
      <c r="I240" s="33">
        <v>3825</v>
      </c>
      <c r="J240" s="33">
        <v>3450</v>
      </c>
    </row>
    <row r="241" spans="2:10">
      <c r="B241" t="s">
        <v>140</v>
      </c>
      <c r="C241">
        <v>82</v>
      </c>
      <c r="D241">
        <v>95</v>
      </c>
      <c r="E241">
        <v>80</v>
      </c>
      <c r="F241">
        <v>39</v>
      </c>
      <c r="G241">
        <v>52</v>
      </c>
      <c r="H241">
        <v>58</v>
      </c>
      <c r="I241">
        <v>54</v>
      </c>
      <c r="J241">
        <v>51</v>
      </c>
    </row>
    <row r="242" spans="2:10">
      <c r="B242" t="s">
        <v>141</v>
      </c>
      <c r="C242" t="s">
        <v>92</v>
      </c>
      <c r="D242" t="s">
        <v>92</v>
      </c>
      <c r="E242" t="s">
        <v>92</v>
      </c>
      <c r="F242" t="s">
        <v>92</v>
      </c>
      <c r="G242" t="s">
        <v>92</v>
      </c>
      <c r="H242" t="s">
        <v>92</v>
      </c>
      <c r="I242" t="s">
        <v>92</v>
      </c>
      <c r="J242" t="s">
        <v>92</v>
      </c>
    </row>
    <row r="243" spans="2:10">
      <c r="B243" t="s">
        <v>142</v>
      </c>
    </row>
    <row r="244" spans="2:10">
      <c r="B244" t="s">
        <v>143</v>
      </c>
    </row>
    <row r="245" spans="2:10">
      <c r="B245" t="s">
        <v>104</v>
      </c>
    </row>
    <row r="246" spans="2:10">
      <c r="B246" t="s">
        <v>105</v>
      </c>
    </row>
  </sheetData>
  <sheetProtection sheet="1" objects="1" scenarios="1"/>
  <phoneticPr fontId="2"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sheet7"/>
  <dimension ref="B2:J246"/>
  <sheetViews>
    <sheetView workbookViewId="0">
      <selection sqref="A1:XFD1000"/>
    </sheetView>
  </sheetViews>
  <sheetFormatPr defaultRowHeight="16.5"/>
  <cols>
    <col min="2" max="2" width="80.875" customWidth="1"/>
    <col min="3" max="10" width="7.625" customWidth="1"/>
  </cols>
  <sheetData>
    <row r="2" spans="2:10">
      <c r="B2" t="s">
        <v>3198</v>
      </c>
    </row>
    <row r="3" spans="2:10">
      <c r="B3" t="s">
        <v>43</v>
      </c>
    </row>
    <row r="4" spans="2:10">
      <c r="B4" t="s">
        <v>44</v>
      </c>
      <c r="C4" t="s">
        <v>2909</v>
      </c>
      <c r="D4" t="s">
        <v>1907</v>
      </c>
      <c r="E4" t="s">
        <v>1840</v>
      </c>
      <c r="F4" t="s">
        <v>1751</v>
      </c>
      <c r="G4" t="s">
        <v>215</v>
      </c>
      <c r="H4" t="s">
        <v>45</v>
      </c>
      <c r="I4" t="s">
        <v>46</v>
      </c>
      <c r="J4" t="s">
        <v>47</v>
      </c>
    </row>
    <row r="5" spans="2:10">
      <c r="B5" t="s">
        <v>8</v>
      </c>
      <c r="C5" s="33">
        <v>4338</v>
      </c>
      <c r="D5" s="33">
        <v>4256</v>
      </c>
      <c r="E5" s="33">
        <v>4179</v>
      </c>
      <c r="F5" s="33">
        <v>4437</v>
      </c>
      <c r="G5" s="33">
        <v>3929</v>
      </c>
      <c r="H5" s="33">
        <v>4008</v>
      </c>
      <c r="I5" s="33">
        <v>4519</v>
      </c>
      <c r="J5" s="33">
        <v>4541</v>
      </c>
    </row>
    <row r="6" spans="2:10">
      <c r="B6" t="s">
        <v>9</v>
      </c>
      <c r="C6" s="33">
        <v>3684</v>
      </c>
      <c r="D6" s="33">
        <v>3646</v>
      </c>
      <c r="E6" s="33">
        <v>3611</v>
      </c>
      <c r="F6" s="33">
        <v>3871</v>
      </c>
      <c r="G6" s="33">
        <v>3538</v>
      </c>
      <c r="H6" s="33">
        <v>3506</v>
      </c>
      <c r="I6" s="33">
        <v>3934</v>
      </c>
      <c r="J6" s="33">
        <v>4048</v>
      </c>
    </row>
    <row r="7" spans="2:10">
      <c r="B7" t="s">
        <v>49</v>
      </c>
      <c r="C7">
        <v>654</v>
      </c>
      <c r="D7">
        <v>610</v>
      </c>
      <c r="E7">
        <v>568</v>
      </c>
      <c r="F7">
        <v>566</v>
      </c>
      <c r="G7">
        <v>391</v>
      </c>
      <c r="H7">
        <v>503</v>
      </c>
      <c r="I7">
        <v>585</v>
      </c>
      <c r="J7">
        <v>493</v>
      </c>
    </row>
    <row r="8" spans="2:10">
      <c r="B8" t="s">
        <v>50</v>
      </c>
      <c r="C8">
        <v>0</v>
      </c>
      <c r="D8">
        <v>0</v>
      </c>
      <c r="E8">
        <v>0</v>
      </c>
      <c r="F8">
        <v>0</v>
      </c>
      <c r="G8">
        <v>0</v>
      </c>
      <c r="H8">
        <v>0</v>
      </c>
      <c r="I8">
        <v>0</v>
      </c>
      <c r="J8">
        <v>0</v>
      </c>
    </row>
    <row r="9" spans="2:10">
      <c r="B9" t="s">
        <v>51</v>
      </c>
      <c r="C9">
        <v>654</v>
      </c>
      <c r="D9">
        <v>610</v>
      </c>
      <c r="E9">
        <v>568</v>
      </c>
      <c r="F9">
        <v>566</v>
      </c>
      <c r="G9">
        <v>391</v>
      </c>
      <c r="H9">
        <v>503</v>
      </c>
      <c r="I9">
        <v>585</v>
      </c>
      <c r="J9">
        <v>493</v>
      </c>
    </row>
    <row r="10" spans="2:10">
      <c r="B10" t="s">
        <v>52</v>
      </c>
      <c r="C10">
        <v>308</v>
      </c>
      <c r="D10">
        <v>292</v>
      </c>
      <c r="E10">
        <v>299</v>
      </c>
      <c r="F10">
        <v>304</v>
      </c>
      <c r="G10">
        <v>255</v>
      </c>
      <c r="H10">
        <v>286</v>
      </c>
      <c r="I10">
        <v>288</v>
      </c>
      <c r="J10">
        <v>281</v>
      </c>
    </row>
    <row r="11" spans="2:10">
      <c r="B11" t="s">
        <v>53</v>
      </c>
      <c r="C11">
        <v>205</v>
      </c>
      <c r="D11">
        <v>193</v>
      </c>
      <c r="E11">
        <v>193</v>
      </c>
      <c r="F11">
        <v>216</v>
      </c>
      <c r="G11">
        <v>188</v>
      </c>
      <c r="H11">
        <v>185</v>
      </c>
      <c r="I11">
        <v>192</v>
      </c>
      <c r="J11">
        <v>211</v>
      </c>
    </row>
    <row r="12" spans="2:10">
      <c r="B12" t="s">
        <v>54</v>
      </c>
      <c r="C12">
        <v>103</v>
      </c>
      <c r="D12">
        <v>99</v>
      </c>
      <c r="E12">
        <v>107</v>
      </c>
      <c r="F12">
        <v>88</v>
      </c>
      <c r="G12">
        <v>67</v>
      </c>
      <c r="H12">
        <v>101</v>
      </c>
      <c r="I12">
        <v>96</v>
      </c>
      <c r="J12">
        <v>70</v>
      </c>
    </row>
    <row r="13" spans="2:10">
      <c r="B13" t="s">
        <v>55</v>
      </c>
      <c r="C13">
        <v>0</v>
      </c>
      <c r="D13">
        <v>0</v>
      </c>
      <c r="E13">
        <v>0</v>
      </c>
      <c r="F13">
        <v>0</v>
      </c>
      <c r="G13">
        <v>0</v>
      </c>
      <c r="H13">
        <v>0</v>
      </c>
      <c r="I13">
        <v>0</v>
      </c>
      <c r="J13">
        <v>0</v>
      </c>
    </row>
    <row r="14" spans="2:10">
      <c r="B14" t="s">
        <v>56</v>
      </c>
      <c r="C14">
        <v>346</v>
      </c>
      <c r="D14">
        <v>317</v>
      </c>
      <c r="E14">
        <v>269</v>
      </c>
      <c r="F14">
        <v>262</v>
      </c>
      <c r="G14">
        <v>136</v>
      </c>
      <c r="H14">
        <v>217</v>
      </c>
      <c r="I14">
        <v>297</v>
      </c>
      <c r="J14">
        <v>212</v>
      </c>
    </row>
    <row r="15" spans="2:10">
      <c r="B15" t="s">
        <v>57</v>
      </c>
      <c r="C15">
        <v>1</v>
      </c>
      <c r="D15">
        <v>1</v>
      </c>
      <c r="E15">
        <v>2</v>
      </c>
      <c r="F15">
        <v>1</v>
      </c>
      <c r="G15">
        <v>2</v>
      </c>
      <c r="H15">
        <v>0</v>
      </c>
      <c r="I15">
        <v>0</v>
      </c>
      <c r="J15">
        <v>0</v>
      </c>
    </row>
    <row r="16" spans="2:10">
      <c r="B16" t="s">
        <v>58</v>
      </c>
      <c r="C16">
        <v>26</v>
      </c>
      <c r="D16">
        <v>0</v>
      </c>
      <c r="E16">
        <v>0</v>
      </c>
      <c r="F16">
        <v>17</v>
      </c>
      <c r="G16">
        <v>27</v>
      </c>
      <c r="H16">
        <v>0</v>
      </c>
      <c r="I16">
        <v>0</v>
      </c>
      <c r="J16">
        <v>18</v>
      </c>
    </row>
    <row r="17" spans="2:10">
      <c r="B17" t="s">
        <v>59</v>
      </c>
      <c r="C17">
        <v>0</v>
      </c>
      <c r="D17">
        <v>0</v>
      </c>
      <c r="E17">
        <v>0</v>
      </c>
      <c r="F17">
        <v>0</v>
      </c>
      <c r="G17">
        <v>0</v>
      </c>
      <c r="H17">
        <v>0</v>
      </c>
      <c r="I17">
        <v>0</v>
      </c>
      <c r="J17">
        <v>0</v>
      </c>
    </row>
    <row r="18" spans="2:10">
      <c r="B18" t="s">
        <v>60</v>
      </c>
      <c r="C18">
        <v>0</v>
      </c>
      <c r="D18">
        <v>0</v>
      </c>
      <c r="E18">
        <v>0</v>
      </c>
      <c r="F18">
        <v>0</v>
      </c>
      <c r="G18">
        <v>1</v>
      </c>
      <c r="H18">
        <v>0</v>
      </c>
      <c r="I18">
        <v>1</v>
      </c>
      <c r="J18">
        <v>1</v>
      </c>
    </row>
    <row r="19" spans="2:10">
      <c r="B19" t="s">
        <v>61</v>
      </c>
      <c r="C19">
        <v>0</v>
      </c>
      <c r="D19">
        <v>0</v>
      </c>
      <c r="E19">
        <v>0</v>
      </c>
      <c r="F19">
        <v>0</v>
      </c>
      <c r="G19">
        <v>0</v>
      </c>
      <c r="H19">
        <v>0</v>
      </c>
      <c r="I19">
        <v>0</v>
      </c>
      <c r="J19">
        <v>0</v>
      </c>
    </row>
    <row r="20" spans="2:10">
      <c r="B20" t="s">
        <v>62</v>
      </c>
      <c r="C20">
        <v>0</v>
      </c>
      <c r="D20">
        <v>0</v>
      </c>
      <c r="E20">
        <v>0</v>
      </c>
      <c r="F20">
        <v>0</v>
      </c>
      <c r="G20">
        <v>0</v>
      </c>
      <c r="H20">
        <v>0</v>
      </c>
      <c r="I20">
        <v>0</v>
      </c>
      <c r="J20">
        <v>0</v>
      </c>
    </row>
    <row r="21" spans="2:10">
      <c r="B21" t="s">
        <v>63</v>
      </c>
      <c r="C21">
        <v>0</v>
      </c>
      <c r="D21">
        <v>0</v>
      </c>
      <c r="E21">
        <v>0</v>
      </c>
      <c r="F21">
        <v>0</v>
      </c>
      <c r="G21">
        <v>0</v>
      </c>
      <c r="H21">
        <v>0</v>
      </c>
      <c r="I21">
        <v>0</v>
      </c>
      <c r="J21">
        <v>0</v>
      </c>
    </row>
    <row r="22" spans="2:10">
      <c r="B22" t="s">
        <v>64</v>
      </c>
      <c r="C22">
        <v>0</v>
      </c>
      <c r="D22">
        <v>0</v>
      </c>
      <c r="E22">
        <v>0</v>
      </c>
      <c r="F22">
        <v>0</v>
      </c>
      <c r="G22">
        <v>0</v>
      </c>
      <c r="H22">
        <v>0</v>
      </c>
      <c r="I22">
        <v>0</v>
      </c>
      <c r="J22">
        <v>0</v>
      </c>
    </row>
    <row r="23" spans="2:10">
      <c r="B23" t="s">
        <v>65</v>
      </c>
      <c r="C23">
        <v>0</v>
      </c>
      <c r="D23">
        <v>0</v>
      </c>
      <c r="E23">
        <v>0</v>
      </c>
      <c r="F23">
        <v>0</v>
      </c>
      <c r="G23">
        <v>0</v>
      </c>
      <c r="H23">
        <v>0</v>
      </c>
      <c r="I23">
        <v>0</v>
      </c>
      <c r="J23">
        <v>0</v>
      </c>
    </row>
    <row r="24" spans="2:10">
      <c r="B24" t="s">
        <v>66</v>
      </c>
      <c r="C24">
        <v>0</v>
      </c>
      <c r="D24">
        <v>0</v>
      </c>
      <c r="E24">
        <v>0</v>
      </c>
      <c r="F24">
        <v>0</v>
      </c>
      <c r="G24">
        <v>0</v>
      </c>
      <c r="H24">
        <v>0</v>
      </c>
      <c r="I24">
        <v>0</v>
      </c>
      <c r="J24">
        <v>0</v>
      </c>
    </row>
    <row r="25" spans="2:10">
      <c r="B25" t="s">
        <v>67</v>
      </c>
      <c r="C25">
        <v>-1</v>
      </c>
      <c r="D25">
        <v>5</v>
      </c>
      <c r="E25">
        <v>0</v>
      </c>
      <c r="F25">
        <v>-12</v>
      </c>
      <c r="G25">
        <v>2</v>
      </c>
      <c r="H25">
        <v>10</v>
      </c>
      <c r="I25">
        <v>0</v>
      </c>
      <c r="J25">
        <v>-1</v>
      </c>
    </row>
    <row r="26" spans="2:10">
      <c r="B26" t="s">
        <v>68</v>
      </c>
      <c r="C26">
        <v>7</v>
      </c>
      <c r="D26">
        <v>2</v>
      </c>
      <c r="E26">
        <v>6</v>
      </c>
      <c r="F26">
        <v>-1</v>
      </c>
      <c r="G26">
        <v>3</v>
      </c>
      <c r="H26">
        <v>2</v>
      </c>
      <c r="I26">
        <v>4</v>
      </c>
      <c r="J26">
        <v>2</v>
      </c>
    </row>
    <row r="27" spans="2:10">
      <c r="B27" t="s">
        <v>69</v>
      </c>
      <c r="C27">
        <v>34</v>
      </c>
      <c r="D27">
        <v>8</v>
      </c>
      <c r="E27">
        <v>9</v>
      </c>
      <c r="F27">
        <v>5</v>
      </c>
      <c r="G27">
        <v>34</v>
      </c>
      <c r="H27">
        <v>13</v>
      </c>
      <c r="I27">
        <v>5</v>
      </c>
      <c r="J27">
        <v>20</v>
      </c>
    </row>
    <row r="28" spans="2:10">
      <c r="B28" t="s">
        <v>70</v>
      </c>
      <c r="C28">
        <v>7</v>
      </c>
      <c r="D28">
        <v>7</v>
      </c>
      <c r="E28">
        <v>8</v>
      </c>
      <c r="F28">
        <v>7</v>
      </c>
      <c r="G28">
        <v>8</v>
      </c>
      <c r="H28">
        <v>8</v>
      </c>
      <c r="I28">
        <v>7</v>
      </c>
      <c r="J28">
        <v>8</v>
      </c>
    </row>
    <row r="29" spans="2:10">
      <c r="B29" t="s">
        <v>71</v>
      </c>
      <c r="C29">
        <v>0</v>
      </c>
      <c r="D29">
        <v>0</v>
      </c>
      <c r="E29">
        <v>0</v>
      </c>
      <c r="F29">
        <v>0</v>
      </c>
      <c r="G29">
        <v>0</v>
      </c>
      <c r="H29">
        <v>0</v>
      </c>
      <c r="I29">
        <v>0</v>
      </c>
      <c r="J29">
        <v>0</v>
      </c>
    </row>
    <row r="30" spans="2:10">
      <c r="B30" t="s">
        <v>72</v>
      </c>
      <c r="C30">
        <v>0</v>
      </c>
      <c r="D30">
        <v>0</v>
      </c>
      <c r="E30">
        <v>0</v>
      </c>
      <c r="F30">
        <v>0</v>
      </c>
      <c r="G30">
        <v>0</v>
      </c>
      <c r="H30">
        <v>0</v>
      </c>
      <c r="I30">
        <v>0</v>
      </c>
      <c r="J30">
        <v>0</v>
      </c>
    </row>
    <row r="31" spans="2:10">
      <c r="B31" t="s">
        <v>73</v>
      </c>
      <c r="C31">
        <v>0</v>
      </c>
      <c r="D31">
        <v>0</v>
      </c>
      <c r="E31">
        <v>0</v>
      </c>
      <c r="F31">
        <v>0</v>
      </c>
      <c r="G31">
        <v>0</v>
      </c>
      <c r="H31">
        <v>0</v>
      </c>
      <c r="I31">
        <v>0</v>
      </c>
      <c r="J31">
        <v>0</v>
      </c>
    </row>
    <row r="32" spans="2:10">
      <c r="B32" t="s">
        <v>74</v>
      </c>
      <c r="C32">
        <v>0</v>
      </c>
      <c r="D32">
        <v>0</v>
      </c>
      <c r="E32">
        <v>0</v>
      </c>
      <c r="F32">
        <v>0</v>
      </c>
      <c r="G32">
        <v>0</v>
      </c>
      <c r="H32">
        <v>0</v>
      </c>
      <c r="I32">
        <v>0</v>
      </c>
      <c r="J32">
        <v>0</v>
      </c>
    </row>
    <row r="33" spans="2:10">
      <c r="B33" t="s">
        <v>75</v>
      </c>
      <c r="C33">
        <v>0</v>
      </c>
      <c r="D33">
        <v>0</v>
      </c>
      <c r="E33">
        <v>0</v>
      </c>
      <c r="F33">
        <v>0</v>
      </c>
      <c r="G33">
        <v>0</v>
      </c>
      <c r="H33">
        <v>0</v>
      </c>
      <c r="I33">
        <v>0</v>
      </c>
      <c r="J33">
        <v>0</v>
      </c>
    </row>
    <row r="34" spans="2:10">
      <c r="B34" t="s">
        <v>76</v>
      </c>
      <c r="C34">
        <v>0</v>
      </c>
      <c r="D34">
        <v>0</v>
      </c>
      <c r="E34">
        <v>0</v>
      </c>
      <c r="F34">
        <v>0</v>
      </c>
      <c r="G34">
        <v>0</v>
      </c>
      <c r="H34">
        <v>0</v>
      </c>
      <c r="I34">
        <v>0</v>
      </c>
      <c r="J34">
        <v>0</v>
      </c>
    </row>
    <row r="35" spans="2:10">
      <c r="B35" t="s">
        <v>77</v>
      </c>
      <c r="C35">
        <v>0</v>
      </c>
      <c r="D35">
        <v>0</v>
      </c>
      <c r="E35">
        <v>0</v>
      </c>
      <c r="F35">
        <v>0</v>
      </c>
      <c r="G35">
        <v>0</v>
      </c>
      <c r="H35">
        <v>0</v>
      </c>
      <c r="I35">
        <v>0</v>
      </c>
      <c r="J35">
        <v>0</v>
      </c>
    </row>
    <row r="36" spans="2:10">
      <c r="B36" t="s">
        <v>78</v>
      </c>
      <c r="C36">
        <v>0</v>
      </c>
      <c r="D36">
        <v>0</v>
      </c>
      <c r="E36">
        <v>0</v>
      </c>
      <c r="F36">
        <v>0</v>
      </c>
      <c r="G36">
        <v>0</v>
      </c>
      <c r="H36">
        <v>0</v>
      </c>
      <c r="I36">
        <v>0</v>
      </c>
      <c r="J36">
        <v>0</v>
      </c>
    </row>
    <row r="37" spans="2:10">
      <c r="B37" t="s">
        <v>79</v>
      </c>
      <c r="C37">
        <v>0</v>
      </c>
      <c r="D37">
        <v>0</v>
      </c>
      <c r="E37">
        <v>0</v>
      </c>
      <c r="F37">
        <v>0</v>
      </c>
      <c r="G37">
        <v>0</v>
      </c>
      <c r="H37">
        <v>0</v>
      </c>
      <c r="I37">
        <v>0</v>
      </c>
      <c r="J37">
        <v>0</v>
      </c>
    </row>
    <row r="38" spans="2:10">
      <c r="B38" t="s">
        <v>80</v>
      </c>
      <c r="C38">
        <v>0</v>
      </c>
      <c r="D38">
        <v>0</v>
      </c>
      <c r="E38">
        <v>-6</v>
      </c>
      <c r="F38">
        <v>8</v>
      </c>
      <c r="G38">
        <v>0</v>
      </c>
      <c r="H38">
        <v>0</v>
      </c>
      <c r="I38">
        <v>12</v>
      </c>
      <c r="J38">
        <v>1</v>
      </c>
    </row>
    <row r="39" spans="2:10">
      <c r="B39" t="s">
        <v>81</v>
      </c>
      <c r="C39">
        <v>0</v>
      </c>
      <c r="D39">
        <v>0</v>
      </c>
      <c r="E39">
        <v>0</v>
      </c>
      <c r="F39">
        <v>0</v>
      </c>
      <c r="G39">
        <v>0</v>
      </c>
      <c r="H39">
        <v>0</v>
      </c>
      <c r="I39">
        <v>0</v>
      </c>
      <c r="J39">
        <v>0</v>
      </c>
    </row>
    <row r="40" spans="2:10">
      <c r="B40" t="s">
        <v>82</v>
      </c>
      <c r="C40">
        <v>0</v>
      </c>
      <c r="D40">
        <v>0</v>
      </c>
      <c r="E40">
        <v>0</v>
      </c>
      <c r="F40">
        <v>0</v>
      </c>
      <c r="G40">
        <v>0</v>
      </c>
      <c r="H40">
        <v>0</v>
      </c>
      <c r="I40">
        <v>0</v>
      </c>
      <c r="J40">
        <v>0</v>
      </c>
    </row>
    <row r="41" spans="2:10">
      <c r="B41" t="s">
        <v>83</v>
      </c>
      <c r="C41">
        <v>7</v>
      </c>
      <c r="D41">
        <v>7</v>
      </c>
      <c r="E41">
        <v>1</v>
      </c>
      <c r="F41">
        <v>15</v>
      </c>
      <c r="G41">
        <v>8</v>
      </c>
      <c r="H41">
        <v>8</v>
      </c>
      <c r="I41">
        <v>20</v>
      </c>
      <c r="J41">
        <v>10</v>
      </c>
    </row>
    <row r="42" spans="2:10">
      <c r="B42" t="s">
        <v>84</v>
      </c>
      <c r="C42">
        <v>374</v>
      </c>
      <c r="D42">
        <v>319</v>
      </c>
      <c r="E42">
        <v>277</v>
      </c>
      <c r="F42">
        <v>252</v>
      </c>
      <c r="G42">
        <v>163</v>
      </c>
      <c r="H42">
        <v>221</v>
      </c>
      <c r="I42">
        <v>282</v>
      </c>
      <c r="J42">
        <v>223</v>
      </c>
    </row>
    <row r="43" spans="2:10">
      <c r="B43" t="s">
        <v>85</v>
      </c>
      <c r="C43">
        <v>76</v>
      </c>
      <c r="D43">
        <v>58</v>
      </c>
      <c r="E43">
        <v>46</v>
      </c>
      <c r="F43">
        <v>49</v>
      </c>
      <c r="G43">
        <v>54</v>
      </c>
      <c r="H43">
        <v>42</v>
      </c>
      <c r="I43">
        <v>44</v>
      </c>
      <c r="J43">
        <v>45</v>
      </c>
    </row>
    <row r="44" spans="2:10">
      <c r="B44" t="s">
        <v>86</v>
      </c>
      <c r="C44">
        <v>298</v>
      </c>
      <c r="D44">
        <v>261</v>
      </c>
      <c r="E44">
        <v>231</v>
      </c>
      <c r="F44">
        <v>203</v>
      </c>
      <c r="G44">
        <v>108</v>
      </c>
      <c r="H44">
        <v>179</v>
      </c>
      <c r="I44">
        <v>238</v>
      </c>
      <c r="J44">
        <v>178</v>
      </c>
    </row>
    <row r="45" spans="2:10">
      <c r="B45" t="s">
        <v>87</v>
      </c>
      <c r="C45">
        <v>0</v>
      </c>
      <c r="D45">
        <v>0</v>
      </c>
      <c r="E45">
        <v>0</v>
      </c>
      <c r="F45">
        <v>0</v>
      </c>
      <c r="G45">
        <v>0</v>
      </c>
      <c r="H45">
        <v>0</v>
      </c>
      <c r="I45">
        <v>0</v>
      </c>
      <c r="J45">
        <v>0</v>
      </c>
    </row>
    <row r="46" spans="2:10">
      <c r="B46" t="s">
        <v>88</v>
      </c>
      <c r="C46">
        <v>0</v>
      </c>
      <c r="D46">
        <v>0</v>
      </c>
      <c r="E46">
        <v>0</v>
      </c>
      <c r="F46">
        <v>0</v>
      </c>
      <c r="G46">
        <v>0</v>
      </c>
      <c r="H46">
        <v>0</v>
      </c>
      <c r="I46">
        <v>0</v>
      </c>
      <c r="J46">
        <v>0</v>
      </c>
    </row>
    <row r="47" spans="2:10">
      <c r="B47" t="s">
        <v>89</v>
      </c>
      <c r="C47">
        <v>0</v>
      </c>
      <c r="D47">
        <v>0</v>
      </c>
      <c r="E47">
        <v>0</v>
      </c>
      <c r="F47">
        <v>0</v>
      </c>
      <c r="G47">
        <v>0</v>
      </c>
      <c r="H47">
        <v>0</v>
      </c>
      <c r="I47">
        <v>0</v>
      </c>
      <c r="J47">
        <v>0</v>
      </c>
    </row>
    <row r="48" spans="2:10">
      <c r="B48" t="s">
        <v>90</v>
      </c>
      <c r="C48">
        <v>298</v>
      </c>
      <c r="D48">
        <v>261</v>
      </c>
      <c r="E48">
        <v>231</v>
      </c>
      <c r="F48">
        <v>203</v>
      </c>
      <c r="G48">
        <v>108</v>
      </c>
      <c r="H48">
        <v>179</v>
      </c>
      <c r="I48">
        <v>238</v>
      </c>
      <c r="J48">
        <v>178</v>
      </c>
    </row>
    <row r="49" spans="2:10">
      <c r="B49" t="s">
        <v>91</v>
      </c>
      <c r="C49" t="s">
        <v>92</v>
      </c>
      <c r="D49" t="s">
        <v>92</v>
      </c>
      <c r="E49" t="s">
        <v>92</v>
      </c>
      <c r="F49" t="s">
        <v>92</v>
      </c>
      <c r="G49" t="s">
        <v>92</v>
      </c>
      <c r="H49" t="s">
        <v>92</v>
      </c>
      <c r="I49" t="s">
        <v>92</v>
      </c>
      <c r="J49" t="s">
        <v>92</v>
      </c>
    </row>
    <row r="50" spans="2:10">
      <c r="B50" t="s">
        <v>93</v>
      </c>
      <c r="C50">
        <v>9</v>
      </c>
      <c r="D50">
        <v>6</v>
      </c>
      <c r="E50">
        <v>11</v>
      </c>
      <c r="F50">
        <v>12</v>
      </c>
      <c r="G50">
        <v>7</v>
      </c>
      <c r="H50">
        <v>4</v>
      </c>
      <c r="I50">
        <v>5</v>
      </c>
      <c r="J50">
        <v>10</v>
      </c>
    </row>
    <row r="51" spans="2:10">
      <c r="B51" t="s">
        <v>94</v>
      </c>
      <c r="C51">
        <v>0</v>
      </c>
      <c r="D51">
        <v>0</v>
      </c>
      <c r="E51">
        <v>0</v>
      </c>
      <c r="F51">
        <v>0</v>
      </c>
      <c r="G51">
        <v>0</v>
      </c>
      <c r="H51">
        <v>0</v>
      </c>
      <c r="I51">
        <v>0</v>
      </c>
      <c r="J51">
        <v>0</v>
      </c>
    </row>
    <row r="52" spans="2:10">
      <c r="B52" t="s">
        <v>11</v>
      </c>
      <c r="C52">
        <v>289</v>
      </c>
      <c r="D52">
        <v>255</v>
      </c>
      <c r="E52">
        <v>219</v>
      </c>
      <c r="F52">
        <v>192</v>
      </c>
      <c r="G52">
        <v>102</v>
      </c>
      <c r="H52">
        <v>175</v>
      </c>
      <c r="I52">
        <v>233</v>
      </c>
      <c r="J52">
        <v>168</v>
      </c>
    </row>
    <row r="53" spans="2:10">
      <c r="B53" t="s">
        <v>12</v>
      </c>
      <c r="C53">
        <v>1.08</v>
      </c>
      <c r="D53">
        <v>0.95</v>
      </c>
      <c r="E53">
        <v>0.82</v>
      </c>
      <c r="F53">
        <v>0.72</v>
      </c>
      <c r="G53">
        <v>0.42</v>
      </c>
      <c r="H53">
        <v>0.72</v>
      </c>
      <c r="I53">
        <v>0.96</v>
      </c>
      <c r="J53">
        <v>0.69</v>
      </c>
    </row>
    <row r="54" spans="2:10">
      <c r="B54" t="s">
        <v>95</v>
      </c>
      <c r="C54" t="s">
        <v>92</v>
      </c>
      <c r="D54">
        <v>0.95</v>
      </c>
      <c r="E54" t="s">
        <v>92</v>
      </c>
      <c r="F54">
        <v>0.71</v>
      </c>
      <c r="G54">
        <v>0.42</v>
      </c>
      <c r="H54">
        <v>0.72</v>
      </c>
      <c r="I54" t="s">
        <v>92</v>
      </c>
      <c r="J54">
        <v>0.69</v>
      </c>
    </row>
    <row r="55" spans="2:10">
      <c r="B55" t="s">
        <v>96</v>
      </c>
      <c r="C55" s="33">
        <v>2676</v>
      </c>
      <c r="D55" s="33">
        <v>2680</v>
      </c>
      <c r="E55" s="33">
        <v>2680</v>
      </c>
      <c r="F55" s="33">
        <v>2680</v>
      </c>
      <c r="G55" s="33">
        <v>2436</v>
      </c>
      <c r="H55" s="33">
        <v>2436</v>
      </c>
      <c r="I55" s="33">
        <v>2436</v>
      </c>
      <c r="J55" s="33">
        <v>2436</v>
      </c>
    </row>
    <row r="56" spans="2:10">
      <c r="B56" t="s">
        <v>97</v>
      </c>
      <c r="C56">
        <v>0</v>
      </c>
      <c r="D56">
        <v>0</v>
      </c>
      <c r="E56">
        <v>0</v>
      </c>
      <c r="F56">
        <v>0</v>
      </c>
      <c r="G56">
        <v>0</v>
      </c>
      <c r="H56">
        <v>0</v>
      </c>
      <c r="I56">
        <v>0</v>
      </c>
      <c r="J56">
        <v>0</v>
      </c>
    </row>
    <row r="57" spans="2:10">
      <c r="B57" t="s">
        <v>98</v>
      </c>
      <c r="C57" t="s">
        <v>92</v>
      </c>
      <c r="D57" t="s">
        <v>92</v>
      </c>
      <c r="E57">
        <v>0</v>
      </c>
      <c r="F57" t="s">
        <v>92</v>
      </c>
      <c r="G57" t="s">
        <v>92</v>
      </c>
      <c r="H57" t="s">
        <v>92</v>
      </c>
      <c r="I57">
        <v>0</v>
      </c>
      <c r="J57" t="s">
        <v>92</v>
      </c>
    </row>
    <row r="58" spans="2:10">
      <c r="B58" t="s">
        <v>99</v>
      </c>
      <c r="C58">
        <v>0</v>
      </c>
      <c r="D58">
        <v>0</v>
      </c>
      <c r="E58">
        <v>0</v>
      </c>
      <c r="F58">
        <v>0</v>
      </c>
      <c r="G58">
        <v>0</v>
      </c>
      <c r="H58">
        <v>0</v>
      </c>
      <c r="I58">
        <v>0</v>
      </c>
      <c r="J58">
        <v>0</v>
      </c>
    </row>
    <row r="59" spans="2:10">
      <c r="B59" t="s">
        <v>100</v>
      </c>
      <c r="C59">
        <v>0</v>
      </c>
      <c r="D59">
        <v>0</v>
      </c>
      <c r="E59">
        <v>0</v>
      </c>
      <c r="F59">
        <v>0</v>
      </c>
      <c r="G59">
        <v>0</v>
      </c>
      <c r="H59">
        <v>0</v>
      </c>
      <c r="I59">
        <v>0</v>
      </c>
      <c r="J59">
        <v>0</v>
      </c>
    </row>
    <row r="60" spans="2:10">
      <c r="B60" t="s">
        <v>101</v>
      </c>
      <c r="C60">
        <v>380</v>
      </c>
      <c r="D60">
        <v>326</v>
      </c>
      <c r="E60">
        <v>284</v>
      </c>
      <c r="F60">
        <v>259</v>
      </c>
      <c r="G60">
        <v>170</v>
      </c>
      <c r="H60">
        <v>229</v>
      </c>
      <c r="I60">
        <v>289</v>
      </c>
      <c r="J60">
        <v>231</v>
      </c>
    </row>
    <row r="61" spans="2:10">
      <c r="B61" t="s">
        <v>102</v>
      </c>
      <c r="C61">
        <v>476</v>
      </c>
      <c r="D61">
        <v>417</v>
      </c>
      <c r="E61">
        <v>374</v>
      </c>
      <c r="F61">
        <v>344</v>
      </c>
      <c r="G61">
        <v>251</v>
      </c>
      <c r="H61">
        <v>307</v>
      </c>
      <c r="I61">
        <v>366</v>
      </c>
      <c r="J61">
        <v>306</v>
      </c>
    </row>
    <row r="62" spans="2:10">
      <c r="B62" t="s">
        <v>103</v>
      </c>
      <c r="C62">
        <v>298</v>
      </c>
      <c r="D62">
        <v>261</v>
      </c>
      <c r="E62">
        <v>230</v>
      </c>
      <c r="F62">
        <v>203</v>
      </c>
      <c r="G62">
        <v>108</v>
      </c>
      <c r="H62">
        <v>178</v>
      </c>
      <c r="I62">
        <v>237</v>
      </c>
      <c r="J62">
        <v>177</v>
      </c>
    </row>
    <row r="63" spans="2:10">
      <c r="B63" t="s">
        <v>104</v>
      </c>
    </row>
    <row r="64" spans="2:10">
      <c r="B64" t="s">
        <v>105</v>
      </c>
    </row>
    <row r="101" spans="2:10">
      <c r="B101" t="s">
        <v>3199</v>
      </c>
    </row>
    <row r="102" spans="2:10">
      <c r="B102" t="s">
        <v>43</v>
      </c>
    </row>
    <row r="103" spans="2:10">
      <c r="B103" t="s">
        <v>44</v>
      </c>
      <c r="C103" t="s">
        <v>2909</v>
      </c>
      <c r="D103" t="s">
        <v>1907</v>
      </c>
      <c r="E103" t="s">
        <v>1840</v>
      </c>
      <c r="F103" t="s">
        <v>1751</v>
      </c>
      <c r="G103" t="s">
        <v>215</v>
      </c>
      <c r="H103" t="s">
        <v>45</v>
      </c>
      <c r="I103" t="s">
        <v>46</v>
      </c>
      <c r="J103" t="s">
        <v>47</v>
      </c>
    </row>
    <row r="104" spans="2:10">
      <c r="B104" t="s">
        <v>145</v>
      </c>
      <c r="C104">
        <v>163</v>
      </c>
      <c r="D104">
        <v>178</v>
      </c>
      <c r="E104">
        <v>242</v>
      </c>
      <c r="F104">
        <v>295</v>
      </c>
      <c r="G104">
        <v>212</v>
      </c>
      <c r="H104">
        <v>291</v>
      </c>
      <c r="I104">
        <v>352</v>
      </c>
      <c r="J104">
        <v>343</v>
      </c>
    </row>
    <row r="105" spans="2:10">
      <c r="B105" t="s">
        <v>146</v>
      </c>
      <c r="C105">
        <v>0</v>
      </c>
      <c r="D105">
        <v>0</v>
      </c>
      <c r="E105">
        <v>0</v>
      </c>
      <c r="F105">
        <v>0</v>
      </c>
      <c r="G105">
        <v>0</v>
      </c>
      <c r="H105">
        <v>0</v>
      </c>
      <c r="I105">
        <v>0</v>
      </c>
      <c r="J105">
        <v>0</v>
      </c>
    </row>
    <row r="106" spans="2:10">
      <c r="B106" t="s">
        <v>183</v>
      </c>
      <c r="C106" s="33">
        <v>1689</v>
      </c>
      <c r="D106" s="33">
        <v>1719</v>
      </c>
      <c r="E106" s="33">
        <v>1633</v>
      </c>
      <c r="F106" s="33">
        <v>1722</v>
      </c>
      <c r="G106" s="33">
        <v>1560</v>
      </c>
      <c r="H106" s="33">
        <v>1563</v>
      </c>
      <c r="I106" s="33">
        <v>1779</v>
      </c>
      <c r="J106" s="33">
        <v>1766</v>
      </c>
    </row>
    <row r="107" spans="2:10">
      <c r="B107" t="s">
        <v>147</v>
      </c>
      <c r="C107">
        <v>22</v>
      </c>
      <c r="D107">
        <v>28</v>
      </c>
      <c r="E107">
        <v>15</v>
      </c>
      <c r="F107">
        <v>17</v>
      </c>
      <c r="G107">
        <v>15</v>
      </c>
      <c r="H107">
        <v>23</v>
      </c>
      <c r="I107">
        <v>18</v>
      </c>
      <c r="J107">
        <v>19</v>
      </c>
    </row>
    <row r="108" spans="2:10">
      <c r="B108" t="s">
        <v>184</v>
      </c>
      <c r="C108">
        <v>0</v>
      </c>
      <c r="D108">
        <v>0</v>
      </c>
      <c r="E108">
        <v>0</v>
      </c>
      <c r="F108">
        <v>0</v>
      </c>
      <c r="G108">
        <v>0</v>
      </c>
      <c r="H108">
        <v>0</v>
      </c>
      <c r="I108">
        <v>0</v>
      </c>
      <c r="J108">
        <v>0</v>
      </c>
    </row>
    <row r="109" spans="2:10">
      <c r="B109" t="s">
        <v>13</v>
      </c>
      <c r="C109" s="33">
        <v>1210</v>
      </c>
      <c r="D109" s="33">
        <v>1201</v>
      </c>
      <c r="E109" s="33">
        <v>1374</v>
      </c>
      <c r="F109" s="33">
        <v>1233</v>
      </c>
      <c r="G109" s="33">
        <v>1386</v>
      </c>
      <c r="H109" s="33">
        <v>1677</v>
      </c>
      <c r="I109" s="33">
        <v>1144</v>
      </c>
      <c r="J109" s="33">
        <v>1146</v>
      </c>
    </row>
    <row r="110" spans="2:10">
      <c r="B110" t="s">
        <v>185</v>
      </c>
      <c r="C110" t="s">
        <v>92</v>
      </c>
      <c r="D110" t="s">
        <v>92</v>
      </c>
      <c r="E110" t="s">
        <v>92</v>
      </c>
      <c r="F110" t="s">
        <v>92</v>
      </c>
      <c r="G110" t="s">
        <v>92</v>
      </c>
      <c r="H110" t="s">
        <v>92</v>
      </c>
      <c r="I110" t="s">
        <v>92</v>
      </c>
      <c r="J110" t="s">
        <v>92</v>
      </c>
    </row>
    <row r="111" spans="2:10">
      <c r="B111" t="s">
        <v>148</v>
      </c>
      <c r="C111">
        <v>302</v>
      </c>
      <c r="D111">
        <v>311</v>
      </c>
      <c r="E111">
        <v>510</v>
      </c>
      <c r="F111">
        <v>195</v>
      </c>
      <c r="G111">
        <v>230</v>
      </c>
      <c r="H111">
        <v>278</v>
      </c>
      <c r="I111">
        <v>377</v>
      </c>
      <c r="J111">
        <v>310</v>
      </c>
    </row>
    <row r="112" spans="2:10">
      <c r="B112" t="s">
        <v>149</v>
      </c>
      <c r="C112">
        <v>769</v>
      </c>
      <c r="D112">
        <v>751</v>
      </c>
      <c r="E112">
        <v>721</v>
      </c>
      <c r="F112">
        <v>658</v>
      </c>
      <c r="G112">
        <v>644</v>
      </c>
      <c r="H112">
        <v>647</v>
      </c>
      <c r="I112">
        <v>625</v>
      </c>
      <c r="J112">
        <v>642</v>
      </c>
    </row>
    <row r="113" spans="2:10">
      <c r="B113" t="s">
        <v>150</v>
      </c>
      <c r="C113" s="33">
        <v>4155</v>
      </c>
      <c r="D113" s="33">
        <v>4187</v>
      </c>
      <c r="E113" s="33">
        <v>4495</v>
      </c>
      <c r="F113" s="33">
        <v>4120</v>
      </c>
      <c r="G113" s="33">
        <v>4046</v>
      </c>
      <c r="H113" s="33">
        <v>4480</v>
      </c>
      <c r="I113" s="33">
        <v>4294</v>
      </c>
      <c r="J113" s="33">
        <v>4227</v>
      </c>
    </row>
    <row r="114" spans="2:10">
      <c r="B114" t="s">
        <v>151</v>
      </c>
      <c r="C114" s="33">
        <v>1684</v>
      </c>
      <c r="D114" s="33">
        <v>1426</v>
      </c>
      <c r="E114" s="33">
        <v>1066</v>
      </c>
      <c r="F114" s="33">
        <v>1202</v>
      </c>
      <c r="G114" s="33">
        <v>1405</v>
      </c>
      <c r="H114" s="33">
        <v>1383</v>
      </c>
      <c r="I114" s="33">
        <v>1678</v>
      </c>
      <c r="J114" s="33">
        <v>1804</v>
      </c>
    </row>
    <row r="115" spans="2:10">
      <c r="B115" t="s">
        <v>152</v>
      </c>
      <c r="C115">
        <v>417</v>
      </c>
      <c r="D115">
        <v>405</v>
      </c>
      <c r="E115">
        <v>405</v>
      </c>
      <c r="F115">
        <v>404</v>
      </c>
      <c r="G115">
        <v>283</v>
      </c>
      <c r="H115">
        <v>283</v>
      </c>
      <c r="I115">
        <v>283</v>
      </c>
      <c r="J115">
        <v>283</v>
      </c>
    </row>
    <row r="116" spans="2:10">
      <c r="B116" t="s">
        <v>153</v>
      </c>
      <c r="C116" s="33">
        <v>2187</v>
      </c>
      <c r="D116" s="33">
        <v>2115</v>
      </c>
      <c r="E116" s="33">
        <v>2033</v>
      </c>
      <c r="F116" s="33">
        <v>2001</v>
      </c>
      <c r="G116" s="33">
        <v>1912</v>
      </c>
      <c r="H116" s="33">
        <v>1908</v>
      </c>
      <c r="I116" s="33">
        <v>1907</v>
      </c>
      <c r="J116" s="33">
        <v>1898</v>
      </c>
    </row>
    <row r="117" spans="2:10">
      <c r="B117" t="s">
        <v>154</v>
      </c>
      <c r="C117" s="33">
        <v>3182</v>
      </c>
      <c r="D117" s="33">
        <v>3078</v>
      </c>
      <c r="E117" s="33">
        <v>2961</v>
      </c>
      <c r="F117" s="33">
        <v>2971</v>
      </c>
      <c r="G117" s="33">
        <v>2843</v>
      </c>
      <c r="H117" s="33">
        <v>2852</v>
      </c>
      <c r="I117" s="33">
        <v>2831</v>
      </c>
      <c r="J117" s="33">
        <v>2795</v>
      </c>
    </row>
    <row r="118" spans="2:10">
      <c r="B118" t="s">
        <v>155</v>
      </c>
      <c r="C118" s="33">
        <v>1382</v>
      </c>
      <c r="D118" s="33">
        <v>1326</v>
      </c>
      <c r="E118" s="33">
        <v>1272</v>
      </c>
      <c r="F118" s="33">
        <v>1239</v>
      </c>
      <c r="G118" s="33">
        <v>1112</v>
      </c>
      <c r="H118" s="33">
        <v>1089</v>
      </c>
      <c r="I118" s="33">
        <v>1043</v>
      </c>
      <c r="J118" s="33">
        <v>1008</v>
      </c>
    </row>
    <row r="119" spans="2:10">
      <c r="B119" t="s">
        <v>156</v>
      </c>
      <c r="C119">
        <v>0</v>
      </c>
      <c r="D119">
        <v>0</v>
      </c>
      <c r="E119">
        <v>0</v>
      </c>
      <c r="F119">
        <v>0</v>
      </c>
      <c r="G119">
        <v>0</v>
      </c>
      <c r="H119">
        <v>0</v>
      </c>
      <c r="I119">
        <v>0</v>
      </c>
      <c r="J119">
        <v>0</v>
      </c>
    </row>
    <row r="120" spans="2:10">
      <c r="B120" t="s">
        <v>157</v>
      </c>
      <c r="C120" s="33">
        <v>-3667</v>
      </c>
      <c r="D120" s="33">
        <v>-3616</v>
      </c>
      <c r="E120" s="33">
        <v>-3589</v>
      </c>
      <c r="F120" s="33">
        <v>-3587</v>
      </c>
      <c r="G120" s="33">
        <v>-3542</v>
      </c>
      <c r="H120" s="33">
        <v>-3541</v>
      </c>
      <c r="I120" s="33">
        <v>-3484</v>
      </c>
      <c r="J120" s="33">
        <v>-3422</v>
      </c>
    </row>
    <row r="121" spans="2:10">
      <c r="B121" t="s">
        <v>158</v>
      </c>
      <c r="C121">
        <v>0</v>
      </c>
      <c r="D121">
        <v>0</v>
      </c>
      <c r="E121">
        <v>0</v>
      </c>
      <c r="F121">
        <v>0</v>
      </c>
      <c r="G121">
        <v>0</v>
      </c>
      <c r="H121">
        <v>0</v>
      </c>
      <c r="I121">
        <v>0</v>
      </c>
      <c r="J121">
        <v>0</v>
      </c>
    </row>
    <row r="122" spans="2:10">
      <c r="B122" t="s">
        <v>159</v>
      </c>
      <c r="C122">
        <v>301</v>
      </c>
      <c r="D122">
        <v>415</v>
      </c>
      <c r="E122">
        <v>484</v>
      </c>
      <c r="F122">
        <v>347</v>
      </c>
      <c r="G122">
        <v>530</v>
      </c>
      <c r="H122">
        <v>437</v>
      </c>
      <c r="I122">
        <v>348</v>
      </c>
      <c r="J122">
        <v>285</v>
      </c>
    </row>
    <row r="123" spans="2:10">
      <c r="B123" t="s">
        <v>160</v>
      </c>
      <c r="C123" s="33">
        <v>3802</v>
      </c>
      <c r="D123" s="33">
        <v>3723</v>
      </c>
      <c r="E123" s="33">
        <v>3565</v>
      </c>
      <c r="F123" s="33">
        <v>3376</v>
      </c>
      <c r="G123" s="33">
        <v>3139</v>
      </c>
      <c r="H123" s="33">
        <v>3028</v>
      </c>
      <c r="I123" s="33">
        <v>2929</v>
      </c>
      <c r="J123" s="33">
        <v>2847</v>
      </c>
    </row>
    <row r="124" spans="2:10">
      <c r="B124" t="s">
        <v>161</v>
      </c>
      <c r="C124">
        <v>62</v>
      </c>
      <c r="D124">
        <v>60</v>
      </c>
      <c r="E124">
        <v>108</v>
      </c>
      <c r="F124">
        <v>110</v>
      </c>
      <c r="G124">
        <v>107</v>
      </c>
      <c r="H124">
        <v>110</v>
      </c>
      <c r="I124">
        <v>115</v>
      </c>
      <c r="J124">
        <v>114</v>
      </c>
    </row>
    <row r="125" spans="2:10">
      <c r="B125" t="s">
        <v>162</v>
      </c>
      <c r="C125">
        <v>1</v>
      </c>
      <c r="D125">
        <v>1</v>
      </c>
      <c r="E125">
        <v>1</v>
      </c>
      <c r="F125">
        <v>1</v>
      </c>
      <c r="G125">
        <v>2</v>
      </c>
      <c r="H125">
        <v>3</v>
      </c>
      <c r="I125">
        <v>3</v>
      </c>
      <c r="J125">
        <v>3</v>
      </c>
    </row>
    <row r="126" spans="2:10">
      <c r="B126" t="s">
        <v>163</v>
      </c>
      <c r="C126">
        <v>412</v>
      </c>
      <c r="D126">
        <v>418</v>
      </c>
      <c r="E126">
        <v>395</v>
      </c>
      <c r="F126">
        <v>379</v>
      </c>
      <c r="G126">
        <v>365</v>
      </c>
      <c r="H126">
        <v>343</v>
      </c>
      <c r="I126">
        <v>343</v>
      </c>
      <c r="J126">
        <v>379</v>
      </c>
    </row>
    <row r="127" spans="2:10">
      <c r="B127" t="s">
        <v>164</v>
      </c>
      <c r="C127">
        <v>489</v>
      </c>
      <c r="D127">
        <v>493</v>
      </c>
      <c r="E127">
        <v>519</v>
      </c>
      <c r="F127">
        <v>505</v>
      </c>
      <c r="G127">
        <v>488</v>
      </c>
      <c r="H127">
        <v>470</v>
      </c>
      <c r="I127">
        <v>475</v>
      </c>
      <c r="J127">
        <v>510</v>
      </c>
    </row>
    <row r="128" spans="2:10">
      <c r="B128" t="s">
        <v>16</v>
      </c>
      <c r="C128" s="33">
        <v>10129</v>
      </c>
      <c r="D128" s="33">
        <v>9829</v>
      </c>
      <c r="E128" s="33">
        <v>9644</v>
      </c>
      <c r="F128" s="33">
        <v>9202</v>
      </c>
      <c r="G128" s="33">
        <v>9078</v>
      </c>
      <c r="H128" s="33">
        <v>9361</v>
      </c>
      <c r="I128" s="33">
        <v>9376</v>
      </c>
      <c r="J128" s="33">
        <v>9388</v>
      </c>
    </row>
    <row r="129" spans="2:10">
      <c r="B129" t="s">
        <v>186</v>
      </c>
      <c r="C129" s="33">
        <v>1753</v>
      </c>
      <c r="D129" s="33">
        <v>2017</v>
      </c>
      <c r="E129" s="33">
        <v>2165</v>
      </c>
      <c r="F129" s="33">
        <v>1814</v>
      </c>
      <c r="G129" s="33">
        <v>1499</v>
      </c>
      <c r="H129" s="33">
        <v>1789</v>
      </c>
      <c r="I129" s="33">
        <v>1524</v>
      </c>
      <c r="J129" s="33">
        <v>1676</v>
      </c>
    </row>
    <row r="130" spans="2:10">
      <c r="B130" t="s">
        <v>187</v>
      </c>
      <c r="C130">
        <v>250</v>
      </c>
      <c r="D130">
        <v>230</v>
      </c>
      <c r="E130">
        <v>160</v>
      </c>
      <c r="F130">
        <v>170</v>
      </c>
      <c r="G130">
        <v>160</v>
      </c>
      <c r="H130">
        <v>150</v>
      </c>
      <c r="I130">
        <v>210</v>
      </c>
      <c r="J130">
        <v>140</v>
      </c>
    </row>
    <row r="131" spans="2:10">
      <c r="B131" t="s">
        <v>14</v>
      </c>
      <c r="C131">
        <v>839</v>
      </c>
      <c r="D131">
        <v>766</v>
      </c>
      <c r="E131">
        <v>751</v>
      </c>
      <c r="F131">
        <v>812</v>
      </c>
      <c r="G131">
        <v>711</v>
      </c>
      <c r="H131">
        <v>695</v>
      </c>
      <c r="I131">
        <v>721</v>
      </c>
      <c r="J131">
        <v>807</v>
      </c>
    </row>
    <row r="132" spans="2:10">
      <c r="B132" t="s">
        <v>165</v>
      </c>
      <c r="C132">
        <v>0</v>
      </c>
      <c r="D132">
        <v>0</v>
      </c>
      <c r="E132">
        <v>8</v>
      </c>
      <c r="F132">
        <v>0</v>
      </c>
      <c r="G132">
        <v>0</v>
      </c>
      <c r="H132">
        <v>0</v>
      </c>
      <c r="I132">
        <v>0</v>
      </c>
      <c r="J132">
        <v>0</v>
      </c>
    </row>
    <row r="133" spans="2:10">
      <c r="B133" t="s">
        <v>166</v>
      </c>
      <c r="C133">
        <v>0</v>
      </c>
      <c r="D133">
        <v>0</v>
      </c>
      <c r="E133">
        <v>0</v>
      </c>
      <c r="F133">
        <v>0</v>
      </c>
      <c r="G133">
        <v>0</v>
      </c>
      <c r="H133">
        <v>0</v>
      </c>
      <c r="I133">
        <v>0</v>
      </c>
      <c r="J133">
        <v>0</v>
      </c>
    </row>
    <row r="134" spans="2:10">
      <c r="B134" t="s">
        <v>167</v>
      </c>
      <c r="C134">
        <v>966</v>
      </c>
      <c r="D134">
        <v>418</v>
      </c>
      <c r="E134">
        <v>433</v>
      </c>
      <c r="F134">
        <v>355</v>
      </c>
      <c r="G134">
        <v>600</v>
      </c>
      <c r="H134">
        <v>385</v>
      </c>
      <c r="I134">
        <v>428</v>
      </c>
      <c r="J134">
        <v>414</v>
      </c>
    </row>
    <row r="135" spans="2:10">
      <c r="B135" t="s">
        <v>168</v>
      </c>
      <c r="C135">
        <v>81</v>
      </c>
      <c r="D135">
        <v>110</v>
      </c>
      <c r="E135">
        <v>100</v>
      </c>
      <c r="F135">
        <v>66</v>
      </c>
      <c r="G135">
        <v>101</v>
      </c>
      <c r="H135">
        <v>156</v>
      </c>
      <c r="I135">
        <v>119</v>
      </c>
      <c r="J135">
        <v>81</v>
      </c>
    </row>
    <row r="136" spans="2:10">
      <c r="B136" t="s">
        <v>169</v>
      </c>
      <c r="C136">
        <v>187</v>
      </c>
      <c r="D136">
        <v>205</v>
      </c>
      <c r="E136">
        <v>205</v>
      </c>
      <c r="F136">
        <v>190</v>
      </c>
      <c r="G136">
        <v>190</v>
      </c>
      <c r="H136">
        <v>175</v>
      </c>
      <c r="I136">
        <v>175</v>
      </c>
      <c r="J136">
        <v>175</v>
      </c>
    </row>
    <row r="137" spans="2:10">
      <c r="B137" t="s">
        <v>170</v>
      </c>
      <c r="C137">
        <v>0</v>
      </c>
      <c r="D137">
        <v>0</v>
      </c>
      <c r="E137">
        <v>0</v>
      </c>
      <c r="F137">
        <v>0</v>
      </c>
      <c r="G137">
        <v>0</v>
      </c>
      <c r="H137">
        <v>0</v>
      </c>
      <c r="I137">
        <v>0</v>
      </c>
      <c r="J137">
        <v>0</v>
      </c>
    </row>
    <row r="138" spans="2:10">
      <c r="B138" t="s">
        <v>171</v>
      </c>
      <c r="C138" s="33">
        <v>4076</v>
      </c>
      <c r="D138" s="33">
        <v>3746</v>
      </c>
      <c r="E138" s="33">
        <v>3822</v>
      </c>
      <c r="F138" s="33">
        <v>3408</v>
      </c>
      <c r="G138" s="33">
        <v>3261</v>
      </c>
      <c r="H138" s="33">
        <v>3350</v>
      </c>
      <c r="I138" s="33">
        <v>3177</v>
      </c>
      <c r="J138" s="33">
        <v>3292</v>
      </c>
    </row>
    <row r="139" spans="2:10">
      <c r="B139" t="s">
        <v>172</v>
      </c>
      <c r="C139">
        <v>70</v>
      </c>
      <c r="D139">
        <v>111</v>
      </c>
      <c r="E139">
        <v>154</v>
      </c>
      <c r="F139">
        <v>213</v>
      </c>
      <c r="G139">
        <v>257</v>
      </c>
      <c r="H139">
        <v>316</v>
      </c>
      <c r="I139">
        <v>360</v>
      </c>
      <c r="J139">
        <v>384</v>
      </c>
    </row>
    <row r="140" spans="2:10">
      <c r="B140" t="s">
        <v>173</v>
      </c>
      <c r="C140">
        <v>0</v>
      </c>
      <c r="D140">
        <v>0</v>
      </c>
      <c r="E140">
        <v>0</v>
      </c>
      <c r="F140">
        <v>0</v>
      </c>
      <c r="G140">
        <v>0</v>
      </c>
      <c r="H140">
        <v>0</v>
      </c>
      <c r="I140">
        <v>0</v>
      </c>
      <c r="J140">
        <v>0</v>
      </c>
    </row>
    <row r="141" spans="2:10">
      <c r="B141" t="s">
        <v>174</v>
      </c>
      <c r="C141">
        <v>0</v>
      </c>
      <c r="D141">
        <v>0</v>
      </c>
      <c r="E141">
        <v>473</v>
      </c>
      <c r="F141">
        <v>0</v>
      </c>
      <c r="G141">
        <v>0</v>
      </c>
      <c r="H141">
        <v>0</v>
      </c>
      <c r="I141">
        <v>458</v>
      </c>
      <c r="J141">
        <v>0</v>
      </c>
    </row>
    <row r="142" spans="2:10">
      <c r="B142" t="s">
        <v>175</v>
      </c>
      <c r="C142">
        <v>12</v>
      </c>
      <c r="D142">
        <v>9</v>
      </c>
      <c r="E142">
        <v>10</v>
      </c>
      <c r="F142">
        <v>11</v>
      </c>
      <c r="G142">
        <v>6</v>
      </c>
      <c r="H142">
        <v>21</v>
      </c>
      <c r="I142">
        <v>23</v>
      </c>
      <c r="J142">
        <v>24</v>
      </c>
    </row>
    <row r="143" spans="2:10">
      <c r="B143" t="s">
        <v>176</v>
      </c>
      <c r="C143">
        <v>0</v>
      </c>
      <c r="D143">
        <v>0</v>
      </c>
      <c r="E143">
        <v>0</v>
      </c>
      <c r="F143">
        <v>0</v>
      </c>
      <c r="G143">
        <v>0</v>
      </c>
      <c r="H143">
        <v>0</v>
      </c>
      <c r="I143">
        <v>0</v>
      </c>
      <c r="J143">
        <v>0</v>
      </c>
    </row>
    <row r="144" spans="2:10">
      <c r="B144" t="s">
        <v>177</v>
      </c>
      <c r="C144">
        <v>0</v>
      </c>
      <c r="D144">
        <v>0</v>
      </c>
      <c r="E144">
        <v>0</v>
      </c>
      <c r="F144">
        <v>0</v>
      </c>
      <c r="G144">
        <v>0</v>
      </c>
      <c r="H144">
        <v>0</v>
      </c>
      <c r="I144">
        <v>0</v>
      </c>
      <c r="J144">
        <v>0</v>
      </c>
    </row>
    <row r="145" spans="2:10">
      <c r="B145" t="s">
        <v>178</v>
      </c>
      <c r="C145">
        <v>178</v>
      </c>
      <c r="D145">
        <v>181</v>
      </c>
      <c r="E145">
        <v>0</v>
      </c>
      <c r="F145">
        <v>453</v>
      </c>
      <c r="G145">
        <v>455</v>
      </c>
      <c r="H145">
        <v>456</v>
      </c>
      <c r="I145">
        <v>0</v>
      </c>
      <c r="J145">
        <v>467</v>
      </c>
    </row>
    <row r="146" spans="2:10">
      <c r="B146" t="s">
        <v>179</v>
      </c>
      <c r="C146">
        <v>191</v>
      </c>
      <c r="D146">
        <v>190</v>
      </c>
      <c r="E146">
        <v>483</v>
      </c>
      <c r="F146">
        <v>464</v>
      </c>
      <c r="G146">
        <v>461</v>
      </c>
      <c r="H146">
        <v>477</v>
      </c>
      <c r="I146">
        <v>481</v>
      </c>
      <c r="J146">
        <v>492</v>
      </c>
    </row>
    <row r="147" spans="2:10">
      <c r="B147" t="s">
        <v>15</v>
      </c>
      <c r="C147" s="33">
        <v>4337</v>
      </c>
      <c r="D147" s="33">
        <v>4047</v>
      </c>
      <c r="E147" s="33">
        <v>4460</v>
      </c>
      <c r="F147" s="33">
        <v>4086</v>
      </c>
      <c r="G147" s="33">
        <v>3979</v>
      </c>
      <c r="H147" s="33">
        <v>4143</v>
      </c>
      <c r="I147" s="33">
        <v>4019</v>
      </c>
      <c r="J147" s="33">
        <v>4168</v>
      </c>
    </row>
    <row r="148" spans="2:10">
      <c r="B148" t="s">
        <v>180</v>
      </c>
      <c r="C148" s="33">
        <v>5793</v>
      </c>
      <c r="D148" s="33">
        <v>5782</v>
      </c>
      <c r="E148" s="33">
        <v>5185</v>
      </c>
      <c r="F148" s="33">
        <v>5116</v>
      </c>
      <c r="G148" s="33">
        <v>5099</v>
      </c>
      <c r="H148" s="33">
        <v>5218</v>
      </c>
      <c r="I148" s="33">
        <v>5357</v>
      </c>
      <c r="J148" s="33">
        <v>5220</v>
      </c>
    </row>
    <row r="149" spans="2:10">
      <c r="B149" t="s">
        <v>188</v>
      </c>
      <c r="C149" s="33">
        <v>2680</v>
      </c>
      <c r="D149" s="33">
        <v>2680</v>
      </c>
      <c r="E149" s="33">
        <v>2680</v>
      </c>
      <c r="F149" s="33">
        <v>2680</v>
      </c>
      <c r="G149" s="33">
        <v>2436</v>
      </c>
      <c r="H149" s="33">
        <v>2436</v>
      </c>
      <c r="I149" s="33">
        <v>2436</v>
      </c>
      <c r="J149" s="33">
        <v>2436</v>
      </c>
    </row>
    <row r="150" spans="2:10">
      <c r="B150" t="s">
        <v>189</v>
      </c>
      <c r="C150">
        <v>0</v>
      </c>
      <c r="D150">
        <v>0</v>
      </c>
      <c r="E150">
        <v>0</v>
      </c>
      <c r="F150">
        <v>0</v>
      </c>
      <c r="G150">
        <v>0</v>
      </c>
      <c r="H150">
        <v>0</v>
      </c>
      <c r="I150">
        <v>0</v>
      </c>
      <c r="J150">
        <v>0</v>
      </c>
    </row>
    <row r="151" spans="2:10">
      <c r="B151" t="s">
        <v>190</v>
      </c>
      <c r="C151">
        <v>1</v>
      </c>
      <c r="D151">
        <v>1</v>
      </c>
      <c r="E151">
        <v>1</v>
      </c>
      <c r="F151">
        <v>1</v>
      </c>
      <c r="G151">
        <v>1</v>
      </c>
      <c r="H151">
        <v>1</v>
      </c>
      <c r="I151">
        <v>1</v>
      </c>
      <c r="J151">
        <v>1</v>
      </c>
    </row>
    <row r="152" spans="2:10">
      <c r="B152" t="s">
        <v>191</v>
      </c>
      <c r="C152">
        <v>369</v>
      </c>
      <c r="D152">
        <v>300</v>
      </c>
      <c r="E152">
        <v>300</v>
      </c>
      <c r="F152">
        <v>300</v>
      </c>
      <c r="G152">
        <v>300</v>
      </c>
      <c r="H152">
        <v>222</v>
      </c>
      <c r="I152">
        <v>222</v>
      </c>
      <c r="J152">
        <v>222</v>
      </c>
    </row>
    <row r="153" spans="2:10">
      <c r="B153" t="s">
        <v>192</v>
      </c>
      <c r="C153">
        <v>0</v>
      </c>
      <c r="D153">
        <v>0</v>
      </c>
      <c r="E153">
        <v>0</v>
      </c>
      <c r="F153">
        <v>0</v>
      </c>
      <c r="G153">
        <v>0</v>
      </c>
      <c r="H153">
        <v>0</v>
      </c>
      <c r="I153">
        <v>0</v>
      </c>
      <c r="J153">
        <v>0</v>
      </c>
    </row>
    <row r="154" spans="2:10">
      <c r="B154" t="s">
        <v>193</v>
      </c>
      <c r="C154" s="33">
        <v>1142</v>
      </c>
      <c r="D154" s="33">
        <v>1458</v>
      </c>
      <c r="E154" s="33">
        <v>1203</v>
      </c>
      <c r="F154" s="33">
        <v>1001</v>
      </c>
      <c r="G154">
        <v>810</v>
      </c>
      <c r="H154" s="33">
        <v>1273</v>
      </c>
      <c r="I154" s="33">
        <v>1098</v>
      </c>
      <c r="J154">
        <v>859</v>
      </c>
    </row>
    <row r="155" spans="2:10">
      <c r="B155" t="s">
        <v>194</v>
      </c>
      <c r="C155">
        <v>0</v>
      </c>
      <c r="D155">
        <v>0</v>
      </c>
      <c r="E155">
        <v>0</v>
      </c>
      <c r="F155">
        <v>0</v>
      </c>
      <c r="G155">
        <v>0</v>
      </c>
      <c r="H155">
        <v>0</v>
      </c>
      <c r="I155">
        <v>0</v>
      </c>
      <c r="J155">
        <v>0</v>
      </c>
    </row>
    <row r="156" spans="2:10">
      <c r="B156" t="s">
        <v>181</v>
      </c>
      <c r="C156">
        <v>119</v>
      </c>
      <c r="D156">
        <v>114</v>
      </c>
      <c r="E156">
        <v>127</v>
      </c>
      <c r="F156">
        <v>118</v>
      </c>
      <c r="G156">
        <v>103</v>
      </c>
      <c r="H156">
        <v>98</v>
      </c>
      <c r="I156">
        <v>113</v>
      </c>
      <c r="J156">
        <v>105</v>
      </c>
    </row>
    <row r="157" spans="2:10">
      <c r="B157" t="s">
        <v>182</v>
      </c>
      <c r="C157" s="33">
        <v>10129</v>
      </c>
      <c r="D157" s="33">
        <v>9829</v>
      </c>
      <c r="E157" s="33">
        <v>9644</v>
      </c>
      <c r="F157" s="33">
        <v>9202</v>
      </c>
      <c r="G157" s="33">
        <v>9078</v>
      </c>
      <c r="H157" s="33">
        <v>9361</v>
      </c>
      <c r="I157" s="33">
        <v>9376</v>
      </c>
      <c r="J157" s="33">
        <v>9388</v>
      </c>
    </row>
    <row r="158" spans="2:10">
      <c r="B158" t="s">
        <v>104</v>
      </c>
    </row>
    <row r="159" spans="2:10">
      <c r="B159" t="s">
        <v>105</v>
      </c>
    </row>
    <row r="201" spans="2:10">
      <c r="B201" t="s">
        <v>3198</v>
      </c>
    </row>
    <row r="202" spans="2:10">
      <c r="B202" t="s">
        <v>43</v>
      </c>
    </row>
    <row r="203" spans="2:10">
      <c r="B203" t="s">
        <v>44</v>
      </c>
      <c r="C203" t="s">
        <v>2909</v>
      </c>
      <c r="D203" t="s">
        <v>1907</v>
      </c>
      <c r="E203" t="s">
        <v>1840</v>
      </c>
      <c r="F203" t="s">
        <v>1751</v>
      </c>
      <c r="G203" t="s">
        <v>215</v>
      </c>
      <c r="H203" t="s">
        <v>45</v>
      </c>
      <c r="I203" t="s">
        <v>46</v>
      </c>
      <c r="J203" t="s">
        <v>47</v>
      </c>
    </row>
    <row r="204" spans="2:10">
      <c r="B204" t="s">
        <v>106</v>
      </c>
      <c r="C204">
        <v>298</v>
      </c>
      <c r="D204">
        <v>261</v>
      </c>
      <c r="E204">
        <v>231</v>
      </c>
      <c r="F204">
        <v>203</v>
      </c>
      <c r="G204">
        <v>108</v>
      </c>
      <c r="H204">
        <v>179</v>
      </c>
      <c r="I204">
        <v>238</v>
      </c>
      <c r="J204">
        <v>178</v>
      </c>
    </row>
    <row r="205" spans="2:10">
      <c r="B205" t="s">
        <v>107</v>
      </c>
      <c r="C205">
        <v>0</v>
      </c>
      <c r="D205">
        <v>0</v>
      </c>
      <c r="E205">
        <v>0</v>
      </c>
      <c r="F205">
        <v>0</v>
      </c>
      <c r="G205">
        <v>0</v>
      </c>
      <c r="H205">
        <v>0</v>
      </c>
      <c r="I205">
        <v>0</v>
      </c>
      <c r="J205">
        <v>0</v>
      </c>
    </row>
    <row r="206" spans="2:10">
      <c r="B206" t="s">
        <v>108</v>
      </c>
      <c r="C206">
        <v>94</v>
      </c>
      <c r="D206">
        <v>90</v>
      </c>
      <c r="E206">
        <v>88</v>
      </c>
      <c r="F206">
        <v>84</v>
      </c>
      <c r="G206">
        <v>79</v>
      </c>
      <c r="H206">
        <v>76</v>
      </c>
      <c r="I206">
        <v>75</v>
      </c>
      <c r="J206">
        <v>74</v>
      </c>
    </row>
    <row r="207" spans="2:10">
      <c r="B207" t="s">
        <v>109</v>
      </c>
      <c r="C207">
        <v>1</v>
      </c>
      <c r="D207">
        <v>1</v>
      </c>
      <c r="E207">
        <v>1</v>
      </c>
      <c r="F207">
        <v>1</v>
      </c>
      <c r="G207">
        <v>1</v>
      </c>
      <c r="H207">
        <v>1</v>
      </c>
      <c r="I207">
        <v>1</v>
      </c>
      <c r="J207">
        <v>1</v>
      </c>
    </row>
    <row r="208" spans="2:10">
      <c r="B208" t="s">
        <v>110</v>
      </c>
      <c r="C208">
        <v>0</v>
      </c>
      <c r="D208">
        <v>0</v>
      </c>
      <c r="E208">
        <v>0</v>
      </c>
      <c r="F208">
        <v>0</v>
      </c>
      <c r="G208">
        <v>0</v>
      </c>
      <c r="H208">
        <v>0</v>
      </c>
      <c r="I208">
        <v>0</v>
      </c>
      <c r="J208">
        <v>0</v>
      </c>
    </row>
    <row r="209" spans="2:10">
      <c r="B209" t="s">
        <v>111</v>
      </c>
      <c r="C209">
        <v>0</v>
      </c>
      <c r="D209">
        <v>0</v>
      </c>
      <c r="E209">
        <v>0</v>
      </c>
      <c r="F209">
        <v>0</v>
      </c>
      <c r="G209">
        <v>0</v>
      </c>
      <c r="H209">
        <v>0</v>
      </c>
      <c r="I209">
        <v>0</v>
      </c>
      <c r="J209">
        <v>0</v>
      </c>
    </row>
    <row r="210" spans="2:10">
      <c r="B210" t="s">
        <v>112</v>
      </c>
      <c r="C210">
        <v>0</v>
      </c>
      <c r="D210">
        <v>0</v>
      </c>
      <c r="E210">
        <v>0</v>
      </c>
      <c r="F210">
        <v>0</v>
      </c>
      <c r="G210">
        <v>0</v>
      </c>
      <c r="H210">
        <v>0</v>
      </c>
      <c r="I210">
        <v>0</v>
      </c>
      <c r="J210">
        <v>0</v>
      </c>
    </row>
    <row r="211" spans="2:10">
      <c r="B211" t="s">
        <v>113</v>
      </c>
      <c r="C211" t="s">
        <v>92</v>
      </c>
      <c r="D211" t="s">
        <v>92</v>
      </c>
      <c r="E211" t="s">
        <v>92</v>
      </c>
      <c r="F211" t="s">
        <v>92</v>
      </c>
      <c r="G211" t="s">
        <v>92</v>
      </c>
      <c r="H211" t="s">
        <v>92</v>
      </c>
      <c r="I211" t="s">
        <v>92</v>
      </c>
      <c r="J211" t="s">
        <v>92</v>
      </c>
    </row>
    <row r="212" spans="2:10">
      <c r="B212" t="s">
        <v>114</v>
      </c>
      <c r="C212">
        <v>0</v>
      </c>
      <c r="D212">
        <v>0</v>
      </c>
      <c r="E212">
        <v>0</v>
      </c>
      <c r="F212">
        <v>0</v>
      </c>
      <c r="G212">
        <v>-1</v>
      </c>
      <c r="H212">
        <v>0</v>
      </c>
      <c r="I212">
        <v>-1</v>
      </c>
      <c r="J212">
        <v>-1</v>
      </c>
    </row>
    <row r="213" spans="2:10">
      <c r="B213" t="s">
        <v>115</v>
      </c>
      <c r="C213">
        <v>0</v>
      </c>
      <c r="D213">
        <v>0</v>
      </c>
      <c r="E213">
        <v>0</v>
      </c>
      <c r="F213">
        <v>0</v>
      </c>
      <c r="G213">
        <v>0</v>
      </c>
      <c r="H213">
        <v>0</v>
      </c>
      <c r="I213">
        <v>0</v>
      </c>
      <c r="J213">
        <v>0</v>
      </c>
    </row>
    <row r="214" spans="2:10">
      <c r="B214" t="s">
        <v>116</v>
      </c>
      <c r="C214">
        <v>-3</v>
      </c>
      <c r="D214">
        <v>-292</v>
      </c>
      <c r="E214">
        <v>-2</v>
      </c>
      <c r="F214">
        <v>-2</v>
      </c>
      <c r="G214">
        <v>-2</v>
      </c>
      <c r="H214">
        <v>-2</v>
      </c>
      <c r="I214">
        <v>-1</v>
      </c>
      <c r="J214">
        <v>-1</v>
      </c>
    </row>
    <row r="215" spans="2:10">
      <c r="B215" t="s">
        <v>117</v>
      </c>
      <c r="C215">
        <v>30</v>
      </c>
      <c r="D215">
        <v>-86</v>
      </c>
      <c r="E215">
        <v>90</v>
      </c>
      <c r="F215">
        <v>-163</v>
      </c>
      <c r="G215">
        <v>3</v>
      </c>
      <c r="H215">
        <v>216</v>
      </c>
      <c r="I215">
        <v>-13</v>
      </c>
      <c r="J215">
        <v>-109</v>
      </c>
    </row>
    <row r="216" spans="2:10">
      <c r="B216" t="s">
        <v>118</v>
      </c>
      <c r="C216">
        <v>-9</v>
      </c>
      <c r="D216">
        <v>174</v>
      </c>
      <c r="E216">
        <v>-141</v>
      </c>
      <c r="F216">
        <v>153</v>
      </c>
      <c r="G216">
        <v>292</v>
      </c>
      <c r="H216">
        <v>-534</v>
      </c>
      <c r="I216">
        <v>3</v>
      </c>
      <c r="J216">
        <v>80</v>
      </c>
    </row>
    <row r="217" spans="2:10">
      <c r="B217" t="s">
        <v>119</v>
      </c>
      <c r="C217">
        <v>73</v>
      </c>
      <c r="D217">
        <v>15</v>
      </c>
      <c r="E217">
        <v>-61</v>
      </c>
      <c r="F217">
        <v>102</v>
      </c>
      <c r="G217">
        <v>16</v>
      </c>
      <c r="H217">
        <v>-27</v>
      </c>
      <c r="I217">
        <v>-85</v>
      </c>
      <c r="J217">
        <v>132</v>
      </c>
    </row>
    <row r="218" spans="2:10">
      <c r="B218" t="s">
        <v>120</v>
      </c>
      <c r="C218">
        <v>-21</v>
      </c>
      <c r="D218">
        <v>203</v>
      </c>
      <c r="E218">
        <v>-295</v>
      </c>
      <c r="F218">
        <v>-17</v>
      </c>
      <c r="G218">
        <v>-40</v>
      </c>
      <c r="H218">
        <v>76</v>
      </c>
      <c r="I218">
        <v>3</v>
      </c>
      <c r="J218">
        <v>132</v>
      </c>
    </row>
    <row r="219" spans="2:10">
      <c r="B219" t="s">
        <v>17</v>
      </c>
      <c r="C219">
        <v>463</v>
      </c>
      <c r="D219">
        <v>366</v>
      </c>
      <c r="E219">
        <v>-89</v>
      </c>
      <c r="F219">
        <v>361</v>
      </c>
      <c r="G219">
        <v>457</v>
      </c>
      <c r="H219">
        <v>-15</v>
      </c>
      <c r="I219">
        <v>220</v>
      </c>
      <c r="J219">
        <v>486</v>
      </c>
    </row>
    <row r="220" spans="2:10">
      <c r="B220" t="s">
        <v>121</v>
      </c>
      <c r="C220">
        <v>0</v>
      </c>
      <c r="D220">
        <v>0</v>
      </c>
      <c r="E220">
        <v>0</v>
      </c>
      <c r="F220">
        <v>0</v>
      </c>
      <c r="G220">
        <v>0</v>
      </c>
      <c r="H220">
        <v>0</v>
      </c>
      <c r="I220">
        <v>0</v>
      </c>
      <c r="J220">
        <v>0</v>
      </c>
    </row>
    <row r="221" spans="2:10">
      <c r="B221" t="s">
        <v>122</v>
      </c>
      <c r="C221">
        <v>0</v>
      </c>
      <c r="D221">
        <v>0</v>
      </c>
      <c r="E221">
        <v>0</v>
      </c>
      <c r="F221">
        <v>0</v>
      </c>
      <c r="G221">
        <v>0</v>
      </c>
      <c r="H221">
        <v>0</v>
      </c>
      <c r="I221">
        <v>0</v>
      </c>
      <c r="J221">
        <v>0</v>
      </c>
    </row>
    <row r="222" spans="2:10">
      <c r="B222" t="s">
        <v>19</v>
      </c>
      <c r="C222">
        <v>0</v>
      </c>
      <c r="D222">
        <v>0</v>
      </c>
      <c r="E222">
        <v>0</v>
      </c>
      <c r="F222">
        <v>0</v>
      </c>
      <c r="G222">
        <v>0</v>
      </c>
      <c r="H222">
        <v>0</v>
      </c>
      <c r="I222">
        <v>0</v>
      </c>
      <c r="J222">
        <v>0</v>
      </c>
    </row>
    <row r="223" spans="2:10">
      <c r="B223" t="s">
        <v>123</v>
      </c>
      <c r="C223">
        <v>1</v>
      </c>
      <c r="D223">
        <v>1</v>
      </c>
      <c r="E223">
        <v>1</v>
      </c>
      <c r="F223">
        <v>1</v>
      </c>
      <c r="G223">
        <v>2</v>
      </c>
      <c r="H223">
        <v>0</v>
      </c>
      <c r="I223">
        <v>2</v>
      </c>
      <c r="J223">
        <v>2</v>
      </c>
    </row>
    <row r="224" spans="2:10">
      <c r="B224" t="s">
        <v>18</v>
      </c>
      <c r="C224">
        <v>-162</v>
      </c>
      <c r="D224">
        <v>-276</v>
      </c>
      <c r="E224">
        <v>-249</v>
      </c>
      <c r="F224">
        <v>-311</v>
      </c>
      <c r="G224">
        <v>-194</v>
      </c>
      <c r="H224">
        <v>-192</v>
      </c>
      <c r="I224">
        <v>-137</v>
      </c>
      <c r="J224">
        <v>-150</v>
      </c>
    </row>
    <row r="225" spans="2:10">
      <c r="B225" t="s">
        <v>124</v>
      </c>
      <c r="C225">
        <v>5</v>
      </c>
      <c r="D225">
        <v>-13</v>
      </c>
      <c r="E225">
        <v>-1</v>
      </c>
      <c r="F225">
        <v>-9</v>
      </c>
      <c r="G225">
        <v>3</v>
      </c>
      <c r="H225">
        <v>3</v>
      </c>
      <c r="I225">
        <v>26</v>
      </c>
      <c r="J225">
        <v>1</v>
      </c>
    </row>
    <row r="226" spans="2:10">
      <c r="B226" t="s">
        <v>125</v>
      </c>
      <c r="C226">
        <v>-156</v>
      </c>
      <c r="D226">
        <v>-287</v>
      </c>
      <c r="E226">
        <v>-249</v>
      </c>
      <c r="F226">
        <v>-319</v>
      </c>
      <c r="G226">
        <v>-190</v>
      </c>
      <c r="H226">
        <v>-189</v>
      </c>
      <c r="I226">
        <v>-110</v>
      </c>
      <c r="J226">
        <v>-147</v>
      </c>
    </row>
    <row r="227" spans="2:10">
      <c r="B227" t="s">
        <v>126</v>
      </c>
      <c r="C227">
        <v>0</v>
      </c>
      <c r="D227">
        <v>0</v>
      </c>
      <c r="E227">
        <v>0</v>
      </c>
      <c r="F227">
        <v>0</v>
      </c>
      <c r="G227">
        <v>0</v>
      </c>
      <c r="H227">
        <v>0</v>
      </c>
      <c r="I227">
        <v>0</v>
      </c>
      <c r="J227">
        <v>0</v>
      </c>
    </row>
    <row r="228" spans="2:10">
      <c r="B228" t="s">
        <v>127</v>
      </c>
      <c r="C228">
        <v>10</v>
      </c>
      <c r="D228">
        <v>-10</v>
      </c>
      <c r="E228">
        <v>-18</v>
      </c>
      <c r="F228">
        <v>-244</v>
      </c>
      <c r="G228">
        <v>5</v>
      </c>
      <c r="H228">
        <v>-5</v>
      </c>
      <c r="I228">
        <v>0</v>
      </c>
      <c r="J228">
        <v>-186</v>
      </c>
    </row>
    <row r="229" spans="2:10">
      <c r="B229" t="s">
        <v>128</v>
      </c>
      <c r="C229">
        <v>0</v>
      </c>
      <c r="D229">
        <v>0</v>
      </c>
      <c r="E229">
        <v>0</v>
      </c>
      <c r="F229">
        <v>0</v>
      </c>
      <c r="G229">
        <v>0</v>
      </c>
      <c r="H229">
        <v>0</v>
      </c>
      <c r="I229">
        <v>0</v>
      </c>
      <c r="J229">
        <v>0</v>
      </c>
    </row>
    <row r="230" spans="2:10">
      <c r="B230" t="s">
        <v>129</v>
      </c>
      <c r="C230">
        <v>-244</v>
      </c>
      <c r="D230">
        <v>-78</v>
      </c>
      <c r="E230">
        <v>341</v>
      </c>
      <c r="F230">
        <v>325</v>
      </c>
      <c r="G230">
        <v>-280</v>
      </c>
      <c r="H230">
        <v>205</v>
      </c>
      <c r="I230">
        <v>-82</v>
      </c>
      <c r="J230">
        <v>-48</v>
      </c>
    </row>
    <row r="231" spans="2:10">
      <c r="B231" t="s">
        <v>130</v>
      </c>
      <c r="C231">
        <v>-59</v>
      </c>
      <c r="D231">
        <v>-44</v>
      </c>
      <c r="E231">
        <v>-44</v>
      </c>
      <c r="F231">
        <v>-44</v>
      </c>
      <c r="G231">
        <v>-44</v>
      </c>
      <c r="H231">
        <v>-44</v>
      </c>
      <c r="I231">
        <v>-24</v>
      </c>
      <c r="J231">
        <v>-19</v>
      </c>
    </row>
    <row r="232" spans="2:10">
      <c r="B232" t="s">
        <v>131</v>
      </c>
      <c r="C232">
        <v>0</v>
      </c>
      <c r="D232">
        <v>0</v>
      </c>
      <c r="E232">
        <v>0</v>
      </c>
      <c r="F232">
        <v>0</v>
      </c>
      <c r="G232">
        <v>0</v>
      </c>
      <c r="H232">
        <v>0</v>
      </c>
      <c r="I232">
        <v>0</v>
      </c>
      <c r="J232">
        <v>0</v>
      </c>
    </row>
    <row r="233" spans="2:10">
      <c r="B233" t="s">
        <v>132</v>
      </c>
      <c r="C233">
        <v>0</v>
      </c>
      <c r="D233">
        <v>0</v>
      </c>
      <c r="E233">
        <v>0</v>
      </c>
      <c r="F233">
        <v>0</v>
      </c>
      <c r="G233">
        <v>0</v>
      </c>
      <c r="H233">
        <v>0</v>
      </c>
      <c r="I233">
        <v>0</v>
      </c>
      <c r="J233">
        <v>0</v>
      </c>
    </row>
    <row r="234" spans="2:10">
      <c r="B234" t="s">
        <v>133</v>
      </c>
      <c r="C234">
        <v>0</v>
      </c>
      <c r="D234">
        <v>0</v>
      </c>
      <c r="E234">
        <v>0</v>
      </c>
      <c r="F234">
        <v>0</v>
      </c>
      <c r="G234">
        <v>0</v>
      </c>
      <c r="H234">
        <v>0</v>
      </c>
      <c r="I234">
        <v>0</v>
      </c>
      <c r="J234">
        <v>0</v>
      </c>
    </row>
    <row r="235" spans="2:10">
      <c r="B235" t="s">
        <v>134</v>
      </c>
      <c r="C235">
        <v>-25</v>
      </c>
      <c r="D235">
        <v>-7</v>
      </c>
      <c r="E235">
        <v>10</v>
      </c>
      <c r="F235">
        <v>-6</v>
      </c>
      <c r="G235">
        <v>-25</v>
      </c>
      <c r="H235">
        <v>-9</v>
      </c>
      <c r="I235">
        <v>-6</v>
      </c>
      <c r="J235">
        <v>-8</v>
      </c>
    </row>
    <row r="236" spans="2:10">
      <c r="B236" t="s">
        <v>135</v>
      </c>
      <c r="C236">
        <v>-318</v>
      </c>
      <c r="D236">
        <v>-139</v>
      </c>
      <c r="E236">
        <v>289</v>
      </c>
      <c r="F236">
        <v>31</v>
      </c>
      <c r="G236">
        <v>-344</v>
      </c>
      <c r="H236">
        <v>147</v>
      </c>
      <c r="I236">
        <v>-113</v>
      </c>
      <c r="J236">
        <v>-261</v>
      </c>
    </row>
    <row r="237" spans="2:10">
      <c r="B237" t="s">
        <v>136</v>
      </c>
      <c r="C237">
        <v>-4</v>
      </c>
      <c r="D237">
        <v>-3</v>
      </c>
      <c r="E237">
        <v>-4</v>
      </c>
      <c r="F237">
        <v>9</v>
      </c>
      <c r="G237">
        <v>-3</v>
      </c>
      <c r="H237">
        <v>-3</v>
      </c>
      <c r="I237">
        <v>12</v>
      </c>
      <c r="J237">
        <v>4</v>
      </c>
    </row>
    <row r="238" spans="2:10">
      <c r="B238" t="s">
        <v>137</v>
      </c>
      <c r="C238">
        <v>-15</v>
      </c>
      <c r="D238">
        <v>-65</v>
      </c>
      <c r="E238">
        <v>-53</v>
      </c>
      <c r="F238">
        <v>83</v>
      </c>
      <c r="G238">
        <v>-79</v>
      </c>
      <c r="H238">
        <v>-60</v>
      </c>
      <c r="I238">
        <v>9</v>
      </c>
      <c r="J238">
        <v>82</v>
      </c>
    </row>
    <row r="239" spans="2:10">
      <c r="B239" t="s">
        <v>138</v>
      </c>
      <c r="C239">
        <v>178</v>
      </c>
      <c r="D239">
        <v>242</v>
      </c>
      <c r="E239">
        <v>295</v>
      </c>
      <c r="F239">
        <v>212</v>
      </c>
      <c r="G239">
        <v>291</v>
      </c>
      <c r="H239">
        <v>352</v>
      </c>
      <c r="I239">
        <v>343</v>
      </c>
      <c r="J239">
        <v>261</v>
      </c>
    </row>
    <row r="240" spans="2:10">
      <c r="B240" t="s">
        <v>139</v>
      </c>
      <c r="C240">
        <v>163</v>
      </c>
      <c r="D240">
        <v>178</v>
      </c>
      <c r="E240">
        <v>242</v>
      </c>
      <c r="F240">
        <v>295</v>
      </c>
      <c r="G240">
        <v>212</v>
      </c>
      <c r="H240">
        <v>291</v>
      </c>
      <c r="I240">
        <v>352</v>
      </c>
      <c r="J240">
        <v>343</v>
      </c>
    </row>
    <row r="241" spans="2:10">
      <c r="B241" t="s">
        <v>140</v>
      </c>
      <c r="C241">
        <v>7</v>
      </c>
      <c r="D241">
        <v>7</v>
      </c>
      <c r="E241">
        <v>8</v>
      </c>
      <c r="F241">
        <v>6</v>
      </c>
      <c r="G241">
        <v>8</v>
      </c>
      <c r="H241">
        <v>9</v>
      </c>
      <c r="I241">
        <v>7</v>
      </c>
      <c r="J241">
        <v>8</v>
      </c>
    </row>
    <row r="242" spans="2:10">
      <c r="B242" t="s">
        <v>141</v>
      </c>
      <c r="C242" t="s">
        <v>92</v>
      </c>
      <c r="D242" t="s">
        <v>92</v>
      </c>
      <c r="E242" t="s">
        <v>92</v>
      </c>
      <c r="F242" t="s">
        <v>92</v>
      </c>
      <c r="G242" t="s">
        <v>92</v>
      </c>
      <c r="H242" t="s">
        <v>92</v>
      </c>
      <c r="I242" t="s">
        <v>92</v>
      </c>
      <c r="J242" t="s">
        <v>92</v>
      </c>
    </row>
    <row r="243" spans="2:10">
      <c r="B243" t="s">
        <v>142</v>
      </c>
    </row>
    <row r="244" spans="2:10">
      <c r="B244" t="s">
        <v>143</v>
      </c>
    </row>
    <row r="245" spans="2:10">
      <c r="B245" t="s">
        <v>104</v>
      </c>
    </row>
    <row r="246" spans="2:10">
      <c r="B246" t="s">
        <v>105</v>
      </c>
    </row>
  </sheetData>
  <sheetProtection sheet="1" objects="1" scenarios="1"/>
  <phoneticPr fontId="2"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sheet8"/>
  <dimension ref="A1"/>
  <sheetViews>
    <sheetView workbookViewId="0">
      <selection sqref="A1:XFD1000"/>
    </sheetView>
  </sheetViews>
  <sheetFormatPr defaultRowHeight="16.5"/>
  <cols>
    <col min="2" max="2" width="80.875" customWidth="1"/>
    <col min="3" max="10" width="7.625" customWidth="1"/>
  </cols>
  <sheetData/>
  <sheetProtection sheet="1" objects="1" scenarios="1"/>
  <phoneticPr fontId="2" type="noConversion"/>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sheetPr codeName="工作表12"/>
  <dimension ref="A1:A104"/>
  <sheetViews>
    <sheetView workbookViewId="0">
      <selection activeCell="A18" sqref="A18"/>
    </sheetView>
  </sheetViews>
  <sheetFormatPr defaultRowHeight="16.5"/>
  <cols>
    <col min="1" max="1" width="221.125" bestFit="1" customWidth="1"/>
  </cols>
  <sheetData>
    <row r="1" spans="1:1" s="213" customFormat="1">
      <c r="A1" s="213" t="s">
        <v>3044</v>
      </c>
    </row>
    <row r="2" spans="1:1">
      <c r="A2" t="s">
        <v>2910</v>
      </c>
    </row>
    <row r="3" spans="1:1">
      <c r="A3" t="s">
        <v>2911</v>
      </c>
    </row>
    <row r="4" spans="1:1" s="213" customFormat="1">
      <c r="A4" s="105" t="s">
        <v>3003</v>
      </c>
    </row>
    <row r="5" spans="1:1">
      <c r="A5" t="s">
        <v>2912</v>
      </c>
    </row>
    <row r="6" spans="1:1">
      <c r="A6" t="s">
        <v>2913</v>
      </c>
    </row>
    <row r="7" spans="1:1">
      <c r="A7" t="s">
        <v>2914</v>
      </c>
    </row>
    <row r="8" spans="1:1">
      <c r="A8" t="s">
        <v>2915</v>
      </c>
    </row>
    <row r="9" spans="1:1">
      <c r="A9" t="s">
        <v>2916</v>
      </c>
    </row>
    <row r="10" spans="1:1">
      <c r="A10" t="s">
        <v>2917</v>
      </c>
    </row>
    <row r="11" spans="1:1">
      <c r="A11" t="s">
        <v>2918</v>
      </c>
    </row>
    <row r="12" spans="1:1">
      <c r="A12" t="s">
        <v>2919</v>
      </c>
    </row>
    <row r="13" spans="1:1">
      <c r="A13" t="s">
        <v>2920</v>
      </c>
    </row>
    <row r="14" spans="1:1">
      <c r="A14" t="s">
        <v>2921</v>
      </c>
    </row>
    <row r="15" spans="1:1">
      <c r="A15" t="s">
        <v>2922</v>
      </c>
    </row>
    <row r="16" spans="1:1">
      <c r="A16" t="s">
        <v>2923</v>
      </c>
    </row>
    <row r="17" spans="1:1">
      <c r="A17" t="s">
        <v>2924</v>
      </c>
    </row>
    <row r="18" spans="1:1">
      <c r="A18" t="s">
        <v>2925</v>
      </c>
    </row>
    <row r="19" spans="1:1">
      <c r="A19" t="s">
        <v>2926</v>
      </c>
    </row>
    <row r="20" spans="1:1">
      <c r="A20" t="s">
        <v>2927</v>
      </c>
    </row>
    <row r="21" spans="1:1">
      <c r="A21" t="s">
        <v>2928</v>
      </c>
    </row>
    <row r="22" spans="1:1">
      <c r="A22" t="s">
        <v>2929</v>
      </c>
    </row>
    <row r="23" spans="1:1">
      <c r="A23" t="s">
        <v>2930</v>
      </c>
    </row>
    <row r="24" spans="1:1">
      <c r="A24" t="s">
        <v>2931</v>
      </c>
    </row>
    <row r="25" spans="1:1">
      <c r="A25" t="s">
        <v>2932</v>
      </c>
    </row>
    <row r="26" spans="1:1">
      <c r="A26" t="s">
        <v>2933</v>
      </c>
    </row>
    <row r="27" spans="1:1">
      <c r="A27" t="s">
        <v>3004</v>
      </c>
    </row>
    <row r="28" spans="1:1">
      <c r="A28" t="s">
        <v>3141</v>
      </c>
    </row>
    <row r="29" spans="1:1">
      <c r="A29" t="s">
        <v>2999</v>
      </c>
    </row>
    <row r="30" spans="1:1">
      <c r="A30" t="s">
        <v>2934</v>
      </c>
    </row>
    <row r="31" spans="1:1">
      <c r="A31" t="s">
        <v>3000</v>
      </c>
    </row>
    <row r="32" spans="1:1">
      <c r="A32" t="s">
        <v>2935</v>
      </c>
    </row>
    <row r="33" spans="1:1">
      <c r="A33" t="s">
        <v>2936</v>
      </c>
    </row>
    <row r="34" spans="1:1">
      <c r="A34" t="s">
        <v>3001</v>
      </c>
    </row>
    <row r="35" spans="1:1">
      <c r="A35" t="s">
        <v>3002</v>
      </c>
    </row>
    <row r="36" spans="1:1">
      <c r="A36" t="s">
        <v>2937</v>
      </c>
    </row>
    <row r="37" spans="1:1">
      <c r="A37" t="s">
        <v>3142</v>
      </c>
    </row>
    <row r="38" spans="1:1">
      <c r="A38" t="s">
        <v>2938</v>
      </c>
    </row>
    <row r="39" spans="1:1">
      <c r="A39" t="s">
        <v>2939</v>
      </c>
    </row>
    <row r="40" spans="1:1">
      <c r="A40" t="s">
        <v>2940</v>
      </c>
    </row>
    <row r="41" spans="1:1">
      <c r="A41" t="s">
        <v>2941</v>
      </c>
    </row>
    <row r="42" spans="1:1">
      <c r="A42" t="s">
        <v>2942</v>
      </c>
    </row>
    <row r="43" spans="1:1">
      <c r="A43" t="s">
        <v>2943</v>
      </c>
    </row>
    <row r="44" spans="1:1">
      <c r="A44" t="s">
        <v>2944</v>
      </c>
    </row>
    <row r="45" spans="1:1">
      <c r="A45" t="s">
        <v>2945</v>
      </c>
    </row>
    <row r="46" spans="1:1">
      <c r="A46" t="s">
        <v>2946</v>
      </c>
    </row>
    <row r="47" spans="1:1">
      <c r="A47" t="s">
        <v>2947</v>
      </c>
    </row>
    <row r="48" spans="1:1">
      <c r="A48" t="s">
        <v>2948</v>
      </c>
    </row>
    <row r="49" spans="1:1">
      <c r="A49" t="s">
        <v>2949</v>
      </c>
    </row>
    <row r="50" spans="1:1">
      <c r="A50" t="s">
        <v>2950</v>
      </c>
    </row>
    <row r="51" spans="1:1">
      <c r="A51" t="s">
        <v>2951</v>
      </c>
    </row>
    <row r="52" spans="1:1">
      <c r="A52" t="s">
        <v>2952</v>
      </c>
    </row>
    <row r="53" spans="1:1">
      <c r="A53" t="s">
        <v>2953</v>
      </c>
    </row>
    <row r="54" spans="1:1">
      <c r="A54" t="s">
        <v>2954</v>
      </c>
    </row>
    <row r="55" spans="1:1">
      <c r="A55" t="s">
        <v>2955</v>
      </c>
    </row>
    <row r="56" spans="1:1">
      <c r="A56" t="s">
        <v>2956</v>
      </c>
    </row>
    <row r="57" spans="1:1">
      <c r="A57" t="s">
        <v>2957</v>
      </c>
    </row>
    <row r="58" spans="1:1">
      <c r="A58" t="s">
        <v>2958</v>
      </c>
    </row>
    <row r="59" spans="1:1">
      <c r="A59" t="s">
        <v>2959</v>
      </c>
    </row>
    <row r="60" spans="1:1">
      <c r="A60" t="s">
        <v>2960</v>
      </c>
    </row>
    <row r="61" spans="1:1">
      <c r="A61" t="s">
        <v>2961</v>
      </c>
    </row>
    <row r="62" spans="1:1">
      <c r="A62" t="s">
        <v>2962</v>
      </c>
    </row>
    <row r="63" spans="1:1">
      <c r="A63" t="s">
        <v>2963</v>
      </c>
    </row>
    <row r="64" spans="1:1">
      <c r="A64" t="s">
        <v>2964</v>
      </c>
    </row>
    <row r="65" spans="1:1">
      <c r="A65" t="s">
        <v>2965</v>
      </c>
    </row>
    <row r="66" spans="1:1">
      <c r="A66" t="s">
        <v>2966</v>
      </c>
    </row>
    <row r="67" spans="1:1">
      <c r="A67" t="s">
        <v>2967</v>
      </c>
    </row>
    <row r="68" spans="1:1">
      <c r="A68" t="s">
        <v>2968</v>
      </c>
    </row>
    <row r="69" spans="1:1">
      <c r="A69" t="s">
        <v>2969</v>
      </c>
    </row>
    <row r="70" spans="1:1">
      <c r="A70" t="s">
        <v>2970</v>
      </c>
    </row>
    <row r="71" spans="1:1">
      <c r="A71" t="s">
        <v>2971</v>
      </c>
    </row>
    <row r="72" spans="1:1">
      <c r="A72" t="s">
        <v>2972</v>
      </c>
    </row>
    <row r="73" spans="1:1">
      <c r="A73" t="s">
        <v>2973</v>
      </c>
    </row>
    <row r="74" spans="1:1">
      <c r="A74" t="s">
        <v>2974</v>
      </c>
    </row>
    <row r="75" spans="1:1">
      <c r="A75" t="s">
        <v>2947</v>
      </c>
    </row>
    <row r="76" spans="1:1">
      <c r="A76" t="s">
        <v>2975</v>
      </c>
    </row>
    <row r="77" spans="1:1">
      <c r="A77" t="s">
        <v>2976</v>
      </c>
    </row>
    <row r="78" spans="1:1">
      <c r="A78" t="s">
        <v>2977</v>
      </c>
    </row>
    <row r="79" spans="1:1">
      <c r="A79" t="s">
        <v>2978</v>
      </c>
    </row>
    <row r="80" spans="1:1">
      <c r="A80" t="s">
        <v>2979</v>
      </c>
    </row>
    <row r="81" spans="1:1">
      <c r="A81" t="s">
        <v>2980</v>
      </c>
    </row>
    <row r="82" spans="1:1">
      <c r="A82" t="s">
        <v>2981</v>
      </c>
    </row>
    <row r="83" spans="1:1">
      <c r="A83" t="s">
        <v>2982</v>
      </c>
    </row>
    <row r="84" spans="1:1">
      <c r="A84" t="s">
        <v>2983</v>
      </c>
    </row>
    <row r="85" spans="1:1">
      <c r="A85" t="s">
        <v>2984</v>
      </c>
    </row>
    <row r="86" spans="1:1">
      <c r="A86" t="s">
        <v>2985</v>
      </c>
    </row>
    <row r="87" spans="1:1">
      <c r="A87" t="s">
        <v>2986</v>
      </c>
    </row>
    <row r="88" spans="1:1">
      <c r="A88" t="s">
        <v>2987</v>
      </c>
    </row>
    <row r="89" spans="1:1">
      <c r="A89" t="s">
        <v>2988</v>
      </c>
    </row>
    <row r="90" spans="1:1">
      <c r="A90" t="s">
        <v>2989</v>
      </c>
    </row>
    <row r="91" spans="1:1">
      <c r="A91" t="s">
        <v>2990</v>
      </c>
    </row>
    <row r="92" spans="1:1">
      <c r="A92" t="s">
        <v>2991</v>
      </c>
    </row>
    <row r="93" spans="1:1">
      <c r="A93" t="s">
        <v>2992</v>
      </c>
    </row>
    <row r="94" spans="1:1">
      <c r="A94" t="s">
        <v>2993</v>
      </c>
    </row>
    <row r="95" spans="1:1">
      <c r="A95" t="s">
        <v>2994</v>
      </c>
    </row>
    <row r="96" spans="1:1">
      <c r="A96" t="s">
        <v>2995</v>
      </c>
    </row>
    <row r="97" spans="1:1">
      <c r="A97" t="s">
        <v>2996</v>
      </c>
    </row>
    <row r="98" spans="1:1">
      <c r="A98" t="s">
        <v>2997</v>
      </c>
    </row>
    <row r="99" spans="1:1">
      <c r="A99" t="s">
        <v>2998</v>
      </c>
    </row>
    <row r="102" spans="1:1">
      <c r="A102">
        <f>5/506</f>
        <v>9.881422924901186E-3</v>
      </c>
    </row>
    <row r="104" spans="1:1">
      <c r="A104" s="412">
        <f>0.5/5.06</f>
        <v>9.881422924901187E-2</v>
      </c>
    </row>
  </sheetData>
  <phoneticPr fontId="2" type="noConversion"/>
  <hyperlinks>
    <hyperlink ref="A4" r:id="rId1"/>
  </hyperlinks>
  <pageMargins left="0.7" right="0.7" top="0.75" bottom="0.75" header="0.3" footer="0.3"/>
</worksheet>
</file>

<file path=xl/worksheets/sheet17.xml><?xml version="1.0" encoding="utf-8"?>
<worksheet xmlns="http://schemas.openxmlformats.org/spreadsheetml/2006/main" xmlns:r="http://schemas.openxmlformats.org/officeDocument/2006/relationships">
  <sheetPr codeName="工作表2"/>
  <dimension ref="A1:B167"/>
  <sheetViews>
    <sheetView topLeftCell="B82" workbookViewId="0">
      <selection activeCell="B80" sqref="B80"/>
    </sheetView>
  </sheetViews>
  <sheetFormatPr defaultColWidth="9" defaultRowHeight="19.5"/>
  <cols>
    <col min="1" max="1" width="4" style="202" customWidth="1"/>
    <col min="2" max="2" width="255.625" style="202" bestFit="1" customWidth="1"/>
    <col min="3" max="16384" width="9" style="202"/>
  </cols>
  <sheetData>
    <row r="1" spans="1:2">
      <c r="A1" s="202" t="s">
        <v>3104</v>
      </c>
      <c r="B1" s="201" t="s">
        <v>2146</v>
      </c>
    </row>
    <row r="2" spans="1:2">
      <c r="A2" s="202" t="s">
        <v>3104</v>
      </c>
      <c r="B2" s="201" t="s">
        <v>2147</v>
      </c>
    </row>
    <row r="3" spans="1:2">
      <c r="A3" s="202" t="s">
        <v>3104</v>
      </c>
      <c r="B3" s="201" t="s">
        <v>2148</v>
      </c>
    </row>
    <row r="4" spans="1:2">
      <c r="A4" s="202" t="s">
        <v>3104</v>
      </c>
      <c r="B4" s="201" t="s">
        <v>2149</v>
      </c>
    </row>
    <row r="5" spans="1:2">
      <c r="A5" s="202" t="s">
        <v>3104</v>
      </c>
      <c r="B5" s="201" t="s">
        <v>2150</v>
      </c>
    </row>
    <row r="6" spans="1:2">
      <c r="A6" s="202" t="s">
        <v>3104</v>
      </c>
      <c r="B6" s="201" t="s">
        <v>2151</v>
      </c>
    </row>
    <row r="7" spans="1:2">
      <c r="A7" s="202" t="s">
        <v>3104</v>
      </c>
      <c r="B7" s="201" t="s">
        <v>2152</v>
      </c>
    </row>
    <row r="8" spans="1:2">
      <c r="A8" s="202" t="s">
        <v>3104</v>
      </c>
      <c r="B8" s="201" t="s">
        <v>2153</v>
      </c>
    </row>
    <row r="9" spans="1:2">
      <c r="A9" s="202" t="s">
        <v>3104</v>
      </c>
      <c r="B9" s="201" t="s">
        <v>2154</v>
      </c>
    </row>
    <row r="10" spans="1:2">
      <c r="A10" s="202" t="s">
        <v>3104</v>
      </c>
      <c r="B10" s="201" t="s">
        <v>2155</v>
      </c>
    </row>
    <row r="11" spans="1:2">
      <c r="A11" s="202" t="s">
        <v>3104</v>
      </c>
      <c r="B11" s="201" t="s">
        <v>2156</v>
      </c>
    </row>
    <row r="12" spans="1:2">
      <c r="A12" s="202" t="s">
        <v>3104</v>
      </c>
      <c r="B12" s="201" t="s">
        <v>2158</v>
      </c>
    </row>
    <row r="13" spans="1:2">
      <c r="A13" s="202" t="s">
        <v>3104</v>
      </c>
      <c r="B13" s="201" t="s">
        <v>3116</v>
      </c>
    </row>
    <row r="14" spans="1:2">
      <c r="B14" s="201"/>
    </row>
    <row r="15" spans="1:2">
      <c r="A15" s="202" t="s">
        <v>3104</v>
      </c>
      <c r="B15" s="201" t="s">
        <v>2164</v>
      </c>
    </row>
    <row r="16" spans="1:2">
      <c r="A16" s="202" t="s">
        <v>3104</v>
      </c>
      <c r="B16" s="201" t="s">
        <v>2165</v>
      </c>
    </row>
    <row r="17" spans="1:2">
      <c r="A17" s="202" t="s">
        <v>3104</v>
      </c>
      <c r="B17" s="201" t="s">
        <v>2166</v>
      </c>
    </row>
    <row r="18" spans="1:2">
      <c r="A18" s="202" t="s">
        <v>3104</v>
      </c>
      <c r="B18" s="201" t="s">
        <v>2167</v>
      </c>
    </row>
    <row r="19" spans="1:2">
      <c r="B19" s="201"/>
    </row>
    <row r="20" spans="1:2">
      <c r="A20" s="202" t="s">
        <v>3104</v>
      </c>
      <c r="B20" s="201" t="s">
        <v>3106</v>
      </c>
    </row>
    <row r="21" spans="1:2">
      <c r="A21" s="202" t="s">
        <v>3104</v>
      </c>
      <c r="B21" s="201" t="s">
        <v>2169</v>
      </c>
    </row>
    <row r="22" spans="1:2">
      <c r="A22" s="202" t="s">
        <v>3104</v>
      </c>
      <c r="B22" s="201" t="s">
        <v>2170</v>
      </c>
    </row>
    <row r="23" spans="1:2">
      <c r="A23" s="202" t="s">
        <v>3104</v>
      </c>
      <c r="B23" s="201" t="s">
        <v>2171</v>
      </c>
    </row>
    <row r="24" spans="1:2">
      <c r="A24" s="202" t="s">
        <v>3104</v>
      </c>
      <c r="B24" s="201" t="s">
        <v>2172</v>
      </c>
    </row>
    <row r="25" spans="1:2">
      <c r="A25" s="202" t="s">
        <v>3104</v>
      </c>
      <c r="B25" s="201" t="s">
        <v>2173</v>
      </c>
    </row>
    <row r="26" spans="1:2">
      <c r="A26" s="202" t="s">
        <v>3104</v>
      </c>
      <c r="B26" s="201" t="s">
        <v>2174</v>
      </c>
    </row>
    <row r="27" spans="1:2">
      <c r="A27" s="202" t="s">
        <v>3104</v>
      </c>
      <c r="B27" s="201" t="s">
        <v>2216</v>
      </c>
    </row>
    <row r="28" spans="1:2">
      <c r="B28" s="201"/>
    </row>
    <row r="29" spans="1:2">
      <c r="B29" s="201" t="s">
        <v>2188</v>
      </c>
    </row>
    <row r="30" spans="1:2">
      <c r="B30" s="201" t="s">
        <v>2189</v>
      </c>
    </row>
    <row r="31" spans="1:2">
      <c r="B31" s="201"/>
    </row>
    <row r="32" spans="1:2">
      <c r="B32" s="201" t="s">
        <v>2157</v>
      </c>
    </row>
    <row r="33" spans="1:2">
      <c r="B33" s="201" t="s">
        <v>2159</v>
      </c>
    </row>
    <row r="34" spans="1:2">
      <c r="B34" s="201" t="s">
        <v>2168</v>
      </c>
    </row>
    <row r="35" spans="1:2">
      <c r="B35" s="201" t="s">
        <v>2179</v>
      </c>
    </row>
    <row r="36" spans="1:2">
      <c r="B36" s="201" t="s">
        <v>2180</v>
      </c>
    </row>
    <row r="37" spans="1:2">
      <c r="B37" s="201" t="s">
        <v>2223</v>
      </c>
    </row>
    <row r="38" spans="1:2">
      <c r="B38" s="201"/>
    </row>
    <row r="39" spans="1:2">
      <c r="A39" s="202" t="s">
        <v>3105</v>
      </c>
      <c r="B39" s="201" t="s">
        <v>2160</v>
      </c>
    </row>
    <row r="40" spans="1:2">
      <c r="A40" s="202" t="s">
        <v>3105</v>
      </c>
      <c r="B40" s="201" t="s">
        <v>2161</v>
      </c>
    </row>
    <row r="41" spans="1:2">
      <c r="A41" s="202" t="s">
        <v>3105</v>
      </c>
      <c r="B41" s="201" t="s">
        <v>2162</v>
      </c>
    </row>
    <row r="42" spans="1:2">
      <c r="A42" s="202" t="s">
        <v>3105</v>
      </c>
      <c r="B42" s="201" t="s">
        <v>2163</v>
      </c>
    </row>
    <row r="43" spans="1:2">
      <c r="A43" s="202" t="s">
        <v>3105</v>
      </c>
      <c r="B43" s="201" t="s">
        <v>2218</v>
      </c>
    </row>
    <row r="44" spans="1:2">
      <c r="B44" s="201"/>
    </row>
    <row r="45" spans="1:2">
      <c r="B45" s="203">
        <v>42339</v>
      </c>
    </row>
    <row r="46" spans="1:2">
      <c r="B46" s="201" t="s">
        <v>2219</v>
      </c>
    </row>
    <row r="47" spans="1:2">
      <c r="B47" s="201" t="s">
        <v>2220</v>
      </c>
    </row>
    <row r="48" spans="1:2">
      <c r="B48" s="201" t="s">
        <v>2221</v>
      </c>
    </row>
    <row r="49" spans="2:2">
      <c r="B49" s="201"/>
    </row>
    <row r="50" spans="2:2">
      <c r="B50" s="201" t="s">
        <v>2222</v>
      </c>
    </row>
    <row r="51" spans="2:2">
      <c r="B51" s="201"/>
    </row>
    <row r="52" spans="2:2">
      <c r="B52" s="201" t="s">
        <v>2175</v>
      </c>
    </row>
    <row r="53" spans="2:2">
      <c r="B53" s="201" t="s">
        <v>2176</v>
      </c>
    </row>
    <row r="54" spans="2:2">
      <c r="B54" s="201" t="s">
        <v>2177</v>
      </c>
    </row>
    <row r="55" spans="2:2">
      <c r="B55" s="201" t="s">
        <v>2178</v>
      </c>
    </row>
    <row r="56" spans="2:2">
      <c r="B56" s="201"/>
    </row>
    <row r="57" spans="2:2">
      <c r="B57" s="201" t="s">
        <v>2181</v>
      </c>
    </row>
    <row r="58" spans="2:2">
      <c r="B58" s="201" t="s">
        <v>2182</v>
      </c>
    </row>
    <row r="59" spans="2:2">
      <c r="B59" s="201" t="s">
        <v>2183</v>
      </c>
    </row>
    <row r="60" spans="2:2">
      <c r="B60" s="201" t="s">
        <v>2184</v>
      </c>
    </row>
    <row r="61" spans="2:2">
      <c r="B61" s="201" t="s">
        <v>2185</v>
      </c>
    </row>
    <row r="62" spans="2:2">
      <c r="B62" s="201" t="s">
        <v>2186</v>
      </c>
    </row>
    <row r="63" spans="2:2">
      <c r="B63" s="201" t="s">
        <v>2187</v>
      </c>
    </row>
    <row r="64" spans="2:2">
      <c r="B64" s="201" t="s">
        <v>2226</v>
      </c>
    </row>
    <row r="65" spans="1:2">
      <c r="B65" s="201"/>
    </row>
    <row r="66" spans="1:2">
      <c r="B66" s="201"/>
    </row>
    <row r="67" spans="1:2">
      <c r="B67" s="201" t="s">
        <v>2190</v>
      </c>
    </row>
    <row r="68" spans="1:2">
      <c r="B68" s="201" t="s">
        <v>2191</v>
      </c>
    </row>
    <row r="69" spans="1:2">
      <c r="B69" s="201"/>
    </row>
    <row r="70" spans="1:2">
      <c r="B70" s="201" t="s">
        <v>2192</v>
      </c>
    </row>
    <row r="71" spans="1:2">
      <c r="B71" s="201" t="s">
        <v>2193</v>
      </c>
    </row>
    <row r="72" spans="1:2">
      <c r="B72" s="201" t="s">
        <v>2194</v>
      </c>
    </row>
    <row r="73" spans="1:2">
      <c r="B73" s="201" t="s">
        <v>2195</v>
      </c>
    </row>
    <row r="74" spans="1:2">
      <c r="B74" s="201" t="s">
        <v>2196</v>
      </c>
    </row>
    <row r="75" spans="1:2">
      <c r="B75" s="201" t="s">
        <v>2197</v>
      </c>
    </row>
    <row r="76" spans="1:2">
      <c r="B76" s="201" t="s">
        <v>2227</v>
      </c>
    </row>
    <row r="77" spans="1:2">
      <c r="B77" s="201" t="s">
        <v>2198</v>
      </c>
    </row>
    <row r="78" spans="1:2">
      <c r="B78" s="201"/>
    </row>
    <row r="79" spans="1:2">
      <c r="B79" s="201" t="s">
        <v>3108</v>
      </c>
    </row>
    <row r="80" spans="1:2">
      <c r="A80" s="202" t="s">
        <v>3109</v>
      </c>
      <c r="B80" s="201" t="s">
        <v>2199</v>
      </c>
    </row>
    <row r="81" spans="1:2">
      <c r="A81" s="202" t="s">
        <v>3109</v>
      </c>
      <c r="B81" s="201" t="s">
        <v>2228</v>
      </c>
    </row>
    <row r="82" spans="1:2">
      <c r="A82" s="202" t="s">
        <v>3109</v>
      </c>
      <c r="B82" s="201" t="s">
        <v>2200</v>
      </c>
    </row>
    <row r="83" spans="1:2">
      <c r="A83" s="202" t="s">
        <v>3109</v>
      </c>
      <c r="B83" s="201" t="s">
        <v>2201</v>
      </c>
    </row>
    <row r="84" spans="1:2">
      <c r="A84" s="202" t="s">
        <v>3109</v>
      </c>
      <c r="B84" s="201" t="s">
        <v>2202</v>
      </c>
    </row>
    <row r="85" spans="1:2">
      <c r="A85" s="202" t="s">
        <v>3109</v>
      </c>
      <c r="B85" s="201" t="s">
        <v>3110</v>
      </c>
    </row>
    <row r="86" spans="1:2">
      <c r="A86" s="202" t="s">
        <v>3109</v>
      </c>
      <c r="B86" s="201" t="s">
        <v>2230</v>
      </c>
    </row>
    <row r="87" spans="1:2">
      <c r="A87" s="202" t="s">
        <v>3109</v>
      </c>
      <c r="B87" s="201" t="s">
        <v>2231</v>
      </c>
    </row>
    <row r="88" spans="1:2">
      <c r="A88" s="202" t="s">
        <v>3109</v>
      </c>
      <c r="B88" s="201" t="s">
        <v>2229</v>
      </c>
    </row>
    <row r="89" spans="1:2">
      <c r="A89" s="202" t="s">
        <v>3109</v>
      </c>
      <c r="B89" s="201" t="s">
        <v>3111</v>
      </c>
    </row>
    <row r="90" spans="1:2">
      <c r="A90" s="202" t="s">
        <v>3109</v>
      </c>
      <c r="B90" s="201" t="s">
        <v>2217</v>
      </c>
    </row>
    <row r="91" spans="1:2">
      <c r="A91" s="202" t="s">
        <v>3109</v>
      </c>
      <c r="B91" s="204" t="s">
        <v>3103</v>
      </c>
    </row>
    <row r="92" spans="1:2">
      <c r="A92" s="202" t="s">
        <v>3109</v>
      </c>
      <c r="B92" s="201" t="s">
        <v>2225</v>
      </c>
    </row>
    <row r="93" spans="1:2">
      <c r="A93" s="202" t="s">
        <v>3109</v>
      </c>
      <c r="B93" s="201" t="s">
        <v>2224</v>
      </c>
    </row>
    <row r="94" spans="1:2">
      <c r="A94" s="202" t="s">
        <v>3109</v>
      </c>
      <c r="B94" s="201" t="s">
        <v>3112</v>
      </c>
    </row>
    <row r="95" spans="1:2">
      <c r="A95" s="202" t="s">
        <v>3109</v>
      </c>
      <c r="B95" s="201"/>
    </row>
    <row r="96" spans="1:2">
      <c r="B96" s="201" t="s">
        <v>2203</v>
      </c>
    </row>
    <row r="97" spans="2:2">
      <c r="B97" s="201" t="s">
        <v>2204</v>
      </c>
    </row>
    <row r="98" spans="2:2">
      <c r="B98" s="201"/>
    </row>
    <row r="99" spans="2:2">
      <c r="B99" s="201" t="s">
        <v>2205</v>
      </c>
    </row>
    <row r="100" spans="2:2">
      <c r="B100" s="201" t="s">
        <v>2206</v>
      </c>
    </row>
    <row r="101" spans="2:2">
      <c r="B101" s="201" t="s">
        <v>2207</v>
      </c>
    </row>
    <row r="102" spans="2:2">
      <c r="B102" s="201" t="s">
        <v>2208</v>
      </c>
    </row>
    <row r="103" spans="2:2">
      <c r="B103" s="201" t="s">
        <v>2209</v>
      </c>
    </row>
    <row r="104" spans="2:2">
      <c r="B104" s="201" t="s">
        <v>2210</v>
      </c>
    </row>
    <row r="105" spans="2:2">
      <c r="B105" s="201" t="s">
        <v>2211</v>
      </c>
    </row>
    <row r="106" spans="2:2">
      <c r="B106" s="201" t="s">
        <v>2212</v>
      </c>
    </row>
    <row r="107" spans="2:2">
      <c r="B107" s="201" t="s">
        <v>2213</v>
      </c>
    </row>
    <row r="108" spans="2:2">
      <c r="B108" s="201" t="s">
        <v>2214</v>
      </c>
    </row>
    <row r="109" spans="2:2">
      <c r="B109" s="201"/>
    </row>
    <row r="110" spans="2:2">
      <c r="B110" s="201" t="s">
        <v>2215</v>
      </c>
    </row>
    <row r="111" spans="2:2">
      <c r="B111" s="201"/>
    </row>
    <row r="112" spans="2:2">
      <c r="B112" s="201" t="s">
        <v>3107</v>
      </c>
    </row>
    <row r="113" spans="2:2">
      <c r="B113" s="201"/>
    </row>
    <row r="114" spans="2:2">
      <c r="B114" s="204" t="s">
        <v>2232</v>
      </c>
    </row>
    <row r="115" spans="2:2">
      <c r="B115" s="204" t="s">
        <v>2233</v>
      </c>
    </row>
    <row r="116" spans="2:2">
      <c r="B116" s="204" t="s">
        <v>2234</v>
      </c>
    </row>
    <row r="117" spans="2:2">
      <c r="B117" s="201"/>
    </row>
    <row r="118" spans="2:2">
      <c r="B118" s="204" t="s">
        <v>2235</v>
      </c>
    </row>
    <row r="119" spans="2:2">
      <c r="B119" s="204" t="s">
        <v>2236</v>
      </c>
    </row>
    <row r="120" spans="2:2">
      <c r="B120" s="201"/>
    </row>
    <row r="121" spans="2:2">
      <c r="B121" s="204" t="s">
        <v>2237</v>
      </c>
    </row>
    <row r="122" spans="2:2">
      <c r="B122" s="204" t="s">
        <v>2238</v>
      </c>
    </row>
    <row r="123" spans="2:2">
      <c r="B123" s="204" t="s">
        <v>2239</v>
      </c>
    </row>
    <row r="124" spans="2:2">
      <c r="B124" s="204" t="s">
        <v>2240</v>
      </c>
    </row>
    <row r="125" spans="2:2">
      <c r="B125" s="201" t="s">
        <v>2241</v>
      </c>
    </row>
    <row r="126" spans="2:2">
      <c r="B126" s="201" t="s">
        <v>2242</v>
      </c>
    </row>
    <row r="127" spans="2:2">
      <c r="B127" s="201" t="s">
        <v>2243</v>
      </c>
    </row>
    <row r="128" spans="2:2">
      <c r="B128" s="201" t="s">
        <v>2244</v>
      </c>
    </row>
    <row r="129" spans="2:2">
      <c r="B129" s="201"/>
    </row>
    <row r="130" spans="2:2">
      <c r="B130" s="204" t="s">
        <v>2245</v>
      </c>
    </row>
    <row r="131" spans="2:2">
      <c r="B131" s="204" t="s">
        <v>2246</v>
      </c>
    </row>
    <row r="132" spans="2:2">
      <c r="B132" s="201"/>
    </row>
    <row r="133" spans="2:2">
      <c r="B133" s="204" t="s">
        <v>2247</v>
      </c>
    </row>
    <row r="134" spans="2:2">
      <c r="B134" s="204" t="s">
        <v>2248</v>
      </c>
    </row>
    <row r="135" spans="2:2">
      <c r="B135" s="204" t="s">
        <v>2249</v>
      </c>
    </row>
    <row r="136" spans="2:2">
      <c r="B136" s="204" t="s">
        <v>2250</v>
      </c>
    </row>
    <row r="137" spans="2:2">
      <c r="B137" s="204" t="s">
        <v>2251</v>
      </c>
    </row>
    <row r="138" spans="2:2">
      <c r="B138" s="204" t="s">
        <v>2252</v>
      </c>
    </row>
    <row r="139" spans="2:2">
      <c r="B139" s="201"/>
    </row>
    <row r="140" spans="2:2">
      <c r="B140" s="204" t="s">
        <v>2253</v>
      </c>
    </row>
    <row r="141" spans="2:2" s="201" customFormat="1" ht="27">
      <c r="B141" s="201" t="s">
        <v>2254</v>
      </c>
    </row>
    <row r="142" spans="2:2" s="201" customFormat="1">
      <c r="B142" s="201" t="s">
        <v>2255</v>
      </c>
    </row>
    <row r="143" spans="2:2" s="201" customFormat="1"/>
    <row r="144" spans="2:2" s="201" customFormat="1">
      <c r="B144" s="201" t="s">
        <v>2256</v>
      </c>
    </row>
    <row r="145" spans="2:2" s="201" customFormat="1">
      <c r="B145" s="201" t="s">
        <v>2257</v>
      </c>
    </row>
    <row r="146" spans="2:2" s="201" customFormat="1"/>
    <row r="147" spans="2:2" s="201" customFormat="1">
      <c r="B147" s="201" t="s">
        <v>2258</v>
      </c>
    </row>
    <row r="148" spans="2:2" s="201" customFormat="1">
      <c r="B148" s="201" t="s">
        <v>2259</v>
      </c>
    </row>
    <row r="149" spans="2:2" s="201" customFormat="1">
      <c r="B149" s="201" t="s">
        <v>2260</v>
      </c>
    </row>
    <row r="150" spans="2:2" s="201" customFormat="1"/>
    <row r="151" spans="2:2" s="201" customFormat="1"/>
    <row r="152" spans="2:2" s="201" customFormat="1">
      <c r="B152" s="201" t="s">
        <v>2261</v>
      </c>
    </row>
    <row r="153" spans="2:2" s="201" customFormat="1">
      <c r="B153" s="201" t="s">
        <v>2262</v>
      </c>
    </row>
    <row r="154" spans="2:2" s="201" customFormat="1">
      <c r="B154" s="201" t="s">
        <v>2263</v>
      </c>
    </row>
    <row r="155" spans="2:2" s="201" customFormat="1"/>
    <row r="156" spans="2:2" s="201" customFormat="1">
      <c r="B156" s="201" t="s">
        <v>2264</v>
      </c>
    </row>
    <row r="157" spans="2:2" s="201" customFormat="1">
      <c r="B157" s="201" t="s">
        <v>2265</v>
      </c>
    </row>
    <row r="158" spans="2:2" s="201" customFormat="1">
      <c r="B158" s="201" t="s">
        <v>2266</v>
      </c>
    </row>
    <row r="159" spans="2:2" s="201" customFormat="1">
      <c r="B159" s="201" t="s">
        <v>2267</v>
      </c>
    </row>
    <row r="160" spans="2:2" s="201" customFormat="1">
      <c r="B160" s="201" t="s">
        <v>2268</v>
      </c>
    </row>
    <row r="161" spans="2:2" s="201" customFormat="1"/>
    <row r="162" spans="2:2" s="201" customFormat="1">
      <c r="B162" s="201" t="s">
        <v>2269</v>
      </c>
    </row>
    <row r="163" spans="2:2" s="201" customFormat="1">
      <c r="B163" s="201" t="s">
        <v>2270</v>
      </c>
    </row>
    <row r="164" spans="2:2" s="201" customFormat="1">
      <c r="B164" s="201" t="s">
        <v>2271</v>
      </c>
    </row>
    <row r="165" spans="2:2" s="201" customFormat="1">
      <c r="B165" s="201" t="s">
        <v>2272</v>
      </c>
    </row>
    <row r="166" spans="2:2" s="201" customFormat="1"/>
    <row r="167" spans="2:2" s="201" customFormat="1"/>
  </sheetData>
  <phoneticPr fontId="2"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17</vt:i4>
      </vt:variant>
      <vt:variant>
        <vt:lpstr>已命名的範圍</vt:lpstr>
      </vt:variant>
      <vt:variant>
        <vt:i4>1043</vt:i4>
      </vt:variant>
    </vt:vector>
  </HeadingPairs>
  <TitlesOfParts>
    <vt:vector size="1060" baseType="lpstr">
      <vt:lpstr>基本設定</vt:lpstr>
      <vt:lpstr>季財報</vt:lpstr>
      <vt:lpstr>紅綠燈</vt:lpstr>
      <vt:lpstr>財報PK</vt:lpstr>
      <vt:lpstr>評比系統</vt:lpstr>
      <vt:lpstr>搶先報</vt:lpstr>
      <vt:lpstr>自結資料</vt:lpstr>
      <vt:lpstr>公司債</vt:lpstr>
      <vt:lpstr>收盤價</vt:lpstr>
      <vt:lpstr>W55</vt:lpstr>
      <vt:lpstr>RPS</vt:lpstr>
      <vt:lpstr>PK</vt:lpstr>
      <vt:lpstr>PKA</vt:lpstr>
      <vt:lpstr>PKB</vt:lpstr>
      <vt:lpstr>PKC</vt:lpstr>
      <vt:lpstr>LINK</vt:lpstr>
      <vt:lpstr>自我語錄</vt:lpstr>
      <vt:lpstr>紅綠燈!EE</vt:lpstr>
      <vt:lpstr>紅綠燈!Print_Area</vt:lpstr>
      <vt:lpstr>基本設定!外部資料_1000</vt:lpstr>
      <vt:lpstr>基本設定!外部資料_1001</vt:lpstr>
      <vt:lpstr>基本設定!外部資料_1002</vt:lpstr>
      <vt:lpstr>基本設定!外部資料_1003</vt:lpstr>
      <vt:lpstr>基本設定!外部資料_1004</vt:lpstr>
      <vt:lpstr>基本設定!外部資料_1005</vt:lpstr>
      <vt:lpstr>基本設定!外部資料_1006</vt:lpstr>
      <vt:lpstr>基本設定!外部資料_1007</vt:lpstr>
      <vt:lpstr>基本設定!外部資料_1008</vt:lpstr>
      <vt:lpstr>基本設定!外部資料_1009</vt:lpstr>
      <vt:lpstr>基本設定!外部資料_1010</vt:lpstr>
      <vt:lpstr>基本設定!外部資料_1011</vt:lpstr>
      <vt:lpstr>基本設定!外部資料_1012</vt:lpstr>
      <vt:lpstr>基本設定!外部資料_1013</vt:lpstr>
      <vt:lpstr>基本設定!外部資料_1014</vt:lpstr>
      <vt:lpstr>基本設定!外部資料_1015</vt:lpstr>
      <vt:lpstr>基本設定!外部資料_1016</vt:lpstr>
      <vt:lpstr>基本設定!外部資料_1017</vt:lpstr>
      <vt:lpstr>基本設定!外部資料_1018</vt:lpstr>
      <vt:lpstr>基本設定!外部資料_1019</vt:lpstr>
      <vt:lpstr>基本設定!外部資料_1020</vt:lpstr>
      <vt:lpstr>基本設定!外部資料_1021</vt:lpstr>
      <vt:lpstr>基本設定!外部資料_1022</vt:lpstr>
      <vt:lpstr>基本設定!外部資料_1023</vt:lpstr>
      <vt:lpstr>基本設定!外部資料_1024</vt:lpstr>
      <vt:lpstr>基本設定!外部資料_1025</vt:lpstr>
      <vt:lpstr>基本設定!外部資料_1026</vt:lpstr>
      <vt:lpstr>基本設定!外部資料_1027</vt:lpstr>
      <vt:lpstr>基本設定!外部資料_1028</vt:lpstr>
      <vt:lpstr>基本設定!外部資料_1029</vt:lpstr>
      <vt:lpstr>基本設定!外部資料_1030</vt:lpstr>
      <vt:lpstr>基本設定!外部資料_1031</vt:lpstr>
      <vt:lpstr>基本設定!外部資料_1032</vt:lpstr>
      <vt:lpstr>基本設定!外部資料_1033</vt:lpstr>
      <vt:lpstr>基本設定!外部資料_1034</vt:lpstr>
      <vt:lpstr>基本設定!外部資料_1035</vt:lpstr>
      <vt:lpstr>基本設定!外部資料_1036</vt:lpstr>
      <vt:lpstr>基本設定!外部資料_1037</vt:lpstr>
      <vt:lpstr>基本設定!外部資料_1038</vt:lpstr>
      <vt:lpstr>基本設定!外部資料_1039</vt:lpstr>
      <vt:lpstr>基本設定!外部資料_1040</vt:lpstr>
      <vt:lpstr>基本設定!外部資料_1041</vt:lpstr>
      <vt:lpstr>基本設定!外部資料_1042</vt:lpstr>
      <vt:lpstr>基本設定!外部資料_1043</vt:lpstr>
      <vt:lpstr>基本設定!外部資料_1044</vt:lpstr>
      <vt:lpstr>基本設定!外部資料_1045</vt:lpstr>
      <vt:lpstr>基本設定!外部資料_1046</vt:lpstr>
      <vt:lpstr>基本設定!外部資料_1047</vt:lpstr>
      <vt:lpstr>基本設定!外部資料_1048</vt:lpstr>
      <vt:lpstr>基本設定!外部資料_1049</vt:lpstr>
      <vt:lpstr>基本設定!外部資料_1050</vt:lpstr>
      <vt:lpstr>基本設定!外部資料_1051</vt:lpstr>
      <vt:lpstr>基本設定!外部資料_1052</vt:lpstr>
      <vt:lpstr>基本設定!外部資料_1053</vt:lpstr>
      <vt:lpstr>基本設定!外部資料_1054</vt:lpstr>
      <vt:lpstr>基本設定!外部資料_1055</vt:lpstr>
      <vt:lpstr>基本設定!外部資料_1056</vt:lpstr>
      <vt:lpstr>基本設定!外部資料_1057</vt:lpstr>
      <vt:lpstr>基本設定!外部資料_1058</vt:lpstr>
      <vt:lpstr>基本設定!外部資料_1059</vt:lpstr>
      <vt:lpstr>基本設定!外部資料_1060</vt:lpstr>
      <vt:lpstr>基本設定!外部資料_1061</vt:lpstr>
      <vt:lpstr>基本設定!外部資料_1062</vt:lpstr>
      <vt:lpstr>基本設定!外部資料_1063</vt:lpstr>
      <vt:lpstr>基本設定!外部資料_1064</vt:lpstr>
      <vt:lpstr>基本設定!外部資料_1065</vt:lpstr>
      <vt:lpstr>基本設定!外部資料_1066</vt:lpstr>
      <vt:lpstr>基本設定!外部資料_1067</vt:lpstr>
      <vt:lpstr>基本設定!外部資料_1068</vt:lpstr>
      <vt:lpstr>基本設定!外部資料_1069</vt:lpstr>
      <vt:lpstr>基本設定!外部資料_1070</vt:lpstr>
      <vt:lpstr>基本設定!外部資料_1071</vt:lpstr>
      <vt:lpstr>基本設定!外部資料_1072</vt:lpstr>
      <vt:lpstr>基本設定!外部資料_1073</vt:lpstr>
      <vt:lpstr>基本設定!外部資料_1074</vt:lpstr>
      <vt:lpstr>基本設定!外部資料_1075</vt:lpstr>
      <vt:lpstr>基本設定!外部資料_1076</vt:lpstr>
      <vt:lpstr>基本設定!外部資料_1077</vt:lpstr>
      <vt:lpstr>基本設定!外部資料_1078</vt:lpstr>
      <vt:lpstr>基本設定!外部資料_1079</vt:lpstr>
      <vt:lpstr>基本設定!外部資料_1080</vt:lpstr>
      <vt:lpstr>基本設定!外部資料_1081</vt:lpstr>
      <vt:lpstr>基本設定!外部資料_1082</vt:lpstr>
      <vt:lpstr>基本設定!外部資料_1083</vt:lpstr>
      <vt:lpstr>基本設定!外部資料_1084</vt:lpstr>
      <vt:lpstr>基本設定!外部資料_1085</vt:lpstr>
      <vt:lpstr>基本設定!外部資料_1086</vt:lpstr>
      <vt:lpstr>基本設定!外部資料_1087</vt:lpstr>
      <vt:lpstr>基本設定!外部資料_1088</vt:lpstr>
      <vt:lpstr>基本設定!外部資料_1089</vt:lpstr>
      <vt:lpstr>基本設定!外部資料_1090</vt:lpstr>
      <vt:lpstr>基本設定!外部資料_1091</vt:lpstr>
      <vt:lpstr>基本設定!外部資料_1092</vt:lpstr>
      <vt:lpstr>基本設定!外部資料_1093</vt:lpstr>
      <vt:lpstr>基本設定!外部資料_1094</vt:lpstr>
      <vt:lpstr>基本設定!外部資料_1095</vt:lpstr>
      <vt:lpstr>基本設定!外部資料_1096</vt:lpstr>
      <vt:lpstr>基本設定!外部資料_1097</vt:lpstr>
      <vt:lpstr>基本設定!外部資料_1098</vt:lpstr>
      <vt:lpstr>基本設定!外部資料_1099</vt:lpstr>
      <vt:lpstr>基本設定!外部資料_1100</vt:lpstr>
      <vt:lpstr>基本設定!外部資料_1101</vt:lpstr>
      <vt:lpstr>基本設定!外部資料_1102</vt:lpstr>
      <vt:lpstr>基本設定!外部資料_1103</vt:lpstr>
      <vt:lpstr>基本設定!外部資料_1104</vt:lpstr>
      <vt:lpstr>基本設定!外部資料_1105</vt:lpstr>
      <vt:lpstr>基本設定!外部資料_1106</vt:lpstr>
      <vt:lpstr>基本設定!外部資料_1107</vt:lpstr>
      <vt:lpstr>基本設定!外部資料_1108</vt:lpstr>
      <vt:lpstr>基本設定!外部資料_1109</vt:lpstr>
      <vt:lpstr>基本設定!外部資料_1110</vt:lpstr>
      <vt:lpstr>基本設定!外部資料_1111</vt:lpstr>
      <vt:lpstr>基本設定!外部資料_1112</vt:lpstr>
      <vt:lpstr>基本設定!外部資料_1113</vt:lpstr>
      <vt:lpstr>基本設定!外部資料_1114</vt:lpstr>
      <vt:lpstr>基本設定!外部資料_1115</vt:lpstr>
      <vt:lpstr>基本設定!外部資料_1116</vt:lpstr>
      <vt:lpstr>基本設定!外部資料_1117</vt:lpstr>
      <vt:lpstr>基本設定!外部資料_1118</vt:lpstr>
      <vt:lpstr>基本設定!外部資料_1119</vt:lpstr>
      <vt:lpstr>基本設定!外部資料_1120</vt:lpstr>
      <vt:lpstr>基本設定!外部資料_1121</vt:lpstr>
      <vt:lpstr>基本設定!外部資料_1122</vt:lpstr>
      <vt:lpstr>基本設定!外部資料_1123</vt:lpstr>
      <vt:lpstr>基本設定!外部資料_1124</vt:lpstr>
      <vt:lpstr>基本設定!外部資料_1125</vt:lpstr>
      <vt:lpstr>基本設定!外部資料_1126</vt:lpstr>
      <vt:lpstr>基本設定!外部資料_1127</vt:lpstr>
      <vt:lpstr>基本設定!外部資料_1128</vt:lpstr>
      <vt:lpstr>基本設定!外部資料_1129</vt:lpstr>
      <vt:lpstr>基本設定!外部資料_1130</vt:lpstr>
      <vt:lpstr>基本設定!外部資料_1131</vt:lpstr>
      <vt:lpstr>基本設定!外部資料_1132</vt:lpstr>
      <vt:lpstr>基本設定!外部資料_1133</vt:lpstr>
      <vt:lpstr>基本設定!外部資料_1134</vt:lpstr>
      <vt:lpstr>基本設定!外部資料_1135</vt:lpstr>
      <vt:lpstr>基本設定!外部資料_1136</vt:lpstr>
      <vt:lpstr>基本設定!外部資料_1137</vt:lpstr>
      <vt:lpstr>基本設定!外部資料_1138</vt:lpstr>
      <vt:lpstr>基本設定!外部資料_1139</vt:lpstr>
      <vt:lpstr>基本設定!外部資料_1140</vt:lpstr>
      <vt:lpstr>基本設定!外部資料_1141</vt:lpstr>
      <vt:lpstr>基本設定!外部資料_1142</vt:lpstr>
      <vt:lpstr>基本設定!外部資料_1143</vt:lpstr>
      <vt:lpstr>基本設定!外部資料_1144</vt:lpstr>
      <vt:lpstr>基本設定!外部資料_1145</vt:lpstr>
      <vt:lpstr>基本設定!外部資料_1146</vt:lpstr>
      <vt:lpstr>基本設定!外部資料_1147</vt:lpstr>
      <vt:lpstr>基本設定!外部資料_1148</vt:lpstr>
      <vt:lpstr>基本設定!外部資料_1149</vt:lpstr>
      <vt:lpstr>基本設定!外部資料_1150</vt:lpstr>
      <vt:lpstr>基本設定!外部資料_1151</vt:lpstr>
      <vt:lpstr>基本設定!外部資料_1152</vt:lpstr>
      <vt:lpstr>基本設定!外部資料_1153</vt:lpstr>
      <vt:lpstr>基本設定!外部資料_1154</vt:lpstr>
      <vt:lpstr>基本設定!外部資料_1155</vt:lpstr>
      <vt:lpstr>基本設定!外部資料_1156</vt:lpstr>
      <vt:lpstr>基本設定!外部資料_1157</vt:lpstr>
      <vt:lpstr>基本設定!外部資料_1158</vt:lpstr>
      <vt:lpstr>基本設定!外部資料_1159</vt:lpstr>
      <vt:lpstr>基本設定!外部資料_1160</vt:lpstr>
      <vt:lpstr>基本設定!外部資料_1161</vt:lpstr>
      <vt:lpstr>基本設定!外部資料_1162</vt:lpstr>
      <vt:lpstr>基本設定!外部資料_1163</vt:lpstr>
      <vt:lpstr>基本設定!外部資料_1164</vt:lpstr>
      <vt:lpstr>基本設定!外部資料_1165</vt:lpstr>
      <vt:lpstr>基本設定!外部資料_1166</vt:lpstr>
      <vt:lpstr>基本設定!外部資料_1167</vt:lpstr>
      <vt:lpstr>基本設定!外部資料_1168</vt:lpstr>
      <vt:lpstr>基本設定!外部資料_1169</vt:lpstr>
      <vt:lpstr>基本設定!外部資料_1170</vt:lpstr>
      <vt:lpstr>基本設定!外部資料_1171</vt:lpstr>
      <vt:lpstr>基本設定!外部資料_1172</vt:lpstr>
      <vt:lpstr>基本設定!外部資料_1173</vt:lpstr>
      <vt:lpstr>基本設定!外部資料_1174</vt:lpstr>
      <vt:lpstr>基本設定!外部資料_1175</vt:lpstr>
      <vt:lpstr>基本設定!外部資料_1176</vt:lpstr>
      <vt:lpstr>基本設定!外部資料_1177</vt:lpstr>
      <vt:lpstr>基本設定!外部資料_1178</vt:lpstr>
      <vt:lpstr>基本設定!外部資料_1179</vt:lpstr>
      <vt:lpstr>基本設定!外部資料_1180</vt:lpstr>
      <vt:lpstr>基本設定!外部資料_1181</vt:lpstr>
      <vt:lpstr>基本設定!外部資料_1182</vt:lpstr>
      <vt:lpstr>基本設定!外部資料_1183</vt:lpstr>
      <vt:lpstr>基本設定!外部資料_1184</vt:lpstr>
      <vt:lpstr>基本設定!外部資料_1185</vt:lpstr>
      <vt:lpstr>基本設定!外部資料_1186</vt:lpstr>
      <vt:lpstr>基本設定!外部資料_1187</vt:lpstr>
      <vt:lpstr>基本設定!外部資料_1188</vt:lpstr>
      <vt:lpstr>基本設定!外部資料_1189</vt:lpstr>
      <vt:lpstr>基本設定!外部資料_1190</vt:lpstr>
      <vt:lpstr>基本設定!外部資料_1191</vt:lpstr>
      <vt:lpstr>基本設定!外部資料_1192</vt:lpstr>
      <vt:lpstr>基本設定!外部資料_1193</vt:lpstr>
      <vt:lpstr>基本設定!外部資料_1194</vt:lpstr>
      <vt:lpstr>基本設定!外部資料_1195</vt:lpstr>
      <vt:lpstr>基本設定!外部資料_1196</vt:lpstr>
      <vt:lpstr>基本設定!外部資料_1197</vt:lpstr>
      <vt:lpstr>基本設定!外部資料_1198</vt:lpstr>
      <vt:lpstr>基本設定!外部資料_1199</vt:lpstr>
      <vt:lpstr>基本設定!外部資料_1200</vt:lpstr>
      <vt:lpstr>基本設定!外部資料_1201</vt:lpstr>
      <vt:lpstr>基本設定!外部資料_1202</vt:lpstr>
      <vt:lpstr>基本設定!外部資料_1203</vt:lpstr>
      <vt:lpstr>基本設定!外部資料_1204</vt:lpstr>
      <vt:lpstr>基本設定!外部資料_1205</vt:lpstr>
      <vt:lpstr>基本設定!外部資料_1206</vt:lpstr>
      <vt:lpstr>基本設定!外部資料_1207</vt:lpstr>
      <vt:lpstr>基本設定!外部資料_1208</vt:lpstr>
      <vt:lpstr>基本設定!外部資料_1209</vt:lpstr>
      <vt:lpstr>基本設定!外部資料_1210</vt:lpstr>
      <vt:lpstr>基本設定!外部資料_1211</vt:lpstr>
      <vt:lpstr>基本設定!外部資料_1212</vt:lpstr>
      <vt:lpstr>基本設定!外部資料_1213</vt:lpstr>
      <vt:lpstr>基本設定!外部資料_1214</vt:lpstr>
      <vt:lpstr>基本設定!外部資料_1215</vt:lpstr>
      <vt:lpstr>基本設定!外部資料_1216</vt:lpstr>
      <vt:lpstr>基本設定!外部資料_1217</vt:lpstr>
      <vt:lpstr>基本設定!外部資料_1218</vt:lpstr>
      <vt:lpstr>基本設定!外部資料_1219</vt:lpstr>
      <vt:lpstr>基本設定!外部資料_1220</vt:lpstr>
      <vt:lpstr>基本設定!外部資料_1221</vt:lpstr>
      <vt:lpstr>基本設定!外部資料_1222</vt:lpstr>
      <vt:lpstr>基本設定!外部資料_1223</vt:lpstr>
      <vt:lpstr>基本設定!外部資料_1224</vt:lpstr>
      <vt:lpstr>基本設定!外部資料_1225</vt:lpstr>
      <vt:lpstr>基本設定!外部資料_1226</vt:lpstr>
      <vt:lpstr>基本設定!外部資料_1227</vt:lpstr>
      <vt:lpstr>基本設定!外部資料_1228</vt:lpstr>
      <vt:lpstr>基本設定!外部資料_1229</vt:lpstr>
      <vt:lpstr>基本設定!外部資料_1230</vt:lpstr>
      <vt:lpstr>基本設定!外部資料_1231</vt:lpstr>
      <vt:lpstr>基本設定!外部資料_1232</vt:lpstr>
      <vt:lpstr>基本設定!外部資料_1233</vt:lpstr>
      <vt:lpstr>基本設定!外部資料_1234</vt:lpstr>
      <vt:lpstr>基本設定!外部資料_1235</vt:lpstr>
      <vt:lpstr>基本設定!外部資料_1236</vt:lpstr>
      <vt:lpstr>基本設定!外部資料_1237</vt:lpstr>
      <vt:lpstr>基本設定!外部資料_1238</vt:lpstr>
      <vt:lpstr>基本設定!外部資料_1239</vt:lpstr>
      <vt:lpstr>基本設定!外部資料_1240</vt:lpstr>
      <vt:lpstr>基本設定!外部資料_1241</vt:lpstr>
      <vt:lpstr>基本設定!外部資料_1242</vt:lpstr>
      <vt:lpstr>基本設定!外部資料_1243</vt:lpstr>
      <vt:lpstr>基本設定!外部資料_1244</vt:lpstr>
      <vt:lpstr>基本設定!外部資料_1245</vt:lpstr>
      <vt:lpstr>基本設定!外部資料_1246</vt:lpstr>
      <vt:lpstr>基本設定!外部資料_1247</vt:lpstr>
      <vt:lpstr>基本設定!外部資料_1248</vt:lpstr>
      <vt:lpstr>基本設定!外部資料_1249</vt:lpstr>
      <vt:lpstr>基本設定!外部資料_1250</vt:lpstr>
      <vt:lpstr>基本設定!外部資料_1251</vt:lpstr>
      <vt:lpstr>基本設定!外部資料_1252</vt:lpstr>
      <vt:lpstr>基本設定!外部資料_1253</vt:lpstr>
      <vt:lpstr>基本設定!外部資料_1254</vt:lpstr>
      <vt:lpstr>基本設定!外部資料_1255</vt:lpstr>
      <vt:lpstr>基本設定!外部資料_1256</vt:lpstr>
      <vt:lpstr>基本設定!外部資料_1257</vt:lpstr>
      <vt:lpstr>基本設定!外部資料_1258</vt:lpstr>
      <vt:lpstr>基本設定!外部資料_1259</vt:lpstr>
      <vt:lpstr>基本設定!外部資料_1260</vt:lpstr>
      <vt:lpstr>基本設定!外部資料_1261</vt:lpstr>
      <vt:lpstr>基本設定!外部資料_1262</vt:lpstr>
      <vt:lpstr>基本設定!外部資料_1263</vt:lpstr>
      <vt:lpstr>基本設定!外部資料_1264</vt:lpstr>
      <vt:lpstr>基本設定!外部資料_1265</vt:lpstr>
      <vt:lpstr>基本設定!外部資料_1266</vt:lpstr>
      <vt:lpstr>基本設定!外部資料_1267</vt:lpstr>
      <vt:lpstr>基本設定!外部資料_1268</vt:lpstr>
      <vt:lpstr>基本設定!外部資料_1269</vt:lpstr>
      <vt:lpstr>基本設定!外部資料_1270</vt:lpstr>
      <vt:lpstr>基本設定!外部資料_1271</vt:lpstr>
      <vt:lpstr>基本設定!外部資料_1272</vt:lpstr>
      <vt:lpstr>基本設定!外部資料_1273</vt:lpstr>
      <vt:lpstr>基本設定!外部資料_1274</vt:lpstr>
      <vt:lpstr>基本設定!外部資料_1275</vt:lpstr>
      <vt:lpstr>基本設定!外部資料_1276</vt:lpstr>
      <vt:lpstr>基本設定!外部資料_1277</vt:lpstr>
      <vt:lpstr>基本設定!外部資料_1278</vt:lpstr>
      <vt:lpstr>基本設定!外部資料_1279</vt:lpstr>
      <vt:lpstr>基本設定!外部資料_1280</vt:lpstr>
      <vt:lpstr>基本設定!外部資料_1281</vt:lpstr>
      <vt:lpstr>基本設定!外部資料_1282</vt:lpstr>
      <vt:lpstr>基本設定!外部資料_1283</vt:lpstr>
      <vt:lpstr>基本設定!外部資料_1284</vt:lpstr>
      <vt:lpstr>基本設定!外部資料_1285</vt:lpstr>
      <vt:lpstr>基本設定!外部資料_1286</vt:lpstr>
      <vt:lpstr>基本設定!外部資料_1287</vt:lpstr>
      <vt:lpstr>基本設定!外部資料_1288</vt:lpstr>
      <vt:lpstr>基本設定!外部資料_1289</vt:lpstr>
      <vt:lpstr>基本設定!外部資料_1290</vt:lpstr>
      <vt:lpstr>基本設定!外部資料_1291</vt:lpstr>
      <vt:lpstr>基本設定!外部資料_1292</vt:lpstr>
      <vt:lpstr>基本設定!外部資料_1293</vt:lpstr>
      <vt:lpstr>基本設定!外部資料_1294</vt:lpstr>
      <vt:lpstr>基本設定!外部資料_1295</vt:lpstr>
      <vt:lpstr>基本設定!外部資料_1296</vt:lpstr>
      <vt:lpstr>基本設定!外部資料_1297</vt:lpstr>
      <vt:lpstr>基本設定!外部資料_1298</vt:lpstr>
      <vt:lpstr>基本設定!外部資料_1299</vt:lpstr>
      <vt:lpstr>基本設定!外部資料_1300</vt:lpstr>
      <vt:lpstr>基本設定!外部資料_1301</vt:lpstr>
      <vt:lpstr>基本設定!外部資料_1302</vt:lpstr>
      <vt:lpstr>基本設定!外部資料_1303</vt:lpstr>
      <vt:lpstr>基本設定!外部資料_1304</vt:lpstr>
      <vt:lpstr>基本設定!外部資料_1305</vt:lpstr>
      <vt:lpstr>基本設定!外部資料_1306</vt:lpstr>
      <vt:lpstr>基本設定!外部資料_1307</vt:lpstr>
      <vt:lpstr>基本設定!外部資料_1308</vt:lpstr>
      <vt:lpstr>基本設定!外部資料_1309</vt:lpstr>
      <vt:lpstr>基本設定!外部資料_1310</vt:lpstr>
      <vt:lpstr>基本設定!外部資料_1311</vt:lpstr>
      <vt:lpstr>基本設定!外部資料_1312</vt:lpstr>
      <vt:lpstr>基本設定!外部資料_1313</vt:lpstr>
      <vt:lpstr>基本設定!外部資料_1314</vt:lpstr>
      <vt:lpstr>基本設定!外部資料_1315</vt:lpstr>
      <vt:lpstr>基本設定!外部資料_1316</vt:lpstr>
      <vt:lpstr>基本設定!外部資料_1317</vt:lpstr>
      <vt:lpstr>基本設定!外部資料_1318</vt:lpstr>
      <vt:lpstr>基本設定!外部資料_1319</vt:lpstr>
      <vt:lpstr>基本設定!外部資料_1320</vt:lpstr>
      <vt:lpstr>基本設定!外部資料_1321</vt:lpstr>
      <vt:lpstr>基本設定!外部資料_1322</vt:lpstr>
      <vt:lpstr>基本設定!外部資料_1323</vt:lpstr>
      <vt:lpstr>基本設定!外部資料_1324</vt:lpstr>
      <vt:lpstr>基本設定!外部資料_1325</vt:lpstr>
      <vt:lpstr>基本設定!外部資料_1326</vt:lpstr>
      <vt:lpstr>基本設定!外部資料_1327</vt:lpstr>
      <vt:lpstr>基本設定!外部資料_1328</vt:lpstr>
      <vt:lpstr>基本設定!外部資料_1329</vt:lpstr>
      <vt:lpstr>基本設定!外部資料_1330</vt:lpstr>
      <vt:lpstr>基本設定!外部資料_1331</vt:lpstr>
      <vt:lpstr>基本設定!外部資料_1332</vt:lpstr>
      <vt:lpstr>基本設定!外部資料_1333</vt:lpstr>
      <vt:lpstr>基本設定!外部資料_1334</vt:lpstr>
      <vt:lpstr>基本設定!外部資料_1335</vt:lpstr>
      <vt:lpstr>基本設定!外部資料_1336</vt:lpstr>
      <vt:lpstr>基本設定!外部資料_1337</vt:lpstr>
      <vt:lpstr>基本設定!外部資料_1338</vt:lpstr>
      <vt:lpstr>基本設定!外部資料_1339</vt:lpstr>
      <vt:lpstr>基本設定!外部資料_1340</vt:lpstr>
      <vt:lpstr>基本設定!外部資料_1341</vt:lpstr>
      <vt:lpstr>基本設定!外部資料_1342</vt:lpstr>
      <vt:lpstr>基本設定!外部資料_1343</vt:lpstr>
      <vt:lpstr>基本設定!外部資料_1344</vt:lpstr>
      <vt:lpstr>基本設定!外部資料_1345</vt:lpstr>
      <vt:lpstr>基本設定!外部資料_1346</vt:lpstr>
      <vt:lpstr>基本設定!外部資料_1347</vt:lpstr>
      <vt:lpstr>基本設定!外部資料_1348</vt:lpstr>
      <vt:lpstr>基本設定!外部資料_1349</vt:lpstr>
      <vt:lpstr>基本設定!外部資料_1350</vt:lpstr>
      <vt:lpstr>基本設定!外部資料_1351</vt:lpstr>
      <vt:lpstr>基本設定!外部資料_1352</vt:lpstr>
      <vt:lpstr>基本設定!外部資料_1353</vt:lpstr>
      <vt:lpstr>基本設定!外部資料_1354</vt:lpstr>
      <vt:lpstr>基本設定!外部資料_1355</vt:lpstr>
      <vt:lpstr>基本設定!外部資料_1356</vt:lpstr>
      <vt:lpstr>基本設定!外部資料_1357</vt:lpstr>
      <vt:lpstr>基本設定!外部資料_1358</vt:lpstr>
      <vt:lpstr>基本設定!外部資料_1359</vt:lpstr>
      <vt:lpstr>基本設定!外部資料_1360</vt:lpstr>
      <vt:lpstr>基本設定!外部資料_1361</vt:lpstr>
      <vt:lpstr>基本設定!外部資料_1362</vt:lpstr>
      <vt:lpstr>基本設定!外部資料_1363</vt:lpstr>
      <vt:lpstr>基本設定!外部資料_1364</vt:lpstr>
      <vt:lpstr>基本設定!外部資料_1365</vt:lpstr>
      <vt:lpstr>基本設定!外部資料_1366</vt:lpstr>
      <vt:lpstr>基本設定!外部資料_1367</vt:lpstr>
      <vt:lpstr>基本設定!外部資料_1368</vt:lpstr>
      <vt:lpstr>基本設定!外部資料_1369</vt:lpstr>
      <vt:lpstr>基本設定!外部資料_1370</vt:lpstr>
      <vt:lpstr>基本設定!外部資料_1371</vt:lpstr>
      <vt:lpstr>基本設定!外部資料_1372</vt:lpstr>
      <vt:lpstr>基本設定!外部資料_1373</vt:lpstr>
      <vt:lpstr>基本設定!外部資料_1374</vt:lpstr>
      <vt:lpstr>基本設定!外部資料_1375</vt:lpstr>
      <vt:lpstr>基本設定!外部資料_1376</vt:lpstr>
      <vt:lpstr>基本設定!外部資料_1377</vt:lpstr>
      <vt:lpstr>基本設定!外部資料_1378</vt:lpstr>
      <vt:lpstr>基本設定!外部資料_1379</vt:lpstr>
      <vt:lpstr>基本設定!外部資料_1380</vt:lpstr>
      <vt:lpstr>基本設定!外部資料_1381</vt:lpstr>
      <vt:lpstr>基本設定!外部資料_1382</vt:lpstr>
      <vt:lpstr>基本設定!外部資料_1383</vt:lpstr>
      <vt:lpstr>基本設定!外部資料_1384</vt:lpstr>
      <vt:lpstr>基本設定!外部資料_1385</vt:lpstr>
      <vt:lpstr>基本設定!外部資料_1386</vt:lpstr>
      <vt:lpstr>基本設定!外部資料_1387</vt:lpstr>
      <vt:lpstr>基本設定!外部資料_1388</vt:lpstr>
      <vt:lpstr>基本設定!外部資料_1389</vt:lpstr>
      <vt:lpstr>基本設定!外部資料_1390</vt:lpstr>
      <vt:lpstr>基本設定!外部資料_1391</vt:lpstr>
      <vt:lpstr>基本設定!外部資料_1392</vt:lpstr>
      <vt:lpstr>基本設定!外部資料_1393</vt:lpstr>
      <vt:lpstr>基本設定!外部資料_1394</vt:lpstr>
      <vt:lpstr>基本設定!外部資料_1395</vt:lpstr>
      <vt:lpstr>基本設定!外部資料_1396</vt:lpstr>
      <vt:lpstr>基本設定!外部資料_1397</vt:lpstr>
      <vt:lpstr>基本設定!外部資料_1398</vt:lpstr>
      <vt:lpstr>基本設定!外部資料_1399</vt:lpstr>
      <vt:lpstr>基本設定!外部資料_1400</vt:lpstr>
      <vt:lpstr>基本設定!外部資料_1401</vt:lpstr>
      <vt:lpstr>基本設定!外部資料_1402</vt:lpstr>
      <vt:lpstr>基本設定!外部資料_1403</vt:lpstr>
      <vt:lpstr>基本設定!外部資料_1404</vt:lpstr>
      <vt:lpstr>基本設定!外部資料_1405</vt:lpstr>
      <vt:lpstr>基本設定!外部資料_1406</vt:lpstr>
      <vt:lpstr>基本設定!外部資料_1407</vt:lpstr>
      <vt:lpstr>基本設定!外部資料_1408</vt:lpstr>
      <vt:lpstr>基本設定!外部資料_1409</vt:lpstr>
      <vt:lpstr>基本設定!外部資料_1410</vt:lpstr>
      <vt:lpstr>基本設定!外部資料_1411</vt:lpstr>
      <vt:lpstr>基本設定!外部資料_1412</vt:lpstr>
      <vt:lpstr>基本設定!外部資料_1413</vt:lpstr>
      <vt:lpstr>基本設定!外部資料_1414</vt:lpstr>
      <vt:lpstr>基本設定!外部資料_1415</vt:lpstr>
      <vt:lpstr>基本設定!外部資料_1416</vt:lpstr>
      <vt:lpstr>基本設定!外部資料_1417</vt:lpstr>
      <vt:lpstr>基本設定!外部資料_1418</vt:lpstr>
      <vt:lpstr>基本設定!外部資料_1419</vt:lpstr>
      <vt:lpstr>基本設定!外部資料_1420</vt:lpstr>
      <vt:lpstr>基本設定!外部資料_1421</vt:lpstr>
      <vt:lpstr>基本設定!外部資料_1422</vt:lpstr>
      <vt:lpstr>基本設定!外部資料_1423</vt:lpstr>
      <vt:lpstr>基本設定!外部資料_1424</vt:lpstr>
      <vt:lpstr>基本設定!外部資料_1425</vt:lpstr>
      <vt:lpstr>基本設定!外部資料_1426</vt:lpstr>
      <vt:lpstr>基本設定!外部資料_1427</vt:lpstr>
      <vt:lpstr>基本設定!外部資料_1428</vt:lpstr>
      <vt:lpstr>基本設定!外部資料_1429</vt:lpstr>
      <vt:lpstr>基本設定!外部資料_1430</vt:lpstr>
      <vt:lpstr>基本設定!外部資料_1431</vt:lpstr>
      <vt:lpstr>基本設定!外部資料_1432</vt:lpstr>
      <vt:lpstr>基本設定!外部資料_1433</vt:lpstr>
      <vt:lpstr>基本設定!外部資料_1434</vt:lpstr>
      <vt:lpstr>基本設定!外部資料_1435</vt:lpstr>
      <vt:lpstr>基本設定!外部資料_1436</vt:lpstr>
      <vt:lpstr>基本設定!外部資料_1437</vt:lpstr>
      <vt:lpstr>基本設定!外部資料_1438</vt:lpstr>
      <vt:lpstr>基本設定!外部資料_1439</vt:lpstr>
      <vt:lpstr>基本設定!外部資料_1440</vt:lpstr>
      <vt:lpstr>基本設定!外部資料_1441</vt:lpstr>
      <vt:lpstr>基本設定!外部資料_1442</vt:lpstr>
      <vt:lpstr>基本設定!外部資料_1443</vt:lpstr>
      <vt:lpstr>基本設定!外部資料_1444</vt:lpstr>
      <vt:lpstr>基本設定!外部資料_1445</vt:lpstr>
      <vt:lpstr>基本設定!外部資料_1446</vt:lpstr>
      <vt:lpstr>基本設定!外部資料_1447</vt:lpstr>
      <vt:lpstr>基本設定!外部資料_1448</vt:lpstr>
      <vt:lpstr>基本設定!外部資料_1449</vt:lpstr>
      <vt:lpstr>基本設定!外部資料_1450</vt:lpstr>
      <vt:lpstr>基本設定!外部資料_1451</vt:lpstr>
      <vt:lpstr>基本設定!外部資料_1452</vt:lpstr>
      <vt:lpstr>基本設定!外部資料_1453</vt:lpstr>
      <vt:lpstr>基本設定!外部資料_1454</vt:lpstr>
      <vt:lpstr>基本設定!外部資料_1455</vt:lpstr>
      <vt:lpstr>基本設定!外部資料_1456</vt:lpstr>
      <vt:lpstr>基本設定!外部資料_1457</vt:lpstr>
      <vt:lpstr>基本設定!外部資料_1458</vt:lpstr>
      <vt:lpstr>基本設定!外部資料_1459</vt:lpstr>
      <vt:lpstr>基本設定!外部資料_1460</vt:lpstr>
      <vt:lpstr>基本設定!外部資料_1461</vt:lpstr>
      <vt:lpstr>基本設定!外部資料_1462</vt:lpstr>
      <vt:lpstr>基本設定!外部資料_1463</vt:lpstr>
      <vt:lpstr>基本設定!外部資料_1464</vt:lpstr>
      <vt:lpstr>基本設定!外部資料_1465</vt:lpstr>
      <vt:lpstr>基本設定!外部資料_1466</vt:lpstr>
      <vt:lpstr>基本設定!外部資料_1467</vt:lpstr>
      <vt:lpstr>基本設定!外部資料_1468</vt:lpstr>
      <vt:lpstr>基本設定!外部資料_1469</vt:lpstr>
      <vt:lpstr>基本設定!外部資料_1470</vt:lpstr>
      <vt:lpstr>基本設定!外部資料_1471</vt:lpstr>
      <vt:lpstr>基本設定!外部資料_1472</vt:lpstr>
      <vt:lpstr>基本設定!外部資料_1473</vt:lpstr>
      <vt:lpstr>基本設定!外部資料_1474</vt:lpstr>
      <vt:lpstr>基本設定!外部資料_1475</vt:lpstr>
      <vt:lpstr>基本設定!外部資料_1476</vt:lpstr>
      <vt:lpstr>基本設定!外部資料_1477</vt:lpstr>
      <vt:lpstr>基本設定!外部資料_1478</vt:lpstr>
      <vt:lpstr>基本設定!外部資料_1479</vt:lpstr>
      <vt:lpstr>基本設定!外部資料_1480</vt:lpstr>
      <vt:lpstr>基本設定!外部資料_1481</vt:lpstr>
      <vt:lpstr>基本設定!外部資料_1482</vt:lpstr>
      <vt:lpstr>基本設定!外部資料_1483</vt:lpstr>
      <vt:lpstr>基本設定!外部資料_1484</vt:lpstr>
      <vt:lpstr>基本設定!外部資料_1485</vt:lpstr>
      <vt:lpstr>基本設定!外部資料_1486</vt:lpstr>
      <vt:lpstr>基本設定!外部資料_1487</vt:lpstr>
      <vt:lpstr>基本設定!外部資料_1488</vt:lpstr>
      <vt:lpstr>基本設定!外部資料_1489</vt:lpstr>
      <vt:lpstr>基本設定!外部資料_1490</vt:lpstr>
      <vt:lpstr>基本設定!外部資料_1491</vt:lpstr>
      <vt:lpstr>基本設定!外部資料_1492</vt:lpstr>
      <vt:lpstr>基本設定!外部資料_1493</vt:lpstr>
      <vt:lpstr>基本設定!外部資料_1494</vt:lpstr>
      <vt:lpstr>基本設定!外部資料_1495</vt:lpstr>
      <vt:lpstr>基本設定!外部資料_1496</vt:lpstr>
      <vt:lpstr>基本設定!外部資料_1497</vt:lpstr>
      <vt:lpstr>基本設定!外部資料_1498</vt:lpstr>
      <vt:lpstr>基本設定!外部資料_1499</vt:lpstr>
      <vt:lpstr>紅綠燈!外部資料_15</vt:lpstr>
      <vt:lpstr>基本設定!外部資料_1500</vt:lpstr>
      <vt:lpstr>基本設定!外部資料_1501</vt:lpstr>
      <vt:lpstr>基本設定!外部資料_1502</vt:lpstr>
      <vt:lpstr>基本設定!外部資料_1503</vt:lpstr>
      <vt:lpstr>基本設定!外部資料_1504</vt:lpstr>
      <vt:lpstr>基本設定!外部資料_1505</vt:lpstr>
      <vt:lpstr>基本設定!外部資料_1506</vt:lpstr>
      <vt:lpstr>基本設定!外部資料_1507</vt:lpstr>
      <vt:lpstr>基本設定!外部資料_1508</vt:lpstr>
      <vt:lpstr>基本設定!外部資料_1509</vt:lpstr>
      <vt:lpstr>基本設定!外部資料_1510</vt:lpstr>
      <vt:lpstr>基本設定!外部資料_1511</vt:lpstr>
      <vt:lpstr>基本設定!外部資料_1512</vt:lpstr>
      <vt:lpstr>基本設定!外部資料_1513</vt:lpstr>
      <vt:lpstr>基本設定!外部資料_1514</vt:lpstr>
      <vt:lpstr>基本設定!外部資料_1515</vt:lpstr>
      <vt:lpstr>基本設定!外部資料_1516</vt:lpstr>
      <vt:lpstr>基本設定!外部資料_1517</vt:lpstr>
      <vt:lpstr>基本設定!外部資料_1518</vt:lpstr>
      <vt:lpstr>基本設定!外部資料_1519</vt:lpstr>
      <vt:lpstr>基本設定!外部資料_1520</vt:lpstr>
      <vt:lpstr>基本設定!外部資料_1521</vt:lpstr>
      <vt:lpstr>基本設定!外部資料_1522</vt:lpstr>
      <vt:lpstr>基本設定!外部資料_1523</vt:lpstr>
      <vt:lpstr>基本設定!外部資料_1524</vt:lpstr>
      <vt:lpstr>基本設定!外部資料_1525</vt:lpstr>
      <vt:lpstr>基本設定!外部資料_1526</vt:lpstr>
      <vt:lpstr>基本設定!外部資料_1527</vt:lpstr>
      <vt:lpstr>基本設定!外部資料_1528</vt:lpstr>
      <vt:lpstr>基本設定!外部資料_1529</vt:lpstr>
      <vt:lpstr>基本設定!外部資料_1530</vt:lpstr>
      <vt:lpstr>基本設定!外部資料_1531</vt:lpstr>
      <vt:lpstr>基本設定!外部資料_1532</vt:lpstr>
      <vt:lpstr>基本設定!外部資料_1533</vt:lpstr>
      <vt:lpstr>基本設定!外部資料_1534</vt:lpstr>
      <vt:lpstr>基本設定!外部資料_1535</vt:lpstr>
      <vt:lpstr>基本設定!外部資料_1536</vt:lpstr>
      <vt:lpstr>基本設定!外部資料_1537</vt:lpstr>
      <vt:lpstr>基本設定!外部資料_1538</vt:lpstr>
      <vt:lpstr>基本設定!外部資料_1539</vt:lpstr>
      <vt:lpstr>基本設定!外部資料_1540</vt:lpstr>
      <vt:lpstr>基本設定!外部資料_1541</vt:lpstr>
      <vt:lpstr>基本設定!外部資料_1542</vt:lpstr>
      <vt:lpstr>基本設定!外部資料_1543</vt:lpstr>
      <vt:lpstr>基本設定!外部資料_1544</vt:lpstr>
      <vt:lpstr>基本設定!外部資料_1545</vt:lpstr>
      <vt:lpstr>基本設定!外部資料_1546</vt:lpstr>
      <vt:lpstr>基本設定!外部資料_1547</vt:lpstr>
      <vt:lpstr>基本設定!外部資料_1548</vt:lpstr>
      <vt:lpstr>基本設定!外部資料_1549</vt:lpstr>
      <vt:lpstr>基本設定!外部資料_1550</vt:lpstr>
      <vt:lpstr>基本設定!外部資料_1551</vt:lpstr>
      <vt:lpstr>基本設定!外部資料_1552</vt:lpstr>
      <vt:lpstr>基本設定!外部資料_1553</vt:lpstr>
      <vt:lpstr>基本設定!外部資料_1554</vt:lpstr>
      <vt:lpstr>基本設定!外部資料_1555</vt:lpstr>
      <vt:lpstr>基本設定!外部資料_1556</vt:lpstr>
      <vt:lpstr>基本設定!外部資料_1557</vt:lpstr>
      <vt:lpstr>基本設定!外部資料_1558</vt:lpstr>
      <vt:lpstr>基本設定!外部資料_1559</vt:lpstr>
      <vt:lpstr>基本設定!外部資料_1560</vt:lpstr>
      <vt:lpstr>基本設定!外部資料_1561</vt:lpstr>
      <vt:lpstr>基本設定!外部資料_1562</vt:lpstr>
      <vt:lpstr>基本設定!外部資料_1563</vt:lpstr>
      <vt:lpstr>基本設定!外部資料_1564</vt:lpstr>
      <vt:lpstr>基本設定!外部資料_1565</vt:lpstr>
      <vt:lpstr>基本設定!外部資料_1566</vt:lpstr>
      <vt:lpstr>基本設定!外部資料_1567</vt:lpstr>
      <vt:lpstr>基本設定!外部資料_1568</vt:lpstr>
      <vt:lpstr>基本設定!外部資料_1569</vt:lpstr>
      <vt:lpstr>基本設定!外部資料_1570</vt:lpstr>
      <vt:lpstr>基本設定!外部資料_1571</vt:lpstr>
      <vt:lpstr>基本設定!外部資料_1572</vt:lpstr>
      <vt:lpstr>基本設定!外部資料_1573</vt:lpstr>
      <vt:lpstr>基本設定!外部資料_1574</vt:lpstr>
      <vt:lpstr>基本設定!外部資料_1575</vt:lpstr>
      <vt:lpstr>基本設定!外部資料_1576</vt:lpstr>
      <vt:lpstr>基本設定!外部資料_1577</vt:lpstr>
      <vt:lpstr>基本設定!外部資料_1578</vt:lpstr>
      <vt:lpstr>基本設定!外部資料_1579</vt:lpstr>
      <vt:lpstr>基本設定!外部資料_1580</vt:lpstr>
      <vt:lpstr>基本設定!外部資料_1581</vt:lpstr>
      <vt:lpstr>基本設定!外部資料_1582</vt:lpstr>
      <vt:lpstr>基本設定!外部資料_1583</vt:lpstr>
      <vt:lpstr>基本設定!外部資料_1584</vt:lpstr>
      <vt:lpstr>基本設定!外部資料_1585</vt:lpstr>
      <vt:lpstr>基本設定!外部資料_1586</vt:lpstr>
      <vt:lpstr>基本設定!外部資料_1587</vt:lpstr>
      <vt:lpstr>基本設定!外部資料_1588</vt:lpstr>
      <vt:lpstr>基本設定!外部資料_1589</vt:lpstr>
      <vt:lpstr>基本設定!外部資料_1590</vt:lpstr>
      <vt:lpstr>基本設定!外部資料_1591</vt:lpstr>
      <vt:lpstr>基本設定!外部資料_1592</vt:lpstr>
      <vt:lpstr>基本設定!外部資料_1593</vt:lpstr>
      <vt:lpstr>基本設定!外部資料_1594</vt:lpstr>
      <vt:lpstr>基本設定!外部資料_1595</vt:lpstr>
      <vt:lpstr>基本設定!外部資料_1596</vt:lpstr>
      <vt:lpstr>基本設定!外部資料_1597</vt:lpstr>
      <vt:lpstr>基本設定!外部資料_1598</vt:lpstr>
      <vt:lpstr>基本設定!外部資料_1599</vt:lpstr>
      <vt:lpstr>基本設定!外部資料_1600</vt:lpstr>
      <vt:lpstr>基本設定!外部資料_1601</vt:lpstr>
      <vt:lpstr>基本設定!外部資料_1602</vt:lpstr>
      <vt:lpstr>基本設定!外部資料_1603</vt:lpstr>
      <vt:lpstr>基本設定!外部資料_1604</vt:lpstr>
      <vt:lpstr>基本設定!外部資料_1605</vt:lpstr>
      <vt:lpstr>基本設定!外部資料_1606</vt:lpstr>
      <vt:lpstr>基本設定!外部資料_1607</vt:lpstr>
      <vt:lpstr>基本設定!外部資料_1608</vt:lpstr>
      <vt:lpstr>基本設定!外部資料_1609</vt:lpstr>
      <vt:lpstr>基本設定!外部資料_1610</vt:lpstr>
      <vt:lpstr>基本設定!外部資料_1611</vt:lpstr>
      <vt:lpstr>基本設定!外部資料_1612</vt:lpstr>
      <vt:lpstr>基本設定!外部資料_1613</vt:lpstr>
      <vt:lpstr>基本設定!外部資料_1614</vt:lpstr>
      <vt:lpstr>基本設定!外部資料_1615</vt:lpstr>
      <vt:lpstr>基本設定!外部資料_1616</vt:lpstr>
      <vt:lpstr>基本設定!外部資料_1617</vt:lpstr>
      <vt:lpstr>基本設定!外部資料_1618</vt:lpstr>
      <vt:lpstr>基本設定!外部資料_1619</vt:lpstr>
      <vt:lpstr>基本設定!外部資料_1620</vt:lpstr>
      <vt:lpstr>基本設定!外部資料_1621</vt:lpstr>
      <vt:lpstr>基本設定!外部資料_1622</vt:lpstr>
      <vt:lpstr>基本設定!外部資料_1623</vt:lpstr>
      <vt:lpstr>基本設定!外部資料_1624</vt:lpstr>
      <vt:lpstr>基本設定!外部資料_1625</vt:lpstr>
      <vt:lpstr>基本設定!外部資料_1626</vt:lpstr>
      <vt:lpstr>基本設定!外部資料_1627</vt:lpstr>
      <vt:lpstr>基本設定!外部資料_1628</vt:lpstr>
      <vt:lpstr>基本設定!外部資料_1629</vt:lpstr>
      <vt:lpstr>基本設定!外部資料_1630</vt:lpstr>
      <vt:lpstr>基本設定!外部資料_1631</vt:lpstr>
      <vt:lpstr>基本設定!外部資料_1632</vt:lpstr>
      <vt:lpstr>基本設定!外部資料_1633</vt:lpstr>
      <vt:lpstr>基本設定!外部資料_1634</vt:lpstr>
      <vt:lpstr>基本設定!外部資料_1635</vt:lpstr>
      <vt:lpstr>基本設定!外部資料_1636</vt:lpstr>
      <vt:lpstr>基本設定!外部資料_1637</vt:lpstr>
      <vt:lpstr>基本設定!外部資料_1638</vt:lpstr>
      <vt:lpstr>基本設定!外部資料_1639</vt:lpstr>
      <vt:lpstr>基本設定!外部資料_1640</vt:lpstr>
      <vt:lpstr>基本設定!外部資料_1641</vt:lpstr>
      <vt:lpstr>基本設定!外部資料_1642</vt:lpstr>
      <vt:lpstr>基本設定!外部資料_1643</vt:lpstr>
      <vt:lpstr>基本設定!外部資料_1644</vt:lpstr>
      <vt:lpstr>基本設定!外部資料_1645</vt:lpstr>
      <vt:lpstr>基本設定!外部資料_1646</vt:lpstr>
      <vt:lpstr>基本設定!外部資料_1647</vt:lpstr>
      <vt:lpstr>基本設定!外部資料_1648</vt:lpstr>
      <vt:lpstr>基本設定!外部資料_1649</vt:lpstr>
      <vt:lpstr>基本設定!外部資料_1650</vt:lpstr>
      <vt:lpstr>基本設定!外部資料_1651</vt:lpstr>
      <vt:lpstr>基本設定!外部資料_1652</vt:lpstr>
      <vt:lpstr>基本設定!外部資料_1653</vt:lpstr>
      <vt:lpstr>基本設定!外部資料_1654</vt:lpstr>
      <vt:lpstr>基本設定!外部資料_1655</vt:lpstr>
      <vt:lpstr>基本設定!外部資料_1656</vt:lpstr>
      <vt:lpstr>基本設定!外部資料_1657</vt:lpstr>
      <vt:lpstr>基本設定!外部資料_1658</vt:lpstr>
      <vt:lpstr>基本設定!外部資料_1659</vt:lpstr>
      <vt:lpstr>基本設定!外部資料_1660</vt:lpstr>
      <vt:lpstr>基本設定!外部資料_1661</vt:lpstr>
      <vt:lpstr>基本設定!外部資料_1662</vt:lpstr>
      <vt:lpstr>基本設定!外部資料_1663</vt:lpstr>
      <vt:lpstr>基本設定!外部資料_1664</vt:lpstr>
      <vt:lpstr>基本設定!外部資料_1665</vt:lpstr>
      <vt:lpstr>基本設定!外部資料_1666</vt:lpstr>
      <vt:lpstr>基本設定!外部資料_1667</vt:lpstr>
      <vt:lpstr>基本設定!外部資料_1668</vt:lpstr>
      <vt:lpstr>基本設定!外部資料_1669</vt:lpstr>
      <vt:lpstr>基本設定!外部資料_1670</vt:lpstr>
      <vt:lpstr>基本設定!外部資料_1671</vt:lpstr>
      <vt:lpstr>基本設定!外部資料_1672</vt:lpstr>
      <vt:lpstr>基本設定!外部資料_1673</vt:lpstr>
      <vt:lpstr>基本設定!外部資料_1674</vt:lpstr>
      <vt:lpstr>基本設定!外部資料_1675</vt:lpstr>
      <vt:lpstr>基本設定!外部資料_1676</vt:lpstr>
      <vt:lpstr>基本設定!外部資料_1677</vt:lpstr>
      <vt:lpstr>基本設定!外部資料_1678</vt:lpstr>
      <vt:lpstr>基本設定!外部資料_1679</vt:lpstr>
      <vt:lpstr>基本設定!外部資料_1680</vt:lpstr>
      <vt:lpstr>基本設定!外部資料_1681</vt:lpstr>
      <vt:lpstr>基本設定!外部資料_1682</vt:lpstr>
      <vt:lpstr>基本設定!外部資料_1683</vt:lpstr>
      <vt:lpstr>基本設定!外部資料_1684</vt:lpstr>
      <vt:lpstr>基本設定!外部資料_1685</vt:lpstr>
      <vt:lpstr>基本設定!外部資料_1686</vt:lpstr>
      <vt:lpstr>基本設定!外部資料_1687</vt:lpstr>
      <vt:lpstr>基本設定!外部資料_1688</vt:lpstr>
      <vt:lpstr>基本設定!外部資料_1689</vt:lpstr>
      <vt:lpstr>基本設定!外部資料_1690</vt:lpstr>
      <vt:lpstr>基本設定!外部資料_1691</vt:lpstr>
      <vt:lpstr>基本設定!外部資料_1692</vt:lpstr>
      <vt:lpstr>基本設定!外部資料_1693</vt:lpstr>
      <vt:lpstr>基本設定!外部資料_1694</vt:lpstr>
      <vt:lpstr>基本設定!外部資料_1695</vt:lpstr>
      <vt:lpstr>基本設定!外部資料_1696</vt:lpstr>
      <vt:lpstr>基本設定!外部資料_1697</vt:lpstr>
      <vt:lpstr>基本設定!外部資料_1698</vt:lpstr>
      <vt:lpstr>基本設定!外部資料_1699</vt:lpstr>
      <vt:lpstr>基本設定!外部資料_1700</vt:lpstr>
      <vt:lpstr>基本設定!外部資料_1701</vt:lpstr>
      <vt:lpstr>基本設定!外部資料_1702</vt:lpstr>
      <vt:lpstr>基本設定!外部資料_1703</vt:lpstr>
      <vt:lpstr>基本設定!外部資料_1704</vt:lpstr>
      <vt:lpstr>基本設定!外部資料_1705</vt:lpstr>
      <vt:lpstr>基本設定!外部資料_1706</vt:lpstr>
      <vt:lpstr>基本設定!外部資料_1707</vt:lpstr>
      <vt:lpstr>基本設定!外部資料_1708</vt:lpstr>
      <vt:lpstr>基本設定!外部資料_1709</vt:lpstr>
      <vt:lpstr>基本設定!外部資料_1710</vt:lpstr>
      <vt:lpstr>基本設定!外部資料_1711</vt:lpstr>
      <vt:lpstr>基本設定!外部資料_1712</vt:lpstr>
      <vt:lpstr>基本設定!外部資料_1713</vt:lpstr>
      <vt:lpstr>基本設定!外部資料_1714</vt:lpstr>
      <vt:lpstr>基本設定!外部資料_1715</vt:lpstr>
      <vt:lpstr>基本設定!外部資料_1716</vt:lpstr>
      <vt:lpstr>基本設定!外部資料_1717</vt:lpstr>
      <vt:lpstr>基本設定!外部資料_1718</vt:lpstr>
      <vt:lpstr>基本設定!外部資料_1719</vt:lpstr>
      <vt:lpstr>基本設定!外部資料_1720</vt:lpstr>
      <vt:lpstr>基本設定!外部資料_1721</vt:lpstr>
      <vt:lpstr>基本設定!外部資料_1722</vt:lpstr>
      <vt:lpstr>基本設定!外部資料_1723</vt:lpstr>
      <vt:lpstr>基本設定!外部資料_1724</vt:lpstr>
      <vt:lpstr>基本設定!外部資料_1725</vt:lpstr>
      <vt:lpstr>基本設定!外部資料_1726</vt:lpstr>
      <vt:lpstr>基本設定!外部資料_1727</vt:lpstr>
      <vt:lpstr>基本設定!外部資料_1728</vt:lpstr>
      <vt:lpstr>基本設定!外部資料_1729</vt:lpstr>
      <vt:lpstr>基本設定!外部資料_1730</vt:lpstr>
      <vt:lpstr>基本設定!外部資料_1731</vt:lpstr>
      <vt:lpstr>基本設定!外部資料_1732</vt:lpstr>
      <vt:lpstr>基本設定!外部資料_1733</vt:lpstr>
      <vt:lpstr>基本設定!外部資料_1734</vt:lpstr>
      <vt:lpstr>基本設定!外部資料_1735</vt:lpstr>
      <vt:lpstr>基本設定!外部資料_1736</vt:lpstr>
      <vt:lpstr>基本設定!外部資料_1737</vt:lpstr>
      <vt:lpstr>基本設定!外部資料_1738</vt:lpstr>
      <vt:lpstr>基本設定!外部資料_1739</vt:lpstr>
      <vt:lpstr>基本設定!外部資料_1740</vt:lpstr>
      <vt:lpstr>基本設定!外部資料_1741</vt:lpstr>
      <vt:lpstr>基本設定!外部資料_1742</vt:lpstr>
      <vt:lpstr>基本設定!外部資料_1743</vt:lpstr>
      <vt:lpstr>基本設定!外部資料_1744</vt:lpstr>
      <vt:lpstr>基本設定!外部資料_1745</vt:lpstr>
      <vt:lpstr>基本設定!外部資料_1746</vt:lpstr>
      <vt:lpstr>基本設定!外部資料_1747</vt:lpstr>
      <vt:lpstr>基本設定!外部資料_1748</vt:lpstr>
      <vt:lpstr>基本設定!外部資料_1749</vt:lpstr>
      <vt:lpstr>基本設定!外部資料_1750</vt:lpstr>
      <vt:lpstr>基本設定!外部資料_1751</vt:lpstr>
      <vt:lpstr>基本設定!外部資料_1752</vt:lpstr>
      <vt:lpstr>基本設定!外部資料_1753</vt:lpstr>
      <vt:lpstr>基本設定!外部資料_1754</vt:lpstr>
      <vt:lpstr>基本設定!外部資料_1755</vt:lpstr>
      <vt:lpstr>基本設定!外部資料_1756</vt:lpstr>
      <vt:lpstr>基本設定!外部資料_1757</vt:lpstr>
      <vt:lpstr>基本設定!外部資料_1758</vt:lpstr>
      <vt:lpstr>基本設定!外部資料_1759</vt:lpstr>
      <vt:lpstr>基本設定!外部資料_1760</vt:lpstr>
      <vt:lpstr>基本設定!外部資料_1761</vt:lpstr>
      <vt:lpstr>基本設定!外部資料_1762</vt:lpstr>
      <vt:lpstr>基本設定!外部資料_1763</vt:lpstr>
      <vt:lpstr>基本設定!外部資料_1764</vt:lpstr>
      <vt:lpstr>基本設定!外部資料_1765</vt:lpstr>
      <vt:lpstr>基本設定!外部資料_1766</vt:lpstr>
      <vt:lpstr>基本設定!外部資料_1767</vt:lpstr>
      <vt:lpstr>基本設定!外部資料_1768</vt:lpstr>
      <vt:lpstr>基本設定!外部資料_1769</vt:lpstr>
      <vt:lpstr>基本設定!外部資料_1770</vt:lpstr>
      <vt:lpstr>基本設定!外部資料_1771</vt:lpstr>
      <vt:lpstr>基本設定!外部資料_1772</vt:lpstr>
      <vt:lpstr>基本設定!外部資料_1773</vt:lpstr>
      <vt:lpstr>基本設定!外部資料_1774</vt:lpstr>
      <vt:lpstr>基本設定!外部資料_1775</vt:lpstr>
      <vt:lpstr>基本設定!外部資料_1776</vt:lpstr>
      <vt:lpstr>基本設定!外部資料_1777</vt:lpstr>
      <vt:lpstr>基本設定!外部資料_1778</vt:lpstr>
      <vt:lpstr>基本設定!外部資料_1779</vt:lpstr>
      <vt:lpstr>基本設定!外部資料_1780</vt:lpstr>
      <vt:lpstr>基本設定!外部資料_1781</vt:lpstr>
      <vt:lpstr>基本設定!外部資料_1782</vt:lpstr>
      <vt:lpstr>基本設定!外部資料_1783</vt:lpstr>
      <vt:lpstr>基本設定!外部資料_1784</vt:lpstr>
      <vt:lpstr>基本設定!外部資料_1785</vt:lpstr>
      <vt:lpstr>基本設定!外部資料_1786</vt:lpstr>
      <vt:lpstr>基本設定!外部資料_1787</vt:lpstr>
      <vt:lpstr>基本設定!外部資料_1788</vt:lpstr>
      <vt:lpstr>基本設定!外部資料_1789</vt:lpstr>
      <vt:lpstr>基本設定!外部資料_1790</vt:lpstr>
      <vt:lpstr>基本設定!外部資料_1791</vt:lpstr>
      <vt:lpstr>基本設定!外部資料_1792</vt:lpstr>
      <vt:lpstr>基本設定!外部資料_1793</vt:lpstr>
      <vt:lpstr>基本設定!外部資料_1794</vt:lpstr>
      <vt:lpstr>基本設定!外部資料_1795</vt:lpstr>
      <vt:lpstr>基本設定!外部資料_1796</vt:lpstr>
      <vt:lpstr>基本設定!外部資料_1797</vt:lpstr>
      <vt:lpstr>基本設定!外部資料_1798</vt:lpstr>
      <vt:lpstr>基本設定!外部資料_1799</vt:lpstr>
      <vt:lpstr>紅綠燈!外部資料_27</vt:lpstr>
      <vt:lpstr>搶先報!外部資料_28</vt:lpstr>
      <vt:lpstr>搶先報!外部資料_29</vt:lpstr>
      <vt:lpstr>紅綠燈!外部資料_31</vt:lpstr>
      <vt:lpstr>紅綠燈!外部資料_43</vt:lpstr>
      <vt:lpstr>紅綠燈!外部資料_44</vt:lpstr>
      <vt:lpstr>紅綠燈!外部資料_45</vt:lpstr>
      <vt:lpstr>基本設定!外部資料_508</vt:lpstr>
      <vt:lpstr>基本設定!外部資料_748</vt:lpstr>
      <vt:lpstr>基本設定!外部資料_798</vt:lpstr>
      <vt:lpstr>基本設定!外部資料_801</vt:lpstr>
      <vt:lpstr>基本設定!外部資料_803</vt:lpstr>
      <vt:lpstr>基本設定!外部資料_806</vt:lpstr>
      <vt:lpstr>基本設定!外部資料_809</vt:lpstr>
      <vt:lpstr>基本設定!外部資料_812</vt:lpstr>
      <vt:lpstr>基本設定!外部資料_815</vt:lpstr>
      <vt:lpstr>基本設定!外部資料_818</vt:lpstr>
      <vt:lpstr>基本設定!外部資料_821</vt:lpstr>
      <vt:lpstr>基本設定!外部資料_824</vt:lpstr>
      <vt:lpstr>基本設定!外部資料_827</vt:lpstr>
      <vt:lpstr>基本設定!外部資料_830</vt:lpstr>
      <vt:lpstr>基本設定!外部資料_833</vt:lpstr>
      <vt:lpstr>基本設定!外部資料_836</vt:lpstr>
      <vt:lpstr>基本設定!外部資料_839</vt:lpstr>
      <vt:lpstr>基本設定!外部資料_842</vt:lpstr>
      <vt:lpstr>基本設定!外部資料_845</vt:lpstr>
      <vt:lpstr>基本設定!外部資料_848</vt:lpstr>
      <vt:lpstr>基本設定!外部資料_851</vt:lpstr>
      <vt:lpstr>基本設定!外部資料_854</vt:lpstr>
      <vt:lpstr>基本設定!外部資料_857</vt:lpstr>
      <vt:lpstr>基本設定!外部資料_860</vt:lpstr>
      <vt:lpstr>基本設定!外部資料_863</vt:lpstr>
      <vt:lpstr>基本設定!外部資料_866</vt:lpstr>
      <vt:lpstr>基本設定!外部資料_869</vt:lpstr>
      <vt:lpstr>基本設定!外部資料_872</vt:lpstr>
      <vt:lpstr>基本設定!外部資料_875</vt:lpstr>
      <vt:lpstr>基本設定!外部資料_878</vt:lpstr>
      <vt:lpstr>基本設定!外部資料_881</vt:lpstr>
      <vt:lpstr>基本設定!外部資料_884</vt:lpstr>
      <vt:lpstr>基本設定!外部資料_887</vt:lpstr>
      <vt:lpstr>基本設定!外部資料_890</vt:lpstr>
      <vt:lpstr>基本設定!外部資料_893</vt:lpstr>
      <vt:lpstr>基本設定!外部資料_896</vt:lpstr>
      <vt:lpstr>基本設定!外部資料_899</vt:lpstr>
      <vt:lpstr>基本設定!外部資料_902</vt:lpstr>
      <vt:lpstr>基本設定!外部資料_903</vt:lpstr>
      <vt:lpstr>基本設定!外部資料_904</vt:lpstr>
      <vt:lpstr>基本設定!外部資料_907</vt:lpstr>
      <vt:lpstr>基本設定!外部資料_910</vt:lpstr>
      <vt:lpstr>基本設定!外部資料_913</vt:lpstr>
      <vt:lpstr>基本設定!外部資料_916</vt:lpstr>
      <vt:lpstr>基本設定!外部資料_919</vt:lpstr>
      <vt:lpstr>基本設定!外部資料_920</vt:lpstr>
      <vt:lpstr>基本設定!外部資料_921</vt:lpstr>
      <vt:lpstr>基本設定!外部資料_924</vt:lpstr>
      <vt:lpstr>基本設定!外部資料_927</vt:lpstr>
      <vt:lpstr>基本設定!外部資料_930</vt:lpstr>
      <vt:lpstr>基本設定!外部資料_931</vt:lpstr>
      <vt:lpstr>基本設定!外部資料_932</vt:lpstr>
      <vt:lpstr>基本設定!外部資料_933</vt:lpstr>
      <vt:lpstr>基本設定!外部資料_934</vt:lpstr>
      <vt:lpstr>基本設定!外部資料_935</vt:lpstr>
      <vt:lpstr>基本設定!外部資料_936</vt:lpstr>
      <vt:lpstr>基本設定!外部資料_937</vt:lpstr>
      <vt:lpstr>基本設定!外部資料_938</vt:lpstr>
      <vt:lpstr>基本設定!外部資料_939</vt:lpstr>
      <vt:lpstr>基本設定!外部資料_940</vt:lpstr>
      <vt:lpstr>基本設定!外部資料_941</vt:lpstr>
      <vt:lpstr>基本設定!外部資料_942</vt:lpstr>
      <vt:lpstr>基本設定!外部資料_943</vt:lpstr>
      <vt:lpstr>基本設定!外部資料_944</vt:lpstr>
      <vt:lpstr>基本設定!外部資料_945</vt:lpstr>
      <vt:lpstr>基本設定!外部資料_946</vt:lpstr>
      <vt:lpstr>基本設定!外部資料_947</vt:lpstr>
      <vt:lpstr>基本設定!外部資料_948</vt:lpstr>
      <vt:lpstr>基本設定!外部資料_949</vt:lpstr>
      <vt:lpstr>基本設定!外部資料_950</vt:lpstr>
      <vt:lpstr>基本設定!外部資料_951</vt:lpstr>
      <vt:lpstr>基本設定!外部資料_952</vt:lpstr>
      <vt:lpstr>基本設定!外部資料_953</vt:lpstr>
      <vt:lpstr>基本設定!外部資料_954</vt:lpstr>
      <vt:lpstr>基本設定!外部資料_955</vt:lpstr>
      <vt:lpstr>基本設定!外部資料_956</vt:lpstr>
      <vt:lpstr>基本設定!外部資料_957</vt:lpstr>
      <vt:lpstr>基本設定!外部資料_958</vt:lpstr>
      <vt:lpstr>基本設定!外部資料_959</vt:lpstr>
      <vt:lpstr>基本設定!外部資料_960</vt:lpstr>
      <vt:lpstr>基本設定!外部資料_961</vt:lpstr>
      <vt:lpstr>基本設定!外部資料_962</vt:lpstr>
      <vt:lpstr>基本設定!外部資料_963</vt:lpstr>
      <vt:lpstr>基本設定!外部資料_964</vt:lpstr>
      <vt:lpstr>基本設定!外部資料_965</vt:lpstr>
      <vt:lpstr>基本設定!外部資料_966</vt:lpstr>
      <vt:lpstr>基本設定!外部資料_967</vt:lpstr>
      <vt:lpstr>基本設定!外部資料_968</vt:lpstr>
      <vt:lpstr>基本設定!外部資料_969</vt:lpstr>
      <vt:lpstr>基本設定!外部資料_970</vt:lpstr>
      <vt:lpstr>基本設定!外部資料_971</vt:lpstr>
      <vt:lpstr>基本設定!外部資料_972</vt:lpstr>
      <vt:lpstr>基本設定!外部資料_973</vt:lpstr>
      <vt:lpstr>基本設定!外部資料_974</vt:lpstr>
      <vt:lpstr>基本設定!外部資料_975</vt:lpstr>
      <vt:lpstr>基本設定!外部資料_976</vt:lpstr>
      <vt:lpstr>基本設定!外部資料_977</vt:lpstr>
      <vt:lpstr>基本設定!外部資料_978</vt:lpstr>
      <vt:lpstr>基本設定!外部資料_979</vt:lpstr>
      <vt:lpstr>基本設定!外部資料_980</vt:lpstr>
      <vt:lpstr>基本設定!外部資料_981</vt:lpstr>
      <vt:lpstr>基本設定!外部資料_982</vt:lpstr>
      <vt:lpstr>基本設定!外部資料_983</vt:lpstr>
      <vt:lpstr>基本設定!外部資料_984</vt:lpstr>
      <vt:lpstr>基本設定!外部資料_985</vt:lpstr>
      <vt:lpstr>基本設定!外部資料_986</vt:lpstr>
      <vt:lpstr>基本設定!外部資料_987</vt:lpstr>
      <vt:lpstr>基本設定!外部資料_988</vt:lpstr>
      <vt:lpstr>基本設定!外部資料_989</vt:lpstr>
      <vt:lpstr>基本設定!外部資料_990</vt:lpstr>
      <vt:lpstr>基本設定!外部資料_991</vt:lpstr>
      <vt:lpstr>基本設定!外部資料_992</vt:lpstr>
      <vt:lpstr>基本設定!外部資料_993</vt:lpstr>
      <vt:lpstr>基本設定!外部資料_994</vt:lpstr>
      <vt:lpstr>基本設定!外部資料_995</vt:lpstr>
      <vt:lpstr>基本設定!外部資料_996</vt:lpstr>
      <vt:lpstr>基本設定!外部資料_997</vt:lpstr>
      <vt:lpstr>基本設定!外部資料_998</vt:lpstr>
      <vt:lpstr>基本設定!外部資料_999</vt:lpstr>
      <vt:lpstr>收盤價!國內上市</vt:lpstr>
      <vt:lpstr>收盤價!國內上市_100</vt:lpstr>
      <vt:lpstr>收盤價!國內上市_101</vt:lpstr>
      <vt:lpstr>收盤價!國內上市_102</vt:lpstr>
      <vt:lpstr>收盤價!國內上市_103</vt:lpstr>
      <vt:lpstr>收盤價!國內上市_104</vt:lpstr>
      <vt:lpstr>收盤價!國內上市_105</vt:lpstr>
      <vt:lpstr>收盤價!國內上市_106</vt:lpstr>
      <vt:lpstr>收盤價!國內上市_107</vt:lpstr>
      <vt:lpstr>收盤價!國內上市_108</vt:lpstr>
      <vt:lpstr>收盤價!國內上市_109</vt:lpstr>
      <vt:lpstr>收盤價!國內上市_110</vt:lpstr>
      <vt:lpstr>收盤價!國內上市_111</vt:lpstr>
      <vt:lpstr>收盤價!國內上市_112</vt:lpstr>
      <vt:lpstr>收盤價!國內上市_113</vt:lpstr>
      <vt:lpstr>收盤價!國內上市_114</vt:lpstr>
      <vt:lpstr>收盤價!國內上市_115</vt:lpstr>
      <vt:lpstr>收盤價!國內上市_116</vt:lpstr>
      <vt:lpstr>收盤價!國內上市_117</vt:lpstr>
      <vt:lpstr>收盤價!國內上市_118</vt:lpstr>
      <vt:lpstr>收盤價!國內上市_119</vt:lpstr>
      <vt:lpstr>收盤價!國內上市_12</vt:lpstr>
      <vt:lpstr>收盤價!國內上市_120</vt:lpstr>
      <vt:lpstr>收盤價!國內上市_121</vt:lpstr>
      <vt:lpstr>收盤價!國內上市_122</vt:lpstr>
      <vt:lpstr>收盤價!國內上市_123</vt:lpstr>
      <vt:lpstr>收盤價!國內上市_124</vt:lpstr>
      <vt:lpstr>收盤價!國內上市_125</vt:lpstr>
      <vt:lpstr>收盤價!國內上市_13</vt:lpstr>
      <vt:lpstr>收盤價!國內上市_14</vt:lpstr>
      <vt:lpstr>收盤價!國內上市_15</vt:lpstr>
      <vt:lpstr>收盤價!國內上市_16</vt:lpstr>
      <vt:lpstr>收盤價!國內上市_17</vt:lpstr>
      <vt:lpstr>收盤價!國內上市_18</vt:lpstr>
      <vt:lpstr>收盤價!國內上市_19</vt:lpstr>
      <vt:lpstr>收盤價!國內上市_20</vt:lpstr>
      <vt:lpstr>收盤價!國內上市_21</vt:lpstr>
      <vt:lpstr>收盤價!國內上市_22</vt:lpstr>
      <vt:lpstr>收盤價!國內上市_23</vt:lpstr>
      <vt:lpstr>收盤價!國內上市_24</vt:lpstr>
      <vt:lpstr>收盤價!國內上市_25</vt:lpstr>
      <vt:lpstr>收盤價!國內上市_26</vt:lpstr>
      <vt:lpstr>收盤價!國內上市_27</vt:lpstr>
      <vt:lpstr>收盤價!國內上市_28</vt:lpstr>
      <vt:lpstr>收盤價!國內上市_29</vt:lpstr>
      <vt:lpstr>收盤價!國內上市_30</vt:lpstr>
      <vt:lpstr>收盤價!國內上市_31</vt:lpstr>
      <vt:lpstr>收盤價!國內上市_32</vt:lpstr>
      <vt:lpstr>收盤價!國內上市_33</vt:lpstr>
      <vt:lpstr>收盤價!國內上市_34</vt:lpstr>
      <vt:lpstr>收盤價!國內上市_35</vt:lpstr>
      <vt:lpstr>收盤價!國內上市_36</vt:lpstr>
      <vt:lpstr>收盤價!國內上市_37</vt:lpstr>
      <vt:lpstr>收盤價!國內上市_38</vt:lpstr>
      <vt:lpstr>收盤價!國內上市_39</vt:lpstr>
      <vt:lpstr>收盤價!國內上市_40</vt:lpstr>
      <vt:lpstr>收盤價!國內上市_41</vt:lpstr>
      <vt:lpstr>收盤價!國內上市_42</vt:lpstr>
      <vt:lpstr>收盤價!國內上市_43</vt:lpstr>
      <vt:lpstr>收盤價!國內上市_44</vt:lpstr>
      <vt:lpstr>收盤價!國內上市_45</vt:lpstr>
      <vt:lpstr>收盤價!國內上市_46</vt:lpstr>
      <vt:lpstr>收盤價!國內上市_47</vt:lpstr>
      <vt:lpstr>收盤價!國內上市_48</vt:lpstr>
      <vt:lpstr>收盤價!國內上市_49</vt:lpstr>
      <vt:lpstr>收盤價!國內上市_50</vt:lpstr>
      <vt:lpstr>收盤價!國內上市_51</vt:lpstr>
      <vt:lpstr>收盤價!國內上市_52</vt:lpstr>
      <vt:lpstr>收盤價!國內上市_53</vt:lpstr>
      <vt:lpstr>收盤價!國內上市_54</vt:lpstr>
      <vt:lpstr>收盤價!國內上市_55</vt:lpstr>
      <vt:lpstr>收盤價!國內上市_56</vt:lpstr>
      <vt:lpstr>收盤價!國內上市_57</vt:lpstr>
      <vt:lpstr>收盤價!國內上市_58</vt:lpstr>
      <vt:lpstr>收盤價!國內上市_59</vt:lpstr>
      <vt:lpstr>收盤價!國內上市_60</vt:lpstr>
      <vt:lpstr>收盤價!國內上市_61</vt:lpstr>
      <vt:lpstr>收盤價!國內上市_62</vt:lpstr>
      <vt:lpstr>收盤價!國內上市_64</vt:lpstr>
      <vt:lpstr>收盤價!國內上市_65</vt:lpstr>
      <vt:lpstr>收盤價!國內上市_66</vt:lpstr>
      <vt:lpstr>收盤價!國內上市_67</vt:lpstr>
      <vt:lpstr>收盤價!國內上市_68</vt:lpstr>
      <vt:lpstr>收盤價!國內上市_69</vt:lpstr>
      <vt:lpstr>收盤價!國內上市_70</vt:lpstr>
      <vt:lpstr>收盤價!國內上市_71</vt:lpstr>
      <vt:lpstr>收盤價!國內上市_72</vt:lpstr>
      <vt:lpstr>收盤價!國內上市_73</vt:lpstr>
      <vt:lpstr>收盤價!國內上市_74</vt:lpstr>
      <vt:lpstr>收盤價!國內上市_75</vt:lpstr>
      <vt:lpstr>收盤價!國內上市_76</vt:lpstr>
      <vt:lpstr>收盤價!國內上市_77</vt:lpstr>
      <vt:lpstr>收盤價!國內上市_78</vt:lpstr>
      <vt:lpstr>收盤價!國內上市_79</vt:lpstr>
      <vt:lpstr>收盤價!國內上市_80</vt:lpstr>
      <vt:lpstr>收盤價!國內上市_81</vt:lpstr>
      <vt:lpstr>收盤價!國內上市_82</vt:lpstr>
      <vt:lpstr>收盤價!國內上市_83</vt:lpstr>
      <vt:lpstr>收盤價!國內上市_84</vt:lpstr>
      <vt:lpstr>收盤價!國內上市_85</vt:lpstr>
      <vt:lpstr>收盤價!國內上市_86</vt:lpstr>
      <vt:lpstr>收盤價!國內上市_87</vt:lpstr>
      <vt:lpstr>收盤價!國內上市_88</vt:lpstr>
      <vt:lpstr>收盤價!國內上市_89</vt:lpstr>
      <vt:lpstr>收盤價!國內上市_90</vt:lpstr>
      <vt:lpstr>收盤價!國內上市_91</vt:lpstr>
      <vt:lpstr>收盤價!國內上市_92</vt:lpstr>
      <vt:lpstr>收盤價!國內上市_93</vt:lpstr>
      <vt:lpstr>收盤價!國內上市_94</vt:lpstr>
      <vt:lpstr>收盤價!國內上市_95</vt:lpstr>
      <vt:lpstr>收盤價!國內上市_96</vt:lpstr>
      <vt:lpstr>收盤價!國內上市_97</vt:lpstr>
      <vt:lpstr>收盤價!國內上市_98</vt:lpstr>
      <vt:lpstr>收盤價!國內上市_99</vt:lpstr>
    </vt:vector>
  </TitlesOfParts>
  <Company>Home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Win7User</dc:creator>
  <cp:lastModifiedBy>Popmiko</cp:lastModifiedBy>
  <cp:lastPrinted>2016-04-07T13:25:25Z</cp:lastPrinted>
  <dcterms:created xsi:type="dcterms:W3CDTF">2015-03-09T15:48:32Z</dcterms:created>
  <dcterms:modified xsi:type="dcterms:W3CDTF">2016-10-25T16:06:42Z</dcterms:modified>
</cp:coreProperties>
</file>